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codeName="ThisWorkbook" defaultThemeVersion="124226"/>
  <mc:AlternateContent xmlns:mc="http://schemas.openxmlformats.org/markup-compatibility/2006">
    <mc:Choice Requires="x15">
      <x15ac:absPath xmlns:x15ac="http://schemas.microsoft.com/office/spreadsheetml/2010/11/ac" url="C:\Users\randy\OneDrive\Desktop\"/>
    </mc:Choice>
  </mc:AlternateContent>
  <xr:revisionPtr revIDLastSave="0" documentId="13_ncr:1_{1289DE20-5592-43F2-94FB-B8C3797E93CE}" xr6:coauthVersionLast="47" xr6:coauthVersionMax="47" xr10:uidLastSave="{00000000-0000-0000-0000-000000000000}"/>
  <bookViews>
    <workbookView xWindow="28680" yWindow="-120" windowWidth="25440" windowHeight="15390" tabRatio="568" xr2:uid="{00000000-000D-0000-FFFF-FFFF00000000}"/>
  </bookViews>
  <sheets>
    <sheet name="Draw" sheetId="9" r:id="rId1"/>
    <sheet name="Players" sheetId="4" r:id="rId2"/>
    <sheet name="Match_Rosters" sheetId="8" r:id="rId3"/>
    <sheet name="Team_Matches" sheetId="5" r:id="rId4"/>
    <sheet name="Results" sheetId="10" state="hidden" r:id="rId5"/>
    <sheet name="Instructions" sheetId="14" r:id="rId6"/>
  </sheets>
  <definedNames>
    <definedName name="AV">Team_Matches!$AO$1:$AV$1</definedName>
    <definedName name="BV">Team_Matches!$AO$2:$AV$2</definedName>
    <definedName name="CV">Team_Matches!$AO$3:$AV$3</definedName>
    <definedName name="DV">Team_Matches!$AO$4:$AV$4</definedName>
    <definedName name="EV">Team_Matches!$AO$5:$AV$5</definedName>
    <definedName name="FV">Team_Matches!$AO$6:$AV$6</definedName>
    <definedName name="GV">Team_Matches!$AO$7:$AV$7</definedName>
    <definedName name="HV">Team_Matches!$AO$8:$AV$8</definedName>
    <definedName name="Interval">Draw!$AK$1:$AK$13</definedName>
    <definedName name="IV">Team_Matches!$AO$9:$AV$9</definedName>
    <definedName name="JV">Team_Matches!$AO$10:$AV$10</definedName>
    <definedName name="KV">Team_Matches!$AO$11:$AV$11</definedName>
    <definedName name="LV">Team_Matches!$AO$12:$AV$12</definedName>
    <definedName name="_xlnm.Print_Area" localSheetId="0">Draw!$A$1:$R$27</definedName>
    <definedName name="_xlnm.Print_Area" localSheetId="2">Match_Rosters!$A$1:$J$4488</definedName>
    <definedName name="_xlnm.Print_Area" localSheetId="1">Players!$A$1:$F$132,Players!$J$2:$Q$15</definedName>
    <definedName name="_xlnm.Print_Area" localSheetId="4">Results!$A$1:$A$264</definedName>
    <definedName name="_xlnm.Print_Area" localSheetId="3">Team_Matches!$A$1:$AF$3366</definedName>
    <definedName name="_xlnm.Print_Titles" localSheetId="1">Players!$1:$1</definedName>
    <definedName name="Start">Draw!$AJ$1:$AJ$158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31" i="4" l="1"/>
  <c r="L121" i="4"/>
  <c r="L120" i="4"/>
  <c r="G129" i="4"/>
  <c r="L117" i="4"/>
  <c r="L116" i="4"/>
  <c r="I125" i="4"/>
  <c r="G121" i="4"/>
  <c r="L112" i="4"/>
  <c r="L111" i="4"/>
  <c r="I118" i="4"/>
  <c r="L110" i="4"/>
  <c r="G117" i="4"/>
  <c r="L108" i="4"/>
  <c r="G114" i="4"/>
  <c r="L105" i="4"/>
  <c r="L104" i="4"/>
  <c r="L103" i="4"/>
  <c r="G108" i="4"/>
  <c r="L102" i="4"/>
  <c r="I107" i="4"/>
  <c r="L99" i="4"/>
  <c r="L98" i="4"/>
  <c r="G103" i="4"/>
  <c r="L96" i="4"/>
  <c r="G98" i="4"/>
  <c r="L94" i="4"/>
  <c r="L93" i="4"/>
  <c r="I96" i="4"/>
  <c r="L90" i="4"/>
  <c r="L89" i="4"/>
  <c r="I92" i="4"/>
  <c r="L85" i="4"/>
  <c r="G85" i="4"/>
  <c r="L83" i="4"/>
  <c r="G84" i="4"/>
  <c r="L81" i="4"/>
  <c r="L80" i="4"/>
  <c r="I81" i="4"/>
  <c r="L78" i="4"/>
  <c r="L77" i="4"/>
  <c r="L76" i="4"/>
  <c r="G75" i="4"/>
  <c r="L75" i="4"/>
  <c r="I74" i="4"/>
  <c r="G73" i="4"/>
  <c r="L72" i="4"/>
  <c r="L71" i="4"/>
  <c r="I70" i="4"/>
  <c r="L69" i="4"/>
  <c r="L67" i="4"/>
  <c r="G63" i="4"/>
  <c r="I62" i="4"/>
  <c r="L64" i="4"/>
  <c r="L63" i="4"/>
  <c r="L62" i="4"/>
  <c r="I59" i="4"/>
  <c r="L59" i="4"/>
  <c r="G54" i="4"/>
  <c r="L58" i="4"/>
  <c r="L57" i="4"/>
  <c r="G52" i="4"/>
  <c r="L54" i="4"/>
  <c r="I48" i="4"/>
  <c r="L51" i="4"/>
  <c r="L49" i="4"/>
  <c r="L48" i="4"/>
  <c r="G41" i="4"/>
  <c r="L47" i="4"/>
  <c r="G40" i="4"/>
  <c r="L46" i="4"/>
  <c r="L45" i="4"/>
  <c r="I37" i="4"/>
  <c r="G33" i="4"/>
  <c r="L41" i="4"/>
  <c r="L40" i="4"/>
  <c r="G31" i="4"/>
  <c r="G30" i="4"/>
  <c r="L36" i="4"/>
  <c r="L35" i="4"/>
  <c r="G26" i="4"/>
  <c r="L32" i="4"/>
  <c r="L31" i="4"/>
  <c r="I19" i="4"/>
  <c r="L29" i="4"/>
  <c r="L27" i="4"/>
  <c r="G15" i="4"/>
  <c r="G11" i="4"/>
  <c r="L23" i="4"/>
  <c r="L22" i="4"/>
  <c r="L21" i="4"/>
  <c r="G8" i="4"/>
  <c r="L20" i="4"/>
  <c r="I7" i="4"/>
  <c r="L19" i="4"/>
  <c r="L18" i="4"/>
  <c r="I4" i="4"/>
  <c r="L119" i="4"/>
  <c r="K78" i="4"/>
  <c r="K77" i="4"/>
  <c r="K76" i="4"/>
  <c r="K75" i="4"/>
  <c r="K74" i="4"/>
  <c r="K73" i="4"/>
  <c r="K72" i="4"/>
  <c r="C21" i="14"/>
  <c r="C31" i="14"/>
  <c r="C30" i="14"/>
  <c r="C29" i="14"/>
  <c r="C28" i="14"/>
  <c r="C27" i="14"/>
  <c r="C26" i="14"/>
  <c r="C25" i="14"/>
  <c r="C24" i="14"/>
  <c r="C23" i="14"/>
  <c r="D3322" i="5"/>
  <c r="D3271" i="5"/>
  <c r="D3220" i="5"/>
  <c r="D3169" i="5"/>
  <c r="D3118" i="5"/>
  <c r="D3067" i="5"/>
  <c r="D3016" i="5"/>
  <c r="D2965" i="5"/>
  <c r="D2914" i="5"/>
  <c r="D2863" i="5"/>
  <c r="D2812" i="5"/>
  <c r="D2761" i="5"/>
  <c r="D2710" i="5"/>
  <c r="D2659" i="5"/>
  <c r="D2608" i="5"/>
  <c r="D2557" i="5"/>
  <c r="D2506" i="5"/>
  <c r="D2455" i="5"/>
  <c r="D2404" i="5"/>
  <c r="D2353" i="5"/>
  <c r="D2302" i="5"/>
  <c r="D2251" i="5"/>
  <c r="D2200" i="5"/>
  <c r="D2149" i="5"/>
  <c r="D2098" i="5"/>
  <c r="D2047" i="5"/>
  <c r="D1996" i="5"/>
  <c r="D1945" i="5"/>
  <c r="D1894" i="5"/>
  <c r="D1843" i="5"/>
  <c r="D1792" i="5"/>
  <c r="D1741" i="5"/>
  <c r="D1690" i="5"/>
  <c r="D1639" i="5"/>
  <c r="D1588" i="5"/>
  <c r="D1537" i="5"/>
  <c r="D1486" i="5"/>
  <c r="D1435" i="5"/>
  <c r="D1384" i="5"/>
  <c r="D1333" i="5"/>
  <c r="D1282" i="5"/>
  <c r="D1231" i="5"/>
  <c r="D1180" i="5"/>
  <c r="D1129" i="5"/>
  <c r="D1078" i="5"/>
  <c r="D1027" i="5"/>
  <c r="D976" i="5"/>
  <c r="D925" i="5"/>
  <c r="D874" i="5"/>
  <c r="D823" i="5"/>
  <c r="D772" i="5"/>
  <c r="D721" i="5"/>
  <c r="D670" i="5"/>
  <c r="D619" i="5"/>
  <c r="D568" i="5"/>
  <c r="D517" i="5"/>
  <c r="D466" i="5"/>
  <c r="D415" i="5"/>
  <c r="D364" i="5"/>
  <c r="D313" i="5"/>
  <c r="D262" i="5"/>
  <c r="D211" i="5"/>
  <c r="D160" i="5"/>
  <c r="D109" i="5"/>
  <c r="D58" i="5"/>
  <c r="C18" i="14"/>
  <c r="C19" i="14"/>
  <c r="C20" i="14"/>
  <c r="C22" i="14"/>
  <c r="E1" i="10"/>
  <c r="E2" i="10"/>
  <c r="E3" i="10"/>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AO1" i="5"/>
  <c r="AP1" i="5"/>
  <c r="AQ1" i="5"/>
  <c r="AR1" i="5"/>
  <c r="AS1" i="5"/>
  <c r="AW1" i="5" s="1"/>
  <c r="AT1" i="5"/>
  <c r="AU1" i="5"/>
  <c r="AV1" i="5"/>
  <c r="AX1" i="5"/>
  <c r="AO2" i="5"/>
  <c r="AP2" i="5"/>
  <c r="AQ2" i="5"/>
  <c r="AR2" i="5"/>
  <c r="AS2" i="5"/>
  <c r="AW2" i="5"/>
  <c r="AT2" i="5"/>
  <c r="AU2" i="5"/>
  <c r="AV2" i="5"/>
  <c r="AX2" i="5"/>
  <c r="AO3" i="5"/>
  <c r="AP3" i="5"/>
  <c r="AQ3" i="5"/>
  <c r="AR3" i="5"/>
  <c r="AS3" i="5"/>
  <c r="AW3" i="5" s="1"/>
  <c r="AT3" i="5"/>
  <c r="AU3" i="5"/>
  <c r="AV3" i="5"/>
  <c r="AX3" i="5"/>
  <c r="AO4" i="5"/>
  <c r="AP4" i="5"/>
  <c r="AQ4" i="5"/>
  <c r="AR4" i="5"/>
  <c r="AS4" i="5"/>
  <c r="AW4" i="5"/>
  <c r="AT4" i="5"/>
  <c r="AU4" i="5"/>
  <c r="AV4" i="5"/>
  <c r="AX4" i="5"/>
  <c r="D5" i="5"/>
  <c r="AO5" i="5"/>
  <c r="AP5" i="5"/>
  <c r="AQ5" i="5"/>
  <c r="AR5" i="5"/>
  <c r="AS5" i="5"/>
  <c r="AW5" i="5"/>
  <c r="AT5" i="5"/>
  <c r="AU5" i="5"/>
  <c r="AV5" i="5"/>
  <c r="AX5" i="5"/>
  <c r="D6" i="5"/>
  <c r="J6" i="5"/>
  <c r="G2348" i="8" s="1"/>
  <c r="AO6" i="5"/>
  <c r="AP6" i="5"/>
  <c r="AQ6" i="5"/>
  <c r="AR6" i="5"/>
  <c r="AS6" i="5"/>
  <c r="AW6" i="5"/>
  <c r="B3177" i="5" s="1"/>
  <c r="AT6" i="5"/>
  <c r="AU6" i="5"/>
  <c r="AV6" i="5"/>
  <c r="AX6" i="5"/>
  <c r="D7" i="5"/>
  <c r="J7" i="5"/>
  <c r="AO7" i="5"/>
  <c r="AP7" i="5"/>
  <c r="AQ7" i="5"/>
  <c r="AR7" i="5"/>
  <c r="AS7" i="5"/>
  <c r="AT7" i="5"/>
  <c r="AU7" i="5"/>
  <c r="AV7" i="5"/>
  <c r="AW7" i="5"/>
  <c r="AX7" i="5"/>
  <c r="AO8" i="5"/>
  <c r="AP8" i="5"/>
  <c r="AQ8" i="5"/>
  <c r="AR8" i="5"/>
  <c r="AS8" i="5"/>
  <c r="AW8" i="5" s="1"/>
  <c r="AT8" i="5"/>
  <c r="AU8" i="5"/>
  <c r="AV8" i="5"/>
  <c r="AX8" i="5"/>
  <c r="B9" i="5"/>
  <c r="K9" i="5"/>
  <c r="A31" i="5"/>
  <c r="AO9" i="5"/>
  <c r="AP9" i="5"/>
  <c r="AQ9" i="5"/>
  <c r="AR9" i="5"/>
  <c r="AS9" i="5"/>
  <c r="AW9" i="5"/>
  <c r="AT9" i="5"/>
  <c r="AU9" i="5"/>
  <c r="AV9" i="5"/>
  <c r="AX9" i="5"/>
  <c r="AO10" i="5"/>
  <c r="AP10" i="5"/>
  <c r="AQ10" i="5"/>
  <c r="AR10" i="5"/>
  <c r="AS10" i="5"/>
  <c r="AW10" i="5"/>
  <c r="AT10" i="5"/>
  <c r="AU10" i="5"/>
  <c r="AV10" i="5"/>
  <c r="AX10" i="5"/>
  <c r="G11" i="5"/>
  <c r="AO11" i="5"/>
  <c r="AP11" i="5"/>
  <c r="AQ11" i="5"/>
  <c r="AR11" i="5"/>
  <c r="AS11" i="5"/>
  <c r="AW11" i="5" s="1"/>
  <c r="AT11" i="5"/>
  <c r="AU11" i="5"/>
  <c r="AV11" i="5"/>
  <c r="AX11" i="5"/>
  <c r="AO12" i="5"/>
  <c r="AP12" i="5"/>
  <c r="AQ12" i="5"/>
  <c r="AR12" i="5"/>
  <c r="AS12" i="5"/>
  <c r="AW12" i="5" s="1"/>
  <c r="AT12" i="5"/>
  <c r="AU12" i="5"/>
  <c r="AV12" i="5"/>
  <c r="AX12" i="5"/>
  <c r="Q15" i="5"/>
  <c r="R18" i="5"/>
  <c r="Q22" i="5"/>
  <c r="I2" i="10"/>
  <c r="Q29" i="5"/>
  <c r="Q30" i="5"/>
  <c r="R32" i="5"/>
  <c r="R46" i="5"/>
  <c r="D56" i="5"/>
  <c r="D57" i="5"/>
  <c r="J58" i="5"/>
  <c r="M58" i="5"/>
  <c r="I105" i="8"/>
  <c r="G71" i="8"/>
  <c r="B60" i="5"/>
  <c r="K60" i="5"/>
  <c r="G62" i="5"/>
  <c r="Q66" i="5"/>
  <c r="R69" i="5"/>
  <c r="Q73" i="5"/>
  <c r="G6" i="10"/>
  <c r="Q80" i="5"/>
  <c r="Q81" i="5"/>
  <c r="I78" i="5"/>
  <c r="R83" i="5"/>
  <c r="R97" i="5"/>
  <c r="D107" i="5"/>
  <c r="D108" i="5"/>
  <c r="J109" i="5"/>
  <c r="B111" i="5"/>
  <c r="K111" i="5"/>
  <c r="X146" i="5"/>
  <c r="G113" i="5"/>
  <c r="Q117" i="5"/>
  <c r="G9" i="10"/>
  <c r="J9" i="10"/>
  <c r="R120" i="5"/>
  <c r="Q124" i="5"/>
  <c r="Q131" i="5"/>
  <c r="R134" i="5"/>
  <c r="R148" i="5"/>
  <c r="D158" i="5"/>
  <c r="D159" i="5"/>
  <c r="J160" i="5"/>
  <c r="B162" i="5"/>
  <c r="A182" i="5"/>
  <c r="K162" i="5"/>
  <c r="A191" i="5"/>
  <c r="G164" i="5"/>
  <c r="Q168" i="5"/>
  <c r="F13" i="10"/>
  <c r="R171" i="5"/>
  <c r="Q175" i="5"/>
  <c r="Q182" i="5"/>
  <c r="J180" i="5"/>
  <c r="R185" i="5"/>
  <c r="R199" i="5"/>
  <c r="D209" i="5"/>
  <c r="D210" i="5"/>
  <c r="J211" i="5"/>
  <c r="G309" i="8"/>
  <c r="B213" i="5"/>
  <c r="K213" i="5"/>
  <c r="A228" i="5"/>
  <c r="G215" i="5"/>
  <c r="Q219" i="5"/>
  <c r="R222" i="5"/>
  <c r="Q226" i="5"/>
  <c r="I224" i="5"/>
  <c r="Q233" i="5"/>
  <c r="K231" i="5"/>
  <c r="I231" i="5"/>
  <c r="F19" i="10"/>
  <c r="Q235" i="5"/>
  <c r="Q236" i="5"/>
  <c r="R236" i="5"/>
  <c r="R250" i="5"/>
  <c r="D260" i="5"/>
  <c r="D261" i="5"/>
  <c r="J262" i="5"/>
  <c r="G377" i="8"/>
  <c r="B264" i="5"/>
  <c r="A284" i="5"/>
  <c r="K264" i="5"/>
  <c r="M305" i="5"/>
  <c r="G266" i="5"/>
  <c r="Q270" i="5"/>
  <c r="Q272" i="5"/>
  <c r="R273" i="5"/>
  <c r="Q277" i="5"/>
  <c r="F22" i="10"/>
  <c r="K275" i="5"/>
  <c r="Q284" i="5"/>
  <c r="I282" i="5"/>
  <c r="K282" i="5"/>
  <c r="Q285" i="5"/>
  <c r="R287" i="5"/>
  <c r="R301" i="5"/>
  <c r="D311" i="5"/>
  <c r="D312" i="5"/>
  <c r="J313" i="5"/>
  <c r="B315" i="5"/>
  <c r="K315" i="5"/>
  <c r="G317" i="5"/>
  <c r="Q321" i="5"/>
  <c r="Q323" i="5"/>
  <c r="Q324" i="5"/>
  <c r="R324" i="5"/>
  <c r="Q328" i="5"/>
  <c r="Q335" i="5"/>
  <c r="R338" i="5"/>
  <c r="R352" i="5"/>
  <c r="D362" i="5"/>
  <c r="D363" i="5"/>
  <c r="J364" i="5"/>
  <c r="G513" i="8"/>
  <c r="B366" i="5"/>
  <c r="R391" i="5"/>
  <c r="K366" i="5"/>
  <c r="X373" i="5"/>
  <c r="G368" i="5"/>
  <c r="Q372" i="5"/>
  <c r="R375" i="5"/>
  <c r="Q379" i="5"/>
  <c r="Q386" i="5"/>
  <c r="I384" i="5"/>
  <c r="K384" i="5"/>
  <c r="L384" i="5"/>
  <c r="G31" i="10"/>
  <c r="F31" i="10"/>
  <c r="I31" i="10"/>
  <c r="Q387" i="5"/>
  <c r="Q388" i="5"/>
  <c r="R389" i="5"/>
  <c r="R403" i="5"/>
  <c r="D413" i="5"/>
  <c r="D414" i="5"/>
  <c r="J415" i="5"/>
  <c r="B417" i="5"/>
  <c r="K417" i="5"/>
  <c r="A439" i="5"/>
  <c r="G419" i="5"/>
  <c r="Q423" i="5"/>
  <c r="R426" i="5"/>
  <c r="Q430" i="5"/>
  <c r="H34" i="10"/>
  <c r="Q437" i="5"/>
  <c r="R440" i="5"/>
  <c r="R454" i="5"/>
  <c r="D464" i="5"/>
  <c r="D465" i="5"/>
  <c r="J466" i="5"/>
  <c r="B468" i="5"/>
  <c r="K468" i="5"/>
  <c r="A483" i="5"/>
  <c r="G470" i="5"/>
  <c r="Q474" i="5"/>
  <c r="R477" i="5"/>
  <c r="Q481" i="5"/>
  <c r="Q488" i="5"/>
  <c r="R491" i="5"/>
  <c r="R505" i="5"/>
  <c r="D515" i="5"/>
  <c r="D516" i="5"/>
  <c r="J517" i="5"/>
  <c r="B519" i="5"/>
  <c r="K519" i="5"/>
  <c r="G521" i="5"/>
  <c r="Q525" i="5"/>
  <c r="R528" i="5"/>
  <c r="Q532" i="5"/>
  <c r="Q539" i="5"/>
  <c r="R542" i="5"/>
  <c r="R556" i="5"/>
  <c r="D566" i="5"/>
  <c r="D567" i="5"/>
  <c r="J568" i="5"/>
  <c r="B570" i="5"/>
  <c r="K570" i="5"/>
  <c r="I787" i="8"/>
  <c r="G572" i="5"/>
  <c r="Q576" i="5"/>
  <c r="H45" i="10"/>
  <c r="R579" i="5"/>
  <c r="Q583" i="5"/>
  <c r="Q590" i="5"/>
  <c r="R593" i="5"/>
  <c r="R607" i="5"/>
  <c r="D617" i="5"/>
  <c r="D618" i="5"/>
  <c r="J619" i="5"/>
  <c r="G853" i="8"/>
  <c r="B621" i="5"/>
  <c r="A655" i="5"/>
  <c r="K621" i="5"/>
  <c r="G623" i="5"/>
  <c r="Q627" i="5"/>
  <c r="R630" i="5"/>
  <c r="Q634" i="5"/>
  <c r="Q641" i="5"/>
  <c r="J639" i="5"/>
  <c r="R644" i="5"/>
  <c r="R658" i="5"/>
  <c r="D668" i="5"/>
  <c r="D669" i="5"/>
  <c r="J670" i="5"/>
  <c r="B672" i="5"/>
  <c r="R697" i="5"/>
  <c r="K672" i="5"/>
  <c r="A708" i="5"/>
  <c r="G674" i="5"/>
  <c r="Q678" i="5"/>
  <c r="G53" i="10"/>
  <c r="R681" i="5"/>
  <c r="Q685" i="5"/>
  <c r="L683" i="5"/>
  <c r="Q692" i="5"/>
  <c r="L690" i="5"/>
  <c r="Q694" i="5"/>
  <c r="Q695" i="5"/>
  <c r="R695" i="5"/>
  <c r="R709" i="5"/>
  <c r="D719" i="5"/>
  <c r="D720" i="5"/>
  <c r="J721" i="5"/>
  <c r="B723" i="5"/>
  <c r="R748" i="5"/>
  <c r="K723" i="5"/>
  <c r="I991" i="8"/>
  <c r="G725" i="5"/>
  <c r="Q729" i="5"/>
  <c r="R732" i="5"/>
  <c r="Q736" i="5"/>
  <c r="Q743" i="5"/>
  <c r="H59" i="10"/>
  <c r="R746" i="5"/>
  <c r="R760" i="5"/>
  <c r="D770" i="5"/>
  <c r="D771" i="5"/>
  <c r="J772" i="5"/>
  <c r="G1057" i="8"/>
  <c r="B774" i="5"/>
  <c r="G814" i="5"/>
  <c r="K774" i="5"/>
  <c r="G776" i="5"/>
  <c r="Q780" i="5"/>
  <c r="G61" i="10"/>
  <c r="R783" i="5"/>
  <c r="Q787" i="5"/>
  <c r="L785" i="5"/>
  <c r="Q794" i="5"/>
  <c r="L792" i="5"/>
  <c r="R797" i="5"/>
  <c r="R811" i="5"/>
  <c r="D821" i="5"/>
  <c r="D822" i="5"/>
  <c r="J823" i="5"/>
  <c r="G1125" i="8"/>
  <c r="B825" i="5"/>
  <c r="K825" i="5"/>
  <c r="G827" i="5"/>
  <c r="Q831" i="5"/>
  <c r="G65" i="10"/>
  <c r="R834" i="5"/>
  <c r="Q838" i="5"/>
  <c r="Q845" i="5"/>
  <c r="R848" i="5"/>
  <c r="R862" i="5"/>
  <c r="D872" i="5"/>
  <c r="D873" i="5"/>
  <c r="J874" i="5"/>
  <c r="B876" i="5"/>
  <c r="A903" i="5"/>
  <c r="K876" i="5"/>
  <c r="I1195" i="8"/>
  <c r="G878" i="5"/>
  <c r="Q882" i="5"/>
  <c r="Q884" i="5"/>
  <c r="Q885" i="5"/>
  <c r="R885" i="5"/>
  <c r="Q889" i="5"/>
  <c r="I70" i="10"/>
  <c r="Q896" i="5"/>
  <c r="R899" i="5"/>
  <c r="R913" i="5"/>
  <c r="D923" i="5"/>
  <c r="D924" i="5"/>
  <c r="J925" i="5"/>
  <c r="G1261" i="8"/>
  <c r="B927" i="5"/>
  <c r="K927" i="5"/>
  <c r="D73" i="10"/>
  <c r="G929" i="5"/>
  <c r="Q933" i="5"/>
  <c r="R936" i="5"/>
  <c r="Q940" i="5"/>
  <c r="H74" i="10"/>
  <c r="Q947" i="5"/>
  <c r="L945" i="5"/>
  <c r="J75" i="10"/>
  <c r="R950" i="5"/>
  <c r="R964" i="5"/>
  <c r="D974" i="5"/>
  <c r="D975" i="5"/>
  <c r="J976" i="5"/>
  <c r="B978" i="5"/>
  <c r="R1003" i="5"/>
  <c r="K978" i="5"/>
  <c r="G980" i="5"/>
  <c r="Q984" i="5"/>
  <c r="H77" i="10"/>
  <c r="R987" i="5"/>
  <c r="Q991" i="5"/>
  <c r="L989" i="5"/>
  <c r="Q998" i="5"/>
  <c r="R1001" i="5"/>
  <c r="R1015" i="5"/>
  <c r="D1025" i="5"/>
  <c r="D1026" i="5"/>
  <c r="J1027" i="5"/>
  <c r="B1029" i="5"/>
  <c r="A1049" i="5"/>
  <c r="K1029" i="5"/>
  <c r="G1031" i="5"/>
  <c r="Q1035" i="5"/>
  <c r="I81" i="10"/>
  <c r="F81" i="10"/>
  <c r="R1038" i="5"/>
  <c r="Q1042" i="5"/>
  <c r="G82" i="10"/>
  <c r="Q1049" i="5"/>
  <c r="I83" i="10"/>
  <c r="R1052" i="5"/>
  <c r="R1066" i="5"/>
  <c r="D1076" i="5"/>
  <c r="D1077" i="5"/>
  <c r="J1078" i="5"/>
  <c r="G1465" i="8"/>
  <c r="B1080" i="5"/>
  <c r="C1080" i="5"/>
  <c r="K1080" i="5"/>
  <c r="G1082" i="5"/>
  <c r="Q1086" i="5"/>
  <c r="R1089" i="5"/>
  <c r="Q1093" i="5"/>
  <c r="Q1100" i="5"/>
  <c r="R1103" i="5"/>
  <c r="R1117" i="5"/>
  <c r="D1127" i="5"/>
  <c r="D1128" i="5"/>
  <c r="J1129" i="5"/>
  <c r="M1129" i="5"/>
  <c r="B1131" i="5"/>
  <c r="K1131" i="5"/>
  <c r="A1167" i="5"/>
  <c r="G1133" i="5"/>
  <c r="Q1137" i="5"/>
  <c r="R1140" i="5"/>
  <c r="Q1144" i="5"/>
  <c r="K1142" i="5"/>
  <c r="L1142" i="5"/>
  <c r="J90" i="10"/>
  <c r="Q1151" i="5"/>
  <c r="R1154" i="5"/>
  <c r="R1168" i="5"/>
  <c r="D1178" i="5"/>
  <c r="D1179" i="5"/>
  <c r="J1180" i="5"/>
  <c r="B1182" i="5"/>
  <c r="R1193" i="5"/>
  <c r="K1182" i="5"/>
  <c r="I1222" i="5"/>
  <c r="G1184" i="5"/>
  <c r="Q1188" i="5"/>
  <c r="R1191" i="5"/>
  <c r="Q1195" i="5"/>
  <c r="L1193" i="5"/>
  <c r="I94" i="10"/>
  <c r="Q1202" i="5"/>
  <c r="R1205" i="5"/>
  <c r="R1219" i="5"/>
  <c r="D1229" i="5"/>
  <c r="D1230" i="5"/>
  <c r="J1231" i="5"/>
  <c r="B1233" i="5"/>
  <c r="K1233" i="5"/>
  <c r="G1235" i="5"/>
  <c r="Q1239" i="5"/>
  <c r="R1242" i="5"/>
  <c r="Q1246" i="5"/>
  <c r="Q1253" i="5"/>
  <c r="L1251" i="5"/>
  <c r="R1256" i="5"/>
  <c r="R1270" i="5"/>
  <c r="D1280" i="5"/>
  <c r="D1281" i="5"/>
  <c r="J1282" i="5"/>
  <c r="B1284" i="5"/>
  <c r="K1284" i="5"/>
  <c r="R1311" i="5"/>
  <c r="G1286" i="5"/>
  <c r="Q1290" i="5"/>
  <c r="L1288" i="5"/>
  <c r="R1293" i="5"/>
  <c r="Q1297" i="5"/>
  <c r="H102" i="10"/>
  <c r="Q1304" i="5"/>
  <c r="J103" i="10"/>
  <c r="R1307" i="5"/>
  <c r="R1321" i="5"/>
  <c r="D1331" i="5"/>
  <c r="D1332" i="5"/>
  <c r="J1333" i="5"/>
  <c r="B1335" i="5"/>
  <c r="R1360" i="5"/>
  <c r="K1335" i="5"/>
  <c r="G1337" i="5"/>
  <c r="Q1341" i="5"/>
  <c r="R1344" i="5"/>
  <c r="Q1348" i="5"/>
  <c r="Q1355" i="5"/>
  <c r="I107" i="10"/>
  <c r="R1358" i="5"/>
  <c r="R1372" i="5"/>
  <c r="D1382" i="5"/>
  <c r="D1383" i="5"/>
  <c r="J1384" i="5"/>
  <c r="B1386" i="5"/>
  <c r="A1399" i="5"/>
  <c r="K1386" i="5"/>
  <c r="M1427" i="5"/>
  <c r="G1388" i="5"/>
  <c r="Q1392" i="5"/>
  <c r="R1395" i="5"/>
  <c r="Q1399" i="5"/>
  <c r="Q1406" i="5"/>
  <c r="R1409" i="5"/>
  <c r="R1423" i="5"/>
  <c r="D1433" i="5"/>
  <c r="D1434" i="5"/>
  <c r="J1435" i="5"/>
  <c r="G1907" i="8"/>
  <c r="B1437" i="5"/>
  <c r="B1478" i="5"/>
  <c r="K1437" i="5"/>
  <c r="G1439" i="5"/>
  <c r="Q1443" i="5"/>
  <c r="R1446" i="5"/>
  <c r="Q1450" i="5"/>
  <c r="Q1457" i="5"/>
  <c r="R1460" i="5"/>
  <c r="R1474" i="5"/>
  <c r="D1484" i="5"/>
  <c r="D1485" i="5"/>
  <c r="J1486" i="5"/>
  <c r="G2009" i="8"/>
  <c r="B1488" i="5"/>
  <c r="K1488" i="5"/>
  <c r="J1489" i="5"/>
  <c r="G1490" i="5"/>
  <c r="Q1494" i="5"/>
  <c r="R1497" i="5"/>
  <c r="Q1501" i="5"/>
  <c r="I118" i="10"/>
  <c r="Q1508" i="5"/>
  <c r="R1511" i="5"/>
  <c r="R1525" i="5"/>
  <c r="D1535" i="5"/>
  <c r="D1536" i="5"/>
  <c r="J1537" i="5"/>
  <c r="B1539" i="5"/>
  <c r="A1559" i="5"/>
  <c r="K1539" i="5"/>
  <c r="G1541" i="5"/>
  <c r="Q1545" i="5"/>
  <c r="L1543" i="5"/>
  <c r="R1548" i="5"/>
  <c r="Q1552" i="5"/>
  <c r="Q1559" i="5"/>
  <c r="R1562" i="5"/>
  <c r="R1576" i="5"/>
  <c r="D1586" i="5"/>
  <c r="D1587" i="5"/>
  <c r="J1588" i="5"/>
  <c r="B1590" i="5"/>
  <c r="K1590" i="5"/>
  <c r="A1612" i="5"/>
  <c r="G1592" i="5"/>
  <c r="Q1596" i="5"/>
  <c r="H125" i="10"/>
  <c r="R1599" i="5"/>
  <c r="Q1603" i="5"/>
  <c r="Q1605" i="5"/>
  <c r="H126" i="10"/>
  <c r="Q1610" i="5"/>
  <c r="L1608" i="5"/>
  <c r="R1613" i="5"/>
  <c r="R1627" i="5"/>
  <c r="D1637" i="5"/>
  <c r="D1638" i="5"/>
  <c r="J1639" i="5"/>
  <c r="B1641" i="5"/>
  <c r="K1641" i="5"/>
  <c r="R1668" i="5"/>
  <c r="G1643" i="5"/>
  <c r="Q1647" i="5"/>
  <c r="J1645" i="5"/>
  <c r="R1650" i="5"/>
  <c r="Q1654" i="5"/>
  <c r="L1652" i="5"/>
  <c r="Q1661" i="5"/>
  <c r="R1664" i="5"/>
  <c r="R1678" i="5"/>
  <c r="D1688" i="5"/>
  <c r="D1689" i="5"/>
  <c r="J1690" i="5"/>
  <c r="M1690" i="5"/>
  <c r="B1692" i="5"/>
  <c r="K1692" i="5"/>
  <c r="A1707" i="5"/>
  <c r="G1694" i="5"/>
  <c r="Q1698" i="5"/>
  <c r="Q1700" i="5"/>
  <c r="Q1701" i="5"/>
  <c r="R1701" i="5"/>
  <c r="Q1705" i="5"/>
  <c r="I1703" i="5"/>
  <c r="Q1706" i="5"/>
  <c r="Q1712" i="5"/>
  <c r="R1715" i="5"/>
  <c r="R1729" i="5"/>
  <c r="D1739" i="5"/>
  <c r="D1740" i="5"/>
  <c r="J1741" i="5"/>
  <c r="B1743" i="5"/>
  <c r="K1743" i="5"/>
  <c r="I2351" i="8"/>
  <c r="G1745" i="5"/>
  <c r="Q1749" i="5"/>
  <c r="R1752" i="5"/>
  <c r="Q1756" i="5"/>
  <c r="Q1763" i="5"/>
  <c r="R1766" i="5"/>
  <c r="R1780" i="5"/>
  <c r="D1790" i="5"/>
  <c r="D1791" i="5"/>
  <c r="J1792" i="5"/>
  <c r="B1794" i="5"/>
  <c r="K1794" i="5"/>
  <c r="G1796" i="5"/>
  <c r="Q1800" i="5"/>
  <c r="I141" i="10"/>
  <c r="R1803" i="5"/>
  <c r="Q1807" i="5"/>
  <c r="Q1814" i="5"/>
  <c r="L1812" i="5"/>
  <c r="R1817" i="5"/>
  <c r="R1831" i="5"/>
  <c r="D1841" i="5"/>
  <c r="D1842" i="5"/>
  <c r="J1843" i="5"/>
  <c r="B1845" i="5"/>
  <c r="K1845" i="5"/>
  <c r="G1847" i="5"/>
  <c r="Q1851" i="5"/>
  <c r="R1854" i="5"/>
  <c r="Q1858" i="5"/>
  <c r="Q1865" i="5"/>
  <c r="R1868" i="5"/>
  <c r="R1882" i="5"/>
  <c r="D1892" i="5"/>
  <c r="D1893" i="5"/>
  <c r="J1894" i="5"/>
  <c r="B1896" i="5"/>
  <c r="K1896" i="5"/>
  <c r="G1898" i="5"/>
  <c r="Q1902" i="5"/>
  <c r="G149" i="10"/>
  <c r="R1905" i="5"/>
  <c r="Q1909" i="5"/>
  <c r="L1907" i="5"/>
  <c r="Q1916" i="5"/>
  <c r="G151" i="10"/>
  <c r="R1919" i="5"/>
  <c r="R1933" i="5"/>
  <c r="D1943" i="5"/>
  <c r="D1944" i="5"/>
  <c r="J1945" i="5"/>
  <c r="B1947" i="5"/>
  <c r="R1958" i="5"/>
  <c r="K1947" i="5"/>
  <c r="G1949" i="5"/>
  <c r="Q1953" i="5"/>
  <c r="J153" i="10"/>
  <c r="R1956" i="5"/>
  <c r="Q1960" i="5"/>
  <c r="Q1967" i="5"/>
  <c r="R1970" i="5"/>
  <c r="R1984" i="5"/>
  <c r="D1994" i="5"/>
  <c r="D1995" i="5"/>
  <c r="J1996" i="5"/>
  <c r="G2655" i="8"/>
  <c r="B1998" i="5"/>
  <c r="K1998" i="5"/>
  <c r="G2000" i="5"/>
  <c r="Q2004" i="5"/>
  <c r="R2007" i="5"/>
  <c r="Q2011" i="5"/>
  <c r="Q2018" i="5"/>
  <c r="I2016" i="5"/>
  <c r="R2021" i="5"/>
  <c r="R2035" i="5"/>
  <c r="D2045" i="5"/>
  <c r="D2046" i="5"/>
  <c r="J2047" i="5"/>
  <c r="M2047" i="5"/>
  <c r="I2723" i="8"/>
  <c r="B2049" i="5"/>
  <c r="G2089" i="5"/>
  <c r="K2049" i="5"/>
  <c r="J2050" i="5"/>
  <c r="Z2056" i="5"/>
  <c r="G2051" i="5"/>
  <c r="Q2055" i="5"/>
  <c r="R2058" i="5"/>
  <c r="Q2062" i="5"/>
  <c r="Q2069" i="5"/>
  <c r="R2072" i="5"/>
  <c r="R2086" i="5"/>
  <c r="D2096" i="5"/>
  <c r="D2097" i="5"/>
  <c r="J2098" i="5"/>
  <c r="G2825" i="8"/>
  <c r="B2100" i="5"/>
  <c r="R2111" i="5"/>
  <c r="K2100" i="5"/>
  <c r="G2102" i="5"/>
  <c r="Q2106" i="5"/>
  <c r="J2104" i="5"/>
  <c r="R2109" i="5"/>
  <c r="Q2113" i="5"/>
  <c r="Q2120" i="5"/>
  <c r="L2118" i="5"/>
  <c r="I167" i="10"/>
  <c r="Q2122" i="5"/>
  <c r="Q2123" i="5"/>
  <c r="R2123" i="5"/>
  <c r="R2137" i="5"/>
  <c r="D2147" i="5"/>
  <c r="D2148" i="5"/>
  <c r="J2149" i="5"/>
  <c r="G2859" i="8"/>
  <c r="B2151" i="5"/>
  <c r="A2164" i="5"/>
  <c r="K2151" i="5"/>
  <c r="X2158" i="5"/>
  <c r="G2153" i="5"/>
  <c r="Q2157" i="5"/>
  <c r="R2160" i="5"/>
  <c r="Q2164" i="5"/>
  <c r="H2162" i="5"/>
  <c r="Q2171" i="5"/>
  <c r="R2174" i="5"/>
  <c r="R2188" i="5"/>
  <c r="D2198" i="5"/>
  <c r="D2199" i="5"/>
  <c r="J2200" i="5"/>
  <c r="G2961" i="8"/>
  <c r="B2202" i="5"/>
  <c r="K2202" i="5"/>
  <c r="G2204" i="5"/>
  <c r="Q2208" i="5"/>
  <c r="L2206" i="5"/>
  <c r="H2206" i="5"/>
  <c r="R2211" i="5"/>
  <c r="Q2215" i="5"/>
  <c r="Q2222" i="5"/>
  <c r="G175" i="10"/>
  <c r="R2225" i="5"/>
  <c r="R2239" i="5"/>
  <c r="D2249" i="5"/>
  <c r="D2250" i="5"/>
  <c r="J2251" i="5"/>
  <c r="G2995" i="8"/>
  <c r="B2253" i="5"/>
  <c r="K2253" i="5"/>
  <c r="R2294" i="5"/>
  <c r="G2255" i="5"/>
  <c r="Q2259" i="5"/>
  <c r="L2257" i="5"/>
  <c r="R2262" i="5"/>
  <c r="Q2266" i="5"/>
  <c r="Q2273" i="5"/>
  <c r="R2276" i="5"/>
  <c r="R2290" i="5"/>
  <c r="D2300" i="5"/>
  <c r="D2301" i="5"/>
  <c r="J2302" i="5"/>
  <c r="B2304" i="5"/>
  <c r="A2338" i="5"/>
  <c r="K2304" i="5"/>
  <c r="G2306" i="5"/>
  <c r="Q2310" i="5"/>
  <c r="R2313" i="5"/>
  <c r="Q2317" i="5"/>
  <c r="J2315" i="5"/>
  <c r="Q2324" i="5"/>
  <c r="J2322" i="5"/>
  <c r="R2327" i="5"/>
  <c r="R2341" i="5"/>
  <c r="D2351" i="5"/>
  <c r="D2352" i="5"/>
  <c r="J2353" i="5"/>
  <c r="G3165" i="8"/>
  <c r="B2355" i="5"/>
  <c r="K2355" i="5"/>
  <c r="R2396" i="5"/>
  <c r="G2357" i="5"/>
  <c r="Q2361" i="5"/>
  <c r="R2364" i="5"/>
  <c r="Q2368" i="5"/>
  <c r="F186" i="10"/>
  <c r="Q2375" i="5"/>
  <c r="R2378" i="5"/>
  <c r="R2392" i="5"/>
  <c r="D2402" i="5"/>
  <c r="D2403" i="5"/>
  <c r="J2404" i="5"/>
  <c r="M2404" i="5"/>
  <c r="B2406" i="5"/>
  <c r="K2406" i="5"/>
  <c r="I3235" i="8"/>
  <c r="G2408" i="5"/>
  <c r="Q2412" i="5"/>
  <c r="L2410" i="5"/>
  <c r="R2415" i="5"/>
  <c r="Q2419" i="5"/>
  <c r="Q2426" i="5"/>
  <c r="L2424" i="5"/>
  <c r="K2424" i="5"/>
  <c r="R2429" i="5"/>
  <c r="R2443" i="5"/>
  <c r="D2453" i="5"/>
  <c r="D2454" i="5"/>
  <c r="J2455" i="5"/>
  <c r="G3301" i="8"/>
  <c r="B2457" i="5"/>
  <c r="A2477" i="5"/>
  <c r="K2457" i="5"/>
  <c r="G2459" i="5"/>
  <c r="Q2463" i="5"/>
  <c r="H193" i="10"/>
  <c r="R2466" i="5"/>
  <c r="Q2470" i="5"/>
  <c r="Q2477" i="5"/>
  <c r="L2475" i="5"/>
  <c r="R2480" i="5"/>
  <c r="R2494" i="5"/>
  <c r="D2504" i="5"/>
  <c r="D2505" i="5"/>
  <c r="J2506" i="5"/>
  <c r="B2508" i="5"/>
  <c r="K2508" i="5"/>
  <c r="G2510" i="5"/>
  <c r="Q2514" i="5"/>
  <c r="R2517" i="5"/>
  <c r="Q2521" i="5"/>
  <c r="Q2528" i="5"/>
  <c r="J2526" i="5"/>
  <c r="G199" i="10"/>
  <c r="R2531" i="5"/>
  <c r="R2545" i="5"/>
  <c r="D2555" i="5"/>
  <c r="D2556" i="5"/>
  <c r="J2557" i="5"/>
  <c r="G3437" i="8"/>
  <c r="B2559" i="5"/>
  <c r="K2559" i="5"/>
  <c r="R2600" i="5"/>
  <c r="G2561" i="5"/>
  <c r="Q2565" i="5"/>
  <c r="R2568" i="5"/>
  <c r="Q2572" i="5"/>
  <c r="Q2579" i="5"/>
  <c r="K2577" i="5"/>
  <c r="I203" i="10"/>
  <c r="R2582" i="5"/>
  <c r="R2596" i="5"/>
  <c r="D2606" i="5"/>
  <c r="D2607" i="5"/>
  <c r="J2608" i="5"/>
  <c r="M2608" i="5"/>
  <c r="I3471" i="8"/>
  <c r="B2610" i="5"/>
  <c r="K2610" i="5"/>
  <c r="I3473" i="8"/>
  <c r="G2612" i="5"/>
  <c r="Q2616" i="5"/>
  <c r="R2619" i="5"/>
  <c r="Q2623" i="5"/>
  <c r="Q2630" i="5"/>
  <c r="R2633" i="5"/>
  <c r="R2647" i="5"/>
  <c r="D2657" i="5"/>
  <c r="D2658" i="5"/>
  <c r="J2659" i="5"/>
  <c r="B2661" i="5"/>
  <c r="A2674" i="5"/>
  <c r="K2661" i="5"/>
  <c r="R2674" i="5"/>
  <c r="G2663" i="5"/>
  <c r="Q2667" i="5"/>
  <c r="G209" i="10"/>
  <c r="R2670" i="5"/>
  <c r="Q2674" i="5"/>
  <c r="H210" i="10"/>
  <c r="Q2681" i="5"/>
  <c r="L2679" i="5"/>
  <c r="R2684" i="5"/>
  <c r="R2698" i="5"/>
  <c r="D2708" i="5"/>
  <c r="D2709" i="5"/>
  <c r="J2710" i="5"/>
  <c r="M2710" i="5"/>
  <c r="B2712" i="5"/>
  <c r="A2718" i="5"/>
  <c r="K2712" i="5"/>
  <c r="I2752" i="5"/>
  <c r="G2714" i="5"/>
  <c r="Q2718" i="5"/>
  <c r="F213" i="10"/>
  <c r="R2721" i="5"/>
  <c r="Q2725" i="5"/>
  <c r="Q2732" i="5"/>
  <c r="Q2733" i="5"/>
  <c r="R2735" i="5"/>
  <c r="R2749" i="5"/>
  <c r="D2759" i="5"/>
  <c r="D2760" i="5"/>
  <c r="J2761" i="5"/>
  <c r="B2763" i="5"/>
  <c r="K2763" i="5"/>
  <c r="G2765" i="5"/>
  <c r="Q2769" i="5"/>
  <c r="L2767" i="5"/>
  <c r="R2772" i="5"/>
  <c r="Q2776" i="5"/>
  <c r="L2774" i="5"/>
  <c r="Q2783" i="5"/>
  <c r="R2786" i="5"/>
  <c r="R2800" i="5"/>
  <c r="D2810" i="5"/>
  <c r="D2811" i="5"/>
  <c r="J2812" i="5"/>
  <c r="B2814" i="5"/>
  <c r="A2815" i="5"/>
  <c r="K2814" i="5"/>
  <c r="G2816" i="5"/>
  <c r="Q2820" i="5"/>
  <c r="R2823" i="5"/>
  <c r="Q2827" i="5"/>
  <c r="Q2834" i="5"/>
  <c r="R2837" i="5"/>
  <c r="R2851" i="5"/>
  <c r="D2861" i="5"/>
  <c r="D2862" i="5"/>
  <c r="J2863" i="5"/>
  <c r="G3811" i="8"/>
  <c r="B2865" i="5"/>
  <c r="A2899" i="5"/>
  <c r="K2865" i="5"/>
  <c r="G2867" i="5"/>
  <c r="Q2871" i="5"/>
  <c r="R2874" i="5"/>
  <c r="Q2878" i="5"/>
  <c r="Q2885" i="5"/>
  <c r="R2888" i="5"/>
  <c r="R2902" i="5"/>
  <c r="D2912" i="5"/>
  <c r="D2913" i="5"/>
  <c r="J2914" i="5"/>
  <c r="M2914" i="5"/>
  <c r="B2916" i="5"/>
  <c r="A2936" i="5"/>
  <c r="K2916" i="5"/>
  <c r="G2918" i="5"/>
  <c r="Q2922" i="5"/>
  <c r="G229" i="10"/>
  <c r="R2925" i="5"/>
  <c r="Q2929" i="5"/>
  <c r="Q2936" i="5"/>
  <c r="R2939" i="5"/>
  <c r="R2953" i="5"/>
  <c r="D2963" i="5"/>
  <c r="D2964" i="5"/>
  <c r="J2965" i="5"/>
  <c r="B2967" i="5"/>
  <c r="R3006" i="5"/>
  <c r="K2967" i="5"/>
  <c r="G2969" i="5"/>
  <c r="Q2973" i="5"/>
  <c r="G233" i="10"/>
  <c r="R2976" i="5"/>
  <c r="Q2980" i="5"/>
  <c r="H234" i="10"/>
  <c r="Q2987" i="5"/>
  <c r="H235" i="10"/>
  <c r="R2990" i="5"/>
  <c r="R3004" i="5"/>
  <c r="D3014" i="5"/>
  <c r="D3015" i="5"/>
  <c r="J3016" i="5"/>
  <c r="B3018" i="5"/>
  <c r="R3029" i="5"/>
  <c r="K3018" i="5"/>
  <c r="R3045" i="5"/>
  <c r="G3020" i="5"/>
  <c r="Q3024" i="5"/>
  <c r="I237" i="10"/>
  <c r="R3027" i="5"/>
  <c r="Q3031" i="5"/>
  <c r="Q3032" i="5"/>
  <c r="Q3038" i="5"/>
  <c r="L3036" i="5"/>
  <c r="R3041" i="5"/>
  <c r="R3055" i="5"/>
  <c r="D3065" i="5"/>
  <c r="D3066" i="5"/>
  <c r="J3067" i="5"/>
  <c r="M3067" i="5"/>
  <c r="I4083" i="8"/>
  <c r="B3069" i="5"/>
  <c r="K3069" i="5"/>
  <c r="A3098" i="5"/>
  <c r="G3071" i="5"/>
  <c r="Q3075" i="5"/>
  <c r="R3078" i="5"/>
  <c r="Q3082" i="5"/>
  <c r="Q3084" i="5"/>
  <c r="Q3085" i="5"/>
  <c r="Q3089" i="5"/>
  <c r="R3092" i="5"/>
  <c r="R3106" i="5"/>
  <c r="D3116" i="5"/>
  <c r="D3117" i="5"/>
  <c r="J3118" i="5"/>
  <c r="M3118" i="5"/>
  <c r="B3120" i="5"/>
  <c r="K3120" i="5"/>
  <c r="I4187" i="8"/>
  <c r="A4199" i="8"/>
  <c r="G3122" i="5"/>
  <c r="Q3126" i="5"/>
  <c r="R3129" i="5"/>
  <c r="Q3133" i="5"/>
  <c r="F246" i="10"/>
  <c r="Q3140" i="5"/>
  <c r="R3143" i="5"/>
  <c r="R3157" i="5"/>
  <c r="D3167" i="5"/>
  <c r="D3168" i="5"/>
  <c r="J3169" i="5"/>
  <c r="B3171" i="5"/>
  <c r="A3191" i="5"/>
  <c r="K3171" i="5"/>
  <c r="M3212" i="5"/>
  <c r="G3173" i="5"/>
  <c r="Q3177" i="5"/>
  <c r="R3180" i="5"/>
  <c r="Q3184" i="5"/>
  <c r="J3182" i="5"/>
  <c r="Q3191" i="5"/>
  <c r="R3194" i="5"/>
  <c r="R3208" i="5"/>
  <c r="D3218" i="5"/>
  <c r="D3219" i="5"/>
  <c r="J3220" i="5"/>
  <c r="B3222" i="5"/>
  <c r="R3233" i="5"/>
  <c r="K3222" i="5"/>
  <c r="R3249" i="5"/>
  <c r="G3224" i="5"/>
  <c r="Q3228" i="5"/>
  <c r="H3226" i="5"/>
  <c r="R3231" i="5"/>
  <c r="Q3235" i="5"/>
  <c r="I254" i="10"/>
  <c r="Q3242" i="5"/>
  <c r="G255" i="10"/>
  <c r="R3245" i="5"/>
  <c r="R3259" i="5"/>
  <c r="D3269" i="5"/>
  <c r="D3270" i="5"/>
  <c r="J3271" i="5"/>
  <c r="G4355" i="8"/>
  <c r="B3273" i="5"/>
  <c r="A3286" i="5"/>
  <c r="K3273" i="5"/>
  <c r="G3275" i="5"/>
  <c r="Q3279" i="5"/>
  <c r="G257" i="10"/>
  <c r="R3282" i="5"/>
  <c r="Q3286" i="5"/>
  <c r="Q3293" i="5"/>
  <c r="I259" i="10"/>
  <c r="R3296" i="5"/>
  <c r="R3310" i="5"/>
  <c r="D3320" i="5"/>
  <c r="D3321" i="5"/>
  <c r="J3322" i="5"/>
  <c r="M3322" i="5"/>
  <c r="I4457" i="8"/>
  <c r="B3324" i="5"/>
  <c r="K3324" i="5"/>
  <c r="X3359" i="5"/>
  <c r="G3326" i="5"/>
  <c r="Q3330" i="5"/>
  <c r="R3333" i="5"/>
  <c r="Q3337" i="5"/>
  <c r="I262" i="10"/>
  <c r="Q3344" i="5"/>
  <c r="Q3345" i="5"/>
  <c r="R3347" i="5"/>
  <c r="R3361" i="5"/>
  <c r="B2" i="4"/>
  <c r="M2" i="4"/>
  <c r="L17" i="4"/>
  <c r="H4" i="4"/>
  <c r="S4" i="4"/>
  <c r="T4" i="4"/>
  <c r="I5" i="4"/>
  <c r="H5" i="4"/>
  <c r="S5" i="4"/>
  <c r="T5" i="4"/>
  <c r="I6" i="4"/>
  <c r="H6" i="4"/>
  <c r="S6" i="4"/>
  <c r="T6" i="4"/>
  <c r="K20" i="4"/>
  <c r="H7" i="4"/>
  <c r="S7" i="4"/>
  <c r="T7" i="4"/>
  <c r="K21" i="4"/>
  <c r="H8" i="4"/>
  <c r="S8" i="4"/>
  <c r="T8" i="4"/>
  <c r="H9" i="4"/>
  <c r="S9" i="4"/>
  <c r="T9" i="4"/>
  <c r="I10" i="4"/>
  <c r="K23" i="4"/>
  <c r="H10" i="4"/>
  <c r="S10" i="4"/>
  <c r="T10" i="4"/>
  <c r="L24" i="4"/>
  <c r="H11" i="4"/>
  <c r="S11" i="4"/>
  <c r="T11" i="4"/>
  <c r="B13" i="4"/>
  <c r="L26" i="4"/>
  <c r="H15" i="4"/>
  <c r="S15" i="4"/>
  <c r="T15" i="4"/>
  <c r="H16" i="4"/>
  <c r="S16" i="4"/>
  <c r="T16" i="4"/>
  <c r="G17" i="4"/>
  <c r="L28" i="4"/>
  <c r="H17" i="4"/>
  <c r="S17" i="4"/>
  <c r="T17" i="4"/>
  <c r="I18" i="4"/>
  <c r="H18" i="4"/>
  <c r="S18" i="4"/>
  <c r="T18" i="4"/>
  <c r="L30" i="4"/>
  <c r="H19" i="4"/>
  <c r="S19" i="4"/>
  <c r="T19" i="4"/>
  <c r="G20" i="4"/>
  <c r="H20" i="4"/>
  <c r="S20" i="4"/>
  <c r="T20" i="4"/>
  <c r="H21" i="4"/>
  <c r="S21" i="4"/>
  <c r="T21" i="4"/>
  <c r="L33" i="4"/>
  <c r="H22" i="4"/>
  <c r="S22" i="4"/>
  <c r="T22" i="4"/>
  <c r="B24" i="4"/>
  <c r="H26" i="4"/>
  <c r="S26" i="4"/>
  <c r="T26" i="4"/>
  <c r="H27" i="4"/>
  <c r="S27" i="4"/>
  <c r="T27" i="4"/>
  <c r="L37" i="4"/>
  <c r="H28" i="4"/>
  <c r="S28" i="4"/>
  <c r="T28" i="4"/>
  <c r="L38" i="4"/>
  <c r="H29" i="4"/>
  <c r="S29" i="4"/>
  <c r="T29" i="4"/>
  <c r="L39" i="4"/>
  <c r="H30" i="4"/>
  <c r="S30" i="4"/>
  <c r="T30" i="4"/>
  <c r="K40" i="4"/>
  <c r="H31" i="4"/>
  <c r="S31" i="4"/>
  <c r="T31" i="4"/>
  <c r="I32" i="4"/>
  <c r="H32" i="4"/>
  <c r="S32" i="4"/>
  <c r="T32" i="4"/>
  <c r="L42" i="4"/>
  <c r="H33" i="4"/>
  <c r="S33" i="4"/>
  <c r="T33" i="4"/>
  <c r="B35" i="4"/>
  <c r="L44" i="4"/>
  <c r="H37" i="4"/>
  <c r="S37" i="4"/>
  <c r="T37" i="4"/>
  <c r="G38" i="4"/>
  <c r="H38" i="4"/>
  <c r="S38" i="4"/>
  <c r="T38" i="4"/>
  <c r="G39" i="4"/>
  <c r="H39" i="4"/>
  <c r="S39" i="4"/>
  <c r="T39" i="4"/>
  <c r="H40" i="4"/>
  <c r="S40" i="4"/>
  <c r="T40" i="4"/>
  <c r="H41" i="4"/>
  <c r="S41" i="4"/>
  <c r="T41" i="4"/>
  <c r="H42" i="4"/>
  <c r="S42" i="4"/>
  <c r="T42" i="4"/>
  <c r="I43" i="4"/>
  <c r="L50" i="4"/>
  <c r="K50" i="4"/>
  <c r="H43" i="4"/>
  <c r="S43" i="4"/>
  <c r="T43" i="4"/>
  <c r="H44" i="4"/>
  <c r="S44" i="4"/>
  <c r="T44" i="4"/>
  <c r="B46" i="4"/>
  <c r="L53" i="4"/>
  <c r="H48" i="4"/>
  <c r="S48" i="4"/>
  <c r="T48" i="4"/>
  <c r="G49" i="4"/>
  <c r="H49" i="4"/>
  <c r="S49" i="4"/>
  <c r="T49" i="4"/>
  <c r="L55" i="4"/>
  <c r="H50" i="4"/>
  <c r="S50" i="4"/>
  <c r="T50" i="4"/>
  <c r="I51" i="4"/>
  <c r="L56" i="4"/>
  <c r="K56" i="4"/>
  <c r="H51" i="4"/>
  <c r="S51" i="4"/>
  <c r="T51" i="4"/>
  <c r="H52" i="4"/>
  <c r="S52" i="4"/>
  <c r="T52" i="4"/>
  <c r="I53" i="4"/>
  <c r="K58" i="4"/>
  <c r="H53" i="4"/>
  <c r="S53" i="4"/>
  <c r="T53" i="4"/>
  <c r="K59" i="4"/>
  <c r="H54" i="4"/>
  <c r="S54" i="4"/>
  <c r="T54" i="4"/>
  <c r="L60" i="4"/>
  <c r="K60" i="4"/>
  <c r="H55" i="4"/>
  <c r="S55" i="4"/>
  <c r="T55" i="4"/>
  <c r="B57" i="4"/>
  <c r="H59" i="4"/>
  <c r="S59" i="4"/>
  <c r="T59" i="4"/>
  <c r="H60" i="4"/>
  <c r="S60" i="4"/>
  <c r="T60" i="4"/>
  <c r="I61" i="4"/>
  <c r="H61" i="4"/>
  <c r="S61" i="4"/>
  <c r="T61" i="4"/>
  <c r="L65" i="4"/>
  <c r="K65" i="4"/>
  <c r="H62" i="4"/>
  <c r="S62" i="4"/>
  <c r="T62" i="4"/>
  <c r="L66" i="4"/>
  <c r="H63" i="4"/>
  <c r="S63" i="4"/>
  <c r="T63" i="4"/>
  <c r="H64" i="4"/>
  <c r="S64" i="4"/>
  <c r="T64" i="4"/>
  <c r="I65" i="4"/>
  <c r="L68" i="4"/>
  <c r="H65" i="4"/>
  <c r="S65" i="4"/>
  <c r="T65" i="4"/>
  <c r="K69" i="4"/>
  <c r="H66" i="4"/>
  <c r="S66" i="4"/>
  <c r="T66" i="4"/>
  <c r="B68" i="4"/>
  <c r="K71" i="4"/>
  <c r="F68" i="4"/>
  <c r="H70" i="4"/>
  <c r="S70" i="4"/>
  <c r="T70" i="4"/>
  <c r="G71" i="4"/>
  <c r="H71" i="4"/>
  <c r="S71" i="4"/>
  <c r="T71" i="4"/>
  <c r="L73" i="4"/>
  <c r="H72" i="4"/>
  <c r="S72" i="4"/>
  <c r="T72" i="4"/>
  <c r="L74" i="4"/>
  <c r="H73" i="4"/>
  <c r="S73" i="4"/>
  <c r="T73" i="4"/>
  <c r="H74" i="4"/>
  <c r="S74" i="4"/>
  <c r="T74" i="4"/>
  <c r="H75" i="4"/>
  <c r="S75" i="4"/>
  <c r="T75" i="4"/>
  <c r="I76" i="4"/>
  <c r="H76" i="4"/>
  <c r="S76" i="4"/>
  <c r="T76" i="4"/>
  <c r="H77" i="4"/>
  <c r="S77" i="4"/>
  <c r="T77" i="4"/>
  <c r="B79" i="4"/>
  <c r="H81" i="4"/>
  <c r="S81" i="4"/>
  <c r="T81" i="4"/>
  <c r="H82" i="4"/>
  <c r="S82" i="4"/>
  <c r="T82" i="4"/>
  <c r="I83" i="4"/>
  <c r="L82" i="4"/>
  <c r="H83" i="4"/>
  <c r="S83" i="4"/>
  <c r="T83" i="4"/>
  <c r="H84" i="4"/>
  <c r="S84" i="4"/>
  <c r="T84" i="4"/>
  <c r="L84" i="4"/>
  <c r="K84" i="4"/>
  <c r="H85" i="4"/>
  <c r="S85" i="4"/>
  <c r="T85" i="4"/>
  <c r="H86" i="4"/>
  <c r="S86" i="4"/>
  <c r="T86" i="4"/>
  <c r="L86" i="4"/>
  <c r="H87" i="4"/>
  <c r="S87" i="4"/>
  <c r="T87" i="4"/>
  <c r="I88" i="4"/>
  <c r="L87" i="4"/>
  <c r="H88" i="4"/>
  <c r="S88" i="4"/>
  <c r="T88" i="4"/>
  <c r="B90" i="4"/>
  <c r="H92" i="4"/>
  <c r="S92" i="4"/>
  <c r="T92" i="4"/>
  <c r="H93" i="4"/>
  <c r="S93" i="4"/>
  <c r="T93" i="4"/>
  <c r="L91" i="4"/>
  <c r="H94" i="4"/>
  <c r="S94" i="4"/>
  <c r="T94" i="4"/>
  <c r="G95" i="4"/>
  <c r="L92" i="4"/>
  <c r="H95" i="4"/>
  <c r="S95" i="4"/>
  <c r="T95" i="4"/>
  <c r="H96" i="4"/>
  <c r="S96" i="4"/>
  <c r="T96" i="4"/>
  <c r="I97" i="4"/>
  <c r="K94" i="4"/>
  <c r="H97" i="4"/>
  <c r="S97" i="4"/>
  <c r="T97" i="4"/>
  <c r="L95" i="4"/>
  <c r="H98" i="4"/>
  <c r="S98" i="4"/>
  <c r="T98" i="4"/>
  <c r="H99" i="4"/>
  <c r="S99" i="4"/>
  <c r="T99" i="4"/>
  <c r="B101" i="4"/>
  <c r="K98" i="4"/>
  <c r="H103" i="4"/>
  <c r="S103" i="4"/>
  <c r="T103" i="4"/>
  <c r="K99" i="4"/>
  <c r="H104" i="4"/>
  <c r="S104" i="4"/>
  <c r="T104" i="4"/>
  <c r="I105" i="4"/>
  <c r="L100" i="4"/>
  <c r="K100" i="4"/>
  <c r="H105" i="4"/>
  <c r="S105" i="4"/>
  <c r="T105" i="4"/>
  <c r="L101" i="4"/>
  <c r="H106" i="4"/>
  <c r="S106" i="4"/>
  <c r="T106" i="4"/>
  <c r="K102" i="4"/>
  <c r="H107" i="4"/>
  <c r="S107" i="4"/>
  <c r="T107" i="4"/>
  <c r="K103" i="4"/>
  <c r="H108" i="4"/>
  <c r="S108" i="4"/>
  <c r="T108" i="4"/>
  <c r="H109" i="4"/>
  <c r="S109" i="4"/>
  <c r="T109" i="4"/>
  <c r="K105" i="4"/>
  <c r="H110" i="4"/>
  <c r="S110" i="4"/>
  <c r="T110" i="4"/>
  <c r="B112" i="4"/>
  <c r="L107" i="4"/>
  <c r="H114" i="4"/>
  <c r="S114" i="4"/>
  <c r="T114" i="4"/>
  <c r="I115" i="4"/>
  <c r="H115" i="4"/>
  <c r="S115" i="4"/>
  <c r="T115" i="4"/>
  <c r="G116" i="4"/>
  <c r="L109" i="4"/>
  <c r="K109" i="4"/>
  <c r="H116" i="4"/>
  <c r="S116" i="4"/>
  <c r="T116" i="4"/>
  <c r="H117" i="4"/>
  <c r="S117" i="4"/>
  <c r="T117" i="4"/>
  <c r="H118" i="4"/>
  <c r="S118" i="4"/>
  <c r="T118" i="4"/>
  <c r="H119" i="4"/>
  <c r="S119" i="4"/>
  <c r="T119" i="4"/>
  <c r="L113" i="4"/>
  <c r="H120" i="4"/>
  <c r="S120" i="4"/>
  <c r="T120" i="4"/>
  <c r="L114" i="4"/>
  <c r="H121" i="4"/>
  <c r="S121" i="4"/>
  <c r="T121" i="4"/>
  <c r="B123" i="4"/>
  <c r="H125" i="4"/>
  <c r="S125" i="4"/>
  <c r="T125" i="4"/>
  <c r="G126" i="4"/>
  <c r="H126" i="4"/>
  <c r="S126" i="4"/>
  <c r="T126" i="4"/>
  <c r="G127" i="4"/>
  <c r="L118" i="4"/>
  <c r="K118" i="4"/>
  <c r="H127" i="4"/>
  <c r="S127" i="4"/>
  <c r="T127" i="4"/>
  <c r="G128" i="4"/>
  <c r="K119" i="4"/>
  <c r="H128" i="4"/>
  <c r="S128" i="4"/>
  <c r="T128" i="4"/>
  <c r="H129" i="4"/>
  <c r="S129" i="4"/>
  <c r="T129" i="4"/>
  <c r="G130" i="4"/>
  <c r="H130" i="4"/>
  <c r="S130" i="4"/>
  <c r="T130" i="4"/>
  <c r="L122" i="4"/>
  <c r="K122" i="4"/>
  <c r="H131" i="4"/>
  <c r="S131" i="4"/>
  <c r="T131" i="4"/>
  <c r="G132" i="4"/>
  <c r="L123" i="4"/>
  <c r="K123" i="4"/>
  <c r="H132" i="4"/>
  <c r="S132" i="4"/>
  <c r="T132" i="4"/>
  <c r="C3" i="9"/>
  <c r="D3" i="9"/>
  <c r="E3" i="9"/>
  <c r="F3" i="9"/>
  <c r="G3" i="9"/>
  <c r="H3" i="9"/>
  <c r="I3" i="9"/>
  <c r="J3" i="9"/>
  <c r="K3" i="9"/>
  <c r="L3" i="9"/>
  <c r="M3" i="9"/>
  <c r="N3" i="9"/>
  <c r="H3335" i="5"/>
  <c r="J262" i="10"/>
  <c r="K3328" i="5"/>
  <c r="K3342" i="5"/>
  <c r="Q3287" i="5"/>
  <c r="F258" i="10"/>
  <c r="Q3288" i="5"/>
  <c r="L3277" i="5"/>
  <c r="H3277" i="5"/>
  <c r="H257" i="10"/>
  <c r="I3277" i="5"/>
  <c r="H258" i="10"/>
  <c r="L3226" i="5"/>
  <c r="I253" i="10"/>
  <c r="J253" i="10"/>
  <c r="F253" i="10"/>
  <c r="J3226" i="5"/>
  <c r="G253" i="10"/>
  <c r="Q3230" i="5"/>
  <c r="K3226" i="5"/>
  <c r="I3175" i="5"/>
  <c r="H247" i="10"/>
  <c r="H3087" i="5"/>
  <c r="Q3039" i="5"/>
  <c r="K3022" i="5"/>
  <c r="J239" i="10"/>
  <c r="H237" i="10"/>
  <c r="H3036" i="5"/>
  <c r="Q3025" i="5"/>
  <c r="G237" i="10"/>
  <c r="K3036" i="5"/>
  <c r="I2978" i="5"/>
  <c r="J2971" i="5"/>
  <c r="J231" i="10"/>
  <c r="F231" i="10"/>
  <c r="L2876" i="5"/>
  <c r="I2869" i="5"/>
  <c r="I226" i="10"/>
  <c r="I2876" i="5"/>
  <c r="Q2880" i="5"/>
  <c r="K2876" i="5"/>
  <c r="J217" i="10"/>
  <c r="Q2770" i="5"/>
  <c r="J2767" i="5"/>
  <c r="F218" i="10"/>
  <c r="Q2784" i="5"/>
  <c r="I2774" i="5"/>
  <c r="Q2771" i="5"/>
  <c r="Q2772" i="5"/>
  <c r="H217" i="10"/>
  <c r="Q2719" i="5"/>
  <c r="G214" i="10"/>
  <c r="Q2720" i="5"/>
  <c r="Q2721" i="5"/>
  <c r="I2672" i="5"/>
  <c r="J211" i="10"/>
  <c r="G210" i="10"/>
  <c r="H2679" i="5"/>
  <c r="J210" i="10"/>
  <c r="I2614" i="5"/>
  <c r="H2577" i="5"/>
  <c r="J2563" i="5"/>
  <c r="J203" i="10"/>
  <c r="F203" i="10"/>
  <c r="H201" i="10"/>
  <c r="Q2580" i="5"/>
  <c r="I2577" i="5"/>
  <c r="K2563" i="5"/>
  <c r="G203" i="10"/>
  <c r="I2563" i="5"/>
  <c r="H2526" i="5"/>
  <c r="I199" i="10"/>
  <c r="J198" i="10"/>
  <c r="F198" i="10"/>
  <c r="I2526" i="5"/>
  <c r="Q2522" i="5"/>
  <c r="I2519" i="5"/>
  <c r="G198" i="10"/>
  <c r="L2526" i="5"/>
  <c r="I2512" i="5"/>
  <c r="I198" i="10"/>
  <c r="F197" i="10"/>
  <c r="Q2530" i="5"/>
  <c r="Q2531" i="5"/>
  <c r="Q2523" i="5"/>
  <c r="K2519" i="5"/>
  <c r="Q2472" i="5"/>
  <c r="Q2473" i="5"/>
  <c r="F193" i="10"/>
  <c r="G194" i="10"/>
  <c r="Q2471" i="5"/>
  <c r="I2410" i="5"/>
  <c r="H191" i="10"/>
  <c r="J189" i="10"/>
  <c r="F189" i="10"/>
  <c r="H2424" i="5"/>
  <c r="Q2413" i="5"/>
  <c r="J2410" i="5"/>
  <c r="I191" i="10"/>
  <c r="G189" i="10"/>
  <c r="Q2427" i="5"/>
  <c r="I2424" i="5"/>
  <c r="I2417" i="5"/>
  <c r="Q2414" i="5"/>
  <c r="K2410" i="5"/>
  <c r="J191" i="10"/>
  <c r="F191" i="10"/>
  <c r="H189" i="10"/>
  <c r="I2359" i="5"/>
  <c r="H2366" i="5"/>
  <c r="Q2362" i="5"/>
  <c r="Q2370" i="5"/>
  <c r="K2366" i="5"/>
  <c r="L2359" i="5"/>
  <c r="H2359" i="5"/>
  <c r="H186" i="10"/>
  <c r="I185" i="10"/>
  <c r="J186" i="10"/>
  <c r="G185" i="10"/>
  <c r="Q2369" i="5"/>
  <c r="I2366" i="5"/>
  <c r="Q2363" i="5"/>
  <c r="Q2364" i="5"/>
  <c r="F187" i="10"/>
  <c r="G186" i="10"/>
  <c r="H185" i="10"/>
  <c r="H2322" i="5"/>
  <c r="H2315" i="5"/>
  <c r="G183" i="10"/>
  <c r="H182" i="10"/>
  <c r="L2322" i="5"/>
  <c r="L2315" i="5"/>
  <c r="J183" i="10"/>
  <c r="F183" i="10"/>
  <c r="G182" i="10"/>
  <c r="Q2325" i="5"/>
  <c r="I2322" i="5"/>
  <c r="Q2318" i="5"/>
  <c r="I2315" i="5"/>
  <c r="H183" i="10"/>
  <c r="Q2326" i="5"/>
  <c r="Q2327" i="5"/>
  <c r="K2322" i="5"/>
  <c r="Q2319" i="5"/>
  <c r="K2315" i="5"/>
  <c r="F182" i="10"/>
  <c r="H2271" i="5"/>
  <c r="Q2260" i="5"/>
  <c r="J2257" i="5"/>
  <c r="G179" i="10"/>
  <c r="I177" i="10"/>
  <c r="I2257" i="5"/>
  <c r="J179" i="10"/>
  <c r="H177" i="10"/>
  <c r="I2206" i="5"/>
  <c r="H2220" i="5"/>
  <c r="H2213" i="5"/>
  <c r="Q2209" i="5"/>
  <c r="J2206" i="5"/>
  <c r="J175" i="10"/>
  <c r="H173" i="10"/>
  <c r="G173" i="10"/>
  <c r="Q2216" i="5"/>
  <c r="I2213" i="5"/>
  <c r="Q2210" i="5"/>
  <c r="K2206" i="5"/>
  <c r="H174" i="10"/>
  <c r="I170" i="10"/>
  <c r="Q2172" i="5"/>
  <c r="I2162" i="5"/>
  <c r="L2169" i="5"/>
  <c r="H170" i="10"/>
  <c r="J170" i="10"/>
  <c r="K2169" i="5"/>
  <c r="Q2166" i="5"/>
  <c r="L2155" i="5"/>
  <c r="F165" i="10"/>
  <c r="H2118" i="5"/>
  <c r="H2111" i="5"/>
  <c r="F166" i="10"/>
  <c r="H2060" i="5"/>
  <c r="I2060" i="5"/>
  <c r="H162" i="10"/>
  <c r="K2060" i="5"/>
  <c r="I2053" i="5"/>
  <c r="J162" i="10"/>
  <c r="F162" i="10"/>
  <c r="Q2012" i="5"/>
  <c r="I158" i="10"/>
  <c r="J158" i="10"/>
  <c r="F158" i="10"/>
  <c r="H153" i="10"/>
  <c r="H1965" i="5"/>
  <c r="H1958" i="5"/>
  <c r="I149" i="10"/>
  <c r="H1914" i="5"/>
  <c r="H1907" i="5"/>
  <c r="Q1903" i="5"/>
  <c r="J1900" i="5"/>
  <c r="H151" i="10"/>
  <c r="I150" i="10"/>
  <c r="J149" i="10"/>
  <c r="F149" i="10"/>
  <c r="Q1917" i="5"/>
  <c r="Q1910" i="5"/>
  <c r="I1907" i="5"/>
  <c r="Q1904" i="5"/>
  <c r="K1900" i="5"/>
  <c r="I151" i="10"/>
  <c r="F150" i="10"/>
  <c r="I1900" i="5"/>
  <c r="Q1918" i="5"/>
  <c r="Q1911" i="5"/>
  <c r="B150" i="10"/>
  <c r="L1900" i="5"/>
  <c r="H1900" i="5"/>
  <c r="F151" i="10"/>
  <c r="H149" i="10"/>
  <c r="I1849" i="5"/>
  <c r="H1856" i="5"/>
  <c r="J145" i="10"/>
  <c r="Q1801" i="5"/>
  <c r="K1798" i="5"/>
  <c r="K1812" i="5"/>
  <c r="K1805" i="5"/>
  <c r="H1754" i="5"/>
  <c r="L1754" i="5"/>
  <c r="I137" i="10"/>
  <c r="H139" i="10"/>
  <c r="I138" i="10"/>
  <c r="J138" i="10"/>
  <c r="F138" i="10"/>
  <c r="K1761" i="5"/>
  <c r="K1754" i="5"/>
  <c r="H1747" i="5"/>
  <c r="J139" i="10"/>
  <c r="H1703" i="5"/>
  <c r="H135" i="10"/>
  <c r="I134" i="10"/>
  <c r="L1703" i="5"/>
  <c r="I1696" i="5"/>
  <c r="H134" i="10"/>
  <c r="F129" i="10"/>
  <c r="Q1662" i="5"/>
  <c r="Q1655" i="5"/>
  <c r="K1645" i="5"/>
  <c r="J131" i="10"/>
  <c r="H1659" i="5"/>
  <c r="J130" i="10"/>
  <c r="I1594" i="5"/>
  <c r="Q1611" i="5"/>
  <c r="I1608" i="5"/>
  <c r="Q1604" i="5"/>
  <c r="Q1598" i="5"/>
  <c r="K1594" i="5"/>
  <c r="I127" i="10"/>
  <c r="G125" i="10"/>
  <c r="H1608" i="5"/>
  <c r="H1601" i="5"/>
  <c r="H127" i="10"/>
  <c r="J125" i="10"/>
  <c r="I1543" i="5"/>
  <c r="I122" i="10"/>
  <c r="J121" i="10"/>
  <c r="F121" i="10"/>
  <c r="H1550" i="5"/>
  <c r="Q1546" i="5"/>
  <c r="J1543" i="5"/>
  <c r="F122" i="10"/>
  <c r="H1506" i="5"/>
  <c r="F118" i="10"/>
  <c r="Q1502" i="5"/>
  <c r="I1499" i="5"/>
  <c r="Q1510" i="5"/>
  <c r="Q1503" i="5"/>
  <c r="K1499" i="5"/>
  <c r="L1506" i="5"/>
  <c r="I1492" i="5"/>
  <c r="F117" i="10"/>
  <c r="H1448" i="5"/>
  <c r="J114" i="10"/>
  <c r="F114" i="10"/>
  <c r="Q1452" i="5"/>
  <c r="G114" i="10"/>
  <c r="I114" i="10"/>
  <c r="H114" i="10"/>
  <c r="K1390" i="5"/>
  <c r="H111" i="10"/>
  <c r="F109" i="10"/>
  <c r="Q1393" i="5"/>
  <c r="J107" i="10"/>
  <c r="F107" i="10"/>
  <c r="G107" i="10"/>
  <c r="Q1357" i="5"/>
  <c r="H107" i="10"/>
  <c r="F105" i="10"/>
  <c r="I1339" i="5"/>
  <c r="Q1292" i="5"/>
  <c r="K1288" i="5"/>
  <c r="G101" i="10"/>
  <c r="I1288" i="5"/>
  <c r="I101" i="10"/>
  <c r="H1302" i="5"/>
  <c r="Q1291" i="5"/>
  <c r="J1288" i="5"/>
  <c r="H103" i="10"/>
  <c r="J101" i="10"/>
  <c r="F101" i="10"/>
  <c r="I1237" i="5"/>
  <c r="H1251" i="5"/>
  <c r="J1237" i="5"/>
  <c r="I99" i="10"/>
  <c r="J98" i="10"/>
  <c r="Q1254" i="5"/>
  <c r="I1251" i="5"/>
  <c r="I1244" i="5"/>
  <c r="J99" i="10"/>
  <c r="F99" i="10"/>
  <c r="Q1255" i="5"/>
  <c r="B99" i="10"/>
  <c r="K1251" i="5"/>
  <c r="Q1248" i="5"/>
  <c r="Q1249" i="5"/>
  <c r="L1237" i="5"/>
  <c r="H1237" i="5"/>
  <c r="J93" i="10"/>
  <c r="H1193" i="5"/>
  <c r="J1186" i="5"/>
  <c r="Q1197" i="5"/>
  <c r="K1193" i="5"/>
  <c r="H1186" i="5"/>
  <c r="G95" i="10"/>
  <c r="H94" i="10"/>
  <c r="I1186" i="5"/>
  <c r="Q1189" i="5"/>
  <c r="G93" i="10"/>
  <c r="Q1203" i="5"/>
  <c r="Q1196" i="5"/>
  <c r="Q1190" i="5"/>
  <c r="F95" i="10"/>
  <c r="I90" i="10"/>
  <c r="I1135" i="5"/>
  <c r="H1142" i="5"/>
  <c r="H90" i="10"/>
  <c r="H87" i="10"/>
  <c r="Q1094" i="5"/>
  <c r="F86" i="10"/>
  <c r="K1098" i="5"/>
  <c r="Q1095" i="5"/>
  <c r="Q1096" i="5"/>
  <c r="K1091" i="5"/>
  <c r="I82" i="10"/>
  <c r="Q1051" i="5"/>
  <c r="Q1052" i="5"/>
  <c r="Q1044" i="5"/>
  <c r="Q1045" i="5"/>
  <c r="K1040" i="5"/>
  <c r="L1033" i="5"/>
  <c r="H1033" i="5"/>
  <c r="J82" i="10"/>
  <c r="F82" i="10"/>
  <c r="G81" i="10"/>
  <c r="H1040" i="5"/>
  <c r="H82" i="10"/>
  <c r="Q1043" i="5"/>
  <c r="I1040" i="5"/>
  <c r="L1040" i="5"/>
  <c r="I1033" i="5"/>
  <c r="H81" i="10"/>
  <c r="Q999" i="5"/>
  <c r="F77" i="10"/>
  <c r="H945" i="5"/>
  <c r="Q934" i="5"/>
  <c r="J931" i="5"/>
  <c r="H75" i="10"/>
  <c r="J73" i="10"/>
  <c r="F73" i="10"/>
  <c r="Q948" i="5"/>
  <c r="I945" i="5"/>
  <c r="Q935" i="5"/>
  <c r="Q936" i="5"/>
  <c r="K931" i="5"/>
  <c r="G73" i="10"/>
  <c r="I931" i="5"/>
  <c r="I73" i="10"/>
  <c r="L931" i="5"/>
  <c r="H931" i="5"/>
  <c r="H73" i="10"/>
  <c r="L887" i="5"/>
  <c r="J70" i="10"/>
  <c r="F70" i="10"/>
  <c r="G70" i="10"/>
  <c r="Q890" i="5"/>
  <c r="I887" i="5"/>
  <c r="H70" i="10"/>
  <c r="Q891" i="5"/>
  <c r="K887" i="5"/>
  <c r="H880" i="5"/>
  <c r="F69" i="10"/>
  <c r="Q847" i="5"/>
  <c r="Q848" i="5"/>
  <c r="K843" i="5"/>
  <c r="K836" i="5"/>
  <c r="L829" i="5"/>
  <c r="H829" i="5"/>
  <c r="J67" i="10"/>
  <c r="F67" i="10"/>
  <c r="H65" i="10"/>
  <c r="H843" i="5"/>
  <c r="H67" i="10"/>
  <c r="Q846" i="5"/>
  <c r="I843" i="5"/>
  <c r="I67" i="10"/>
  <c r="L843" i="5"/>
  <c r="I829" i="5"/>
  <c r="H785" i="5"/>
  <c r="Q781" i="5"/>
  <c r="J778" i="5"/>
  <c r="I61" i="10"/>
  <c r="I778" i="5"/>
  <c r="H61" i="10"/>
  <c r="Q782" i="5"/>
  <c r="C61" i="10"/>
  <c r="Q783" i="5"/>
  <c r="K778" i="5"/>
  <c r="J61" i="10"/>
  <c r="F61" i="10"/>
  <c r="H741" i="5"/>
  <c r="Q680" i="5"/>
  <c r="H55" i="10"/>
  <c r="H53" i="10"/>
  <c r="H690" i="5"/>
  <c r="I625" i="5"/>
  <c r="Q635" i="5"/>
  <c r="G50" i="10"/>
  <c r="H49" i="10"/>
  <c r="H632" i="5"/>
  <c r="I45" i="10"/>
  <c r="Q591" i="5"/>
  <c r="Q584" i="5"/>
  <c r="I581" i="5"/>
  <c r="Q578" i="5"/>
  <c r="B45" i="10"/>
  <c r="I47" i="10"/>
  <c r="J46" i="10"/>
  <c r="G45" i="10"/>
  <c r="H581" i="5"/>
  <c r="Q577" i="5"/>
  <c r="J574" i="5"/>
  <c r="F45" i="10"/>
  <c r="Q526" i="5"/>
  <c r="F43" i="10"/>
  <c r="G42" i="10"/>
  <c r="Q533" i="5"/>
  <c r="I530" i="5"/>
  <c r="Q527" i="5"/>
  <c r="H523" i="5"/>
  <c r="H42" i="10"/>
  <c r="I41" i="10"/>
  <c r="G41" i="10"/>
  <c r="H530" i="5"/>
  <c r="K523" i="5"/>
  <c r="Q534" i="5"/>
  <c r="K530" i="5"/>
  <c r="I523" i="5"/>
  <c r="F41" i="10"/>
  <c r="Q490" i="5"/>
  <c r="L472" i="5"/>
  <c r="Q424" i="5"/>
  <c r="J421" i="5"/>
  <c r="G35" i="10"/>
  <c r="I421" i="5"/>
  <c r="H33" i="10"/>
  <c r="Q425" i="5"/>
  <c r="K421" i="5"/>
  <c r="J33" i="10"/>
  <c r="I370" i="5"/>
  <c r="Q374" i="5"/>
  <c r="J29" i="10"/>
  <c r="F29" i="10"/>
  <c r="H384" i="5"/>
  <c r="J370" i="5"/>
  <c r="H333" i="5"/>
  <c r="H326" i="5"/>
  <c r="Q329" i="5"/>
  <c r="G27" i="10"/>
  <c r="I319" i="5"/>
  <c r="F26" i="10"/>
  <c r="H282" i="5"/>
  <c r="H275" i="5"/>
  <c r="Q271" i="5"/>
  <c r="J268" i="5"/>
  <c r="G23" i="10"/>
  <c r="H22" i="10"/>
  <c r="I21" i="10"/>
  <c r="I268" i="5"/>
  <c r="J23" i="10"/>
  <c r="F23" i="10"/>
  <c r="H21" i="10"/>
  <c r="L231" i="5"/>
  <c r="G19" i="10"/>
  <c r="H231" i="5"/>
  <c r="H19" i="10"/>
  <c r="J17" i="10"/>
  <c r="L180" i="5"/>
  <c r="L173" i="5"/>
  <c r="H173" i="5"/>
  <c r="Q183" i="5"/>
  <c r="I173" i="5"/>
  <c r="F14" i="10"/>
  <c r="K180" i="5"/>
  <c r="J15" i="10"/>
  <c r="H122" i="5"/>
  <c r="G10" i="10"/>
  <c r="I129" i="5"/>
  <c r="Q125" i="5"/>
  <c r="I122" i="5"/>
  <c r="Q119" i="5"/>
  <c r="Q120" i="5"/>
  <c r="H10" i="10"/>
  <c r="H78" i="5"/>
  <c r="Q67" i="5"/>
  <c r="J64" i="5"/>
  <c r="G7" i="10"/>
  <c r="I64" i="5"/>
  <c r="J7" i="10"/>
  <c r="F7" i="10"/>
  <c r="I1" i="10"/>
  <c r="F1" i="10"/>
  <c r="G1" i="10"/>
  <c r="J13" i="5"/>
  <c r="H13" i="5"/>
  <c r="B61" i="10"/>
  <c r="B253" i="10"/>
  <c r="B101" i="10"/>
  <c r="B149" i="10"/>
  <c r="C98" i="10"/>
  <c r="B67" i="10"/>
  <c r="A67" i="10" s="1"/>
  <c r="C29" i="10"/>
  <c r="B21" i="10"/>
  <c r="A21" i="10" s="1"/>
  <c r="C73" i="10"/>
  <c r="C31" i="10"/>
  <c r="B185" i="10"/>
  <c r="H262" i="10"/>
  <c r="I3335" i="5"/>
  <c r="Q3331" i="5"/>
  <c r="Q3339" i="5"/>
  <c r="C262" i="10"/>
  <c r="G262" i="10"/>
  <c r="J3335" i="5"/>
  <c r="K3335" i="5"/>
  <c r="Q3338" i="5"/>
  <c r="F262" i="10"/>
  <c r="L3335" i="5"/>
  <c r="Q3281" i="5"/>
  <c r="Q3282" i="5"/>
  <c r="K3277" i="5"/>
  <c r="J257" i="10"/>
  <c r="I257" i="10"/>
  <c r="F257" i="10"/>
  <c r="Q3280" i="5"/>
  <c r="J3277" i="5"/>
  <c r="I249" i="10"/>
  <c r="H249" i="10"/>
  <c r="L3175" i="5"/>
  <c r="F243" i="10"/>
  <c r="H239" i="10"/>
  <c r="J3036" i="5"/>
  <c r="J3029" i="5"/>
  <c r="H2971" i="5"/>
  <c r="Q2974" i="5"/>
  <c r="F233" i="10"/>
  <c r="L2971" i="5"/>
  <c r="I234" i="10"/>
  <c r="H233" i="10"/>
  <c r="K2971" i="5"/>
  <c r="I2971" i="5"/>
  <c r="I231" i="10"/>
  <c r="I2934" i="5"/>
  <c r="I229" i="10"/>
  <c r="J2934" i="5"/>
  <c r="Q2937" i="5"/>
  <c r="K2934" i="5"/>
  <c r="Q2938" i="5"/>
  <c r="Q2939" i="5"/>
  <c r="L2934" i="5"/>
  <c r="G231" i="10"/>
  <c r="G225" i="10"/>
  <c r="I225" i="10"/>
  <c r="H225" i="10"/>
  <c r="Q2872" i="5"/>
  <c r="J2869" i="5"/>
  <c r="Q2873" i="5"/>
  <c r="B225" i="10"/>
  <c r="A225" i="10" s="1"/>
  <c r="J2832" i="5"/>
  <c r="K2818" i="5"/>
  <c r="G222" i="10"/>
  <c r="J221" i="10"/>
  <c r="L2818" i="5"/>
  <c r="J2818" i="5"/>
  <c r="I2818" i="5"/>
  <c r="I221" i="10"/>
  <c r="J2825" i="5"/>
  <c r="H222" i="10"/>
  <c r="I2825" i="5"/>
  <c r="H221" i="10"/>
  <c r="F221" i="10"/>
  <c r="H2818" i="5"/>
  <c r="Q2829" i="5"/>
  <c r="C222" i="10"/>
  <c r="G221" i="10"/>
  <c r="J222" i="10"/>
  <c r="L2781" i="5"/>
  <c r="G218" i="10"/>
  <c r="I218" i="10"/>
  <c r="Q2778" i="5"/>
  <c r="B218" i="10"/>
  <c r="K2774" i="5"/>
  <c r="J2774" i="5"/>
  <c r="G219" i="10"/>
  <c r="H213" i="10"/>
  <c r="J2716" i="5"/>
  <c r="G213" i="10"/>
  <c r="I213" i="10"/>
  <c r="J214" i="10"/>
  <c r="J213" i="10"/>
  <c r="J2730" i="5"/>
  <c r="Q2727" i="5"/>
  <c r="Q2728" i="5"/>
  <c r="H2716" i="5"/>
  <c r="G215" i="10"/>
  <c r="K2723" i="5"/>
  <c r="L2716" i="5"/>
  <c r="H215" i="10"/>
  <c r="F214" i="10"/>
  <c r="I211" i="10"/>
  <c r="K2672" i="5"/>
  <c r="I210" i="10"/>
  <c r="J2679" i="5"/>
  <c r="L2672" i="5"/>
  <c r="J2672" i="5"/>
  <c r="Q2676" i="5"/>
  <c r="Q2632" i="5"/>
  <c r="Q2633" i="5"/>
  <c r="K2621" i="5"/>
  <c r="L2614" i="5"/>
  <c r="G207" i="10"/>
  <c r="J2628" i="5"/>
  <c r="J207" i="10"/>
  <c r="H206" i="10"/>
  <c r="H205" i="10"/>
  <c r="I207" i="10"/>
  <c r="J2577" i="5"/>
  <c r="G201" i="10"/>
  <c r="J201" i="10"/>
  <c r="G197" i="10"/>
  <c r="I197" i="10"/>
  <c r="Q2515" i="5"/>
  <c r="J2512" i="5"/>
  <c r="Q2516" i="5"/>
  <c r="J2475" i="5"/>
  <c r="F194" i="10"/>
  <c r="J2468" i="5"/>
  <c r="Q2421" i="5"/>
  <c r="Q2422" i="5"/>
  <c r="G191" i="10"/>
  <c r="J2424" i="5"/>
  <c r="Q2428" i="5"/>
  <c r="B191" i="10"/>
  <c r="K2417" i="5"/>
  <c r="H2410" i="5"/>
  <c r="I189" i="10"/>
  <c r="I186" i="10"/>
  <c r="L2366" i="5"/>
  <c r="J2366" i="5"/>
  <c r="K2308" i="5"/>
  <c r="J181" i="10"/>
  <c r="I179" i="10"/>
  <c r="G177" i="10"/>
  <c r="J2271" i="5"/>
  <c r="L2271" i="5"/>
  <c r="K2264" i="5"/>
  <c r="Q2261" i="5"/>
  <c r="H2257" i="5"/>
  <c r="J178" i="10"/>
  <c r="J177" i="10"/>
  <c r="K2257" i="5"/>
  <c r="I175" i="10"/>
  <c r="I174" i="10"/>
  <c r="F173" i="10"/>
  <c r="J2220" i="5"/>
  <c r="L2220" i="5"/>
  <c r="I173" i="10"/>
  <c r="J174" i="10"/>
  <c r="J173" i="10"/>
  <c r="J2213" i="5"/>
  <c r="Q2217" i="5"/>
  <c r="B174" i="10"/>
  <c r="A174" i="10" s="1"/>
  <c r="G170" i="10"/>
  <c r="J2162" i="5"/>
  <c r="Q2121" i="5"/>
  <c r="K2118" i="5"/>
  <c r="Q2114" i="5"/>
  <c r="I2111" i="5"/>
  <c r="G165" i="10"/>
  <c r="H2104" i="5"/>
  <c r="J167" i="10"/>
  <c r="J2118" i="5"/>
  <c r="F167" i="10"/>
  <c r="G166" i="10"/>
  <c r="J2111" i="5"/>
  <c r="L2111" i="5"/>
  <c r="L2104" i="5"/>
  <c r="G167" i="10"/>
  <c r="H166" i="10"/>
  <c r="H165" i="10"/>
  <c r="F161" i="10"/>
  <c r="J2067" i="5"/>
  <c r="H2053" i="5"/>
  <c r="H161" i="10"/>
  <c r="G161" i="10"/>
  <c r="J2053" i="5"/>
  <c r="I161" i="10"/>
  <c r="J159" i="10"/>
  <c r="J2016" i="5"/>
  <c r="I159" i="10"/>
  <c r="H2009" i="5"/>
  <c r="G158" i="10"/>
  <c r="H157" i="10"/>
  <c r="L2016" i="5"/>
  <c r="G155" i="10"/>
  <c r="J1965" i="5"/>
  <c r="F154" i="10"/>
  <c r="F153" i="10"/>
  <c r="J1958" i="5"/>
  <c r="L1965" i="5"/>
  <c r="Q1962" i="5"/>
  <c r="K1958" i="5"/>
  <c r="I154" i="10"/>
  <c r="G150" i="10"/>
  <c r="H150" i="10"/>
  <c r="J1914" i="5"/>
  <c r="L1914" i="5"/>
  <c r="J1907" i="5"/>
  <c r="H1849" i="5"/>
  <c r="I147" i="10"/>
  <c r="G145" i="10"/>
  <c r="Q1860" i="5"/>
  <c r="K1856" i="5"/>
  <c r="Q1852" i="5"/>
  <c r="J1849" i="5"/>
  <c r="J147" i="10"/>
  <c r="J146" i="10"/>
  <c r="H145" i="10"/>
  <c r="Q1853" i="5"/>
  <c r="Q1854" i="5"/>
  <c r="K1849" i="5"/>
  <c r="I146" i="10"/>
  <c r="J1812" i="5"/>
  <c r="G135" i="10"/>
  <c r="K1703" i="5"/>
  <c r="F135" i="10"/>
  <c r="F134" i="10"/>
  <c r="J1710" i="5"/>
  <c r="Q1713" i="5"/>
  <c r="I1710" i="5"/>
  <c r="G134" i="10"/>
  <c r="J1703" i="5"/>
  <c r="H131" i="10"/>
  <c r="I130" i="10"/>
  <c r="Q1656" i="5"/>
  <c r="I131" i="10"/>
  <c r="K1608" i="5"/>
  <c r="L1601" i="5"/>
  <c r="F127" i="10"/>
  <c r="J1608" i="5"/>
  <c r="G127" i="10"/>
  <c r="J1601" i="5"/>
  <c r="I126" i="10"/>
  <c r="Q1560" i="5"/>
  <c r="Q1553" i="5"/>
  <c r="I1550" i="5"/>
  <c r="G121" i="10"/>
  <c r="H1543" i="5"/>
  <c r="H122" i="10"/>
  <c r="H121" i="10"/>
  <c r="Q1561" i="5"/>
  <c r="Q1554" i="5"/>
  <c r="Q1555" i="5"/>
  <c r="K1550" i="5"/>
  <c r="Q1547" i="5"/>
  <c r="C121" i="10"/>
  <c r="B121" i="10"/>
  <c r="A121" i="10"/>
  <c r="Q1548" i="5"/>
  <c r="K1543" i="5"/>
  <c r="I121" i="10"/>
  <c r="J1550" i="5"/>
  <c r="B123" i="10"/>
  <c r="L1550" i="5"/>
  <c r="H1492" i="5"/>
  <c r="I117" i="10"/>
  <c r="Q1495" i="5"/>
  <c r="J1492" i="5"/>
  <c r="Q1496" i="5"/>
  <c r="Q1497" i="5"/>
  <c r="K1492" i="5"/>
  <c r="G117" i="10"/>
  <c r="L1492" i="5"/>
  <c r="I113" i="10"/>
  <c r="J113" i="10"/>
  <c r="Q1444" i="5"/>
  <c r="Q1445" i="5"/>
  <c r="Q1446" i="5"/>
  <c r="K1441" i="5"/>
  <c r="F113" i="10"/>
  <c r="J1404" i="5"/>
  <c r="G111" i="10"/>
  <c r="H1390" i="5"/>
  <c r="K1404" i="5"/>
  <c r="F111" i="10"/>
  <c r="F110" i="10"/>
  <c r="L1404" i="5"/>
  <c r="Q1342" i="5"/>
  <c r="F103" i="10"/>
  <c r="J1302" i="5"/>
  <c r="Q1305" i="5"/>
  <c r="I1302" i="5"/>
  <c r="G103" i="10"/>
  <c r="H101" i="10"/>
  <c r="Q1306" i="5"/>
  <c r="C103" i="10"/>
  <c r="K1302" i="5"/>
  <c r="H1288" i="5"/>
  <c r="I103" i="10"/>
  <c r="L1302" i="5"/>
  <c r="K1295" i="5"/>
  <c r="I98" i="10"/>
  <c r="J1251" i="5"/>
  <c r="J1244" i="5"/>
  <c r="G99" i="10"/>
  <c r="H95" i="10"/>
  <c r="Q1153" i="5"/>
  <c r="Q1154" i="5"/>
  <c r="Q1145" i="5"/>
  <c r="I1142" i="5"/>
  <c r="L1135" i="5"/>
  <c r="L1149" i="5"/>
  <c r="F91" i="10"/>
  <c r="J1142" i="5"/>
  <c r="G90" i="10"/>
  <c r="Q1152" i="5"/>
  <c r="I1149" i="5"/>
  <c r="H1084" i="5"/>
  <c r="G85" i="10"/>
  <c r="J1084" i="5"/>
  <c r="H85" i="10"/>
  <c r="Q1088" i="5"/>
  <c r="Q1089" i="5"/>
  <c r="J81" i="10"/>
  <c r="J1040" i="5"/>
  <c r="Q1037" i="5"/>
  <c r="C81" i="10"/>
  <c r="J1033" i="5"/>
  <c r="Q986" i="5"/>
  <c r="Q987" i="5"/>
  <c r="J982" i="5"/>
  <c r="K982" i="5"/>
  <c r="G77" i="10"/>
  <c r="I75" i="10"/>
  <c r="K938" i="5"/>
  <c r="J945" i="5"/>
  <c r="Q949" i="5"/>
  <c r="K945" i="5"/>
  <c r="L938" i="5"/>
  <c r="F75" i="10"/>
  <c r="Q942" i="5"/>
  <c r="Q883" i="5"/>
  <c r="H69" i="10"/>
  <c r="J65" i="10"/>
  <c r="I65" i="10"/>
  <c r="Q832" i="5"/>
  <c r="J829" i="5"/>
  <c r="F65" i="10"/>
  <c r="Q833" i="5"/>
  <c r="Q834" i="5"/>
  <c r="K829" i="5"/>
  <c r="F63" i="10"/>
  <c r="F62" i="10"/>
  <c r="J792" i="5"/>
  <c r="Q795" i="5"/>
  <c r="I792" i="5"/>
  <c r="I62" i="10"/>
  <c r="H778" i="5"/>
  <c r="I63" i="10"/>
  <c r="Q796" i="5"/>
  <c r="K792" i="5"/>
  <c r="Q788" i="5"/>
  <c r="K785" i="5"/>
  <c r="L778" i="5"/>
  <c r="Q730" i="5"/>
  <c r="K727" i="5"/>
  <c r="J741" i="5"/>
  <c r="H727" i="5"/>
  <c r="I57" i="10"/>
  <c r="Q693" i="5"/>
  <c r="K690" i="5"/>
  <c r="Q686" i="5"/>
  <c r="L676" i="5"/>
  <c r="J690" i="5"/>
  <c r="F55" i="10"/>
  <c r="J683" i="5"/>
  <c r="I53" i="10"/>
  <c r="I55" i="10"/>
  <c r="G55" i="10"/>
  <c r="I690" i="5"/>
  <c r="H676" i="5"/>
  <c r="H50" i="10"/>
  <c r="J632" i="5"/>
  <c r="J588" i="5"/>
  <c r="G47" i="10"/>
  <c r="G46" i="10"/>
  <c r="J581" i="5"/>
  <c r="I46" i="10"/>
  <c r="J47" i="10"/>
  <c r="H46" i="10"/>
  <c r="Q585" i="5"/>
  <c r="Q586" i="5"/>
  <c r="H574" i="5"/>
  <c r="F42" i="10"/>
  <c r="I37" i="10"/>
  <c r="F37" i="10"/>
  <c r="Q476" i="5"/>
  <c r="Q477" i="5"/>
  <c r="K472" i="5"/>
  <c r="K435" i="5"/>
  <c r="L421" i="5"/>
  <c r="J35" i="10"/>
  <c r="G33" i="10"/>
  <c r="J435" i="5"/>
  <c r="L435" i="5"/>
  <c r="F35" i="10"/>
  <c r="Q438" i="5"/>
  <c r="I435" i="5"/>
  <c r="J384" i="5"/>
  <c r="H31" i="10"/>
  <c r="I29" i="10"/>
  <c r="J31" i="10"/>
  <c r="Q322" i="5"/>
  <c r="K319" i="5"/>
  <c r="J25" i="10"/>
  <c r="J333" i="5"/>
  <c r="H319" i="5"/>
  <c r="H25" i="10"/>
  <c r="I23" i="10"/>
  <c r="I22" i="10"/>
  <c r="G21" i="10"/>
  <c r="J282" i="5"/>
  <c r="J275" i="5"/>
  <c r="L282" i="5"/>
  <c r="Q279" i="5"/>
  <c r="L275" i="5"/>
  <c r="K268" i="5"/>
  <c r="L268" i="5"/>
  <c r="Q228" i="5"/>
  <c r="Q229" i="5"/>
  <c r="Q220" i="5"/>
  <c r="J217" i="5"/>
  <c r="I19" i="10"/>
  <c r="G17" i="10"/>
  <c r="J231" i="5"/>
  <c r="Q221" i="5"/>
  <c r="Q222" i="5"/>
  <c r="K217" i="5"/>
  <c r="J19" i="10"/>
  <c r="H17" i="10"/>
  <c r="G14" i="10"/>
  <c r="L115" i="5"/>
  <c r="F10" i="10"/>
  <c r="J122" i="5"/>
  <c r="I9" i="10"/>
  <c r="I10" i="10"/>
  <c r="Q126" i="5"/>
  <c r="H115" i="5"/>
  <c r="J6" i="10"/>
  <c r="J5" i="10"/>
  <c r="J78" i="5"/>
  <c r="Q82" i="5"/>
  <c r="K78" i="5"/>
  <c r="K71" i="5"/>
  <c r="Q68" i="5"/>
  <c r="H64" i="5"/>
  <c r="H7" i="10"/>
  <c r="F6" i="10"/>
  <c r="L78" i="5"/>
  <c r="Q75" i="5"/>
  <c r="C6" i="10"/>
  <c r="C113" i="10"/>
  <c r="B119" i="10"/>
  <c r="C67" i="10"/>
  <c r="B98" i="10"/>
  <c r="A98" i="10"/>
  <c r="B214" i="10"/>
  <c r="C214" i="10"/>
  <c r="A214" i="10" s="1"/>
  <c r="C177" i="10"/>
  <c r="B113" i="10"/>
  <c r="B117" i="10"/>
  <c r="C46" i="10"/>
  <c r="C258" i="10"/>
  <c r="A258" i="10" s="1"/>
  <c r="C183" i="10"/>
  <c r="C126" i="10"/>
  <c r="C93" i="10"/>
  <c r="C114" i="10"/>
  <c r="C213" i="10"/>
  <c r="B183" i="10"/>
  <c r="B55" i="10"/>
  <c r="C199" i="10"/>
  <c r="C173" i="10"/>
  <c r="B73" i="10"/>
  <c r="B41" i="10"/>
  <c r="C85" i="10"/>
  <c r="C55" i="10"/>
  <c r="B145" i="10"/>
  <c r="B167" i="10"/>
  <c r="B69" i="10"/>
  <c r="A69" i="10" s="1"/>
  <c r="C69" i="10"/>
  <c r="B53" i="10"/>
  <c r="C170" i="10"/>
  <c r="C65" i="10"/>
  <c r="B199" i="10"/>
  <c r="A199" i="10" s="1"/>
  <c r="C167" i="10"/>
  <c r="A167" i="10" s="1"/>
  <c r="B262" i="10"/>
  <c r="A262" i="10" s="1"/>
  <c r="Q3340" i="5"/>
  <c r="Q2874" i="5"/>
  <c r="C191" i="10"/>
  <c r="A191" i="10" s="1"/>
  <c r="Q1562" i="5"/>
  <c r="B103" i="10"/>
  <c r="A103" i="10" s="1"/>
  <c r="C91" i="10"/>
  <c r="B65" i="10"/>
  <c r="B17" i="10"/>
  <c r="B6" i="10"/>
  <c r="C145" i="10"/>
  <c r="A145" i="10" s="1"/>
  <c r="B257" i="10"/>
  <c r="A257" i="10" s="1"/>
  <c r="C257" i="10"/>
  <c r="B82" i="10"/>
  <c r="A82" i="10" s="1"/>
  <c r="C185" i="10"/>
  <c r="B94" i="10"/>
  <c r="K117" i="4"/>
  <c r="K121" i="4"/>
  <c r="K120" i="4"/>
  <c r="K107" i="4"/>
  <c r="K114" i="4"/>
  <c r="K113" i="4"/>
  <c r="K111" i="4"/>
  <c r="K110" i="4"/>
  <c r="K108" i="4"/>
  <c r="K112" i="4"/>
  <c r="K101" i="4"/>
  <c r="K104" i="4"/>
  <c r="F101" i="4"/>
  <c r="K93" i="4"/>
  <c r="K92" i="4"/>
  <c r="K90" i="4"/>
  <c r="K89" i="4"/>
  <c r="K91" i="4"/>
  <c r="K96" i="4"/>
  <c r="K95" i="4"/>
  <c r="K85" i="4"/>
  <c r="K86" i="4"/>
  <c r="K81" i="4"/>
  <c r="K80" i="4"/>
  <c r="K82" i="4"/>
  <c r="K83" i="4"/>
  <c r="K87" i="4"/>
  <c r="K66" i="4"/>
  <c r="K64" i="4"/>
  <c r="K68" i="4"/>
  <c r="K62" i="4"/>
  <c r="K63" i="4"/>
  <c r="K67" i="4"/>
  <c r="K53" i="4"/>
  <c r="F46" i="4"/>
  <c r="K57" i="4"/>
  <c r="K55" i="4"/>
  <c r="K54" i="4"/>
  <c r="K51" i="4"/>
  <c r="K47" i="4"/>
  <c r="K45" i="4"/>
  <c r="K46" i="4"/>
  <c r="K44" i="4"/>
  <c r="F35" i="4"/>
  <c r="K49" i="4"/>
  <c r="K48" i="4"/>
  <c r="K41" i="4"/>
  <c r="K32" i="4"/>
  <c r="K31" i="4"/>
  <c r="K22" i="4"/>
  <c r="K37" i="4"/>
  <c r="K38" i="4"/>
  <c r="K42" i="4"/>
  <c r="K39" i="4"/>
  <c r="K35" i="4"/>
  <c r="K36" i="4"/>
  <c r="F112" i="4"/>
  <c r="F90" i="4"/>
  <c r="F79" i="4"/>
  <c r="F57" i="4"/>
  <c r="F24" i="4"/>
  <c r="K28" i="4"/>
  <c r="K29" i="4"/>
  <c r="K27" i="4"/>
  <c r="K26" i="4"/>
  <c r="K30" i="4"/>
  <c r="K33" i="4"/>
  <c r="F13" i="4"/>
  <c r="A2078" i="5"/>
  <c r="M1180" i="5"/>
  <c r="C21" i="10"/>
  <c r="Q273" i="5"/>
  <c r="B5" i="10"/>
  <c r="Q69" i="5"/>
  <c r="Q1307" i="5"/>
  <c r="J3328" i="5"/>
  <c r="G239" i="10"/>
  <c r="H218" i="10"/>
  <c r="Q2734" i="5"/>
  <c r="Q2683" i="5"/>
  <c r="H203" i="10"/>
  <c r="I202" i="10"/>
  <c r="H2563" i="5"/>
  <c r="Q2274" i="5"/>
  <c r="F177" i="10"/>
  <c r="L2213" i="5"/>
  <c r="J157" i="10"/>
  <c r="F147" i="10"/>
  <c r="L1805" i="5"/>
  <c r="G137" i="10"/>
  <c r="K1710" i="5"/>
  <c r="J134" i="10"/>
  <c r="H99" i="10"/>
  <c r="J63" i="10"/>
  <c r="J55" i="10"/>
  <c r="L588" i="5"/>
  <c r="L581" i="5"/>
  <c r="L574" i="5"/>
  <c r="H268" i="5"/>
  <c r="J137" i="10"/>
  <c r="J21" i="10"/>
  <c r="J42" i="10"/>
  <c r="Q2581" i="5"/>
  <c r="C203" i="10"/>
  <c r="F174" i="10"/>
  <c r="Q2056" i="5"/>
  <c r="Q2006" i="5"/>
  <c r="Q1961" i="5"/>
  <c r="J1805" i="5"/>
  <c r="J135" i="10"/>
  <c r="Q1707" i="5"/>
  <c r="Q1708" i="5"/>
  <c r="F102" i="10"/>
  <c r="G94" i="10"/>
  <c r="Q1087" i="5"/>
  <c r="Q744" i="5"/>
  <c r="I741" i="5"/>
  <c r="Q592" i="5"/>
  <c r="G22" i="10"/>
  <c r="I275" i="5"/>
  <c r="F21" i="10"/>
  <c r="J22" i="10"/>
  <c r="K588" i="5"/>
  <c r="Q278" i="5"/>
  <c r="Q2735" i="5"/>
  <c r="B134" i="10"/>
  <c r="C134" i="10"/>
  <c r="A134" i="10"/>
  <c r="R968" i="5"/>
  <c r="A1867" i="5"/>
  <c r="B7" i="10"/>
  <c r="A7" i="10" s="1"/>
  <c r="C7" i="10"/>
  <c r="J3073" i="5"/>
  <c r="Q3076" i="5"/>
  <c r="I3073" i="5"/>
  <c r="K3073" i="5"/>
  <c r="G241" i="10"/>
  <c r="H3073" i="5"/>
  <c r="Q540" i="5"/>
  <c r="H537" i="5"/>
  <c r="Q541" i="5"/>
  <c r="Q542" i="5"/>
  <c r="J43" i="10"/>
  <c r="I537" i="5"/>
  <c r="I43" i="10"/>
  <c r="J537" i="5"/>
  <c r="G43" i="10"/>
  <c r="K537" i="5"/>
  <c r="H43" i="10"/>
  <c r="C43" i="10"/>
  <c r="G39" i="10"/>
  <c r="I486" i="5"/>
  <c r="J39" i="10"/>
  <c r="H486" i="5"/>
  <c r="F39" i="10"/>
  <c r="L486" i="5"/>
  <c r="I39" i="10"/>
  <c r="K486" i="5"/>
  <c r="Q489" i="5"/>
  <c r="H39" i="10"/>
  <c r="I472" i="5"/>
  <c r="J472" i="5"/>
  <c r="C37" i="10"/>
  <c r="A37" i="10" s="1"/>
  <c r="B37" i="10"/>
  <c r="I27" i="10"/>
  <c r="I333" i="5"/>
  <c r="K333" i="5"/>
  <c r="J27" i="10"/>
  <c r="H27" i="10"/>
  <c r="F27" i="10"/>
  <c r="Q337" i="5"/>
  <c r="B27" i="10"/>
  <c r="Q336" i="5"/>
  <c r="L333" i="5"/>
  <c r="C231" i="10"/>
  <c r="C174" i="10"/>
  <c r="C218" i="10"/>
  <c r="C25" i="10"/>
  <c r="B25" i="10"/>
  <c r="A25" i="10" s="1"/>
  <c r="C82" i="10"/>
  <c r="B39" i="10"/>
  <c r="G37" i="10"/>
  <c r="Q2677" i="5"/>
  <c r="J229" i="10"/>
  <c r="B43" i="10"/>
  <c r="A43" i="10" s="1"/>
  <c r="B217" i="10"/>
  <c r="J241" i="10"/>
  <c r="G247" i="10"/>
  <c r="Q3141" i="5"/>
  <c r="L3138" i="5"/>
  <c r="I3138" i="5"/>
  <c r="J247" i="10"/>
  <c r="I247" i="10"/>
  <c r="F247" i="10"/>
  <c r="K3138" i="5"/>
  <c r="J3138" i="5"/>
  <c r="H3138" i="5"/>
  <c r="I3087" i="5"/>
  <c r="Q3091" i="5"/>
  <c r="G243" i="10"/>
  <c r="H243" i="10"/>
  <c r="K3087" i="5"/>
  <c r="L3087" i="5"/>
  <c r="I243" i="10"/>
  <c r="J3087" i="5"/>
  <c r="J243" i="10"/>
  <c r="B243" i="10"/>
  <c r="Q3090" i="5"/>
  <c r="H219" i="10"/>
  <c r="J219" i="10"/>
  <c r="Q2785" i="5"/>
  <c r="Q2786" i="5"/>
  <c r="G187" i="10"/>
  <c r="J187" i="10"/>
  <c r="L2373" i="5"/>
  <c r="Q2376" i="5"/>
  <c r="Q2377" i="5"/>
  <c r="I187" i="10"/>
  <c r="I2373" i="5"/>
  <c r="K2373" i="5"/>
  <c r="Q1401" i="5"/>
  <c r="L1397" i="5"/>
  <c r="I110" i="10"/>
  <c r="Q1400" i="5"/>
  <c r="G110" i="10"/>
  <c r="F106" i="10"/>
  <c r="H1346" i="5"/>
  <c r="I91" i="10"/>
  <c r="H1149" i="5"/>
  <c r="J1149" i="5"/>
  <c r="G91" i="10"/>
  <c r="H91" i="10"/>
  <c r="J894" i="5"/>
  <c r="J71" i="10"/>
  <c r="H71" i="10"/>
  <c r="F71" i="10"/>
  <c r="Q898" i="5"/>
  <c r="Q899" i="5"/>
  <c r="Q897" i="5"/>
  <c r="I71" i="10"/>
  <c r="H894" i="5"/>
  <c r="I66" i="10"/>
  <c r="J66" i="10"/>
  <c r="H639" i="5"/>
  <c r="J486" i="5"/>
  <c r="J110" i="10"/>
  <c r="H187" i="10"/>
  <c r="F229" i="10"/>
  <c r="B81" i="10"/>
  <c r="A81" i="10" s="1"/>
  <c r="B231" i="10"/>
  <c r="A231" i="10" s="1"/>
  <c r="C71" i="10"/>
  <c r="B219" i="10"/>
  <c r="C130" i="10"/>
  <c r="C217" i="10"/>
  <c r="B74" i="10"/>
  <c r="Q475" i="5"/>
  <c r="L537" i="5"/>
  <c r="Q1038" i="5"/>
  <c r="J91" i="10"/>
  <c r="K1149" i="5"/>
  <c r="K1397" i="5"/>
  <c r="J1397" i="5"/>
  <c r="C117" i="10"/>
  <c r="A117" i="10" s="1"/>
  <c r="C146" i="10"/>
  <c r="Q1963" i="5"/>
  <c r="J2373" i="5"/>
  <c r="I238" i="10"/>
  <c r="H241" i="10"/>
  <c r="Q375" i="5"/>
  <c r="I836" i="5"/>
  <c r="H836" i="5"/>
  <c r="Q840" i="5"/>
  <c r="Q841" i="5"/>
  <c r="Q892" i="5"/>
  <c r="L894" i="5"/>
  <c r="Q1453" i="5"/>
  <c r="C182" i="10"/>
  <c r="H2373" i="5"/>
  <c r="K3029" i="5"/>
  <c r="Q3142" i="5"/>
  <c r="Q3289" i="5"/>
  <c r="B258" i="10"/>
  <c r="H2825" i="5"/>
  <c r="K2825" i="5"/>
  <c r="L2825" i="5"/>
  <c r="I222" i="10"/>
  <c r="Q2828" i="5"/>
  <c r="F222" i="10"/>
  <c r="K2570" i="5"/>
  <c r="G202" i="10"/>
  <c r="J202" i="10"/>
  <c r="I2570" i="5"/>
  <c r="H202" i="10"/>
  <c r="J2570" i="5"/>
  <c r="I193" i="10"/>
  <c r="J193" i="10"/>
  <c r="J2461" i="5"/>
  <c r="L2461" i="5"/>
  <c r="I2461" i="5"/>
  <c r="H2461" i="5"/>
  <c r="Q2464" i="5"/>
  <c r="Q2465" i="5"/>
  <c r="B193" i="10"/>
  <c r="A193" i="10" s="1"/>
  <c r="G193" i="10"/>
  <c r="K2461" i="5"/>
  <c r="L2417" i="5"/>
  <c r="F190" i="10"/>
  <c r="H2417" i="5"/>
  <c r="J190" i="10"/>
  <c r="H190" i="10"/>
  <c r="G190" i="10"/>
  <c r="Q2420" i="5"/>
  <c r="I190" i="10"/>
  <c r="J2417" i="5"/>
  <c r="B190" i="10"/>
  <c r="Q2311" i="5"/>
  <c r="J2308" i="5"/>
  <c r="I181" i="10"/>
  <c r="H2308" i="5"/>
  <c r="G123" i="10"/>
  <c r="I123" i="10"/>
  <c r="H123" i="10"/>
  <c r="H1557" i="5"/>
  <c r="J1557" i="5"/>
  <c r="F123" i="10"/>
  <c r="C123" i="10"/>
  <c r="G113" i="10"/>
  <c r="I1441" i="5"/>
  <c r="L1441" i="5"/>
  <c r="H113" i="10"/>
  <c r="H1441" i="5"/>
  <c r="J1441" i="5"/>
  <c r="H1200" i="5"/>
  <c r="K1200" i="5"/>
  <c r="J1200" i="5"/>
  <c r="K1135" i="5"/>
  <c r="J1135" i="5"/>
  <c r="H1135" i="5"/>
  <c r="J89" i="10"/>
  <c r="I1084" i="5"/>
  <c r="I85" i="10"/>
  <c r="L1084" i="5"/>
  <c r="B85" i="10"/>
  <c r="A85" i="10" s="1"/>
  <c r="J996" i="5"/>
  <c r="Q1000" i="5"/>
  <c r="C79" i="10"/>
  <c r="G79" i="10"/>
  <c r="J79" i="10"/>
  <c r="L996" i="5"/>
  <c r="H996" i="5"/>
  <c r="H982" i="5"/>
  <c r="L982" i="5"/>
  <c r="Q985" i="5"/>
  <c r="B77" i="10"/>
  <c r="I77" i="10"/>
  <c r="J77" i="10"/>
  <c r="F74" i="10"/>
  <c r="I74" i="10"/>
  <c r="I938" i="5"/>
  <c r="J938" i="5"/>
  <c r="Q83" i="5"/>
  <c r="B10" i="10"/>
  <c r="C22" i="10"/>
  <c r="G238" i="10"/>
  <c r="H238" i="10"/>
  <c r="H3029" i="5"/>
  <c r="J238" i="10"/>
  <c r="L3029" i="5"/>
  <c r="I3029" i="5"/>
  <c r="F238" i="10"/>
  <c r="Q3033" i="5"/>
  <c r="C238" i="10"/>
  <c r="H2978" i="5"/>
  <c r="G234" i="10"/>
  <c r="J234" i="10"/>
  <c r="Q2981" i="5"/>
  <c r="F234" i="10"/>
  <c r="K2920" i="5"/>
  <c r="Q2924" i="5"/>
  <c r="I2920" i="5"/>
  <c r="Q2923" i="5"/>
  <c r="H2920" i="5"/>
  <c r="J2920" i="5"/>
  <c r="H229" i="10"/>
  <c r="C99" i="10"/>
  <c r="A99" i="10"/>
  <c r="Q1256" i="5"/>
  <c r="Q1293" i="5"/>
  <c r="C101" i="10"/>
  <c r="A101" i="10"/>
  <c r="Q1504" i="5"/>
  <c r="L2723" i="5"/>
  <c r="I214" i="10"/>
  <c r="H2723" i="5"/>
  <c r="Q2726" i="5"/>
  <c r="I2723" i="5"/>
  <c r="H2665" i="5"/>
  <c r="I2665" i="5"/>
  <c r="K2665" i="5"/>
  <c r="H209" i="10"/>
  <c r="Q2668" i="5"/>
  <c r="J209" i="10"/>
  <c r="J2665" i="5"/>
  <c r="Q2617" i="5"/>
  <c r="J205" i="10"/>
  <c r="G163" i="10"/>
  <c r="K2067" i="5"/>
  <c r="J1761" i="5"/>
  <c r="G139" i="10"/>
  <c r="Q1765" i="5"/>
  <c r="F139" i="10"/>
  <c r="L1761" i="5"/>
  <c r="Q1764" i="5"/>
  <c r="I139" i="10"/>
  <c r="Q1606" i="5"/>
  <c r="B126" i="10"/>
  <c r="A126" i="10" s="1"/>
  <c r="I115" i="10"/>
  <c r="I115" i="5"/>
  <c r="Q118" i="5"/>
  <c r="K115" i="5"/>
  <c r="I71" i="5"/>
  <c r="H71" i="5"/>
  <c r="H6" i="10"/>
  <c r="F2" i="10"/>
  <c r="C139" i="10"/>
  <c r="L71" i="5"/>
  <c r="Q74" i="5"/>
  <c r="J71" i="5"/>
  <c r="F9" i="10"/>
  <c r="G205" i="10"/>
  <c r="I209" i="10"/>
  <c r="L2665" i="5"/>
  <c r="J2723" i="5"/>
  <c r="H9" i="10"/>
  <c r="J115" i="5"/>
  <c r="Q681" i="5"/>
  <c r="Q1511" i="5"/>
  <c r="C119" i="10"/>
  <c r="A119" i="10"/>
  <c r="I1761" i="5"/>
  <c r="H1761" i="5"/>
  <c r="F209" i="10"/>
  <c r="Q2669" i="5"/>
  <c r="H214" i="10"/>
  <c r="F178" i="10"/>
  <c r="H2264" i="5"/>
  <c r="G178" i="10"/>
  <c r="K2111" i="5"/>
  <c r="J166" i="10"/>
  <c r="J2060" i="5"/>
  <c r="G162" i="10"/>
  <c r="L2060" i="5"/>
  <c r="I162" i="10"/>
  <c r="Q2063" i="5"/>
  <c r="Q2064" i="5"/>
  <c r="J2009" i="5"/>
  <c r="I2009" i="5"/>
  <c r="K2009" i="5"/>
  <c r="H158" i="10"/>
  <c r="Q2013" i="5"/>
  <c r="L2009" i="5"/>
  <c r="L1849" i="5"/>
  <c r="F145" i="10"/>
  <c r="I145" i="10"/>
  <c r="Q1750" i="5"/>
  <c r="H137" i="10"/>
  <c r="F57" i="10"/>
  <c r="I727" i="5"/>
  <c r="K581" i="5"/>
  <c r="F46" i="10"/>
  <c r="H217" i="5"/>
  <c r="I17" i="10"/>
  <c r="F17" i="10"/>
  <c r="L217" i="5"/>
  <c r="I217" i="5"/>
  <c r="J225" i="10"/>
  <c r="L2869" i="5"/>
  <c r="Q2675" i="5"/>
  <c r="H2672" i="5"/>
  <c r="F210" i="10"/>
  <c r="L2563" i="5"/>
  <c r="Q2566" i="5"/>
  <c r="K2468" i="5"/>
  <c r="I2468" i="5"/>
  <c r="H194" i="10"/>
  <c r="I182" i="10"/>
  <c r="J182" i="10"/>
  <c r="J150" i="10"/>
  <c r="K1907" i="5"/>
  <c r="I105" i="10"/>
  <c r="H625" i="5"/>
  <c r="L625" i="5"/>
  <c r="J530" i="5"/>
  <c r="L530" i="5"/>
  <c r="I42" i="10"/>
  <c r="J319" i="5"/>
  <c r="F25" i="10"/>
  <c r="G25" i="10"/>
  <c r="L122" i="5"/>
  <c r="K122" i="5"/>
  <c r="J261" i="10"/>
  <c r="I2716" i="5"/>
  <c r="K2716" i="5"/>
  <c r="F185" i="10"/>
  <c r="J2359" i="5"/>
  <c r="K2213" i="5"/>
  <c r="G174" i="10"/>
  <c r="J2155" i="5"/>
  <c r="I2155" i="5"/>
  <c r="G157" i="10"/>
  <c r="I2002" i="5"/>
  <c r="J843" i="5"/>
  <c r="G67" i="10"/>
  <c r="K741" i="5"/>
  <c r="L319" i="5"/>
  <c r="L2577" i="5"/>
  <c r="I183" i="10"/>
  <c r="L2967" i="5"/>
  <c r="A1902" i="5"/>
  <c r="A2618" i="5"/>
  <c r="D5" i="8"/>
  <c r="A17" i="8"/>
  <c r="A2841" i="5"/>
  <c r="D2521" i="8"/>
  <c r="A2535" i="8"/>
  <c r="D2487" i="8"/>
  <c r="B2488" i="8"/>
  <c r="A1858" i="5"/>
  <c r="D3915" i="8"/>
  <c r="R2637" i="5"/>
  <c r="A235" i="5"/>
  <c r="M2651" i="5"/>
  <c r="A1846" i="5"/>
  <c r="R1880" i="5"/>
  <c r="C264" i="5"/>
  <c r="L2610" i="5"/>
  <c r="J1081" i="5"/>
  <c r="Z1115" i="5"/>
  <c r="R1884" i="5"/>
  <c r="I2650" i="5"/>
  <c r="A2632" i="5"/>
  <c r="I3507" i="8"/>
  <c r="A6" i="10"/>
  <c r="A113" i="10"/>
  <c r="A218" i="10"/>
  <c r="D3643" i="8"/>
  <c r="B3644" i="8"/>
  <c r="G2701" i="5"/>
  <c r="A2785" i="5"/>
  <c r="D3609" i="8"/>
  <c r="A3621" i="8"/>
  <c r="A185" i="10"/>
  <c r="R3235" i="5"/>
  <c r="R2737" i="5"/>
  <c r="R1870" i="5"/>
  <c r="J2611" i="5"/>
  <c r="A2625" i="5"/>
  <c r="R2651" i="5"/>
  <c r="A2713" i="5"/>
  <c r="R2747" i="5"/>
  <c r="A1879" i="5"/>
  <c r="D345" i="8"/>
  <c r="A356" i="8"/>
  <c r="R2623" i="5"/>
  <c r="R1093" i="5"/>
  <c r="R2723" i="5"/>
  <c r="A372" i="5"/>
  <c r="A1160" i="5"/>
  <c r="B1886" i="5"/>
  <c r="R150" i="5"/>
  <c r="G3947" i="8"/>
  <c r="L3324" i="5"/>
  <c r="R289" i="5"/>
  <c r="A2639" i="5"/>
  <c r="A2646" i="5"/>
  <c r="C2712" i="5"/>
  <c r="J214" i="5"/>
  <c r="A1248" i="5"/>
  <c r="A949" i="5"/>
  <c r="K24" i="4"/>
  <c r="K116" i="4"/>
  <c r="F123" i="4"/>
  <c r="C1284" i="5"/>
  <c r="R428" i="5"/>
  <c r="C417" i="5"/>
  <c r="D583" i="8"/>
  <c r="B584" i="8"/>
  <c r="A437" i="5"/>
  <c r="J928" i="5"/>
  <c r="A1255" i="5"/>
  <c r="G4321" i="8"/>
  <c r="I1263" i="8"/>
  <c r="A1277" i="8"/>
  <c r="B1277" i="8"/>
  <c r="M3008" i="5"/>
  <c r="A963" i="5"/>
  <c r="A956" i="5"/>
  <c r="A1269" i="5"/>
  <c r="A2064" i="5"/>
  <c r="I3303" i="8"/>
  <c r="A3316" i="8"/>
  <c r="B3316" i="8"/>
  <c r="M968" i="5"/>
  <c r="R1260" i="5"/>
  <c r="A2982" i="5"/>
  <c r="A2725" i="5"/>
  <c r="A2732" i="5"/>
  <c r="G2752" i="5"/>
  <c r="B2753" i="5"/>
  <c r="I38" i="4"/>
  <c r="R940" i="5"/>
  <c r="A942" i="5"/>
  <c r="L927" i="5"/>
  <c r="I1671" i="8"/>
  <c r="A1681" i="8"/>
  <c r="B1681" i="8"/>
  <c r="D549" i="8"/>
  <c r="A557" i="8"/>
  <c r="B557" i="8"/>
  <c r="A2356" i="5"/>
  <c r="R2390" i="5"/>
  <c r="R2686" i="5"/>
  <c r="A2739" i="5"/>
  <c r="R2751" i="5"/>
  <c r="A2746" i="5"/>
  <c r="A3003" i="5"/>
  <c r="I967" i="5"/>
  <c r="A935" i="5"/>
  <c r="A3244" i="5"/>
  <c r="A2667" i="5"/>
  <c r="B2702" i="5"/>
  <c r="I1433" i="8"/>
  <c r="R2672" i="5"/>
  <c r="A1095" i="5"/>
  <c r="G1783" i="5"/>
  <c r="C2661" i="5"/>
  <c r="L1080" i="5"/>
  <c r="R1121" i="5"/>
  <c r="D2351" i="8"/>
  <c r="B2352" i="8"/>
  <c r="A2681" i="5"/>
  <c r="G2281" i="8"/>
  <c r="G819" i="8"/>
  <c r="A1088" i="5"/>
  <c r="Q528" i="5"/>
  <c r="C41" i="10"/>
  <c r="A41" i="10"/>
  <c r="Q2925" i="5"/>
  <c r="B229" i="10"/>
  <c r="Q338" i="5"/>
  <c r="Q535" i="5"/>
  <c r="Q1599" i="5"/>
  <c r="C125" i="10"/>
  <c r="J3291" i="5"/>
  <c r="H3291" i="5"/>
  <c r="G259" i="10"/>
  <c r="I3291" i="5"/>
  <c r="K3291" i="5"/>
  <c r="L3291" i="5"/>
  <c r="Q3295" i="5"/>
  <c r="J259" i="10"/>
  <c r="H259" i="10"/>
  <c r="Q2618" i="5"/>
  <c r="H2614" i="5"/>
  <c r="I205" i="10"/>
  <c r="J2614" i="5"/>
  <c r="F205" i="10"/>
  <c r="K2614" i="5"/>
  <c r="H179" i="10"/>
  <c r="I2271" i="5"/>
  <c r="F179" i="10"/>
  <c r="K2271" i="5"/>
  <c r="Q2275" i="5"/>
  <c r="F163" i="10"/>
  <c r="Q2071" i="5"/>
  <c r="L2067" i="5"/>
  <c r="I163" i="10"/>
  <c r="J163" i="10"/>
  <c r="I2067" i="5"/>
  <c r="H2067" i="5"/>
  <c r="J161" i="10"/>
  <c r="K2053" i="5"/>
  <c r="L2053" i="5"/>
  <c r="Q2057" i="5"/>
  <c r="I119" i="10"/>
  <c r="I1506" i="5"/>
  <c r="F119" i="10"/>
  <c r="K1506" i="5"/>
  <c r="G119" i="10"/>
  <c r="J1506" i="5"/>
  <c r="Q1509" i="5"/>
  <c r="J119" i="10"/>
  <c r="H119" i="10"/>
  <c r="L1390" i="5"/>
  <c r="Q1394" i="5"/>
  <c r="G109" i="10"/>
  <c r="I1390" i="5"/>
  <c r="H109" i="10"/>
  <c r="J1390" i="5"/>
  <c r="I109" i="10"/>
  <c r="J109" i="10"/>
  <c r="J1091" i="5"/>
  <c r="H1091" i="5"/>
  <c r="J86" i="10"/>
  <c r="L1091" i="5"/>
  <c r="I86" i="10"/>
  <c r="I1091" i="5"/>
  <c r="G86" i="10"/>
  <c r="H86" i="10"/>
  <c r="Q389" i="5"/>
  <c r="B31" i="10"/>
  <c r="A31" i="10"/>
  <c r="J326" i="5"/>
  <c r="H26" i="10"/>
  <c r="Q330" i="5"/>
  <c r="I26" i="10"/>
  <c r="J26" i="10"/>
  <c r="G26" i="10"/>
  <c r="I326" i="5"/>
  <c r="K326" i="5"/>
  <c r="L326" i="5"/>
  <c r="G235" i="10"/>
  <c r="K1696" i="5"/>
  <c r="A2217" i="5"/>
  <c r="G2247" i="8"/>
  <c r="I2242" i="5"/>
  <c r="C229" i="10"/>
  <c r="Q2218" i="5"/>
  <c r="C225" i="10"/>
  <c r="C133" i="10"/>
  <c r="C83" i="10"/>
  <c r="A83" i="10" s="1"/>
  <c r="Q1298" i="5"/>
  <c r="H1696" i="5"/>
  <c r="I195" i="10"/>
  <c r="L3182" i="5"/>
  <c r="C86" i="10"/>
  <c r="L166" i="5"/>
  <c r="I13" i="10"/>
  <c r="Q1050" i="5"/>
  <c r="H1047" i="5"/>
  <c r="Q3135" i="5"/>
  <c r="Q3136" i="5"/>
  <c r="K3131" i="5"/>
  <c r="J3131" i="5"/>
  <c r="I246" i="10"/>
  <c r="I3131" i="5"/>
  <c r="G246" i="10"/>
  <c r="H246" i="10"/>
  <c r="H3131" i="5"/>
  <c r="J246" i="10"/>
  <c r="L3131" i="5"/>
  <c r="I2985" i="5"/>
  <c r="J1696" i="5"/>
  <c r="F133" i="10"/>
  <c r="Q1299" i="5"/>
  <c r="Q1300" i="5"/>
  <c r="H1295" i="5"/>
  <c r="J1047" i="5"/>
  <c r="J83" i="10"/>
  <c r="I1047" i="5"/>
  <c r="I78" i="10"/>
  <c r="H989" i="5"/>
  <c r="J78" i="10"/>
  <c r="I989" i="5"/>
  <c r="I18" i="10"/>
  <c r="F18" i="10"/>
  <c r="H224" i="5"/>
  <c r="L224" i="5"/>
  <c r="Q2625" i="5"/>
  <c r="I2621" i="5"/>
  <c r="F206" i="10"/>
  <c r="L2621" i="5"/>
  <c r="H2621" i="5"/>
  <c r="I206" i="10"/>
  <c r="H171" i="10"/>
  <c r="H2169" i="5"/>
  <c r="Q2173" i="5"/>
  <c r="J171" i="10"/>
  <c r="J2169" i="5"/>
  <c r="I2169" i="5"/>
  <c r="B171" i="10"/>
  <c r="A171" i="10" s="1"/>
  <c r="G171" i="10"/>
  <c r="I171" i="10"/>
  <c r="F171" i="10"/>
  <c r="Q2108" i="5"/>
  <c r="C165" i="10"/>
  <c r="I2104" i="5"/>
  <c r="I165" i="10"/>
  <c r="K2104" i="5"/>
  <c r="J165" i="10"/>
  <c r="Q2107" i="5"/>
  <c r="F159" i="10"/>
  <c r="G159" i="10"/>
  <c r="Q2020" i="5"/>
  <c r="H2016" i="5"/>
  <c r="Q2019" i="5"/>
  <c r="H159" i="10"/>
  <c r="K2016" i="5"/>
  <c r="Q1866" i="5"/>
  <c r="G147" i="10"/>
  <c r="K1863" i="5"/>
  <c r="H1863" i="5"/>
  <c r="L1863" i="5"/>
  <c r="H147" i="10"/>
  <c r="F142" i="10"/>
  <c r="Q1808" i="5"/>
  <c r="Q1809" i="5"/>
  <c r="B142" i="10"/>
  <c r="I142" i="10"/>
  <c r="H1805" i="5"/>
  <c r="J142" i="10"/>
  <c r="G142" i="10"/>
  <c r="I1805" i="5"/>
  <c r="H142" i="10"/>
  <c r="Q1349" i="5"/>
  <c r="J1346" i="5"/>
  <c r="H106" i="10"/>
  <c r="Q1350" i="5"/>
  <c r="J106" i="10"/>
  <c r="G106" i="10"/>
  <c r="I1346" i="5"/>
  <c r="K1346" i="5"/>
  <c r="I106" i="10"/>
  <c r="L1346" i="5"/>
  <c r="H89" i="10"/>
  <c r="F89" i="10"/>
  <c r="Q1139" i="5"/>
  <c r="G89" i="10"/>
  <c r="Q1138" i="5"/>
  <c r="I89" i="10"/>
  <c r="F85" i="10"/>
  <c r="J85" i="10"/>
  <c r="K1084" i="5"/>
  <c r="J836" i="5"/>
  <c r="L836" i="5"/>
  <c r="G66" i="10"/>
  <c r="Q839" i="5"/>
  <c r="F66" i="10"/>
  <c r="H66" i="10"/>
  <c r="C66" i="10"/>
  <c r="J37" i="10"/>
  <c r="H472" i="5"/>
  <c r="H37" i="10"/>
  <c r="L1295" i="5"/>
  <c r="I2929" i="8"/>
  <c r="G2930" i="8"/>
  <c r="B133" i="10"/>
  <c r="C122" i="10"/>
  <c r="B222" i="10"/>
  <c r="A222" i="10" s="1"/>
  <c r="B86" i="10"/>
  <c r="A86" i="10" s="1"/>
  <c r="B122" i="10"/>
  <c r="B18" i="10"/>
  <c r="A18" i="10" s="1"/>
  <c r="C18" i="10"/>
  <c r="B75" i="10"/>
  <c r="B91" i="10"/>
  <c r="J102" i="10"/>
  <c r="I102" i="10"/>
  <c r="J1295" i="5"/>
  <c r="L1696" i="5"/>
  <c r="Q1861" i="5"/>
  <c r="Q2779" i="5"/>
  <c r="Q2830" i="5"/>
  <c r="F250" i="10"/>
  <c r="C19" i="10"/>
  <c r="G78" i="10"/>
  <c r="Q993" i="5"/>
  <c r="Q994" i="5"/>
  <c r="F78" i="10"/>
  <c r="F83" i="10"/>
  <c r="G83" i="10"/>
  <c r="K1047" i="5"/>
  <c r="J133" i="10"/>
  <c r="Q3134" i="5"/>
  <c r="Q3294" i="5"/>
  <c r="Q1912" i="5"/>
  <c r="C150" i="10"/>
  <c r="F263" i="10"/>
  <c r="Q3346" i="5"/>
  <c r="Q3347" i="5"/>
  <c r="J3342" i="5"/>
  <c r="J263" i="10"/>
  <c r="I263" i="10"/>
  <c r="I3342" i="5"/>
  <c r="H3342" i="5"/>
  <c r="L3342" i="5"/>
  <c r="H263" i="10"/>
  <c r="G250" i="10"/>
  <c r="Q3185" i="5"/>
  <c r="H3182" i="5"/>
  <c r="I250" i="10"/>
  <c r="H250" i="10"/>
  <c r="I3182" i="5"/>
  <c r="K3182" i="5"/>
  <c r="J250" i="10"/>
  <c r="G227" i="10"/>
  <c r="I227" i="10"/>
  <c r="Q2886" i="5"/>
  <c r="J227" i="10"/>
  <c r="J2883" i="5"/>
  <c r="L2883" i="5"/>
  <c r="Q2887" i="5"/>
  <c r="C227" i="10"/>
  <c r="I2883" i="5"/>
  <c r="F227" i="10"/>
  <c r="K2883" i="5"/>
  <c r="F195" i="10"/>
  <c r="I2475" i="5"/>
  <c r="G195" i="10"/>
  <c r="Q2479" i="5"/>
  <c r="H195" i="10"/>
  <c r="H2475" i="5"/>
  <c r="J195" i="10"/>
  <c r="Q2478" i="5"/>
  <c r="K2475" i="5"/>
  <c r="Q169" i="5"/>
  <c r="J13" i="10"/>
  <c r="I166" i="5"/>
  <c r="K166" i="5"/>
  <c r="G13" i="10"/>
  <c r="H166" i="5"/>
  <c r="J166" i="5"/>
  <c r="Q170" i="5"/>
  <c r="B13" i="10"/>
  <c r="Q171" i="5"/>
  <c r="Q491" i="5"/>
  <c r="C39" i="10"/>
  <c r="A39" i="10"/>
  <c r="K3240" i="5"/>
  <c r="H3240" i="5"/>
  <c r="I255" i="10"/>
  <c r="Q3243" i="5"/>
  <c r="F255" i="10"/>
  <c r="H255" i="10"/>
  <c r="Q3244" i="5"/>
  <c r="J255" i="10"/>
  <c r="J3240" i="5"/>
  <c r="L3240" i="5"/>
  <c r="I3240" i="5"/>
  <c r="Q3178" i="5"/>
  <c r="J249" i="10"/>
  <c r="G249" i="10"/>
  <c r="H3175" i="5"/>
  <c r="K3175" i="5"/>
  <c r="J3175" i="5"/>
  <c r="F249" i="10"/>
  <c r="Q3179" i="5"/>
  <c r="I3080" i="5"/>
  <c r="Q2822" i="5"/>
  <c r="Q2821" i="5"/>
  <c r="I215" i="10"/>
  <c r="H2730" i="5"/>
  <c r="F215" i="10"/>
  <c r="K2730" i="5"/>
  <c r="J215" i="10"/>
  <c r="I2730" i="5"/>
  <c r="L2730" i="5"/>
  <c r="H2628" i="5"/>
  <c r="H207" i="10"/>
  <c r="Q2631" i="5"/>
  <c r="F207" i="10"/>
  <c r="L2628" i="5"/>
  <c r="I2628" i="5"/>
  <c r="J154" i="10"/>
  <c r="I1958" i="5"/>
  <c r="G154" i="10"/>
  <c r="L1958" i="5"/>
  <c r="H154" i="10"/>
  <c r="G115" i="10"/>
  <c r="H1455" i="5"/>
  <c r="J1455" i="5"/>
  <c r="I1455" i="5"/>
  <c r="K1455" i="5"/>
  <c r="L1455" i="5"/>
  <c r="Q1459" i="5"/>
  <c r="J115" i="10"/>
  <c r="H115" i="10"/>
  <c r="L1200" i="5"/>
  <c r="I95" i="10"/>
  <c r="J95" i="10"/>
  <c r="Q1204" i="5"/>
  <c r="I1200" i="5"/>
  <c r="F47" i="10"/>
  <c r="H588" i="5"/>
  <c r="H47" i="10"/>
  <c r="I588" i="5"/>
  <c r="J173" i="5"/>
  <c r="Q176" i="5"/>
  <c r="Q177" i="5"/>
  <c r="H14" i="10"/>
  <c r="J14" i="10"/>
  <c r="I14" i="10"/>
  <c r="K173" i="5"/>
  <c r="I13" i="5"/>
  <c r="Q17" i="5"/>
  <c r="Q18" i="5"/>
  <c r="Q16" i="5"/>
  <c r="H1" i="10"/>
  <c r="J1" i="10"/>
  <c r="K13" i="5"/>
  <c r="L13" i="5"/>
  <c r="I133" i="10"/>
  <c r="H133" i="10"/>
  <c r="Q1699" i="5"/>
  <c r="M2243" i="5"/>
  <c r="B83" i="10"/>
  <c r="C263" i="10"/>
  <c r="B263" i="10"/>
  <c r="A263" i="10" s="1"/>
  <c r="C45" i="10"/>
  <c r="C194" i="10"/>
  <c r="B19" i="10"/>
  <c r="A19" i="10"/>
  <c r="Q227" i="5"/>
  <c r="J18" i="10"/>
  <c r="G18" i="10"/>
  <c r="K224" i="5"/>
  <c r="J989" i="5"/>
  <c r="I1295" i="5"/>
  <c r="G102" i="10"/>
  <c r="G133" i="10"/>
  <c r="C190" i="10"/>
  <c r="A190" i="10"/>
  <c r="Q3186" i="5"/>
  <c r="Q3187" i="5"/>
  <c r="B213" i="10"/>
  <c r="H13" i="10"/>
  <c r="Q992" i="5"/>
  <c r="H78" i="10"/>
  <c r="K989" i="5"/>
  <c r="L1047" i="5"/>
  <c r="H83" i="10"/>
  <c r="H2883" i="5"/>
  <c r="H227" i="10"/>
  <c r="F259" i="10"/>
  <c r="G263" i="10"/>
  <c r="I3226" i="5"/>
  <c r="I3284" i="5"/>
  <c r="H3284" i="5"/>
  <c r="J3284" i="5"/>
  <c r="Q2931" i="5"/>
  <c r="Q2932" i="5"/>
  <c r="L2920" i="5"/>
  <c r="K2679" i="5"/>
  <c r="Q2115" i="5"/>
  <c r="L2002" i="5"/>
  <c r="K1652" i="5"/>
  <c r="Q1612" i="5"/>
  <c r="G105" i="10"/>
  <c r="F90" i="10"/>
  <c r="G75" i="10"/>
  <c r="I69" i="10"/>
  <c r="G54" i="10"/>
  <c r="L632" i="5"/>
  <c r="G49" i="10"/>
  <c r="I25" i="10"/>
  <c r="H23" i="10"/>
  <c r="Q234" i="5"/>
  <c r="J10" i="10"/>
  <c r="I7" i="10"/>
  <c r="I6" i="10"/>
  <c r="G258" i="10"/>
  <c r="I166" i="10"/>
  <c r="J127" i="10"/>
  <c r="Q1343" i="5"/>
  <c r="Q1344" i="5"/>
  <c r="Q1146" i="5"/>
  <c r="Q745" i="5"/>
  <c r="Q746" i="5"/>
  <c r="Q687" i="5"/>
  <c r="Q286" i="5"/>
  <c r="I3364" i="5"/>
  <c r="A3332" i="5"/>
  <c r="I4425" i="8"/>
  <c r="G4426" i="8"/>
  <c r="R2776" i="5"/>
  <c r="R2804" i="5"/>
  <c r="J2458" i="5"/>
  <c r="Z2478" i="5"/>
  <c r="A2486" i="5"/>
  <c r="I3269" i="8"/>
  <c r="G3270" i="8"/>
  <c r="A2421" i="5"/>
  <c r="D2861" i="8"/>
  <c r="M2141" i="5"/>
  <c r="A2108" i="5"/>
  <c r="A2122" i="5"/>
  <c r="R2062" i="5"/>
  <c r="L2049" i="5"/>
  <c r="I2089" i="5"/>
  <c r="R2090" i="5"/>
  <c r="I2725" i="8"/>
  <c r="G2726" i="8"/>
  <c r="I2759" i="8"/>
  <c r="A2767" i="8"/>
  <c r="B2767" i="8"/>
  <c r="M2090" i="5"/>
  <c r="R2076" i="5"/>
  <c r="G1630" i="5"/>
  <c r="D2147" i="8"/>
  <c r="A1591" i="5"/>
  <c r="R1597" i="5"/>
  <c r="M1580" i="5"/>
  <c r="I2079" i="8"/>
  <c r="A2090" i="8"/>
  <c r="G1601" i="8"/>
  <c r="G1567" i="8"/>
  <c r="R1158" i="5"/>
  <c r="J1132" i="5"/>
  <c r="Z1166" i="5"/>
  <c r="L1131" i="5"/>
  <c r="I1171" i="5"/>
  <c r="R1172" i="5"/>
  <c r="R1144" i="5"/>
  <c r="A1139" i="5"/>
  <c r="M1172" i="5"/>
  <c r="A1153" i="5"/>
  <c r="I1501" i="8"/>
  <c r="G1502" i="8"/>
  <c r="A1146" i="5"/>
  <c r="I1535" i="8"/>
  <c r="C1743" i="5"/>
  <c r="A1770" i="5"/>
  <c r="R1754" i="5"/>
  <c r="A1763" i="5"/>
  <c r="A1744" i="5"/>
  <c r="R1764" i="5"/>
  <c r="D2317" i="8"/>
  <c r="A1749" i="5"/>
  <c r="M1733" i="5"/>
  <c r="B764" i="5"/>
  <c r="D57" i="10"/>
  <c r="A743" i="5"/>
  <c r="A553" i="5"/>
  <c r="A532" i="5"/>
  <c r="R2243" i="5"/>
  <c r="A2210" i="5"/>
  <c r="J2203" i="5"/>
  <c r="A2224" i="5"/>
  <c r="A2231" i="5"/>
  <c r="I2963" i="8"/>
  <c r="A2973" i="8"/>
  <c r="B2973" i="8"/>
  <c r="L2202" i="5"/>
  <c r="R2229" i="5"/>
  <c r="A2238" i="5"/>
  <c r="R2215" i="5"/>
  <c r="R3184" i="5"/>
  <c r="D3065" i="8"/>
  <c r="M2251" i="5"/>
  <c r="I3029" i="8"/>
  <c r="G3029" i="8"/>
  <c r="A1948" i="5"/>
  <c r="R1982" i="5"/>
  <c r="C1845" i="5"/>
  <c r="A1851" i="5"/>
  <c r="A1865" i="5"/>
  <c r="R1856" i="5"/>
  <c r="G1885" i="5"/>
  <c r="B1835" i="5"/>
  <c r="R3312" i="5"/>
  <c r="J2917" i="5"/>
  <c r="I1637" i="8"/>
  <c r="G1638" i="8"/>
  <c r="I1273" i="5"/>
  <c r="G1329" i="8"/>
  <c r="M976" i="5"/>
  <c r="I1329" i="8"/>
  <c r="G1295" i="8"/>
  <c r="A242" i="5"/>
  <c r="I3031" i="8"/>
  <c r="A3043" i="8"/>
  <c r="B3043" i="8"/>
  <c r="A1923" i="5"/>
  <c r="R1309" i="5"/>
  <c r="A3075" i="5"/>
  <c r="C3069" i="5"/>
  <c r="A3089" i="5"/>
  <c r="A3096" i="5"/>
  <c r="D4085" i="8"/>
  <c r="A4098" i="8"/>
  <c r="B4098" i="8"/>
  <c r="B3110" i="5"/>
  <c r="A2829" i="5"/>
  <c r="A2843" i="5"/>
  <c r="A2822" i="5"/>
  <c r="R2855" i="5"/>
  <c r="R2827" i="5"/>
  <c r="J2815" i="5"/>
  <c r="Z2821" i="5"/>
  <c r="D224" i="10"/>
  <c r="A2836" i="5"/>
  <c r="A2850" i="5"/>
  <c r="I2446" i="5"/>
  <c r="R2419" i="5"/>
  <c r="R1246" i="5"/>
  <c r="M1274" i="5"/>
  <c r="L1233" i="5"/>
  <c r="J1234" i="5"/>
  <c r="Z1254" i="5"/>
  <c r="A1262" i="5"/>
  <c r="R1274" i="5"/>
  <c r="A1241" i="5"/>
  <c r="A117" i="5"/>
  <c r="B1325" i="5"/>
  <c r="A2261" i="5"/>
  <c r="M2557" i="5"/>
  <c r="I3437" i="8"/>
  <c r="D141" i="8"/>
  <c r="A155" i="8"/>
  <c r="B155" i="8"/>
  <c r="A1285" i="5"/>
  <c r="R1291" i="5"/>
  <c r="A2887" i="5"/>
  <c r="A2085" i="5"/>
  <c r="A2057" i="5"/>
  <c r="A2071" i="5"/>
  <c r="A1814" i="5"/>
  <c r="D2419" i="8"/>
  <c r="B2420" i="8"/>
  <c r="G1834" i="5"/>
  <c r="A1547" i="5"/>
  <c r="A1554" i="5"/>
  <c r="A1561" i="5"/>
  <c r="A1568" i="5"/>
  <c r="I1579" i="5"/>
  <c r="D122" i="10"/>
  <c r="J1540" i="5"/>
  <c r="A1575" i="5"/>
  <c r="R1450" i="5"/>
  <c r="R1935" i="5"/>
  <c r="A2514" i="5"/>
  <c r="D175" i="8"/>
  <c r="A789" i="5"/>
  <c r="B1937" i="5"/>
  <c r="G2038" i="5"/>
  <c r="L2253" i="5"/>
  <c r="A1355" i="5"/>
  <c r="R1907" i="5"/>
  <c r="I2905" i="5"/>
  <c r="I4423" i="8"/>
  <c r="Q2466" i="5"/>
  <c r="Q3143" i="5"/>
  <c r="C247" i="10"/>
  <c r="A247" i="10" s="1"/>
  <c r="B247" i="10"/>
  <c r="Q3092" i="5"/>
  <c r="C243" i="10"/>
  <c r="A243" i="10" s="1"/>
  <c r="Q1402" i="5"/>
  <c r="B110" i="10"/>
  <c r="A110" i="10" s="1"/>
  <c r="C110" i="10"/>
  <c r="Q2378" i="5"/>
  <c r="C187" i="10"/>
  <c r="B187" i="10"/>
  <c r="C13" i="10"/>
  <c r="A13" i="10" s="1"/>
  <c r="B78" i="10"/>
  <c r="A78" i="10" s="1"/>
  <c r="C102" i="10"/>
  <c r="B246" i="10"/>
  <c r="C27" i="10"/>
  <c r="A27" i="10"/>
  <c r="A2533" i="8"/>
  <c r="B2533" i="8"/>
  <c r="B158" i="10"/>
  <c r="Q1766" i="5"/>
  <c r="B139" i="10"/>
  <c r="B238" i="10"/>
  <c r="A238" i="10" s="1"/>
  <c r="Q1001" i="5"/>
  <c r="B79" i="10"/>
  <c r="A79" i="10" s="1"/>
  <c r="B71" i="10"/>
  <c r="A71" i="10"/>
  <c r="Q2670" i="5"/>
  <c r="B162" i="10"/>
  <c r="A162" i="10" s="1"/>
  <c r="C193" i="10"/>
  <c r="B66" i="10"/>
  <c r="A66" i="10" s="1"/>
  <c r="A2532" i="8"/>
  <c r="B2532" i="8"/>
  <c r="A2529" i="8"/>
  <c r="B2529" i="8"/>
  <c r="A122" i="10"/>
  <c r="A229" i="10"/>
  <c r="A1274" i="8"/>
  <c r="B1274" i="8"/>
  <c r="C95" i="10"/>
  <c r="Q2109" i="5"/>
  <c r="B165" i="10"/>
  <c r="A165" i="10" s="1"/>
  <c r="Q2174" i="5"/>
  <c r="C171" i="10"/>
  <c r="Q2626" i="5"/>
  <c r="B206" i="10"/>
  <c r="A206" i="10" s="1"/>
  <c r="C206" i="10"/>
  <c r="Q1395" i="5"/>
  <c r="C109" i="10"/>
  <c r="B179" i="10"/>
  <c r="C179" i="10"/>
  <c r="Q2276" i="5"/>
  <c r="B250" i="10"/>
  <c r="B54" i="10"/>
  <c r="A54" i="10" s="1"/>
  <c r="Q1613" i="5"/>
  <c r="B127" i="10"/>
  <c r="A127" i="10" s="1"/>
  <c r="C127" i="10"/>
  <c r="Q2480" i="5"/>
  <c r="B195" i="10"/>
  <c r="Q2021" i="5"/>
  <c r="B159" i="10"/>
  <c r="A159" i="10" s="1"/>
  <c r="B161" i="10"/>
  <c r="Q2058" i="5"/>
  <c r="Q287" i="5"/>
  <c r="B166" i="10"/>
  <c r="A166" i="10" s="1"/>
  <c r="C166" i="10"/>
  <c r="Q2116" i="5"/>
  <c r="C249" i="10"/>
  <c r="Q3180" i="5"/>
  <c r="B249" i="10"/>
  <c r="A249" i="10" s="1"/>
  <c r="Q3245" i="5"/>
  <c r="C255" i="10"/>
  <c r="B255" i="10"/>
  <c r="Q2888" i="5"/>
  <c r="B227" i="10"/>
  <c r="Q1351" i="5"/>
  <c r="C106" i="10"/>
  <c r="B106" i="10"/>
  <c r="A106" i="10" s="1"/>
  <c r="Q2072" i="5"/>
  <c r="C163" i="10"/>
  <c r="Q2619" i="5"/>
  <c r="B205" i="10"/>
  <c r="C205" i="10"/>
  <c r="A205" i="10"/>
  <c r="C250" i="10"/>
  <c r="C159" i="10"/>
  <c r="Q1147" i="5"/>
  <c r="B90" i="10"/>
  <c r="A90" i="10" s="1"/>
  <c r="C90" i="10"/>
  <c r="Q1140" i="5"/>
  <c r="C89" i="10"/>
  <c r="A89" i="10" s="1"/>
  <c r="B89" i="10"/>
  <c r="Q1810" i="5"/>
  <c r="C142" i="10"/>
  <c r="A142" i="10"/>
  <c r="Q331" i="5"/>
  <c r="C26" i="10"/>
  <c r="B26" i="10"/>
  <c r="A26" i="10"/>
  <c r="B259" i="10"/>
  <c r="C259" i="10"/>
  <c r="A259" i="10" s="1"/>
  <c r="Q3296" i="5"/>
  <c r="C195" i="10"/>
  <c r="A195" i="10" s="1"/>
  <c r="C78" i="10"/>
  <c r="B102" i="10"/>
  <c r="A102" i="10" s="1"/>
  <c r="C246" i="10"/>
  <c r="B109" i="10"/>
  <c r="C161" i="10"/>
  <c r="B163" i="10"/>
  <c r="A163" i="10" s="1"/>
  <c r="A2089" i="8"/>
  <c r="G3032" i="8"/>
  <c r="A109" i="10"/>
  <c r="A255" i="10"/>
  <c r="A250" i="10"/>
  <c r="A161" i="10"/>
  <c r="J734" i="5"/>
  <c r="G58" i="10"/>
  <c r="F58" i="10"/>
  <c r="I59" i="10"/>
  <c r="J59" i="10"/>
  <c r="Q738" i="5"/>
  <c r="Q739" i="5"/>
  <c r="H58" i="10"/>
  <c r="J58" i="10"/>
  <c r="K734" i="5"/>
  <c r="Q737" i="5"/>
  <c r="I116" i="4"/>
  <c r="I126" i="4"/>
  <c r="G76" i="4"/>
  <c r="I20" i="4"/>
  <c r="G2080" i="8"/>
  <c r="I2995" i="8"/>
  <c r="A1341" i="5"/>
  <c r="C3171" i="5"/>
  <c r="A1626" i="5"/>
  <c r="I1630" i="5"/>
  <c r="A2088" i="8"/>
  <c r="B2088" i="8"/>
  <c r="A3248" i="8"/>
  <c r="B3248" i="8"/>
  <c r="A3246" i="8"/>
  <c r="B3246" i="8"/>
  <c r="A3620" i="8"/>
  <c r="D1433" i="8"/>
  <c r="A1442" i="8"/>
  <c r="B1442" i="8"/>
  <c r="A2827" i="5"/>
  <c r="A2093" i="8"/>
  <c r="A3618" i="8"/>
  <c r="B3618" i="8"/>
  <c r="A3619" i="8"/>
  <c r="B3619" i="8"/>
  <c r="I2757" i="8"/>
  <c r="B346" i="8"/>
  <c r="I304" i="5"/>
  <c r="R1705" i="5"/>
  <c r="M772" i="5"/>
  <c r="I1057" i="8"/>
  <c r="R2190" i="5"/>
  <c r="I4323" i="8"/>
  <c r="A4335" i="8"/>
  <c r="B4335" i="8"/>
  <c r="A3251" i="5"/>
  <c r="A393" i="5"/>
  <c r="A563" i="8"/>
  <c r="B563" i="8"/>
  <c r="G3364" i="5"/>
  <c r="D59" i="10"/>
  <c r="R36" i="5"/>
  <c r="G2905" i="5"/>
  <c r="A599" i="5"/>
  <c r="Z2070" i="5"/>
  <c r="Z2084" i="5"/>
  <c r="K20" i="5"/>
  <c r="L20" i="5"/>
  <c r="J20" i="5"/>
  <c r="H20" i="5"/>
  <c r="J2" i="10"/>
  <c r="H3" i="10"/>
  <c r="H27" i="5"/>
  <c r="Z2464" i="5"/>
  <c r="Z1101" i="5"/>
  <c r="R2719" i="5"/>
  <c r="Z1138" i="5"/>
  <c r="R2733" i="5"/>
  <c r="R2362" i="5"/>
  <c r="Z1087" i="5"/>
  <c r="G3" i="10"/>
  <c r="L27" i="5"/>
  <c r="J3" i="10"/>
  <c r="I3" i="10"/>
  <c r="F3" i="10"/>
  <c r="J27" i="5"/>
  <c r="I27" i="5"/>
  <c r="Q31" i="5"/>
  <c r="K27" i="5"/>
  <c r="Q23" i="5"/>
  <c r="G2" i="10"/>
  <c r="Q24" i="5"/>
  <c r="I20" i="5"/>
  <c r="H2" i="10"/>
  <c r="I4151" i="8"/>
  <c r="I4185" i="8"/>
  <c r="A2330" i="8"/>
  <c r="B2330" i="8"/>
  <c r="A2331" i="8"/>
  <c r="B2331" i="8"/>
  <c r="A1548" i="8"/>
  <c r="B1548" i="8"/>
  <c r="A1544" i="8"/>
  <c r="B1544" i="8"/>
  <c r="A1549" i="8"/>
  <c r="A3518" i="8"/>
  <c r="B3518" i="8"/>
  <c r="G3508" i="8"/>
  <c r="A1473" i="5"/>
  <c r="A1452" i="5"/>
  <c r="A1004" i="8"/>
  <c r="B1004" i="8"/>
  <c r="A1000" i="8"/>
  <c r="B1000" i="8"/>
  <c r="C162" i="5"/>
  <c r="A163" i="5"/>
  <c r="R197" i="5"/>
  <c r="A133" i="5"/>
  <c r="A119" i="5"/>
  <c r="A4092" i="8"/>
  <c r="B4092" i="8"/>
  <c r="A1547" i="8"/>
  <c r="B1547" i="8"/>
  <c r="A2324" i="8"/>
  <c r="B2324" i="8"/>
  <c r="G1536" i="8"/>
  <c r="A1546" i="8"/>
  <c r="B1546" i="8"/>
  <c r="A3519" i="8"/>
  <c r="B3519" i="8"/>
  <c r="J724" i="5"/>
  <c r="Z758" i="5"/>
  <c r="A731" i="5"/>
  <c r="I1909" i="8"/>
  <c r="G1910" i="8"/>
  <c r="D263" i="10"/>
  <c r="A38" i="5"/>
  <c r="D3813" i="8"/>
  <c r="B3814" i="8"/>
  <c r="A293" i="5"/>
  <c r="J112" i="5"/>
  <c r="Z132" i="5"/>
  <c r="I2011" i="8"/>
  <c r="A2025" i="8"/>
  <c r="B2025" i="8"/>
  <c r="A2820" i="5"/>
  <c r="A4331" i="8"/>
  <c r="B4331" i="8"/>
  <c r="A4337" i="8"/>
  <c r="B4337" i="8"/>
  <c r="G202" i="5"/>
  <c r="R2927" i="5"/>
  <c r="A16" i="8"/>
  <c r="B16" i="8"/>
  <c r="A19" i="8"/>
  <c r="B19" i="8"/>
  <c r="A18" i="8"/>
  <c r="B18" i="8"/>
  <c r="I49" i="5"/>
  <c r="I2803" i="5"/>
  <c r="A2799" i="5"/>
  <c r="R2433" i="5"/>
  <c r="R2447" i="5"/>
  <c r="J2254" i="5"/>
  <c r="M2294" i="5"/>
  <c r="D957" i="8"/>
  <c r="B958" i="8"/>
  <c r="A750" i="5"/>
  <c r="R762" i="5"/>
  <c r="R734" i="5"/>
  <c r="F764" i="5"/>
  <c r="AH15" i="5"/>
  <c r="M670" i="5"/>
  <c r="I887" i="8"/>
  <c r="G921" i="8"/>
  <c r="A520" i="5"/>
  <c r="R554" i="5"/>
  <c r="R530" i="5"/>
  <c r="R544" i="5"/>
  <c r="B560" i="5"/>
  <c r="A430" i="5"/>
  <c r="R456" i="5"/>
  <c r="A423" i="5"/>
  <c r="B458" i="5"/>
  <c r="D34" i="10"/>
  <c r="R405" i="5"/>
  <c r="A379" i="5"/>
  <c r="R377" i="5"/>
  <c r="G406" i="5"/>
  <c r="A221" i="5"/>
  <c r="R254" i="5"/>
  <c r="I253" i="5"/>
  <c r="A145" i="5"/>
  <c r="A131" i="5"/>
  <c r="A124" i="5"/>
  <c r="D1" i="10"/>
  <c r="A43" i="5"/>
  <c r="Z1268" i="5"/>
  <c r="A1543" i="8"/>
  <c r="B1543" i="8"/>
  <c r="I1295" i="8"/>
  <c r="A2972" i="8"/>
  <c r="B2972" i="8"/>
  <c r="A1001" i="8"/>
  <c r="B1001" i="8"/>
  <c r="B550" i="8"/>
  <c r="A3313" i="8"/>
  <c r="B3313" i="8"/>
  <c r="A3317" i="8"/>
  <c r="B3317" i="8"/>
  <c r="A15" i="8"/>
  <c r="B15" i="8"/>
  <c r="A3520" i="8"/>
  <c r="B3520" i="8"/>
  <c r="M1478" i="5"/>
  <c r="R764" i="5"/>
  <c r="X2084" i="5"/>
  <c r="G105" i="8"/>
  <c r="G151" i="5"/>
  <c r="L2406" i="5"/>
  <c r="A3344" i="5"/>
  <c r="C111" i="5"/>
  <c r="A2268" i="5"/>
  <c r="A24" i="5"/>
  <c r="R226" i="5"/>
  <c r="X2937" i="5"/>
  <c r="A386" i="5"/>
  <c r="G1987" i="5"/>
  <c r="A539" i="5"/>
  <c r="G887" i="8"/>
  <c r="D991" i="8"/>
  <c r="J1001" i="8"/>
  <c r="A736" i="5"/>
  <c r="A1721" i="5"/>
  <c r="I175" i="8"/>
  <c r="F175" i="8"/>
  <c r="G1023" i="8"/>
  <c r="A2435" i="5"/>
  <c r="I3677" i="8"/>
  <c r="G3678" i="8"/>
  <c r="R2853" i="5"/>
  <c r="M619" i="5"/>
  <c r="I853" i="8"/>
  <c r="D24" i="10"/>
  <c r="A3237" i="5"/>
  <c r="L570" i="5"/>
  <c r="A444" i="5"/>
  <c r="J3172" i="5"/>
  <c r="C723" i="5"/>
  <c r="G457" i="5"/>
  <c r="A298" i="5"/>
  <c r="A270" i="5"/>
  <c r="R303" i="5"/>
  <c r="I277" i="8"/>
  <c r="G278" i="8"/>
  <c r="D243" i="8"/>
  <c r="B244" i="8"/>
  <c r="A400" i="5"/>
  <c r="I39" i="8"/>
  <c r="G40" i="8"/>
  <c r="A45" i="5"/>
  <c r="A961" i="5"/>
  <c r="A3024" i="5"/>
  <c r="X3039" i="5"/>
  <c r="C3018" i="5"/>
  <c r="A2516" i="5"/>
  <c r="A2530" i="5"/>
  <c r="D178" i="10"/>
  <c r="G1732" i="5"/>
  <c r="A1698" i="5"/>
  <c r="G1839" i="8"/>
  <c r="M1384" i="5"/>
  <c r="I1839" i="8"/>
  <c r="A1336" i="5"/>
  <c r="R1346" i="5"/>
  <c r="A219" i="5"/>
  <c r="C213" i="5"/>
  <c r="A3242" i="8"/>
  <c r="B3242" i="8"/>
  <c r="A1545" i="8"/>
  <c r="B1545" i="8"/>
  <c r="A4334" i="8"/>
  <c r="B4334" i="8"/>
  <c r="A998" i="8"/>
  <c r="B998" i="8"/>
  <c r="A1542" i="8"/>
  <c r="B1542" i="8"/>
  <c r="A359" i="8"/>
  <c r="B359" i="8"/>
  <c r="A3514" i="8"/>
  <c r="B3514" i="8"/>
  <c r="A3517" i="8"/>
  <c r="A3515" i="8"/>
  <c r="B3515" i="8"/>
  <c r="B152" i="5"/>
  <c r="A138" i="5"/>
  <c r="R736" i="5"/>
  <c r="D179" i="10"/>
  <c r="D42" i="10"/>
  <c r="M2447" i="5"/>
  <c r="B254" i="5"/>
  <c r="D9" i="10"/>
  <c r="L213" i="5"/>
  <c r="I1739" i="8"/>
  <c r="A1749" i="8"/>
  <c r="B1749" i="8"/>
  <c r="A1967" i="5"/>
  <c r="D3099" i="8"/>
  <c r="B3100" i="8"/>
  <c r="G763" i="5"/>
  <c r="A2866" i="5"/>
  <c r="R2900" i="5"/>
  <c r="X285" i="5"/>
  <c r="G559" i="5"/>
  <c r="A729" i="5"/>
  <c r="A757" i="5"/>
  <c r="C876" i="5"/>
  <c r="A140" i="5"/>
  <c r="X452" i="5"/>
  <c r="A2171" i="5"/>
  <c r="A2428" i="5"/>
  <c r="I3711" i="8"/>
  <c r="A3719" i="8"/>
  <c r="B3719" i="8"/>
  <c r="R277" i="5"/>
  <c r="R442" i="5"/>
  <c r="A451" i="5"/>
  <c r="C519" i="5"/>
  <c r="A2282" i="5"/>
  <c r="A724" i="5"/>
  <c r="R744" i="5"/>
  <c r="R3212" i="5"/>
  <c r="A418" i="5"/>
  <c r="R187" i="5"/>
  <c r="I4221" i="8"/>
  <c r="G4222" i="8"/>
  <c r="B407" i="5"/>
  <c r="I1603" i="8"/>
  <c r="A1611" i="8"/>
  <c r="B3610" i="8"/>
  <c r="A3622" i="8"/>
  <c r="B3622" i="8"/>
  <c r="R240" i="5"/>
  <c r="R1852" i="5"/>
  <c r="R1866" i="5"/>
  <c r="A277" i="5"/>
  <c r="K19" i="4"/>
  <c r="K18" i="4"/>
  <c r="K17" i="4"/>
  <c r="F51" i="10"/>
  <c r="L639" i="5"/>
  <c r="Q642" i="5"/>
  <c r="I51" i="10"/>
  <c r="K639" i="5"/>
  <c r="Q643" i="5"/>
  <c r="Q644" i="5"/>
  <c r="A2364" i="8"/>
  <c r="A2365" i="8"/>
  <c r="B2365" i="8"/>
  <c r="A2358" i="8"/>
  <c r="A2359" i="8"/>
  <c r="A2363" i="8"/>
  <c r="B2363" i="8"/>
  <c r="A2362" i="8"/>
  <c r="G2362" i="8"/>
  <c r="F2351" i="8"/>
  <c r="A2361" i="8"/>
  <c r="J2361" i="8"/>
  <c r="G2352" i="8"/>
  <c r="A2360" i="8"/>
  <c r="B2360" i="8"/>
  <c r="E2380" i="8"/>
  <c r="A797" i="8"/>
  <c r="B797" i="8"/>
  <c r="A801" i="8"/>
  <c r="B801" i="8"/>
  <c r="G3262" i="5"/>
  <c r="R3261" i="5"/>
  <c r="A3249" i="5"/>
  <c r="A3128" i="5"/>
  <c r="R3133" i="5"/>
  <c r="R3147" i="5"/>
  <c r="A3135" i="5"/>
  <c r="I4153" i="8"/>
  <c r="G4154" i="8"/>
  <c r="A3142" i="5"/>
  <c r="F2804" i="5"/>
  <c r="D220" i="10"/>
  <c r="D151" i="10"/>
  <c r="I2521" i="8"/>
  <c r="A2530" i="8"/>
  <c r="G2530" i="8"/>
  <c r="L1794" i="5"/>
  <c r="R1835" i="5"/>
  <c r="M1835" i="5"/>
  <c r="I2113" i="8"/>
  <c r="G2114" i="8"/>
  <c r="A1598" i="5"/>
  <c r="I2147" i="8"/>
  <c r="E2176" i="8"/>
  <c r="R1631" i="5"/>
  <c r="R1603" i="5"/>
  <c r="M1631" i="5"/>
  <c r="F1631" i="5"/>
  <c r="G1941" i="8"/>
  <c r="M1435" i="5"/>
  <c r="I1941" i="8"/>
  <c r="A1188" i="5"/>
  <c r="B1223" i="5"/>
  <c r="D95" i="10"/>
  <c r="R1778" i="5"/>
  <c r="R252" i="5"/>
  <c r="R3043" i="5"/>
  <c r="R1374" i="5"/>
  <c r="F254" i="5"/>
  <c r="O211" i="5"/>
  <c r="G1375" i="5"/>
  <c r="R2549" i="5"/>
  <c r="A1619" i="5"/>
  <c r="A1005" i="8"/>
  <c r="A1002" i="8"/>
  <c r="B1002" i="8"/>
  <c r="I4117" i="8"/>
  <c r="A3617" i="8"/>
  <c r="B3617" i="8"/>
  <c r="A3616" i="8"/>
  <c r="B3616" i="8"/>
  <c r="A1003" i="8"/>
  <c r="B1003" i="8"/>
  <c r="A1802" i="5"/>
  <c r="L1590" i="5"/>
  <c r="J1591" i="5"/>
  <c r="D4425" i="8"/>
  <c r="A4438" i="8"/>
  <c r="J4438" i="8"/>
  <c r="X3331" i="5"/>
  <c r="D262" i="10"/>
  <c r="G4185" i="8"/>
  <c r="G4151" i="8"/>
  <c r="G4083" i="8"/>
  <c r="G4117" i="8"/>
  <c r="A2917" i="5"/>
  <c r="R2951" i="5"/>
  <c r="B2957" i="5"/>
  <c r="C2916" i="5"/>
  <c r="D3881" i="8"/>
  <c r="R2941" i="5"/>
  <c r="G2956" i="5"/>
  <c r="R2955" i="5"/>
  <c r="A2929" i="5"/>
  <c r="A2950" i="5"/>
  <c r="R2876" i="5"/>
  <c r="A2885" i="5"/>
  <c r="B2906" i="5"/>
  <c r="R2890" i="5"/>
  <c r="C2814" i="5"/>
  <c r="B2820" i="5"/>
  <c r="B2848" i="5" s="1"/>
  <c r="A2848" i="5"/>
  <c r="G2854" i="5"/>
  <c r="D222" i="10"/>
  <c r="R2825" i="5"/>
  <c r="A2834" i="5"/>
  <c r="B2855" i="5"/>
  <c r="X2849" i="5"/>
  <c r="X2645" i="5"/>
  <c r="A2616" i="5"/>
  <c r="D3269" i="8"/>
  <c r="A3282" i="8"/>
  <c r="B3282" i="8"/>
  <c r="D3303" i="8"/>
  <c r="B3304" i="8"/>
  <c r="F1580" i="5"/>
  <c r="X1560" i="5"/>
  <c r="F1121" i="5"/>
  <c r="D85" i="10"/>
  <c r="R1105" i="5"/>
  <c r="B1070" i="5"/>
  <c r="R1054" i="5"/>
  <c r="D855" i="8"/>
  <c r="B856" i="8"/>
  <c r="R646" i="5"/>
  <c r="B662" i="5"/>
  <c r="R632" i="5"/>
  <c r="A541" i="5"/>
  <c r="L519" i="5"/>
  <c r="D41" i="10"/>
  <c r="I559" i="5"/>
  <c r="F560" i="5"/>
  <c r="A453" i="5"/>
  <c r="A432" i="5"/>
  <c r="I583" i="8"/>
  <c r="R430" i="5"/>
  <c r="R379" i="5"/>
  <c r="J367" i="5"/>
  <c r="Z387" i="5"/>
  <c r="A402" i="5"/>
  <c r="J265" i="5"/>
  <c r="Z299" i="5"/>
  <c r="X271" i="5"/>
  <c r="X299" i="5"/>
  <c r="A279" i="5"/>
  <c r="R305" i="5"/>
  <c r="D22" i="10"/>
  <c r="A175" i="5"/>
  <c r="A189" i="5"/>
  <c r="A168" i="5"/>
  <c r="B203" i="5"/>
  <c r="I141" i="8"/>
  <c r="F141" i="8"/>
  <c r="M152" i="5"/>
  <c r="A147" i="5"/>
  <c r="L111" i="5"/>
  <c r="F152" i="5"/>
  <c r="O109" i="5"/>
  <c r="X118" i="5"/>
  <c r="I151" i="5"/>
  <c r="R152" i="5"/>
  <c r="X132" i="5"/>
  <c r="A126" i="5"/>
  <c r="D10" i="10"/>
  <c r="D12" i="10"/>
  <c r="I5" i="8"/>
  <c r="F50" i="5"/>
  <c r="O7" i="5"/>
  <c r="M50" i="5"/>
  <c r="R22" i="5"/>
  <c r="L9" i="5"/>
  <c r="D2" i="10"/>
  <c r="D3" i="10"/>
  <c r="A46" i="8"/>
  <c r="B46" i="8"/>
  <c r="G3211" i="5"/>
  <c r="A3172" i="5"/>
  <c r="D252" i="10"/>
  <c r="A2537" i="5"/>
  <c r="I3371" i="8"/>
  <c r="A3379" i="8"/>
  <c r="B3379" i="8"/>
  <c r="I2548" i="5"/>
  <c r="L2508" i="5"/>
  <c r="J2509" i="5"/>
  <c r="I3337" i="8"/>
  <c r="G3338" i="8"/>
  <c r="R2521" i="5"/>
  <c r="M2549" i="5"/>
  <c r="A2523" i="5"/>
  <c r="R2278" i="5"/>
  <c r="X2260" i="5"/>
  <c r="X2274" i="5"/>
  <c r="D139" i="10"/>
  <c r="R1784" i="5"/>
  <c r="J1744" i="5"/>
  <c r="D1773" i="8"/>
  <c r="C1335" i="5"/>
  <c r="D1807" i="8"/>
  <c r="B1808" i="8"/>
  <c r="A1362" i="5"/>
  <c r="A1348" i="5"/>
  <c r="I1324" i="5"/>
  <c r="A1306" i="5"/>
  <c r="A1313" i="5"/>
  <c r="A1299" i="5"/>
  <c r="L1284" i="5"/>
  <c r="X1319" i="5"/>
  <c r="M866" i="5"/>
  <c r="R838" i="5"/>
  <c r="L825" i="5"/>
  <c r="G751" i="8"/>
  <c r="M568" i="5"/>
  <c r="G785" i="8"/>
  <c r="M517" i="5"/>
  <c r="I717" i="8"/>
  <c r="G683" i="8"/>
  <c r="R356" i="5"/>
  <c r="L315" i="5"/>
  <c r="D17" i="10"/>
  <c r="A247" i="5"/>
  <c r="R238" i="5"/>
  <c r="A240" i="5"/>
  <c r="X234" i="5"/>
  <c r="A226" i="5"/>
  <c r="D19" i="10"/>
  <c r="L60" i="5"/>
  <c r="A68" i="5"/>
  <c r="I100" i="5"/>
  <c r="Z1240" i="5"/>
  <c r="G1873" i="8"/>
  <c r="G3403" i="8"/>
  <c r="R1297" i="5"/>
  <c r="A1202" i="5"/>
  <c r="A896" i="5"/>
  <c r="R73" i="5"/>
  <c r="A1605" i="5"/>
  <c r="R1617" i="5"/>
  <c r="R3196" i="5"/>
  <c r="I3403" i="8"/>
  <c r="L1743" i="5"/>
  <c r="X1829" i="5"/>
  <c r="R3057" i="5"/>
  <c r="D277" i="8"/>
  <c r="R915" i="5"/>
  <c r="X248" i="5"/>
  <c r="R2535" i="5"/>
  <c r="G717" i="8"/>
  <c r="A999" i="8"/>
  <c r="G992" i="8"/>
  <c r="R2376" i="5"/>
  <c r="A3623" i="8"/>
  <c r="A2528" i="8"/>
  <c r="B2528" i="8"/>
  <c r="A13" i="8"/>
  <c r="B13" i="8"/>
  <c r="A1459" i="5"/>
  <c r="A1369" i="5"/>
  <c r="D311" i="8"/>
  <c r="B312" i="8"/>
  <c r="D137" i="10"/>
  <c r="R2753" i="5"/>
  <c r="F1835" i="5"/>
  <c r="AH36" i="5"/>
  <c r="X2631" i="5"/>
  <c r="C2967" i="5"/>
  <c r="A214" i="5"/>
  <c r="R248" i="5"/>
  <c r="F2294" i="5"/>
  <c r="AH45" i="5"/>
  <c r="X2288" i="5"/>
  <c r="X1115" i="5"/>
  <c r="R2468" i="5"/>
  <c r="D221" i="10"/>
  <c r="R3335" i="5"/>
  <c r="D104" i="10"/>
  <c r="D11" i="10"/>
  <c r="B1376" i="5"/>
  <c r="M3161" i="5"/>
  <c r="I413" i="8"/>
  <c r="G414" i="8"/>
  <c r="R1119" i="5"/>
  <c r="A3223" i="5"/>
  <c r="R3257" i="5"/>
  <c r="A2544" i="5"/>
  <c r="R2904" i="5"/>
  <c r="A286" i="5"/>
  <c r="A53" i="8"/>
  <c r="B53" i="8"/>
  <c r="R124" i="5"/>
  <c r="R138" i="5"/>
  <c r="D36" i="10"/>
  <c r="A51" i="8"/>
  <c r="B51" i="8"/>
  <c r="R2649" i="5"/>
  <c r="D3745" i="8"/>
  <c r="A3757" i="8"/>
  <c r="R2839" i="5"/>
  <c r="I73" i="8"/>
  <c r="G74" i="8"/>
  <c r="C1029" i="5"/>
  <c r="R1807" i="5"/>
  <c r="L264" i="5"/>
  <c r="A196" i="5"/>
  <c r="R3182" i="5"/>
  <c r="B1580" i="5"/>
  <c r="X526" i="5"/>
  <c r="R173" i="5"/>
  <c r="A840" i="5"/>
  <c r="A2266" i="5"/>
  <c r="F1376" i="5"/>
  <c r="O1333" i="5"/>
  <c r="A2020" i="8"/>
  <c r="B2020" i="8"/>
  <c r="O721" i="5"/>
  <c r="A3759" i="8"/>
  <c r="B3759" i="8"/>
  <c r="B17" i="8"/>
  <c r="C2610" i="5"/>
  <c r="A4099" i="8"/>
  <c r="B4099" i="8"/>
  <c r="A4094" i="8"/>
  <c r="B4094" i="8"/>
  <c r="A947" i="5"/>
  <c r="D208" i="10"/>
  <c r="A794" i="8"/>
  <c r="B794" i="8"/>
  <c r="G788" i="8"/>
  <c r="A1446" i="8"/>
  <c r="G1446" i="8"/>
  <c r="A1683" i="8"/>
  <c r="B1683" i="8"/>
  <c r="G1672" i="8"/>
  <c r="A1680" i="8"/>
  <c r="B1680" i="8"/>
  <c r="A1679" i="8"/>
  <c r="B1679" i="8"/>
  <c r="A1678" i="8"/>
  <c r="B1678" i="8"/>
  <c r="A1684" i="8"/>
  <c r="B1684" i="8"/>
  <c r="A1685" i="8"/>
  <c r="B1685" i="8"/>
  <c r="M874" i="5"/>
  <c r="G1159" i="8"/>
  <c r="G1193" i="8"/>
  <c r="D62" i="10"/>
  <c r="I1059" i="8"/>
  <c r="A1071" i="8"/>
  <c r="B1071" i="8"/>
  <c r="G4324" i="8"/>
  <c r="A4336" i="8"/>
  <c r="B4336" i="8"/>
  <c r="I3607" i="8"/>
  <c r="I3641" i="8"/>
  <c r="G3539" i="8"/>
  <c r="G3573" i="8"/>
  <c r="M2659" i="5"/>
  <c r="I3539" i="8"/>
  <c r="R2635" i="5"/>
  <c r="D207" i="10"/>
  <c r="B2651" i="5"/>
  <c r="A2623" i="5"/>
  <c r="F2651" i="5"/>
  <c r="O2608" i="5"/>
  <c r="X2617" i="5"/>
  <c r="D205" i="10"/>
  <c r="A2630" i="5"/>
  <c r="G2650" i="5"/>
  <c r="A2611" i="5"/>
  <c r="A2644" i="5"/>
  <c r="D3507" i="8"/>
  <c r="A2637" i="5"/>
  <c r="D3473" i="8"/>
  <c r="A3484" i="8"/>
  <c r="G3484" i="8"/>
  <c r="R2621" i="5"/>
  <c r="A2595" i="5"/>
  <c r="I2599" i="5"/>
  <c r="M2600" i="5"/>
  <c r="J2560" i="5"/>
  <c r="R2572" i="5"/>
  <c r="A2581" i="5"/>
  <c r="I3405" i="8"/>
  <c r="G3406" i="8"/>
  <c r="X2478" i="5"/>
  <c r="R2482" i="5"/>
  <c r="A2484" i="5"/>
  <c r="R2496" i="5"/>
  <c r="A2491" i="5"/>
  <c r="A2470" i="5"/>
  <c r="F2498" i="5"/>
  <c r="AH49" i="5"/>
  <c r="B2498" i="5"/>
  <c r="A2463" i="5"/>
  <c r="J2305" i="5"/>
  <c r="R2317" i="5"/>
  <c r="M2345" i="5"/>
  <c r="A2312" i="5"/>
  <c r="R2345" i="5"/>
  <c r="R2331" i="5"/>
  <c r="A2326" i="5"/>
  <c r="L2304" i="5"/>
  <c r="C2202" i="5"/>
  <c r="D173" i="10"/>
  <c r="A2113" i="5"/>
  <c r="D2827" i="8"/>
  <c r="B2828" i="8"/>
  <c r="R2125" i="5"/>
  <c r="A2134" i="5"/>
  <c r="R2060" i="5"/>
  <c r="D162" i="10"/>
  <c r="X2070" i="5"/>
  <c r="R2011" i="5"/>
  <c r="R2025" i="5"/>
  <c r="J1999" i="5"/>
  <c r="A1955" i="5"/>
  <c r="D155" i="10"/>
  <c r="M1988" i="5"/>
  <c r="G2485" i="8"/>
  <c r="M1843" i="5"/>
  <c r="G2451" i="8"/>
  <c r="G2417" i="8"/>
  <c r="M1792" i="5"/>
  <c r="M1639" i="5"/>
  <c r="G2179" i="8"/>
  <c r="G1579" i="5"/>
  <c r="C1539" i="5"/>
  <c r="D2079" i="8"/>
  <c r="A2087" i="8"/>
  <c r="G2087" i="8"/>
  <c r="R1564" i="5"/>
  <c r="A1552" i="5"/>
  <c r="X1546" i="5"/>
  <c r="X1574" i="5"/>
  <c r="D2045" i="8"/>
  <c r="A1573" i="5"/>
  <c r="A1566" i="5"/>
  <c r="R1578" i="5"/>
  <c r="R1550" i="5"/>
  <c r="A1517" i="5"/>
  <c r="L1488" i="5"/>
  <c r="I1528" i="5"/>
  <c r="A1524" i="5"/>
  <c r="A1503" i="5"/>
  <c r="R1464" i="5"/>
  <c r="A1445" i="5"/>
  <c r="R1478" i="5"/>
  <c r="A1466" i="5"/>
  <c r="L1437" i="5"/>
  <c r="I1477" i="5"/>
  <c r="I1943" i="8"/>
  <c r="F1478" i="5"/>
  <c r="AH29" i="5"/>
  <c r="M1282" i="5"/>
  <c r="G1703" i="8"/>
  <c r="G1737" i="8"/>
  <c r="C1233" i="5"/>
  <c r="D100" i="10"/>
  <c r="X1240" i="5"/>
  <c r="A1239" i="5"/>
  <c r="G1273" i="5"/>
  <c r="R1142" i="5"/>
  <c r="R1156" i="5"/>
  <c r="A1158" i="5"/>
  <c r="A1132" i="5"/>
  <c r="R1138" i="5"/>
  <c r="R1091" i="5"/>
  <c r="X1101" i="5"/>
  <c r="D88" i="10"/>
  <c r="A1100" i="5"/>
  <c r="A1086" i="5"/>
  <c r="B1121" i="5"/>
  <c r="A1107" i="5"/>
  <c r="A1114" i="5"/>
  <c r="A1081" i="5"/>
  <c r="R1101" i="5"/>
  <c r="A1093" i="5"/>
  <c r="D1467" i="8"/>
  <c r="B1468" i="8"/>
  <c r="D1399" i="8"/>
  <c r="B1400" i="8"/>
  <c r="R1068" i="5"/>
  <c r="A1042" i="5"/>
  <c r="A1030" i="5"/>
  <c r="A1056" i="5"/>
  <c r="D1365" i="8"/>
  <c r="A1372" i="8"/>
  <c r="B1372" i="8"/>
  <c r="R1040" i="5"/>
  <c r="A1063" i="5"/>
  <c r="I71" i="8"/>
  <c r="A4093" i="8"/>
  <c r="A4333" i="8"/>
  <c r="B4333" i="8"/>
  <c r="A799" i="8"/>
  <c r="B799" i="8"/>
  <c r="A800" i="8"/>
  <c r="B800" i="8"/>
  <c r="A1682" i="8"/>
  <c r="B1682" i="8"/>
  <c r="G1120" i="5"/>
  <c r="A3249" i="8"/>
  <c r="B3249" i="8"/>
  <c r="A3243" i="8"/>
  <c r="B3243" i="8"/>
  <c r="A3244" i="8"/>
  <c r="B3244" i="8"/>
  <c r="G3236" i="8"/>
  <c r="A3245" i="8"/>
  <c r="B3245" i="8"/>
  <c r="A3247" i="8"/>
  <c r="B3247" i="8"/>
  <c r="A3820" i="8"/>
  <c r="B3820" i="8"/>
  <c r="X1138" i="5"/>
  <c r="G2383" i="8"/>
  <c r="D171" i="10"/>
  <c r="D206" i="10"/>
  <c r="D86" i="10"/>
  <c r="A2101" i="5"/>
  <c r="A1035" i="5"/>
  <c r="A2588" i="5"/>
  <c r="G3304" i="8"/>
  <c r="A3312" i="8"/>
  <c r="B3312" i="8"/>
  <c r="A3311" i="8"/>
  <c r="B3311" i="8"/>
  <c r="A2333" i="5"/>
  <c r="I3065" i="8"/>
  <c r="G3066" i="8"/>
  <c r="G1069" i="5"/>
  <c r="B2530" i="8"/>
  <c r="A2531" i="8"/>
  <c r="B2522" i="8"/>
  <c r="A2534" i="8"/>
  <c r="B2534" i="8"/>
  <c r="G2213" i="8"/>
  <c r="X3243" i="5"/>
  <c r="X3229" i="5"/>
  <c r="D4289" i="8"/>
  <c r="A3235" i="5"/>
  <c r="D250" i="10"/>
  <c r="X3178" i="5"/>
  <c r="A3149" i="5"/>
  <c r="I3160" i="5"/>
  <c r="J3121" i="5"/>
  <c r="A3156" i="5"/>
  <c r="R3161" i="5"/>
  <c r="L3120" i="5"/>
  <c r="A3031" i="5"/>
  <c r="D4051" i="8"/>
  <c r="B4052" i="8"/>
  <c r="A3045" i="5"/>
  <c r="R866" i="5"/>
  <c r="R852" i="5"/>
  <c r="A833" i="5"/>
  <c r="A854" i="5"/>
  <c r="A861" i="5"/>
  <c r="I865" i="5"/>
  <c r="A847" i="5"/>
  <c r="I1127" i="8"/>
  <c r="G649" i="8"/>
  <c r="M466" i="5"/>
  <c r="I615" i="8"/>
  <c r="G615" i="8"/>
  <c r="R342" i="5"/>
  <c r="J316" i="5"/>
  <c r="A344" i="5"/>
  <c r="A337" i="5"/>
  <c r="A323" i="5"/>
  <c r="M356" i="5"/>
  <c r="G343" i="8"/>
  <c r="M262" i="5"/>
  <c r="R101" i="5"/>
  <c r="I107" i="8"/>
  <c r="A118" i="8"/>
  <c r="M101" i="5"/>
  <c r="A96" i="5"/>
  <c r="A75" i="5"/>
  <c r="R87" i="5"/>
  <c r="A82" i="5"/>
  <c r="A89" i="5"/>
  <c r="J61" i="5"/>
  <c r="J826" i="5"/>
  <c r="I1093" i="8"/>
  <c r="G1094" i="8"/>
  <c r="I1601" i="8"/>
  <c r="I1567" i="8"/>
  <c r="A3293" i="5"/>
  <c r="A3274" i="5"/>
  <c r="R3280" i="5"/>
  <c r="I4289" i="8"/>
  <c r="G4290" i="8"/>
  <c r="L3222" i="5"/>
  <c r="R3263" i="5"/>
  <c r="I3262" i="5"/>
  <c r="I4255" i="8"/>
  <c r="A4268" i="8"/>
  <c r="B4268" i="8"/>
  <c r="A3200" i="5"/>
  <c r="A3186" i="5"/>
  <c r="L3171" i="5"/>
  <c r="R3198" i="5"/>
  <c r="A3207" i="5"/>
  <c r="I3211" i="5"/>
  <c r="M2965" i="5"/>
  <c r="I3981" i="8"/>
  <c r="G3981" i="8"/>
  <c r="G3845" i="8"/>
  <c r="M2863" i="5"/>
  <c r="G3777" i="8"/>
  <c r="G3743" i="8"/>
  <c r="M2812" i="5"/>
  <c r="A2778" i="5"/>
  <c r="A2792" i="5"/>
  <c r="R2790" i="5"/>
  <c r="A2771" i="5"/>
  <c r="M2804" i="5"/>
  <c r="J2764" i="5"/>
  <c r="Z2784" i="5"/>
  <c r="L2763" i="5"/>
  <c r="A2414" i="5"/>
  <c r="J2407" i="5"/>
  <c r="Z2427" i="5"/>
  <c r="I3201" i="8"/>
  <c r="G3202" i="8"/>
  <c r="A2289" i="5"/>
  <c r="R2266" i="5"/>
  <c r="I2293" i="5"/>
  <c r="D2895" i="8"/>
  <c r="B2896" i="8"/>
  <c r="R2176" i="5"/>
  <c r="G2191" i="5"/>
  <c r="A2157" i="5"/>
  <c r="A2178" i="5"/>
  <c r="A2185" i="5"/>
  <c r="C2151" i="5"/>
  <c r="R2162" i="5"/>
  <c r="B2192" i="5"/>
  <c r="A2152" i="5"/>
  <c r="R2158" i="5"/>
  <c r="D156" i="10"/>
  <c r="A1960" i="5"/>
  <c r="R1719" i="5"/>
  <c r="I2283" i="8"/>
  <c r="A2295" i="8"/>
  <c r="B2295" i="8"/>
  <c r="A1714" i="5"/>
  <c r="A1700" i="5"/>
  <c r="D247" i="10"/>
  <c r="B142" i="8"/>
  <c r="A148" i="8"/>
  <c r="A151" i="8"/>
  <c r="Z2033" i="5"/>
  <c r="A1202" i="8"/>
  <c r="B1202" i="8"/>
  <c r="A1207" i="8"/>
  <c r="B1207" i="8"/>
  <c r="A1205" i="8"/>
  <c r="B1205" i="8"/>
  <c r="G1196" i="8"/>
  <c r="A1206" i="8"/>
  <c r="B1206" i="8"/>
  <c r="A1208" i="8"/>
  <c r="B1208" i="8"/>
  <c r="A1203" i="8"/>
  <c r="B1203" i="8"/>
  <c r="A1204" i="8"/>
  <c r="B1204" i="8"/>
  <c r="I1499" i="8"/>
  <c r="I1533" i="8"/>
  <c r="A2586" i="5"/>
  <c r="D203" i="10"/>
  <c r="D3405" i="8"/>
  <c r="R2570" i="5"/>
  <c r="D202" i="10"/>
  <c r="A2593" i="5"/>
  <c r="F2600" i="5"/>
  <c r="O2557" i="5"/>
  <c r="D204" i="10"/>
  <c r="R2598" i="5"/>
  <c r="X2580" i="5"/>
  <c r="G2043" i="8"/>
  <c r="G2077" i="8"/>
  <c r="M1537" i="5"/>
  <c r="A1489" i="5"/>
  <c r="R1523" i="5"/>
  <c r="R1513" i="5"/>
  <c r="G1528" i="5"/>
  <c r="A1501" i="5"/>
  <c r="X1495" i="5"/>
  <c r="R1499" i="5"/>
  <c r="C1488" i="5"/>
  <c r="A1494" i="5"/>
  <c r="D1977" i="8"/>
  <c r="A1989" i="8"/>
  <c r="B1989" i="8"/>
  <c r="D2011" i="8"/>
  <c r="B2012" i="8"/>
  <c r="X1523" i="5"/>
  <c r="A1515" i="5"/>
  <c r="A1522" i="5"/>
  <c r="B1529" i="5"/>
  <c r="R1527" i="5"/>
  <c r="D118" i="10"/>
  <c r="D1943" i="8"/>
  <c r="A1438" i="5"/>
  <c r="R1472" i="5"/>
  <c r="X1472" i="5"/>
  <c r="A1443" i="5"/>
  <c r="C1437" i="5"/>
  <c r="A1457" i="5"/>
  <c r="D115" i="10"/>
  <c r="R1476" i="5"/>
  <c r="A1464" i="5"/>
  <c r="A1450" i="5"/>
  <c r="D113" i="10"/>
  <c r="D1909" i="8"/>
  <c r="R1448" i="5"/>
  <c r="A1471" i="5"/>
  <c r="D116" i="10"/>
  <c r="R1462" i="5"/>
  <c r="X1444" i="5"/>
  <c r="D114" i="10"/>
  <c r="G1477" i="5"/>
  <c r="X1458" i="5"/>
  <c r="G1635" i="8"/>
  <c r="M1231" i="5"/>
  <c r="G1669" i="8"/>
  <c r="I1569" i="8"/>
  <c r="G1570" i="8"/>
  <c r="A1211" i="5"/>
  <c r="R1195" i="5"/>
  <c r="A1218" i="5"/>
  <c r="X1217" i="5"/>
  <c r="A1204" i="5"/>
  <c r="L1182" i="5"/>
  <c r="R1209" i="5"/>
  <c r="A1197" i="5"/>
  <c r="G1499" i="8"/>
  <c r="G1533" i="8"/>
  <c r="A986" i="5"/>
  <c r="M1019" i="5"/>
  <c r="I1018" i="5"/>
  <c r="L978" i="5"/>
  <c r="R991" i="5"/>
  <c r="A1000" i="5"/>
  <c r="J979" i="5"/>
  <c r="R1019" i="5"/>
  <c r="A1014" i="5"/>
  <c r="I1297" i="8"/>
  <c r="G1298" i="8"/>
  <c r="R1005" i="5"/>
  <c r="A1007" i="5"/>
  <c r="A993" i="5"/>
  <c r="L876" i="5"/>
  <c r="J877" i="5"/>
  <c r="A912" i="5"/>
  <c r="A898" i="5"/>
  <c r="A891" i="5"/>
  <c r="M917" i="5"/>
  <c r="R903" i="5"/>
  <c r="R917" i="5"/>
  <c r="I916" i="5"/>
  <c r="D71" i="10"/>
  <c r="I1161" i="8"/>
  <c r="G1162" i="8"/>
  <c r="X897" i="5"/>
  <c r="A884" i="5"/>
  <c r="D69" i="10"/>
  <c r="D72" i="10"/>
  <c r="R889" i="5"/>
  <c r="F917" i="5"/>
  <c r="A859" i="5"/>
  <c r="D66" i="10"/>
  <c r="A796" i="5"/>
  <c r="I1025" i="8"/>
  <c r="G1026" i="8"/>
  <c r="A810" i="5"/>
  <c r="A803" i="5"/>
  <c r="M815" i="5"/>
  <c r="R801" i="5"/>
  <c r="R815" i="5"/>
  <c r="X795" i="5"/>
  <c r="A782" i="5"/>
  <c r="D63" i="10"/>
  <c r="R787" i="5"/>
  <c r="L774" i="5"/>
  <c r="X809" i="5"/>
  <c r="J775" i="5"/>
  <c r="Z781" i="5"/>
  <c r="D61" i="10"/>
  <c r="L672" i="5"/>
  <c r="A687" i="5"/>
  <c r="R685" i="5"/>
  <c r="I889" i="8"/>
  <c r="G890" i="8"/>
  <c r="J673" i="5"/>
  <c r="Z693" i="5"/>
  <c r="A694" i="5"/>
  <c r="R713" i="5"/>
  <c r="M713" i="5"/>
  <c r="I923" i="8"/>
  <c r="A701" i="5"/>
  <c r="A680" i="5"/>
  <c r="R699" i="5"/>
  <c r="I712" i="5"/>
  <c r="R634" i="5"/>
  <c r="R662" i="5"/>
  <c r="I661" i="5"/>
  <c r="A636" i="5"/>
  <c r="J622" i="5"/>
  <c r="D52" i="10"/>
  <c r="R648" i="5"/>
  <c r="A629" i="5"/>
  <c r="X628" i="5"/>
  <c r="L621" i="5"/>
  <c r="I821" i="8"/>
  <c r="G822" i="8"/>
  <c r="M662" i="5"/>
  <c r="A643" i="5"/>
  <c r="A657" i="5"/>
  <c r="D50" i="10"/>
  <c r="I855" i="8"/>
  <c r="A650" i="5"/>
  <c r="X336" i="5"/>
  <c r="D447" i="8"/>
  <c r="B448" i="8"/>
  <c r="D25" i="10"/>
  <c r="D27" i="10"/>
  <c r="G355" i="5"/>
  <c r="R354" i="5"/>
  <c r="A335" i="5"/>
  <c r="B356" i="5"/>
  <c r="X350" i="5"/>
  <c r="C315" i="5"/>
  <c r="F356" i="5"/>
  <c r="O313" i="5"/>
  <c r="A349" i="5"/>
  <c r="D26" i="10"/>
  <c r="D413" i="8"/>
  <c r="D8" i="10"/>
  <c r="G100" i="5"/>
  <c r="A66" i="5"/>
  <c r="X67" i="5"/>
  <c r="C60" i="5"/>
  <c r="R99" i="5"/>
  <c r="D73" i="8"/>
  <c r="B74" i="8"/>
  <c r="A153" i="8"/>
  <c r="A1209" i="8"/>
  <c r="B1209" i="8"/>
  <c r="D93" i="10"/>
  <c r="X322" i="5"/>
  <c r="D49" i="10"/>
  <c r="G2599" i="5"/>
  <c r="A154" i="8"/>
  <c r="B154" i="8"/>
  <c r="R326" i="5"/>
  <c r="R340" i="5"/>
  <c r="X1189" i="5"/>
  <c r="A321" i="5"/>
  <c r="B2862" i="8"/>
  <c r="A2869" i="8"/>
  <c r="B2869" i="8"/>
  <c r="A2872" i="8"/>
  <c r="B2872" i="8"/>
  <c r="A1508" i="5"/>
  <c r="Z934" i="5"/>
  <c r="Z948" i="5"/>
  <c r="Z962" i="5"/>
  <c r="I814" i="5"/>
  <c r="A905" i="5"/>
  <c r="I1331" i="8"/>
  <c r="G1332" i="8"/>
  <c r="G3335" i="8"/>
  <c r="G3369" i="8"/>
  <c r="M2506" i="5"/>
  <c r="R3351" i="5"/>
  <c r="R3365" i="5"/>
  <c r="A3353" i="5"/>
  <c r="A3360" i="5"/>
  <c r="A3339" i="5"/>
  <c r="X3345" i="5"/>
  <c r="J3325" i="5"/>
  <c r="Z3331" i="5"/>
  <c r="I4459" i="8"/>
  <c r="A4466" i="8"/>
  <c r="A3346" i="5"/>
  <c r="M3365" i="5"/>
  <c r="D261" i="10"/>
  <c r="R3337" i="5"/>
  <c r="F3365" i="5"/>
  <c r="AH66" i="5"/>
  <c r="G4287" i="8"/>
  <c r="M3220" i="5"/>
  <c r="I4321" i="8"/>
  <c r="M3169" i="5"/>
  <c r="G4253" i="8"/>
  <c r="G4219" i="8"/>
  <c r="G3109" i="5"/>
  <c r="R3108" i="5"/>
  <c r="M3016" i="5"/>
  <c r="G4015" i="8"/>
  <c r="G4049" i="8"/>
  <c r="I3983" i="8"/>
  <c r="A3993" i="8"/>
  <c r="R2994" i="5"/>
  <c r="I3949" i="8"/>
  <c r="G3950" i="8"/>
  <c r="A2996" i="5"/>
  <c r="A2989" i="5"/>
  <c r="R3008" i="5"/>
  <c r="I3007" i="5"/>
  <c r="J2968" i="5"/>
  <c r="Z3002" i="5"/>
  <c r="A2975" i="5"/>
  <c r="R2980" i="5"/>
  <c r="A2952" i="5"/>
  <c r="A2931" i="5"/>
  <c r="I3915" i="8"/>
  <c r="A3923" i="8"/>
  <c r="D230" i="10"/>
  <c r="I3881" i="8"/>
  <c r="J2866" i="5"/>
  <c r="I3813" i="8"/>
  <c r="L2814" i="5"/>
  <c r="I3745" i="8"/>
  <c r="X2835" i="5"/>
  <c r="A2287" i="5"/>
  <c r="A2254" i="5"/>
  <c r="B2294" i="5"/>
  <c r="R2264" i="5"/>
  <c r="D2997" i="8"/>
  <c r="C2253" i="5"/>
  <c r="A2259" i="5"/>
  <c r="R2292" i="5"/>
  <c r="A2280" i="5"/>
  <c r="M2149" i="5"/>
  <c r="G2893" i="8"/>
  <c r="G2689" i="8"/>
  <c r="M1996" i="5"/>
  <c r="I2689" i="8"/>
  <c r="M1945" i="5"/>
  <c r="G2587" i="8"/>
  <c r="G2621" i="8"/>
  <c r="A1918" i="5"/>
  <c r="F1937" i="5"/>
  <c r="X1903" i="5"/>
  <c r="R1886" i="5"/>
  <c r="A1874" i="5"/>
  <c r="D147" i="10"/>
  <c r="A1860" i="5"/>
  <c r="D148" i="10"/>
  <c r="X1852" i="5"/>
  <c r="A1830" i="5"/>
  <c r="R1821" i="5"/>
  <c r="A1823" i="5"/>
  <c r="A1816" i="5"/>
  <c r="I2419" i="8"/>
  <c r="I2385" i="8"/>
  <c r="G2386" i="8"/>
  <c r="I1834" i="5"/>
  <c r="A1809" i="5"/>
  <c r="J1795" i="5"/>
  <c r="X1778" i="5"/>
  <c r="X1764" i="5"/>
  <c r="A1751" i="5"/>
  <c r="A1758" i="5"/>
  <c r="I2317" i="8"/>
  <c r="A1765" i="5"/>
  <c r="R1756" i="5"/>
  <c r="M1784" i="5"/>
  <c r="D134" i="10"/>
  <c r="A1712" i="5"/>
  <c r="I1681" i="5"/>
  <c r="A1670" i="5"/>
  <c r="M1682" i="5"/>
  <c r="I2181" i="8"/>
  <c r="G2182" i="8"/>
  <c r="L1641" i="5"/>
  <c r="A1677" i="5"/>
  <c r="A1649" i="5"/>
  <c r="A1656" i="5"/>
  <c r="R1682" i="5"/>
  <c r="J1642" i="5"/>
  <c r="I2215" i="8"/>
  <c r="A1663" i="5"/>
  <c r="R1654" i="5"/>
  <c r="I2497" i="5"/>
  <c r="R2484" i="5"/>
  <c r="D194" i="10"/>
  <c r="X2492" i="5"/>
  <c r="A2465" i="5"/>
  <c r="A2479" i="5"/>
  <c r="R2470" i="5"/>
  <c r="X2464" i="5"/>
  <c r="L2457" i="5"/>
  <c r="D196" i="10"/>
  <c r="A2472" i="5"/>
  <c r="M2498" i="5"/>
  <c r="R2498" i="5"/>
  <c r="A2493" i="5"/>
  <c r="D193" i="10"/>
  <c r="I3233" i="8"/>
  <c r="I3199" i="8"/>
  <c r="A2375" i="5"/>
  <c r="G2395" i="5"/>
  <c r="D3133" i="8"/>
  <c r="A2361" i="5"/>
  <c r="R2366" i="5"/>
  <c r="A2368" i="5"/>
  <c r="A2389" i="5"/>
  <c r="R2380" i="5"/>
  <c r="D3167" i="8"/>
  <c r="B3168" i="8"/>
  <c r="R2394" i="5"/>
  <c r="A2382" i="5"/>
  <c r="B2396" i="5"/>
  <c r="C2355" i="5"/>
  <c r="A3041" i="8"/>
  <c r="B3041" i="8"/>
  <c r="A3045" i="8"/>
  <c r="B3045" i="8"/>
  <c r="A3039" i="8"/>
  <c r="B3039" i="8"/>
  <c r="A3042" i="8"/>
  <c r="B3042" i="8"/>
  <c r="I649" i="8"/>
  <c r="A2727" i="5"/>
  <c r="X2747" i="5"/>
  <c r="X2719" i="5"/>
  <c r="D215" i="10"/>
  <c r="I3643" i="8"/>
  <c r="A2734" i="5"/>
  <c r="R2739" i="5"/>
  <c r="F2753" i="5"/>
  <c r="R2725" i="5"/>
  <c r="A2720" i="5"/>
  <c r="A2741" i="5"/>
  <c r="I3609" i="8"/>
  <c r="J3618" i="8"/>
  <c r="A3040" i="8"/>
  <c r="B3040" i="8"/>
  <c r="B2535" i="8"/>
  <c r="D3677" i="8"/>
  <c r="G2803" i="5"/>
  <c r="G1434" i="8"/>
  <c r="D189" i="10"/>
  <c r="A2426" i="5"/>
  <c r="D191" i="10"/>
  <c r="A3044" i="8"/>
  <c r="B3044" i="8"/>
  <c r="I3505" i="8"/>
  <c r="AH7" i="5"/>
  <c r="D214" i="10"/>
  <c r="A288" i="8"/>
  <c r="G288" i="8"/>
  <c r="A289" i="8"/>
  <c r="R2774" i="5"/>
  <c r="A2797" i="5"/>
  <c r="A2776" i="5"/>
  <c r="D218" i="10"/>
  <c r="A2783" i="5"/>
  <c r="X2784" i="5"/>
  <c r="A2769" i="5"/>
  <c r="R2802" i="5"/>
  <c r="X2770" i="5"/>
  <c r="D217" i="10"/>
  <c r="X2798" i="5"/>
  <c r="C2763" i="5"/>
  <c r="R2788" i="5"/>
  <c r="B2804" i="5"/>
  <c r="A2790" i="5"/>
  <c r="D219" i="10"/>
  <c r="D3711" i="8"/>
  <c r="J2662" i="5"/>
  <c r="M2702" i="5"/>
  <c r="A2669" i="5"/>
  <c r="R2702" i="5"/>
  <c r="A2676" i="5"/>
  <c r="R2688" i="5"/>
  <c r="A2697" i="5"/>
  <c r="A2690" i="5"/>
  <c r="I3541" i="8"/>
  <c r="G3542" i="8"/>
  <c r="I3575" i="8"/>
  <c r="A2683" i="5"/>
  <c r="X2668" i="5"/>
  <c r="D209" i="10"/>
  <c r="L2661" i="5"/>
  <c r="I2701" i="5"/>
  <c r="X2682" i="5"/>
  <c r="D185" i="10"/>
  <c r="I2395" i="5"/>
  <c r="A2370" i="5"/>
  <c r="F2396" i="5"/>
  <c r="AH47" i="5"/>
  <c r="X2362" i="5"/>
  <c r="D188" i="10"/>
  <c r="A2384" i="5"/>
  <c r="A2391" i="5"/>
  <c r="R2382" i="5"/>
  <c r="X2376" i="5"/>
  <c r="I3133" i="8"/>
  <c r="G3134" i="8"/>
  <c r="L2355" i="5"/>
  <c r="A2377" i="5"/>
  <c r="A3038" i="8"/>
  <c r="B3038" i="8"/>
  <c r="M2753" i="5"/>
  <c r="Z2951" i="5"/>
  <c r="A2764" i="5"/>
  <c r="I2854" i="5"/>
  <c r="F2855" i="5"/>
  <c r="D223" i="10"/>
  <c r="M2855" i="5"/>
  <c r="I3779" i="8"/>
  <c r="A316" i="5"/>
  <c r="A328" i="5"/>
  <c r="A342" i="5"/>
  <c r="D28" i="10"/>
  <c r="M211" i="5"/>
  <c r="G275" i="8"/>
  <c r="X95" i="5"/>
  <c r="R71" i="5"/>
  <c r="D5" i="10"/>
  <c r="D7" i="10"/>
  <c r="A73" i="5"/>
  <c r="R2841" i="5"/>
  <c r="A3325" i="5"/>
  <c r="R3363" i="5"/>
  <c r="A3351" i="5"/>
  <c r="D264" i="10"/>
  <c r="C3324" i="5"/>
  <c r="A3330" i="5"/>
  <c r="B3365" i="5"/>
  <c r="A3358" i="5"/>
  <c r="A3337" i="5"/>
  <c r="D4459" i="8"/>
  <c r="F4459" i="8"/>
  <c r="R3349" i="5"/>
  <c r="M3314" i="5"/>
  <c r="A3309" i="5"/>
  <c r="A1320" i="5"/>
  <c r="J1285" i="5"/>
  <c r="I1705" i="8"/>
  <c r="G1706" i="8"/>
  <c r="R1325" i="5"/>
  <c r="A1292" i="5"/>
  <c r="M1325" i="5"/>
  <c r="A1195" i="5"/>
  <c r="C1182" i="5"/>
  <c r="X1203" i="5"/>
  <c r="A1209" i="5"/>
  <c r="A1216" i="5"/>
  <c r="D1569" i="8"/>
  <c r="R1221" i="5"/>
  <c r="A889" i="5"/>
  <c r="A882" i="5"/>
  <c r="A910" i="5"/>
  <c r="G916" i="5"/>
  <c r="B917" i="5"/>
  <c r="X781" i="5"/>
  <c r="D64" i="10"/>
  <c r="D58" i="10"/>
  <c r="I763" i="5"/>
  <c r="A759" i="5"/>
  <c r="A752" i="5"/>
  <c r="M764" i="5"/>
  <c r="X730" i="5"/>
  <c r="R750" i="5"/>
  <c r="X758" i="5"/>
  <c r="D60" i="10"/>
  <c r="X744" i="5"/>
  <c r="A745" i="5"/>
  <c r="L723" i="5"/>
  <c r="R660" i="5"/>
  <c r="D821" i="8"/>
  <c r="A834" i="8"/>
  <c r="A641" i="5"/>
  <c r="X656" i="5"/>
  <c r="X642" i="5"/>
  <c r="G661" i="5"/>
  <c r="F662" i="5"/>
  <c r="C621" i="5"/>
  <c r="A622" i="5"/>
  <c r="R642" i="5"/>
  <c r="A648" i="5"/>
  <c r="D51" i="10"/>
  <c r="A634" i="5"/>
  <c r="A585" i="5"/>
  <c r="R611" i="5"/>
  <c r="R597" i="5"/>
  <c r="A578" i="5"/>
  <c r="A592" i="5"/>
  <c r="J571" i="5"/>
  <c r="M611" i="5"/>
  <c r="A606" i="5"/>
  <c r="R583" i="5"/>
  <c r="I753" i="8"/>
  <c r="G754" i="8"/>
  <c r="I610" i="5"/>
  <c r="I685" i="8"/>
  <c r="G686" i="8"/>
  <c r="A527" i="5"/>
  <c r="A534" i="5"/>
  <c r="I719" i="8"/>
  <c r="A555" i="5"/>
  <c r="M560" i="5"/>
  <c r="J520" i="5"/>
  <c r="R532" i="5"/>
  <c r="A548" i="5"/>
  <c r="X438" i="5"/>
  <c r="M458" i="5"/>
  <c r="D35" i="10"/>
  <c r="D33" i="10"/>
  <c r="I457" i="5"/>
  <c r="L417" i="5"/>
  <c r="R458" i="5"/>
  <c r="I549" i="8"/>
  <c r="R407" i="5"/>
  <c r="D31" i="10"/>
  <c r="I406" i="5"/>
  <c r="D30" i="10"/>
  <c r="D32" i="10"/>
  <c r="L366" i="5"/>
  <c r="A381" i="5"/>
  <c r="A388" i="5"/>
  <c r="F407" i="5"/>
  <c r="X401" i="5"/>
  <c r="R393" i="5"/>
  <c r="D29" i="10"/>
  <c r="X387" i="5"/>
  <c r="M407" i="5"/>
  <c r="R2315" i="5"/>
  <c r="B2345" i="5"/>
  <c r="F2345" i="5"/>
  <c r="AH46" i="5"/>
  <c r="A2275" i="5"/>
  <c r="D180" i="10"/>
  <c r="R2280" i="5"/>
  <c r="I2997" i="8"/>
  <c r="B2141" i="5"/>
  <c r="D2793" i="8"/>
  <c r="A2127" i="5"/>
  <c r="G2140" i="5"/>
  <c r="A2106" i="5"/>
  <c r="C2100" i="5"/>
  <c r="A2120" i="5"/>
  <c r="R2139" i="5"/>
  <c r="D166" i="10"/>
  <c r="D165" i="10"/>
  <c r="A2055" i="5"/>
  <c r="R2074" i="5"/>
  <c r="X2056" i="5"/>
  <c r="A2050" i="5"/>
  <c r="D164" i="10"/>
  <c r="D163" i="10"/>
  <c r="D161" i="10"/>
  <c r="C2049" i="5"/>
  <c r="F2090" i="5"/>
  <c r="A2006" i="5"/>
  <c r="L1998" i="5"/>
  <c r="A2013" i="5"/>
  <c r="R2039" i="5"/>
  <c r="M2039" i="5"/>
  <c r="I2038" i="5"/>
  <c r="I2657" i="8"/>
  <c r="G2658" i="8"/>
  <c r="A2034" i="5"/>
  <c r="I2691" i="8"/>
  <c r="A2703" i="8"/>
  <c r="B2703" i="8"/>
  <c r="A2027" i="5"/>
  <c r="A2020" i="5"/>
  <c r="A1983" i="5"/>
  <c r="D153" i="10"/>
  <c r="I2623" i="8"/>
  <c r="I1987" i="5"/>
  <c r="D154" i="10"/>
  <c r="L1947" i="5"/>
  <c r="A1976" i="5"/>
  <c r="G2519" i="8"/>
  <c r="G2553" i="8"/>
  <c r="M1741" i="5"/>
  <c r="G2315" i="8"/>
  <c r="G2349" i="8"/>
  <c r="X1597" i="5"/>
  <c r="D127" i="10"/>
  <c r="D125" i="10"/>
  <c r="C1590" i="5"/>
  <c r="A1610" i="5"/>
  <c r="X1625" i="5"/>
  <c r="R1580" i="5"/>
  <c r="I2045" i="8"/>
  <c r="D124" i="10"/>
  <c r="R1566" i="5"/>
  <c r="R1552" i="5"/>
  <c r="D121" i="10"/>
  <c r="D123" i="10"/>
  <c r="L1539" i="5"/>
  <c r="X1968" i="5"/>
  <c r="G3131" i="8"/>
  <c r="G7" i="4"/>
  <c r="I17" i="4"/>
  <c r="G105" i="4"/>
  <c r="G32" i="4"/>
  <c r="I127" i="4"/>
  <c r="I128" i="4"/>
  <c r="I11" i="4"/>
  <c r="I31" i="4"/>
  <c r="B203" i="10"/>
  <c r="A203" i="10"/>
  <c r="B4199" i="8"/>
  <c r="B2090" i="8"/>
  <c r="A4194" i="8"/>
  <c r="A2871" i="8"/>
  <c r="B2871" i="8"/>
  <c r="R1750" i="5"/>
  <c r="B3008" i="5"/>
  <c r="X3141" i="5"/>
  <c r="E1020" i="8"/>
  <c r="Z1509" i="5"/>
  <c r="R1625" i="5"/>
  <c r="A2768" i="8"/>
  <c r="B2768" i="8"/>
  <c r="A2772" i="8"/>
  <c r="B2772" i="8"/>
  <c r="A2773" i="8"/>
  <c r="B2773" i="8"/>
  <c r="C221" i="10"/>
  <c r="B221" i="10"/>
  <c r="Q2823" i="5"/>
  <c r="L3273" i="5"/>
  <c r="A1272" i="8"/>
  <c r="B1272" i="8"/>
  <c r="A1276" i="8"/>
  <c r="B1276" i="8"/>
  <c r="A1271" i="8"/>
  <c r="B1271" i="8"/>
  <c r="A1275" i="8"/>
  <c r="B1275" i="8"/>
  <c r="G1264" i="8"/>
  <c r="A1273" i="8"/>
  <c r="B1273" i="8"/>
  <c r="A1270" i="8"/>
  <c r="B1270" i="8"/>
  <c r="R1968" i="5"/>
  <c r="A2874" i="8"/>
  <c r="B2874" i="8"/>
  <c r="B242" i="10"/>
  <c r="A242" i="10" s="1"/>
  <c r="A4096" i="8"/>
  <c r="B4096" i="8"/>
  <c r="B4086" i="8"/>
  <c r="A4097" i="8"/>
  <c r="B4097" i="8"/>
  <c r="A4095" i="8"/>
  <c r="B4095" i="8"/>
  <c r="D235" i="10"/>
  <c r="B115" i="10"/>
  <c r="C115" i="10"/>
  <c r="Q1460" i="5"/>
  <c r="A1338" i="8"/>
  <c r="B1338" i="8"/>
  <c r="B210" i="10"/>
  <c r="C210" i="10"/>
  <c r="B2093" i="8"/>
  <c r="Z1574" i="5"/>
  <c r="Z1560" i="5"/>
  <c r="Z1546" i="5"/>
  <c r="A287" i="8"/>
  <c r="F277" i="8"/>
  <c r="A4201" i="8"/>
  <c r="B4201" i="8"/>
  <c r="A4200" i="8"/>
  <c r="A4198" i="8"/>
  <c r="B4198" i="8"/>
  <c r="A4197" i="8"/>
  <c r="G4188" i="8"/>
  <c r="A4196" i="8"/>
  <c r="B4196" i="8"/>
  <c r="G1740" i="8"/>
  <c r="Z2209" i="5"/>
  <c r="Z2223" i="5"/>
  <c r="Z2237" i="5"/>
  <c r="C23" i="10"/>
  <c r="B23" i="10"/>
  <c r="C105" i="10"/>
  <c r="B105" i="10"/>
  <c r="B47" i="10"/>
  <c r="Q593" i="5"/>
  <c r="C47" i="10"/>
  <c r="A47" i="10"/>
  <c r="Q2684" i="5"/>
  <c r="B211" i="10"/>
  <c r="A211" i="10" s="1"/>
  <c r="C211" i="10"/>
  <c r="A4269" i="8"/>
  <c r="B4269" i="8"/>
  <c r="A4263" i="8"/>
  <c r="B4263" i="8"/>
  <c r="Q797" i="5"/>
  <c r="B63" i="10"/>
  <c r="C63" i="10"/>
  <c r="I109" i="4"/>
  <c r="G109" i="4"/>
  <c r="G50" i="4"/>
  <c r="I50" i="4"/>
  <c r="I28" i="4"/>
  <c r="G28" i="4"/>
  <c r="I22" i="4"/>
  <c r="G22" i="4"/>
  <c r="R3314" i="5"/>
  <c r="R3300" i="5"/>
  <c r="I4357" i="8"/>
  <c r="G4358" i="8"/>
  <c r="A3288" i="5"/>
  <c r="A3302" i="5"/>
  <c r="A3295" i="5"/>
  <c r="J3274" i="5"/>
  <c r="R3286" i="5"/>
  <c r="F3314" i="5"/>
  <c r="I3313" i="5"/>
  <c r="I4391" i="8"/>
  <c r="A4400" i="8"/>
  <c r="B4400" i="8"/>
  <c r="A3281" i="5"/>
  <c r="Q3236" i="5"/>
  <c r="F254" i="10"/>
  <c r="L3233" i="5"/>
  <c r="G254" i="10"/>
  <c r="Q3237" i="5"/>
  <c r="K3233" i="5"/>
  <c r="B254" i="10"/>
  <c r="I3233" i="5"/>
  <c r="H3233" i="5"/>
  <c r="J3233" i="5"/>
  <c r="J254" i="10"/>
  <c r="H254" i="10"/>
  <c r="K3189" i="5"/>
  <c r="I251" i="10"/>
  <c r="H251" i="10"/>
  <c r="Q3192" i="5"/>
  <c r="L3189" i="5"/>
  <c r="G251" i="10"/>
  <c r="I3189" i="5"/>
  <c r="F251" i="10"/>
  <c r="H3189" i="5"/>
  <c r="J251" i="10"/>
  <c r="J3189" i="5"/>
  <c r="Q3193" i="5"/>
  <c r="Q3194" i="5"/>
  <c r="J245" i="10"/>
  <c r="I3124" i="5"/>
  <c r="F245" i="10"/>
  <c r="Q3127" i="5"/>
  <c r="H3124" i="5"/>
  <c r="K3124" i="5"/>
  <c r="I245" i="10"/>
  <c r="H245" i="10"/>
  <c r="L3124" i="5"/>
  <c r="J3124" i="5"/>
  <c r="Q3128" i="5"/>
  <c r="C245" i="10"/>
  <c r="G245" i="10"/>
  <c r="B245" i="10"/>
  <c r="Q3129" i="5"/>
  <c r="G3160" i="5"/>
  <c r="D4187" i="8"/>
  <c r="D4153" i="8"/>
  <c r="B4154" i="8"/>
  <c r="B3161" i="5"/>
  <c r="A3126" i="5"/>
  <c r="R3131" i="5"/>
  <c r="A3147" i="5"/>
  <c r="F3161" i="5"/>
  <c r="A3121" i="5"/>
  <c r="D246" i="10"/>
  <c r="X3155" i="5"/>
  <c r="R3145" i="5"/>
  <c r="D245" i="10"/>
  <c r="C3120" i="5"/>
  <c r="D248" i="10"/>
  <c r="X3127" i="5"/>
  <c r="A3154" i="5"/>
  <c r="G242" i="10"/>
  <c r="F242" i="10"/>
  <c r="Q3083" i="5"/>
  <c r="H3080" i="5"/>
  <c r="I242" i="10"/>
  <c r="C242" i="10"/>
  <c r="L3080" i="5"/>
  <c r="J242" i="10"/>
  <c r="J3080" i="5"/>
  <c r="H242" i="10"/>
  <c r="K3080" i="5"/>
  <c r="A3091" i="5"/>
  <c r="A3084" i="5"/>
  <c r="I4119" i="8"/>
  <c r="L3069" i="5"/>
  <c r="I3109" i="5"/>
  <c r="R3096" i="5"/>
  <c r="D244" i="10"/>
  <c r="D243" i="10"/>
  <c r="J3070" i="5"/>
  <c r="Z3090" i="5"/>
  <c r="D241" i="10"/>
  <c r="A3047" i="5"/>
  <c r="A3033" i="5"/>
  <c r="R3059" i="5"/>
  <c r="A3026" i="5"/>
  <c r="A3054" i="5"/>
  <c r="R3031" i="5"/>
  <c r="A3040" i="5"/>
  <c r="D239" i="10"/>
  <c r="J3019" i="5"/>
  <c r="Z3039" i="5"/>
  <c r="M3059" i="5"/>
  <c r="L3018" i="5"/>
  <c r="X3025" i="5"/>
  <c r="D240" i="10"/>
  <c r="D238" i="10"/>
  <c r="I3058" i="5"/>
  <c r="I4051" i="8"/>
  <c r="A4061" i="8"/>
  <c r="Q2988" i="5"/>
  <c r="F235" i="10"/>
  <c r="K2985" i="5"/>
  <c r="Q2989" i="5"/>
  <c r="Q2990" i="5"/>
  <c r="H2985" i="5"/>
  <c r="J235" i="10"/>
  <c r="J2985" i="5"/>
  <c r="C235" i="10"/>
  <c r="I235" i="10"/>
  <c r="L2985" i="5"/>
  <c r="G3007" i="5"/>
  <c r="F3008" i="5"/>
  <c r="A2987" i="5"/>
  <c r="X2988" i="5"/>
  <c r="D236" i="10"/>
  <c r="A2994" i="5"/>
  <c r="A2973" i="5"/>
  <c r="A3001" i="5"/>
  <c r="X3002" i="5"/>
  <c r="R2978" i="5"/>
  <c r="X2974" i="5"/>
  <c r="D3983" i="8"/>
  <c r="G230" i="10"/>
  <c r="H2927" i="5"/>
  <c r="F230" i="10"/>
  <c r="I2927" i="5"/>
  <c r="H230" i="10"/>
  <c r="I230" i="10"/>
  <c r="L2927" i="5"/>
  <c r="Q2930" i="5"/>
  <c r="J2927" i="5"/>
  <c r="C230" i="10"/>
  <c r="J230" i="10"/>
  <c r="K2927" i="5"/>
  <c r="A673" i="5"/>
  <c r="A685" i="5"/>
  <c r="D54" i="10"/>
  <c r="X693" i="5"/>
  <c r="D53" i="10"/>
  <c r="J479" i="5"/>
  <c r="I479" i="5"/>
  <c r="Q483" i="5"/>
  <c r="Q484" i="5"/>
  <c r="G38" i="10"/>
  <c r="J38" i="10"/>
  <c r="K479" i="5"/>
  <c r="H38" i="10"/>
  <c r="Q482" i="5"/>
  <c r="F38" i="10"/>
  <c r="I38" i="10"/>
  <c r="C38" i="10"/>
  <c r="L479" i="5"/>
  <c r="H479" i="5"/>
  <c r="R481" i="5"/>
  <c r="A476" i="5"/>
  <c r="A490" i="5"/>
  <c r="L468" i="5"/>
  <c r="A504" i="5"/>
  <c r="R495" i="5"/>
  <c r="I508" i="5"/>
  <c r="R509" i="5"/>
  <c r="I617" i="8"/>
  <c r="G618" i="8"/>
  <c r="A497" i="5"/>
  <c r="J469" i="5"/>
  <c r="D39" i="10"/>
  <c r="M509" i="5"/>
  <c r="I651" i="8"/>
  <c r="A661" i="8"/>
  <c r="B661" i="8"/>
  <c r="K428" i="5"/>
  <c r="F34" i="10"/>
  <c r="I428" i="5"/>
  <c r="Q432" i="5"/>
  <c r="C34" i="10"/>
  <c r="J34" i="10"/>
  <c r="Q433" i="5"/>
  <c r="Q431" i="5"/>
  <c r="L428" i="5"/>
  <c r="G34" i="10"/>
  <c r="H428" i="5"/>
  <c r="J428" i="5"/>
  <c r="I34" i="10"/>
  <c r="G30" i="10"/>
  <c r="H377" i="5"/>
  <c r="F30" i="10"/>
  <c r="L377" i="5"/>
  <c r="I377" i="5"/>
  <c r="J30" i="10"/>
  <c r="H30" i="10"/>
  <c r="K377" i="5"/>
  <c r="J377" i="5"/>
  <c r="Q381" i="5"/>
  <c r="Q382" i="5"/>
  <c r="C30" i="10"/>
  <c r="Q380" i="5"/>
  <c r="I30" i="10"/>
  <c r="B278" i="8"/>
  <c r="B2089" i="8"/>
  <c r="B230" i="10"/>
  <c r="I4085" i="8"/>
  <c r="A3072" i="8"/>
  <c r="A2971" i="8"/>
  <c r="B2971" i="8"/>
  <c r="A2974" i="8"/>
  <c r="B2974" i="8"/>
  <c r="A2976" i="8"/>
  <c r="B2976" i="8"/>
  <c r="I4017" i="8"/>
  <c r="G4018" i="8"/>
  <c r="A2092" i="8"/>
  <c r="A2086" i="8"/>
  <c r="B2086" i="8"/>
  <c r="B2087" i="8"/>
  <c r="B2148" i="8"/>
  <c r="F2147" i="8"/>
  <c r="A2873" i="8"/>
  <c r="B2873" i="8"/>
  <c r="A2868" i="8"/>
  <c r="B2868" i="8"/>
  <c r="A2875" i="8"/>
  <c r="B2875" i="8"/>
  <c r="A2870" i="8"/>
  <c r="B2870" i="8"/>
  <c r="AH52" i="5"/>
  <c r="Q688" i="5"/>
  <c r="C54" i="10"/>
  <c r="A3077" i="5"/>
  <c r="A678" i="5"/>
  <c r="A3133" i="5"/>
  <c r="Q2582" i="5"/>
  <c r="C215" i="10"/>
  <c r="B215" i="10"/>
  <c r="Q2881" i="5"/>
  <c r="C226" i="10"/>
  <c r="A284" i="8"/>
  <c r="B176" i="8"/>
  <c r="A4195" i="8"/>
  <c r="B4195" i="8"/>
  <c r="A2091" i="8"/>
  <c r="A246" i="10"/>
  <c r="A3826" i="8"/>
  <c r="Q178" i="5"/>
  <c r="C14" i="10"/>
  <c r="Q1205" i="5"/>
  <c r="B95" i="10"/>
  <c r="A95" i="10" s="1"/>
  <c r="A91" i="10"/>
  <c r="A798" i="8"/>
  <c r="B798" i="8"/>
  <c r="A795" i="8"/>
  <c r="B795" i="8"/>
  <c r="A796" i="8"/>
  <c r="B796" i="8"/>
  <c r="A358" i="8"/>
  <c r="A353" i="8"/>
  <c r="B353" i="8"/>
  <c r="A355" i="8"/>
  <c r="B355" i="8"/>
  <c r="A357" i="8"/>
  <c r="B357" i="8"/>
  <c r="Z2645" i="5"/>
  <c r="Z2631" i="5"/>
  <c r="Z2617" i="5"/>
  <c r="Q2065" i="5"/>
  <c r="C162" i="10"/>
  <c r="C209" i="10"/>
  <c r="A209" i="10" s="1"/>
  <c r="B209" i="10"/>
  <c r="Q1191" i="5"/>
  <c r="B93" i="10"/>
  <c r="A93" i="10" s="1"/>
  <c r="Q2836" i="5"/>
  <c r="B223" i="10"/>
  <c r="A223" i="10" s="1"/>
  <c r="G11" i="10"/>
  <c r="L129" i="5"/>
  <c r="F11" i="10"/>
  <c r="K129" i="5"/>
  <c r="H11" i="10"/>
  <c r="H129" i="5"/>
  <c r="Q132" i="5"/>
  <c r="J129" i="5"/>
  <c r="J11" i="10"/>
  <c r="I11" i="10"/>
  <c r="Q133" i="5"/>
  <c r="B11" i="10"/>
  <c r="A187" i="10"/>
  <c r="G176" i="8"/>
  <c r="B14" i="10"/>
  <c r="A14" i="10" s="1"/>
  <c r="B3916" i="8"/>
  <c r="Q2014" i="5"/>
  <c r="C158" i="10"/>
  <c r="A158" i="10"/>
  <c r="C17" i="10"/>
  <c r="A17" i="10" s="1"/>
  <c r="Q1358" i="5"/>
  <c r="B107" i="10"/>
  <c r="A107" i="10" s="1"/>
  <c r="C107" i="10"/>
  <c r="A227" i="10"/>
  <c r="A179" i="10"/>
  <c r="Q3034" i="5"/>
  <c r="B22" i="10"/>
  <c r="A22" i="10" s="1"/>
  <c r="A217" i="10"/>
  <c r="B157" i="10"/>
  <c r="Q2007" i="5"/>
  <c r="C10" i="10"/>
  <c r="A10" i="10"/>
  <c r="Q127" i="5"/>
  <c r="Q280" i="5"/>
  <c r="C74" i="10"/>
  <c r="A74" i="10"/>
  <c r="Q943" i="5"/>
  <c r="Q950" i="5"/>
  <c r="C75" i="10"/>
  <c r="C42" i="10"/>
  <c r="B42" i="10"/>
  <c r="Q579" i="5"/>
  <c r="B70" i="10"/>
  <c r="C70" i="10"/>
  <c r="A70" i="10" s="1"/>
  <c r="Q1919" i="5"/>
  <c r="C151" i="10"/>
  <c r="B151" i="10"/>
  <c r="Q2320" i="5"/>
  <c r="B182" i="10"/>
  <c r="A182" i="10" s="1"/>
  <c r="B186" i="10"/>
  <c r="Q2371" i="5"/>
  <c r="C186" i="10"/>
  <c r="B189" i="10"/>
  <c r="A189" i="10" s="1"/>
  <c r="C189" i="10"/>
  <c r="Q2415" i="5"/>
  <c r="A139" i="10"/>
  <c r="A133" i="10"/>
  <c r="A123" i="10"/>
  <c r="C149" i="10"/>
  <c r="A149" i="10" s="1"/>
  <c r="A45" i="10"/>
  <c r="Q1905" i="5"/>
  <c r="Q2167" i="5"/>
  <c r="B170" i="10"/>
  <c r="A170" i="10" s="1"/>
  <c r="C219" i="10"/>
  <c r="A219" i="10" s="1"/>
  <c r="B46" i="10"/>
  <c r="A46" i="10"/>
  <c r="Q2429" i="5"/>
  <c r="A55" i="10"/>
  <c r="C154" i="10"/>
  <c r="B154" i="10"/>
  <c r="Q1198" i="5"/>
  <c r="C94" i="10"/>
  <c r="A94" i="10"/>
  <c r="I143" i="10"/>
  <c r="G169" i="10"/>
  <c r="I169" i="10"/>
  <c r="K2155" i="5"/>
  <c r="Q2159" i="5"/>
  <c r="H2155" i="5"/>
  <c r="F169" i="10"/>
  <c r="H169" i="10"/>
  <c r="J169" i="10"/>
  <c r="Q2158" i="5"/>
  <c r="H163" i="10"/>
  <c r="Q2070" i="5"/>
  <c r="F157" i="10"/>
  <c r="Q2005" i="5"/>
  <c r="I157" i="10"/>
  <c r="C157" i="10"/>
  <c r="A157" i="10"/>
  <c r="J2002" i="5"/>
  <c r="K2002" i="5"/>
  <c r="H2002" i="5"/>
  <c r="J1863" i="5"/>
  <c r="Q1867" i="5"/>
  <c r="C147" i="10"/>
  <c r="I1863" i="5"/>
  <c r="I97" i="10"/>
  <c r="J97" i="10"/>
  <c r="Q1240" i="5"/>
  <c r="K1237" i="5"/>
  <c r="H97" i="10"/>
  <c r="G97" i="10"/>
  <c r="Q1241" i="5"/>
  <c r="F97" i="10"/>
  <c r="A1190" i="5"/>
  <c r="M1223" i="5"/>
  <c r="G59" i="10"/>
  <c r="F59" i="10"/>
  <c r="L741" i="5"/>
  <c r="Q731" i="5"/>
  <c r="Q732" i="5"/>
  <c r="H57" i="10"/>
  <c r="J57" i="10"/>
  <c r="J727" i="5"/>
  <c r="C57" i="10"/>
  <c r="L727" i="5"/>
  <c r="G57" i="10"/>
  <c r="I676" i="5"/>
  <c r="Q679" i="5"/>
  <c r="K676" i="5"/>
  <c r="F53" i="10"/>
  <c r="J676" i="5"/>
  <c r="C53" i="10"/>
  <c r="A53" i="10" s="1"/>
  <c r="J53" i="10"/>
  <c r="I49" i="10"/>
  <c r="K625" i="5"/>
  <c r="F49" i="10"/>
  <c r="J49" i="10"/>
  <c r="Q629" i="5"/>
  <c r="Q628" i="5"/>
  <c r="J625" i="5"/>
  <c r="A65" i="10"/>
  <c r="Q1657" i="5"/>
  <c r="B130" i="10"/>
  <c r="A130" i="10"/>
  <c r="Q2517" i="5"/>
  <c r="C197" i="10"/>
  <c r="Q2524" i="5"/>
  <c r="C198" i="10"/>
  <c r="Q2837" i="5"/>
  <c r="H223" i="10"/>
  <c r="G223" i="10"/>
  <c r="F223" i="10"/>
  <c r="J223" i="10"/>
  <c r="K2832" i="5"/>
  <c r="Q2835" i="5"/>
  <c r="H2832" i="5"/>
  <c r="I2832" i="5"/>
  <c r="I223" i="10"/>
  <c r="L2832" i="5"/>
  <c r="F202" i="10"/>
  <c r="Q2574" i="5"/>
  <c r="Q2573" i="5"/>
  <c r="H2570" i="5"/>
  <c r="L2570" i="5"/>
  <c r="G3267" i="8"/>
  <c r="M2455" i="5"/>
  <c r="I2344" i="5"/>
  <c r="A2319" i="5"/>
  <c r="A2340" i="5"/>
  <c r="I3099" i="8"/>
  <c r="A3108" i="8"/>
  <c r="I178" i="10"/>
  <c r="Q2268" i="5"/>
  <c r="J2264" i="5"/>
  <c r="H178" i="10"/>
  <c r="Q2267" i="5"/>
  <c r="L2264" i="5"/>
  <c r="I2264" i="5"/>
  <c r="I155" i="10"/>
  <c r="F155" i="10"/>
  <c r="I1965" i="5"/>
  <c r="H155" i="10"/>
  <c r="Q1969" i="5"/>
  <c r="Q1968" i="5"/>
  <c r="J155" i="10"/>
  <c r="K1965" i="5"/>
  <c r="B155" i="10"/>
  <c r="H1951" i="5"/>
  <c r="I153" i="10"/>
  <c r="L1951" i="5"/>
  <c r="Q1954" i="5"/>
  <c r="I1951" i="5"/>
  <c r="K1951" i="5"/>
  <c r="Q1955" i="5"/>
  <c r="B153" i="10"/>
  <c r="G153" i="10"/>
  <c r="J1951" i="5"/>
  <c r="I1856" i="5"/>
  <c r="Q1859" i="5"/>
  <c r="H146" i="10"/>
  <c r="J1856" i="5"/>
  <c r="F146" i="10"/>
  <c r="B146" i="10"/>
  <c r="A146" i="10" s="1"/>
  <c r="G146" i="10"/>
  <c r="L1856" i="5"/>
  <c r="G143" i="10"/>
  <c r="I1812" i="5"/>
  <c r="J143" i="10"/>
  <c r="Q1816" i="5"/>
  <c r="H1812" i="5"/>
  <c r="Q1815" i="5"/>
  <c r="F143" i="10"/>
  <c r="H143" i="10"/>
  <c r="J141" i="10"/>
  <c r="J1798" i="5"/>
  <c r="H1798" i="5"/>
  <c r="G141" i="10"/>
  <c r="H141" i="10"/>
  <c r="L1798" i="5"/>
  <c r="F141" i="10"/>
  <c r="Q1802" i="5"/>
  <c r="I1798" i="5"/>
  <c r="J1747" i="5"/>
  <c r="I1747" i="5"/>
  <c r="Q1751" i="5"/>
  <c r="L1747" i="5"/>
  <c r="K1747" i="5"/>
  <c r="F137" i="10"/>
  <c r="L1659" i="5"/>
  <c r="G131" i="10"/>
  <c r="I1659" i="5"/>
  <c r="K1659" i="5"/>
  <c r="F131" i="10"/>
  <c r="Q1663" i="5"/>
  <c r="C131" i="10"/>
  <c r="J1659" i="5"/>
  <c r="L1645" i="5"/>
  <c r="J129" i="10"/>
  <c r="Q1648" i="5"/>
  <c r="I129" i="10"/>
  <c r="H129" i="10"/>
  <c r="Q1649" i="5"/>
  <c r="I1645" i="5"/>
  <c r="G129" i="10"/>
  <c r="H1645" i="5"/>
  <c r="F115" i="10"/>
  <c r="Q1458" i="5"/>
  <c r="I111" i="10"/>
  <c r="I1404" i="5"/>
  <c r="H1404" i="5"/>
  <c r="J111" i="10"/>
  <c r="Q1407" i="5"/>
  <c r="Q1408" i="5"/>
  <c r="J105" i="10"/>
  <c r="L1339" i="5"/>
  <c r="K1339" i="5"/>
  <c r="H1339" i="5"/>
  <c r="J1339" i="5"/>
  <c r="H105" i="10"/>
  <c r="G87" i="10"/>
  <c r="I1098" i="5"/>
  <c r="Q1102" i="5"/>
  <c r="L1098" i="5"/>
  <c r="Q1101" i="5"/>
  <c r="J87" i="10"/>
  <c r="C87" i="10"/>
  <c r="I87" i="10"/>
  <c r="H1098" i="5"/>
  <c r="F87" i="10"/>
  <c r="J1098" i="5"/>
  <c r="K996" i="5"/>
  <c r="I79" i="10"/>
  <c r="I996" i="5"/>
  <c r="H79" i="10"/>
  <c r="F79" i="10"/>
  <c r="G71" i="10"/>
  <c r="I894" i="5"/>
  <c r="K894" i="5"/>
  <c r="J62" i="10"/>
  <c r="Q789" i="5"/>
  <c r="I785" i="5"/>
  <c r="J785" i="5"/>
  <c r="H62" i="10"/>
  <c r="G62" i="10"/>
  <c r="J54" i="10"/>
  <c r="I683" i="5"/>
  <c r="F54" i="10"/>
  <c r="I54" i="10"/>
  <c r="H683" i="5"/>
  <c r="K683" i="5"/>
  <c r="H54" i="10"/>
  <c r="Q76" i="5"/>
  <c r="B9" i="10"/>
  <c r="C9" i="10"/>
  <c r="A61" i="10"/>
  <c r="G261" i="10"/>
  <c r="L3328" i="5"/>
  <c r="H261" i="10"/>
  <c r="Q3332" i="5"/>
  <c r="F261" i="10"/>
  <c r="I3328" i="5"/>
  <c r="H3328" i="5"/>
  <c r="I261" i="10"/>
  <c r="A3193" i="5"/>
  <c r="A3179" i="5"/>
  <c r="F239" i="10"/>
  <c r="I239" i="10"/>
  <c r="I3036" i="5"/>
  <c r="Q3040" i="5"/>
  <c r="C239" i="10"/>
  <c r="J233" i="10"/>
  <c r="Q2975" i="5"/>
  <c r="I233" i="10"/>
  <c r="B233" i="10"/>
  <c r="F226" i="10"/>
  <c r="G226" i="10"/>
  <c r="J2876" i="5"/>
  <c r="J226" i="10"/>
  <c r="H2876" i="5"/>
  <c r="Q2879" i="5"/>
  <c r="H226" i="10"/>
  <c r="B226" i="10"/>
  <c r="A226" i="10" s="1"/>
  <c r="F219" i="10"/>
  <c r="I219" i="10"/>
  <c r="H2781" i="5"/>
  <c r="J2781" i="5"/>
  <c r="K2781" i="5"/>
  <c r="I2781" i="5"/>
  <c r="K2628" i="5"/>
  <c r="B207" i="10"/>
  <c r="C207" i="10"/>
  <c r="A207" i="10" s="1"/>
  <c r="K2512" i="5"/>
  <c r="J197" i="10"/>
  <c r="L2512" i="5"/>
  <c r="H2512" i="5"/>
  <c r="H197" i="10"/>
  <c r="B197" i="10"/>
  <c r="A197" i="10"/>
  <c r="I194" i="10"/>
  <c r="H2468" i="5"/>
  <c r="J194" i="10"/>
  <c r="B194" i="10"/>
  <c r="A194" i="10" s="1"/>
  <c r="L2468" i="5"/>
  <c r="M2396" i="5"/>
  <c r="J2356" i="5"/>
  <c r="Z2376" i="5"/>
  <c r="R2368" i="5"/>
  <c r="I3167" i="8"/>
  <c r="L2162" i="5"/>
  <c r="F170" i="10"/>
  <c r="K2162" i="5"/>
  <c r="Q2165" i="5"/>
  <c r="A1872" i="5"/>
  <c r="D2453" i="8"/>
  <c r="B2454" i="8"/>
  <c r="Q1714" i="5"/>
  <c r="C135" i="10"/>
  <c r="H1710" i="5"/>
  <c r="L1710" i="5"/>
  <c r="I135" i="10"/>
  <c r="H1594" i="5"/>
  <c r="B125" i="10"/>
  <c r="A125" i="10" s="1"/>
  <c r="Q1597" i="5"/>
  <c r="F125" i="10"/>
  <c r="I125" i="10"/>
  <c r="J1594" i="5"/>
  <c r="L1594" i="5"/>
  <c r="A1540" i="5"/>
  <c r="O1538" i="5"/>
  <c r="A1545" i="5"/>
  <c r="J118" i="10"/>
  <c r="G118" i="10"/>
  <c r="H118" i="10"/>
  <c r="H1499" i="5"/>
  <c r="L1499" i="5"/>
  <c r="J1499" i="5"/>
  <c r="C118" i="10"/>
  <c r="B118" i="10"/>
  <c r="J1448" i="5"/>
  <c r="I1448" i="5"/>
  <c r="K1448" i="5"/>
  <c r="L1448" i="5"/>
  <c r="Q1451" i="5"/>
  <c r="B114" i="10"/>
  <c r="A114" i="10" s="1"/>
  <c r="H1397" i="5"/>
  <c r="I1397" i="5"/>
  <c r="H110" i="10"/>
  <c r="H1353" i="5"/>
  <c r="I1353" i="5"/>
  <c r="K1353" i="5"/>
  <c r="Q1356" i="5"/>
  <c r="L1353" i="5"/>
  <c r="J1353" i="5"/>
  <c r="L1244" i="5"/>
  <c r="F98" i="10"/>
  <c r="Q1247" i="5"/>
  <c r="H98" i="10"/>
  <c r="H1244" i="5"/>
  <c r="G98" i="10"/>
  <c r="K1244" i="5"/>
  <c r="H93" i="10"/>
  <c r="L1186" i="5"/>
  <c r="I93" i="10"/>
  <c r="F93" i="10"/>
  <c r="K1186" i="5"/>
  <c r="I982" i="5"/>
  <c r="C77" i="10"/>
  <c r="A77" i="10" s="1"/>
  <c r="Q941" i="5"/>
  <c r="J74" i="10"/>
  <c r="G74" i="10"/>
  <c r="H938" i="5"/>
  <c r="I1229" i="8"/>
  <c r="G1230" i="8"/>
  <c r="R954" i="5"/>
  <c r="J880" i="5"/>
  <c r="I880" i="5"/>
  <c r="L880" i="5"/>
  <c r="G69" i="10"/>
  <c r="J69" i="10"/>
  <c r="K880" i="5"/>
  <c r="I734" i="5"/>
  <c r="H734" i="5"/>
  <c r="L734" i="5"/>
  <c r="I58" i="10"/>
  <c r="A738" i="5"/>
  <c r="I957" i="8"/>
  <c r="I639" i="5"/>
  <c r="G51" i="10"/>
  <c r="J51" i="10"/>
  <c r="H51" i="10"/>
  <c r="L370" i="5"/>
  <c r="H29" i="10"/>
  <c r="G29" i="10"/>
  <c r="K370" i="5"/>
  <c r="Q373" i="5"/>
  <c r="B29" i="10"/>
  <c r="A29" i="10" s="1"/>
  <c r="D515" i="8"/>
  <c r="B516" i="8"/>
  <c r="A367" i="5"/>
  <c r="D481" i="8"/>
  <c r="C366" i="5"/>
  <c r="D209" i="8"/>
  <c r="A217" i="8"/>
  <c r="B217" i="8"/>
  <c r="R201" i="5"/>
  <c r="G5" i="10"/>
  <c r="I5" i="10"/>
  <c r="H5" i="10"/>
  <c r="L64" i="5"/>
  <c r="C5" i="10"/>
  <c r="A5" i="10"/>
  <c r="F5" i="10"/>
  <c r="K64" i="5"/>
  <c r="J10" i="5"/>
  <c r="Z16" i="5"/>
  <c r="R50" i="5"/>
  <c r="A17" i="5"/>
  <c r="Q2262" i="5"/>
  <c r="B177" i="10"/>
  <c r="A177" i="10"/>
  <c r="Q426" i="5"/>
  <c r="C33" i="10"/>
  <c r="B33" i="10"/>
  <c r="A33" i="10"/>
  <c r="A150" i="10"/>
  <c r="Q2211" i="5"/>
  <c r="B173" i="10"/>
  <c r="A173" i="10"/>
  <c r="Q3231" i="5"/>
  <c r="C253" i="10"/>
  <c r="A253" i="10"/>
  <c r="L3073" i="5"/>
  <c r="F241" i="10"/>
  <c r="Q3077" i="5"/>
  <c r="I241" i="10"/>
  <c r="Q3026" i="5"/>
  <c r="F237" i="10"/>
  <c r="L3022" i="5"/>
  <c r="I3022" i="5"/>
  <c r="J3022" i="5"/>
  <c r="H3022" i="5"/>
  <c r="J237" i="10"/>
  <c r="Q2982" i="5"/>
  <c r="C234" i="10"/>
  <c r="K2978" i="5"/>
  <c r="J2978" i="5"/>
  <c r="L2978" i="5"/>
  <c r="A2922" i="5"/>
  <c r="A2943" i="5"/>
  <c r="I2767" i="5"/>
  <c r="F217" i="10"/>
  <c r="G217" i="10"/>
  <c r="K2767" i="5"/>
  <c r="H2767" i="5"/>
  <c r="I217" i="10"/>
  <c r="I2679" i="5"/>
  <c r="Q2682" i="5"/>
  <c r="F211" i="10"/>
  <c r="G211" i="10"/>
  <c r="H211" i="10"/>
  <c r="Q2624" i="5"/>
  <c r="J206" i="10"/>
  <c r="G206" i="10"/>
  <c r="J2621" i="5"/>
  <c r="Q2567" i="5"/>
  <c r="I201" i="10"/>
  <c r="F201" i="10"/>
  <c r="Q2529" i="5"/>
  <c r="J199" i="10"/>
  <c r="K2526" i="5"/>
  <c r="F199" i="10"/>
  <c r="H199" i="10"/>
  <c r="F181" i="10"/>
  <c r="I2308" i="5"/>
  <c r="H181" i="10"/>
  <c r="Q2312" i="5"/>
  <c r="G181" i="10"/>
  <c r="L2308" i="5"/>
  <c r="H175" i="10"/>
  <c r="Q2224" i="5"/>
  <c r="F175" i="10"/>
  <c r="I2220" i="5"/>
  <c r="K2220" i="5"/>
  <c r="Q2223" i="5"/>
  <c r="H138" i="10"/>
  <c r="Q1757" i="5"/>
  <c r="G138" i="10"/>
  <c r="I1754" i="5"/>
  <c r="Q1758" i="5"/>
  <c r="J1754" i="5"/>
  <c r="G130" i="10"/>
  <c r="H1652" i="5"/>
  <c r="F130" i="10"/>
  <c r="I1652" i="5"/>
  <c r="H130" i="10"/>
  <c r="J1652" i="5"/>
  <c r="K1601" i="5"/>
  <c r="F126" i="10"/>
  <c r="I1601" i="5"/>
  <c r="J126" i="10"/>
  <c r="G126" i="10"/>
  <c r="J123" i="10"/>
  <c r="L1557" i="5"/>
  <c r="I1557" i="5"/>
  <c r="K1557" i="5"/>
  <c r="Q636" i="5"/>
  <c r="J50" i="10"/>
  <c r="K632" i="5"/>
  <c r="I632" i="5"/>
  <c r="F50" i="10"/>
  <c r="I50" i="10"/>
  <c r="I35" i="10"/>
  <c r="H435" i="5"/>
  <c r="H35" i="10"/>
  <c r="Q439" i="5"/>
  <c r="H370" i="5"/>
  <c r="H18" i="10"/>
  <c r="J224" i="5"/>
  <c r="A249" i="5"/>
  <c r="M254" i="5"/>
  <c r="I311" i="8"/>
  <c r="Q184" i="5"/>
  <c r="G15" i="10"/>
  <c r="I180" i="5"/>
  <c r="H15" i="10"/>
  <c r="H180" i="5"/>
  <c r="I15" i="10"/>
  <c r="F15" i="10"/>
  <c r="B15" i="10"/>
  <c r="X16" i="5"/>
  <c r="A15" i="5"/>
  <c r="X30" i="5"/>
  <c r="A73" i="10"/>
  <c r="A183" i="10"/>
  <c r="J258" i="10"/>
  <c r="L3284" i="5"/>
  <c r="K3284" i="5"/>
  <c r="I258" i="10"/>
  <c r="K2869" i="5"/>
  <c r="F225" i="10"/>
  <c r="H2869" i="5"/>
  <c r="J2519" i="5"/>
  <c r="H198" i="10"/>
  <c r="H2519" i="5"/>
  <c r="L2519" i="5"/>
  <c r="B198" i="10"/>
  <c r="A198" i="10" s="1"/>
  <c r="J185" i="10"/>
  <c r="K2359" i="5"/>
  <c r="H167" i="10"/>
  <c r="I2118" i="5"/>
  <c r="I1914" i="5"/>
  <c r="K1914" i="5"/>
  <c r="J151" i="10"/>
  <c r="G122" i="10"/>
  <c r="J122" i="10"/>
  <c r="H117" i="10"/>
  <c r="J117" i="10"/>
  <c r="J1193" i="5"/>
  <c r="F94" i="10"/>
  <c r="J94" i="10"/>
  <c r="I1193" i="5"/>
  <c r="J887" i="5"/>
  <c r="H887" i="5"/>
  <c r="H792" i="5"/>
  <c r="G63" i="10"/>
  <c r="H63" i="10"/>
  <c r="K574" i="5"/>
  <c r="I574" i="5"/>
  <c r="J45" i="10"/>
  <c r="L523" i="5"/>
  <c r="J523" i="5"/>
  <c r="H41" i="10"/>
  <c r="J41" i="10"/>
  <c r="H421" i="5"/>
  <c r="I33" i="10"/>
  <c r="F33" i="10"/>
  <c r="Q3229" i="5"/>
  <c r="H253" i="10"/>
  <c r="H231" i="10"/>
  <c r="H2934" i="5"/>
  <c r="H2774" i="5"/>
  <c r="J218" i="10"/>
  <c r="Q2777" i="5"/>
  <c r="K1033" i="5"/>
  <c r="Q1036" i="5"/>
  <c r="I131" i="4"/>
  <c r="G43" i="4"/>
  <c r="G97" i="4"/>
  <c r="I39" i="4"/>
  <c r="G6" i="4"/>
  <c r="G65" i="4"/>
  <c r="I84" i="4"/>
  <c r="I95" i="4"/>
  <c r="I71" i="4"/>
  <c r="G51" i="4"/>
  <c r="I121" i="4"/>
  <c r="G61" i="4"/>
  <c r="G5" i="4"/>
  <c r="I40" i="4"/>
  <c r="G83" i="4"/>
  <c r="G18" i="4"/>
  <c r="I130" i="4"/>
  <c r="G88" i="4"/>
  <c r="G10" i="4"/>
  <c r="G53" i="4"/>
  <c r="I117" i="4"/>
  <c r="I132" i="4"/>
  <c r="G62" i="4"/>
  <c r="A149" i="8"/>
  <c r="A152" i="8"/>
  <c r="A150" i="8"/>
  <c r="I77" i="4"/>
  <c r="G77" i="4"/>
  <c r="G44" i="4"/>
  <c r="I44" i="4"/>
  <c r="I42" i="4"/>
  <c r="G42" i="4"/>
  <c r="I3913" i="8"/>
  <c r="I3879" i="8"/>
  <c r="I3847" i="8"/>
  <c r="X2886" i="5"/>
  <c r="R2906" i="5"/>
  <c r="F2906" i="5"/>
  <c r="AH57" i="5"/>
  <c r="D226" i="10"/>
  <c r="A2894" i="5"/>
  <c r="D225" i="10"/>
  <c r="X2900" i="5"/>
  <c r="R2878" i="5"/>
  <c r="A2873" i="5"/>
  <c r="L2865" i="5"/>
  <c r="M2906" i="5"/>
  <c r="A2880" i="5"/>
  <c r="D227" i="10"/>
  <c r="R2892" i="5"/>
  <c r="A2901" i="5"/>
  <c r="R2417" i="5"/>
  <c r="F2447" i="5"/>
  <c r="D190" i="10"/>
  <c r="R2431" i="5"/>
  <c r="A2412" i="5"/>
  <c r="B2447" i="5"/>
  <c r="R2445" i="5"/>
  <c r="A2440" i="5"/>
  <c r="D192" i="10"/>
  <c r="C2406" i="5"/>
  <c r="A2419" i="5"/>
  <c r="X2441" i="5"/>
  <c r="D3201" i="8"/>
  <c r="D3235" i="8"/>
  <c r="A2407" i="5"/>
  <c r="G2446" i="5"/>
  <c r="X2413" i="5"/>
  <c r="G3097" i="8"/>
  <c r="M2302" i="5"/>
  <c r="I3097" i="8"/>
  <c r="G3063" i="8"/>
  <c r="R2192" i="5"/>
  <c r="A2159" i="5"/>
  <c r="X2186" i="5"/>
  <c r="D169" i="10"/>
  <c r="L2151" i="5"/>
  <c r="X2172" i="5"/>
  <c r="D170" i="10"/>
  <c r="D172" i="10"/>
  <c r="A1693" i="5"/>
  <c r="R1713" i="5"/>
  <c r="D2283" i="8"/>
  <c r="D2249" i="8"/>
  <c r="D133" i="10"/>
  <c r="R1731" i="5"/>
  <c r="A1726" i="5"/>
  <c r="B1733" i="5"/>
  <c r="X1727" i="5"/>
  <c r="A1705" i="5"/>
  <c r="A1719" i="5"/>
  <c r="X1699" i="5"/>
  <c r="D136" i="10"/>
  <c r="R1717" i="5"/>
  <c r="R1703" i="5"/>
  <c r="D135" i="10"/>
  <c r="C1692" i="5"/>
  <c r="F1733" i="5"/>
  <c r="D1875" i="8"/>
  <c r="B1876" i="8"/>
  <c r="A1420" i="5"/>
  <c r="A1413" i="5"/>
  <c r="A1392" i="5"/>
  <c r="A1387" i="5"/>
  <c r="R1397" i="5"/>
  <c r="D1841" i="8"/>
  <c r="B1427" i="5"/>
  <c r="G1426" i="5"/>
  <c r="R1411" i="5"/>
  <c r="A1406" i="5"/>
  <c r="C1386" i="5"/>
  <c r="I1807" i="8"/>
  <c r="A1818" i="8"/>
  <c r="D106" i="10"/>
  <c r="A1350" i="5"/>
  <c r="R1348" i="5"/>
  <c r="A1343" i="5"/>
  <c r="A1364" i="5"/>
  <c r="D108" i="10"/>
  <c r="D105" i="10"/>
  <c r="I1773" i="8"/>
  <c r="A1357" i="5"/>
  <c r="R1362" i="5"/>
  <c r="A1371" i="5"/>
  <c r="M1376" i="5"/>
  <c r="X1356" i="5"/>
  <c r="D107" i="10"/>
  <c r="L1335" i="5"/>
  <c r="X1342" i="5"/>
  <c r="X1370" i="5"/>
  <c r="X1166" i="5"/>
  <c r="X1152" i="5"/>
  <c r="G1171" i="5"/>
  <c r="D90" i="10"/>
  <c r="F1172" i="5"/>
  <c r="D1535" i="8"/>
  <c r="J1549" i="8"/>
  <c r="A1151" i="5"/>
  <c r="D91" i="10"/>
  <c r="D92" i="10"/>
  <c r="G955" i="8"/>
  <c r="G989" i="8"/>
  <c r="M721" i="5"/>
  <c r="I683" i="8"/>
  <c r="G207" i="8"/>
  <c r="G241" i="8"/>
  <c r="M160" i="5"/>
  <c r="G139" i="8"/>
  <c r="M109" i="5"/>
  <c r="G173" i="8"/>
  <c r="A213" i="10"/>
  <c r="Z2937" i="5"/>
  <c r="R1954" i="5"/>
  <c r="A3078" i="8"/>
  <c r="A3077" i="8"/>
  <c r="A3076" i="8"/>
  <c r="A3075" i="8"/>
  <c r="A3073" i="8"/>
  <c r="A3074" i="8"/>
  <c r="B3621" i="8"/>
  <c r="A562" i="8"/>
  <c r="A560" i="8"/>
  <c r="A559" i="8"/>
  <c r="A558" i="8"/>
  <c r="A556" i="8"/>
  <c r="A561" i="8"/>
  <c r="A1614" i="8"/>
  <c r="B1614" i="8"/>
  <c r="B3066" i="8"/>
  <c r="Z2923" i="5"/>
  <c r="O3322" i="5"/>
  <c r="A3079" i="8"/>
  <c r="J153" i="8"/>
  <c r="Z2492" i="5"/>
  <c r="A2433" i="5"/>
  <c r="R1425" i="5"/>
  <c r="B3620" i="8"/>
  <c r="A3383" i="8"/>
  <c r="B3383" i="8"/>
  <c r="R2835" i="5"/>
  <c r="R2821" i="5"/>
  <c r="R2849" i="5"/>
  <c r="G29" i="4"/>
  <c r="I29" i="4"/>
  <c r="D251" i="10"/>
  <c r="B3212" i="5"/>
  <c r="R3210" i="5"/>
  <c r="X3206" i="5"/>
  <c r="A3070" i="5"/>
  <c r="R3104" i="5"/>
  <c r="A3103" i="5"/>
  <c r="R3094" i="5"/>
  <c r="A3082" i="5"/>
  <c r="D242" i="10"/>
  <c r="X3104" i="5"/>
  <c r="F3110" i="5"/>
  <c r="D4119" i="8"/>
  <c r="R3080" i="5"/>
  <c r="X3090" i="5"/>
  <c r="G2757" i="8"/>
  <c r="G2723" i="8"/>
  <c r="R1974" i="5"/>
  <c r="R1988" i="5"/>
  <c r="A1962" i="5"/>
  <c r="X1982" i="5"/>
  <c r="I2589" i="8"/>
  <c r="G2590" i="8"/>
  <c r="R1960" i="5"/>
  <c r="J1948" i="5"/>
  <c r="O1946" i="5"/>
  <c r="A1969" i="5"/>
  <c r="A87" i="5"/>
  <c r="A94" i="5"/>
  <c r="D107" i="8"/>
  <c r="M7" i="5"/>
  <c r="J5" i="4"/>
  <c r="G37" i="8"/>
  <c r="G3" i="8"/>
  <c r="A75" i="10"/>
  <c r="A3314" i="8"/>
  <c r="A3315" i="8"/>
  <c r="G106" i="4"/>
  <c r="I106" i="4"/>
  <c r="I55" i="4"/>
  <c r="G55" i="4"/>
  <c r="M3271" i="5"/>
  <c r="G4389" i="8"/>
  <c r="A2980" i="5"/>
  <c r="D234" i="10"/>
  <c r="D233" i="10"/>
  <c r="A2968" i="5"/>
  <c r="R2992" i="5"/>
  <c r="D3949" i="8"/>
  <c r="G3471" i="8"/>
  <c r="G3505" i="8"/>
  <c r="L2559" i="5"/>
  <c r="A2574" i="5"/>
  <c r="X2566" i="5"/>
  <c r="I3439" i="8"/>
  <c r="R2586" i="5"/>
  <c r="X2594" i="5"/>
  <c r="A2567" i="5"/>
  <c r="D2555" i="8"/>
  <c r="B2556" i="8"/>
  <c r="G1936" i="5"/>
  <c r="A1916" i="5"/>
  <c r="A1909" i="5"/>
  <c r="C1896" i="5"/>
  <c r="A1897" i="5"/>
  <c r="R1931" i="5"/>
  <c r="X1931" i="5"/>
  <c r="R1921" i="5"/>
  <c r="A1930" i="5"/>
  <c r="G1227" i="8"/>
  <c r="M925" i="5"/>
  <c r="R546" i="5"/>
  <c r="D44" i="10"/>
  <c r="X554" i="5"/>
  <c r="R560" i="5"/>
  <c r="I345" i="8"/>
  <c r="J356" i="8"/>
  <c r="A300" i="5"/>
  <c r="D21" i="10"/>
  <c r="I379" i="8"/>
  <c r="A272" i="5"/>
  <c r="R291" i="5"/>
  <c r="A352" i="8"/>
  <c r="B352" i="8"/>
  <c r="A354" i="8"/>
  <c r="B354" i="8"/>
  <c r="G110" i="4"/>
  <c r="I110" i="4"/>
  <c r="A3258" i="5"/>
  <c r="J3223" i="5"/>
  <c r="M3263" i="5"/>
  <c r="A3230" i="5"/>
  <c r="A1779" i="5"/>
  <c r="D138" i="10"/>
  <c r="R1770" i="5"/>
  <c r="A1772" i="5"/>
  <c r="F1784" i="5"/>
  <c r="I1783" i="5"/>
  <c r="I2247" i="8"/>
  <c r="I2281" i="8"/>
  <c r="A1183" i="5"/>
  <c r="G1222" i="5"/>
  <c r="R1207" i="5"/>
  <c r="D1603" i="8"/>
  <c r="X883" i="5"/>
  <c r="D70" i="10"/>
  <c r="D1195" i="8"/>
  <c r="R887" i="5"/>
  <c r="M823" i="5"/>
  <c r="G1091" i="8"/>
  <c r="A780" i="5"/>
  <c r="A775" i="5"/>
  <c r="F815" i="5"/>
  <c r="A233" i="5"/>
  <c r="G253" i="5"/>
  <c r="R224" i="5"/>
  <c r="D20" i="10"/>
  <c r="D18" i="10"/>
  <c r="X220" i="5"/>
  <c r="A3310" i="8"/>
  <c r="B3310" i="8"/>
  <c r="A627" i="5"/>
  <c r="B3517" i="8"/>
  <c r="B358" i="8"/>
  <c r="G3474" i="8"/>
  <c r="R2519" i="5"/>
  <c r="R2533" i="5"/>
  <c r="X2515" i="5"/>
  <c r="X2529" i="5"/>
  <c r="D3371" i="8"/>
  <c r="D200" i="10"/>
  <c r="D199" i="10"/>
  <c r="A2509" i="5"/>
  <c r="C2508" i="5"/>
  <c r="G2548" i="5"/>
  <c r="A2521" i="5"/>
  <c r="D197" i="10"/>
  <c r="R2547" i="5"/>
  <c r="F2549" i="5"/>
  <c r="A2528" i="5"/>
  <c r="X2543" i="5"/>
  <c r="D198" i="10"/>
  <c r="A2542" i="5"/>
  <c r="D3337" i="8"/>
  <c r="A2535" i="5"/>
  <c r="A2025" i="5"/>
  <c r="A2004" i="5"/>
  <c r="F2039" i="5"/>
  <c r="R2023" i="5"/>
  <c r="C1998" i="5"/>
  <c r="R2009" i="5"/>
  <c r="D160" i="10"/>
  <c r="X2033" i="5"/>
  <c r="A2018" i="5"/>
  <c r="D158" i="10"/>
  <c r="D159" i="10"/>
  <c r="X2005" i="5"/>
  <c r="D2657" i="8"/>
  <c r="B2039" i="5"/>
  <c r="A2011" i="5"/>
  <c r="D2691" i="8"/>
  <c r="R2037" i="5"/>
  <c r="D157" i="10"/>
  <c r="X2019" i="5"/>
  <c r="D2215" i="8"/>
  <c r="R1680" i="5"/>
  <c r="A1654" i="5"/>
  <c r="R1652" i="5"/>
  <c r="B1682" i="5"/>
  <c r="A1668" i="5"/>
  <c r="D2181" i="8"/>
  <c r="G1681" i="5"/>
  <c r="A1661" i="5"/>
  <c r="X1648" i="5"/>
  <c r="D131" i="10"/>
  <c r="X1662" i="5"/>
  <c r="A1675" i="5"/>
  <c r="R1666" i="5"/>
  <c r="X1676" i="5"/>
  <c r="D132" i="10"/>
  <c r="A1647" i="5"/>
  <c r="D129" i="10"/>
  <c r="D130" i="10"/>
  <c r="A1642" i="5"/>
  <c r="F1682" i="5"/>
  <c r="C1641" i="5"/>
  <c r="M1588" i="5"/>
  <c r="G2111" i="8"/>
  <c r="G2145" i="8"/>
  <c r="R1070" i="5"/>
  <c r="J1030" i="5"/>
  <c r="R1056" i="5"/>
  <c r="A1051" i="5"/>
  <c r="D82" i="10"/>
  <c r="A1044" i="5"/>
  <c r="I1365" i="8"/>
  <c r="D81" i="10"/>
  <c r="R1042" i="5"/>
  <c r="A1058" i="5"/>
  <c r="L1029" i="5"/>
  <c r="D83" i="10"/>
  <c r="X1050" i="5"/>
  <c r="A1037" i="5"/>
  <c r="I1069" i="5"/>
  <c r="I1399" i="8"/>
  <c r="D84" i="10"/>
  <c r="M1070" i="5"/>
  <c r="X1064" i="5"/>
  <c r="A1065" i="5"/>
  <c r="X1036" i="5"/>
  <c r="A998" i="5"/>
  <c r="B1019" i="5"/>
  <c r="A984" i="5"/>
  <c r="X999" i="5"/>
  <c r="G1018" i="5"/>
  <c r="X985" i="5"/>
  <c r="D1331" i="8"/>
  <c r="D77" i="10"/>
  <c r="A991" i="5"/>
  <c r="X1013" i="5"/>
  <c r="A1012" i="5"/>
  <c r="D1297" i="8"/>
  <c r="D78" i="10"/>
  <c r="R989" i="5"/>
  <c r="A979" i="5"/>
  <c r="D79" i="10"/>
  <c r="F1019" i="5"/>
  <c r="D80" i="10"/>
  <c r="C978" i="5"/>
  <c r="R1017" i="5"/>
  <c r="A604" i="5"/>
  <c r="X577" i="5"/>
  <c r="D787" i="8"/>
  <c r="D753" i="8"/>
  <c r="D47" i="10"/>
  <c r="R581" i="5"/>
  <c r="B611" i="5"/>
  <c r="A597" i="5"/>
  <c r="D46" i="10"/>
  <c r="A590" i="5"/>
  <c r="R595" i="5"/>
  <c r="D48" i="10"/>
  <c r="D45" i="10"/>
  <c r="X591" i="5"/>
  <c r="C570" i="5"/>
  <c r="A583" i="5"/>
  <c r="G610" i="5"/>
  <c r="R609" i="5"/>
  <c r="F611" i="5"/>
  <c r="A502" i="5"/>
  <c r="R507" i="5"/>
  <c r="G508" i="5"/>
  <c r="A495" i="5"/>
  <c r="D651" i="8"/>
  <c r="C468" i="5"/>
  <c r="R493" i="5"/>
  <c r="X475" i="5"/>
  <c r="D40" i="10"/>
  <c r="A469" i="5"/>
  <c r="B509" i="5"/>
  <c r="X489" i="5"/>
  <c r="A488" i="5"/>
  <c r="D617" i="8"/>
  <c r="A481" i="5"/>
  <c r="X503" i="5"/>
  <c r="R479" i="5"/>
  <c r="D38" i="10"/>
  <c r="A474" i="5"/>
  <c r="D37" i="10"/>
  <c r="G479" i="8"/>
  <c r="M364" i="5"/>
  <c r="D2963" i="8"/>
  <c r="A2236" i="5"/>
  <c r="D175" i="10"/>
  <c r="A2208" i="5"/>
  <c r="A2203" i="5"/>
  <c r="X2209" i="5"/>
  <c r="A2229" i="5"/>
  <c r="R2241" i="5"/>
  <c r="D2929" i="8"/>
  <c r="X2237" i="5"/>
  <c r="F2243" i="5"/>
  <c r="D174" i="10"/>
  <c r="R2227" i="5"/>
  <c r="R2213" i="5"/>
  <c r="D176" i="10"/>
  <c r="X2223" i="5"/>
  <c r="B2243" i="5"/>
  <c r="G2242" i="5"/>
  <c r="A2215" i="5"/>
  <c r="A2222" i="5"/>
  <c r="G967" i="5"/>
  <c r="B968" i="5"/>
  <c r="R966" i="5"/>
  <c r="X934" i="5"/>
  <c r="F968" i="5"/>
  <c r="X962" i="5"/>
  <c r="A928" i="5"/>
  <c r="O926" i="5"/>
  <c r="A933" i="5"/>
  <c r="R938" i="5"/>
  <c r="R952" i="5"/>
  <c r="D74" i="10"/>
  <c r="C927" i="5"/>
  <c r="D75" i="10"/>
  <c r="X948" i="5"/>
  <c r="A940" i="5"/>
  <c r="D1263" i="8"/>
  <c r="A954" i="5"/>
  <c r="D1229" i="8"/>
  <c r="D76" i="10"/>
  <c r="A852" i="5"/>
  <c r="D68" i="10"/>
  <c r="R850" i="5"/>
  <c r="X860" i="5"/>
  <c r="F866" i="5"/>
  <c r="A826" i="5"/>
  <c r="G865" i="5"/>
  <c r="X846" i="5"/>
  <c r="D1093" i="8"/>
  <c r="A845" i="5"/>
  <c r="D65" i="10"/>
  <c r="X832" i="5"/>
  <c r="A838" i="5"/>
  <c r="D1127" i="8"/>
  <c r="R864" i="5"/>
  <c r="D67" i="10"/>
  <c r="C825" i="5"/>
  <c r="R836" i="5"/>
  <c r="A831" i="5"/>
  <c r="B866" i="5"/>
  <c r="G411" i="8"/>
  <c r="M313" i="5"/>
  <c r="G445" i="8"/>
  <c r="B4093" i="8"/>
  <c r="A2032" i="5"/>
  <c r="A1999" i="5"/>
  <c r="A1005" i="5"/>
  <c r="F509" i="5"/>
  <c r="X605" i="5"/>
  <c r="G2964" i="8"/>
  <c r="A2977" i="8"/>
  <c r="B2977" i="8"/>
  <c r="A2970" i="8"/>
  <c r="B2970" i="8"/>
  <c r="A2975" i="8"/>
  <c r="B2975" i="8"/>
  <c r="A2325" i="8"/>
  <c r="B2318" i="8"/>
  <c r="A2327" i="8"/>
  <c r="A2329" i="8"/>
  <c r="A2326" i="8"/>
  <c r="A2328" i="8"/>
  <c r="A2766" i="8"/>
  <c r="B2766" i="8"/>
  <c r="A2769" i="8"/>
  <c r="B2769" i="8"/>
  <c r="A2771" i="8"/>
  <c r="B2771" i="8"/>
  <c r="G2760" i="8"/>
  <c r="A2770" i="8"/>
  <c r="B2770" i="8"/>
  <c r="B2549" i="5"/>
  <c r="A576" i="5"/>
  <c r="F1070" i="5"/>
  <c r="A571" i="5"/>
  <c r="Z2849" i="5"/>
  <c r="Z2835" i="5"/>
  <c r="B2843" i="5"/>
  <c r="L2843" i="5" s="1"/>
  <c r="O2813" i="5"/>
  <c r="B356" i="8"/>
  <c r="R1305" i="5"/>
  <c r="R1319" i="5"/>
  <c r="A183" i="8"/>
  <c r="Z248" i="5"/>
  <c r="Z220" i="5"/>
  <c r="Z234" i="5"/>
  <c r="Z1152" i="5"/>
  <c r="Z1523" i="5"/>
  <c r="Z1495" i="5"/>
  <c r="R1611" i="5"/>
  <c r="B3314" i="5"/>
  <c r="A3300" i="5"/>
  <c r="D4391" i="8"/>
  <c r="A3279" i="5"/>
  <c r="A3307" i="5"/>
  <c r="D257" i="10"/>
  <c r="R3298" i="5"/>
  <c r="D258" i="10"/>
  <c r="G3313" i="5"/>
  <c r="C3273" i="5"/>
  <c r="X3308" i="5"/>
  <c r="X3294" i="5"/>
  <c r="D4357" i="8"/>
  <c r="X3280" i="5"/>
  <c r="D260" i="10"/>
  <c r="R3284" i="5"/>
  <c r="D259" i="10"/>
  <c r="G3607" i="8"/>
  <c r="G3641" i="8"/>
  <c r="A1911" i="5"/>
  <c r="I1936" i="5"/>
  <c r="D152" i="10"/>
  <c r="A1925" i="5"/>
  <c r="I2555" i="8"/>
  <c r="M1937" i="5"/>
  <c r="J1897" i="5"/>
  <c r="R1909" i="5"/>
  <c r="X1917" i="5"/>
  <c r="A1932" i="5"/>
  <c r="R1923" i="5"/>
  <c r="R1937" i="5"/>
  <c r="D150" i="10"/>
  <c r="L1896" i="5"/>
  <c r="A1904" i="5"/>
  <c r="D149" i="10"/>
  <c r="A1821" i="5"/>
  <c r="R1833" i="5"/>
  <c r="X1801" i="5"/>
  <c r="D142" i="10"/>
  <c r="X1815" i="5"/>
  <c r="A1807" i="5"/>
  <c r="D144" i="10"/>
  <c r="C1794" i="5"/>
  <c r="D143" i="10"/>
  <c r="A1795" i="5"/>
  <c r="D2385" i="8"/>
  <c r="R1805" i="5"/>
  <c r="A1828" i="5"/>
  <c r="D141" i="10"/>
  <c r="R1819" i="5"/>
  <c r="A1800" i="5"/>
  <c r="I1841" i="8"/>
  <c r="F1427" i="5"/>
  <c r="X1421" i="5"/>
  <c r="D109" i="10"/>
  <c r="A1401" i="5"/>
  <c r="A1408" i="5"/>
  <c r="R1399" i="5"/>
  <c r="R1427" i="5"/>
  <c r="D111" i="10"/>
  <c r="J1387" i="5"/>
  <c r="D110" i="10"/>
  <c r="X1407" i="5"/>
  <c r="I1875" i="8"/>
  <c r="I1426" i="5"/>
  <c r="X1393" i="5"/>
  <c r="D112" i="10"/>
  <c r="A1415" i="5"/>
  <c r="A1422" i="5"/>
  <c r="R1413" i="5"/>
  <c r="A1394" i="5"/>
  <c r="L1386" i="5"/>
  <c r="D1739" i="8"/>
  <c r="A1290" i="5"/>
  <c r="A1311" i="5"/>
  <c r="D1705" i="8"/>
  <c r="X1291" i="5"/>
  <c r="A1297" i="5"/>
  <c r="A1318" i="5"/>
  <c r="G1324" i="5"/>
  <c r="D103" i="10"/>
  <c r="A1304" i="5"/>
  <c r="X1305" i="5"/>
  <c r="F1325" i="5"/>
  <c r="D101" i="10"/>
  <c r="R1295" i="5"/>
  <c r="D102" i="10"/>
  <c r="R1323" i="5"/>
  <c r="R683" i="5"/>
  <c r="A699" i="5"/>
  <c r="D889" i="8"/>
  <c r="B713" i="5"/>
  <c r="G712" i="5"/>
  <c r="A692" i="5"/>
  <c r="X707" i="5"/>
  <c r="D55" i="10"/>
  <c r="C672" i="5"/>
  <c r="A706" i="5"/>
  <c r="X679" i="5"/>
  <c r="D923" i="8"/>
  <c r="R711" i="5"/>
  <c r="F713" i="5"/>
  <c r="D56" i="10"/>
  <c r="B1536" i="8"/>
  <c r="A2115" i="5"/>
  <c r="I2793" i="8"/>
  <c r="R2127" i="5"/>
  <c r="A2129" i="5"/>
  <c r="X2135" i="5"/>
  <c r="R2113" i="5"/>
  <c r="X2107" i="5"/>
  <c r="F2141" i="5"/>
  <c r="I2827" i="8"/>
  <c r="I2140" i="5"/>
  <c r="D167" i="10"/>
  <c r="D168" i="10"/>
  <c r="J2101" i="5"/>
  <c r="A2136" i="5"/>
  <c r="R2141" i="5"/>
  <c r="L2100" i="5"/>
  <c r="X2121" i="5"/>
  <c r="I209" i="8"/>
  <c r="A198" i="5"/>
  <c r="M203" i="5"/>
  <c r="X197" i="5"/>
  <c r="R189" i="5"/>
  <c r="A177" i="5"/>
  <c r="D14" i="10"/>
  <c r="D16" i="10"/>
  <c r="D15" i="10"/>
  <c r="D13" i="10"/>
  <c r="A184" i="5"/>
  <c r="J163" i="5"/>
  <c r="I202" i="5"/>
  <c r="A170" i="5"/>
  <c r="X169" i="5"/>
  <c r="I243" i="8"/>
  <c r="R175" i="5"/>
  <c r="X183" i="5"/>
  <c r="F203" i="5"/>
  <c r="R203" i="5"/>
  <c r="L162" i="5"/>
  <c r="A3516" i="8"/>
  <c r="A3521" i="8"/>
  <c r="A1819" i="8"/>
  <c r="A3242" i="5"/>
  <c r="F3263" i="5"/>
  <c r="A3256" i="5"/>
  <c r="R3247" i="5"/>
  <c r="A3228" i="5"/>
  <c r="B3263" i="5"/>
  <c r="D254" i="10"/>
  <c r="D253" i="10"/>
  <c r="C3222" i="5"/>
  <c r="D255" i="10"/>
  <c r="D4323" i="8"/>
  <c r="D256" i="10"/>
  <c r="X3257" i="5"/>
  <c r="D237" i="10"/>
  <c r="A3019" i="5"/>
  <c r="A3038" i="5"/>
  <c r="D4017" i="8"/>
  <c r="X3053" i="5"/>
  <c r="B3059" i="5"/>
  <c r="F3059" i="5"/>
  <c r="G3058" i="5"/>
  <c r="A3052" i="5"/>
  <c r="A2892" i="5"/>
  <c r="A2878" i="5"/>
  <c r="A2871" i="5"/>
  <c r="C2865" i="5"/>
  <c r="D228" i="10"/>
  <c r="X2872" i="5"/>
  <c r="D3847" i="8"/>
  <c r="A2688" i="5"/>
  <c r="R2700" i="5"/>
  <c r="D3575" i="8"/>
  <c r="D212" i="10"/>
  <c r="D210" i="10"/>
  <c r="A2695" i="5"/>
  <c r="A2662" i="5"/>
  <c r="D3541" i="8"/>
  <c r="F2702" i="5"/>
  <c r="D211" i="10"/>
  <c r="X2696" i="5"/>
  <c r="D126" i="10"/>
  <c r="D2113" i="8"/>
  <c r="A1596" i="5"/>
  <c r="R1615" i="5"/>
  <c r="R1629" i="5"/>
  <c r="A1617" i="5"/>
  <c r="A1603" i="5"/>
  <c r="A1624" i="5"/>
  <c r="D128" i="10"/>
  <c r="R1601" i="5"/>
  <c r="B1631" i="5"/>
  <c r="X1611" i="5"/>
  <c r="A1510" i="5"/>
  <c r="A1496" i="5"/>
  <c r="X1509" i="5"/>
  <c r="D117" i="10"/>
  <c r="R1501" i="5"/>
  <c r="F1529" i="5"/>
  <c r="I1977" i="8"/>
  <c r="D119" i="10"/>
  <c r="R1529" i="5"/>
  <c r="R1515" i="5"/>
  <c r="D120" i="10"/>
  <c r="M1529" i="5"/>
  <c r="G1771" i="8"/>
  <c r="M1333" i="5"/>
  <c r="G1805" i="8"/>
  <c r="B1274" i="5"/>
  <c r="A1260" i="5"/>
  <c r="D99" i="10"/>
  <c r="A1246" i="5"/>
  <c r="D98" i="10"/>
  <c r="X1268" i="5"/>
  <c r="D1671" i="8"/>
  <c r="A1234" i="5"/>
  <c r="B1241" i="5"/>
  <c r="F1264" i="5" s="1"/>
  <c r="F1274" i="5"/>
  <c r="D1637" i="8"/>
  <c r="A1253" i="5"/>
  <c r="D97" i="10"/>
  <c r="A1267" i="5"/>
  <c r="R1258" i="5"/>
  <c r="R1272" i="5"/>
  <c r="X1254" i="5"/>
  <c r="J1183" i="5"/>
  <c r="D96" i="10"/>
  <c r="R1223" i="5"/>
  <c r="F1223" i="5"/>
  <c r="D94" i="10"/>
  <c r="A968" i="8"/>
  <c r="A525" i="5"/>
  <c r="D719" i="8"/>
  <c r="D685" i="8"/>
  <c r="A546" i="5"/>
  <c r="X540" i="5"/>
  <c r="R558" i="5"/>
  <c r="D43" i="10"/>
  <c r="F458" i="5"/>
  <c r="A425" i="5"/>
  <c r="A446" i="5"/>
  <c r="R444" i="5"/>
  <c r="J418" i="5"/>
  <c r="X424" i="5"/>
  <c r="B101" i="5"/>
  <c r="R85" i="5"/>
  <c r="F101" i="5"/>
  <c r="D6" i="10"/>
  <c r="X81" i="5"/>
  <c r="A80" i="5"/>
  <c r="A61" i="5"/>
  <c r="G1774" i="8"/>
  <c r="L2916" i="5"/>
  <c r="A2938" i="5"/>
  <c r="D229" i="10"/>
  <c r="X2951" i="5"/>
  <c r="R2957" i="5"/>
  <c r="M2957" i="5"/>
  <c r="A2924" i="5"/>
  <c r="D231" i="10"/>
  <c r="X2923" i="5"/>
  <c r="D232" i="10"/>
  <c r="F2957" i="5"/>
  <c r="R2943" i="5"/>
  <c r="R2929" i="5"/>
  <c r="A2945" i="5"/>
  <c r="I2956" i="5"/>
  <c r="G3879" i="8"/>
  <c r="G3913" i="8"/>
  <c r="R2329" i="5"/>
  <c r="X2339" i="5"/>
  <c r="D181" i="10"/>
  <c r="A2317" i="5"/>
  <c r="X2311" i="5"/>
  <c r="D184" i="10"/>
  <c r="C2304" i="5"/>
  <c r="R2343" i="5"/>
  <c r="A2324" i="5"/>
  <c r="X2325" i="5"/>
  <c r="A2331" i="5"/>
  <c r="D183" i="10"/>
  <c r="G2344" i="5"/>
  <c r="A2310" i="5"/>
  <c r="A2305" i="5"/>
  <c r="D182" i="10"/>
  <c r="L1845" i="5"/>
  <c r="M1886" i="5"/>
  <c r="A1881" i="5"/>
  <c r="X1866" i="5"/>
  <c r="D146" i="10"/>
  <c r="A1853" i="5"/>
  <c r="J1846" i="5"/>
  <c r="R1858" i="5"/>
  <c r="I2487" i="8"/>
  <c r="R1872" i="5"/>
  <c r="F1886" i="5"/>
  <c r="D145" i="10"/>
  <c r="I2453" i="8"/>
  <c r="X1880" i="5"/>
  <c r="I1885" i="5"/>
  <c r="B1784" i="5"/>
  <c r="D140" i="10"/>
  <c r="R1768" i="5"/>
  <c r="A1756" i="5"/>
  <c r="R1782" i="5"/>
  <c r="X1750" i="5"/>
  <c r="A1777" i="5"/>
  <c r="I1467" i="8"/>
  <c r="I1120" i="5"/>
  <c r="X1087" i="5"/>
  <c r="A1109" i="5"/>
  <c r="M1121" i="5"/>
  <c r="A1116" i="5"/>
  <c r="A1102" i="5"/>
  <c r="D87" i="10"/>
  <c r="R1107" i="5"/>
  <c r="D1059" i="8"/>
  <c r="R813" i="5"/>
  <c r="A787" i="5"/>
  <c r="A808" i="5"/>
  <c r="D1025" i="8"/>
  <c r="B815" i="5"/>
  <c r="A794" i="5"/>
  <c r="C774" i="5"/>
  <c r="A801" i="5"/>
  <c r="R785" i="5"/>
  <c r="R799" i="5"/>
  <c r="M415" i="5"/>
  <c r="G547" i="8"/>
  <c r="G581" i="8"/>
  <c r="M2353" i="5"/>
  <c r="R1244" i="5"/>
  <c r="B6" i="8"/>
  <c r="A14" i="8"/>
  <c r="A12" i="8"/>
  <c r="A4264" i="8"/>
  <c r="B4264" i="8"/>
  <c r="A3184" i="5"/>
  <c r="X3192" i="5"/>
  <c r="A3177" i="5"/>
  <c r="D249" i="10"/>
  <c r="A3205" i="5"/>
  <c r="D4255" i="8"/>
  <c r="A3198" i="5"/>
  <c r="F3212" i="5"/>
  <c r="D4221" i="8"/>
  <c r="A3105" i="5"/>
  <c r="R3110" i="5"/>
  <c r="M2761" i="5"/>
  <c r="G3709" i="8"/>
  <c r="G3675" i="8"/>
  <c r="D195" i="10"/>
  <c r="A2458" i="5"/>
  <c r="G2497" i="5"/>
  <c r="I2191" i="5"/>
  <c r="R2178" i="5"/>
  <c r="F2192" i="5"/>
  <c r="A2166" i="5"/>
  <c r="A2173" i="5"/>
  <c r="I2861" i="8"/>
  <c r="R2164" i="5"/>
  <c r="I2895" i="8"/>
  <c r="G2791" i="8"/>
  <c r="M2098" i="5"/>
  <c r="D2725" i="8"/>
  <c r="D2759" i="8"/>
  <c r="A2076" i="5"/>
  <c r="R2088" i="5"/>
  <c r="A2083" i="5"/>
  <c r="A2069" i="5"/>
  <c r="A2062" i="5"/>
  <c r="B1988" i="5"/>
  <c r="R1972" i="5"/>
  <c r="X1954" i="5"/>
  <c r="A1953" i="5"/>
  <c r="C1947" i="5"/>
  <c r="A1981" i="5"/>
  <c r="R1986" i="5"/>
  <c r="D2589" i="8"/>
  <c r="F1988" i="5"/>
  <c r="L1692" i="5"/>
  <c r="R1733" i="5"/>
  <c r="I2249" i="8"/>
  <c r="A1728" i="5"/>
  <c r="I1732" i="5"/>
  <c r="X1713" i="5"/>
  <c r="G1975" i="8"/>
  <c r="M1486" i="5"/>
  <c r="G1431" i="8"/>
  <c r="M1078" i="5"/>
  <c r="M1027" i="5"/>
  <c r="G1363" i="8"/>
  <c r="G304" i="5"/>
  <c r="B305" i="5"/>
  <c r="A265" i="5"/>
  <c r="D379" i="8"/>
  <c r="F305" i="5"/>
  <c r="A291" i="5"/>
  <c r="D23" i="10"/>
  <c r="R275" i="5"/>
  <c r="R122" i="5"/>
  <c r="A112" i="5"/>
  <c r="A36" i="5"/>
  <c r="R20" i="5"/>
  <c r="A10" i="5"/>
  <c r="R48" i="5"/>
  <c r="D39" i="8"/>
  <c r="C9" i="5"/>
  <c r="B50" i="5"/>
  <c r="A29" i="5"/>
  <c r="A22" i="5"/>
  <c r="X44" i="5"/>
  <c r="A3140" i="5"/>
  <c r="R3159" i="5"/>
  <c r="D3779" i="8"/>
  <c r="X2821" i="5"/>
  <c r="L2712" i="5"/>
  <c r="A2748" i="5"/>
  <c r="D213" i="10"/>
  <c r="J2713" i="5"/>
  <c r="B2725" i="5"/>
  <c r="X2733" i="5"/>
  <c r="D216" i="10"/>
  <c r="A2565" i="5"/>
  <c r="C2559" i="5"/>
  <c r="D3439" i="8"/>
  <c r="D201" i="10"/>
  <c r="A2579" i="5"/>
  <c r="A2560" i="5"/>
  <c r="R2584" i="5"/>
  <c r="B2600" i="5"/>
  <c r="A2572" i="5"/>
  <c r="A2442" i="5"/>
  <c r="X2427" i="5"/>
  <c r="G3233" i="8"/>
  <c r="G3199" i="8"/>
  <c r="A2363" i="5"/>
  <c r="D186" i="10"/>
  <c r="X2390" i="5"/>
  <c r="D187" i="10"/>
  <c r="A2273" i="5"/>
  <c r="D3031" i="8"/>
  <c r="D177" i="10"/>
  <c r="G2293" i="5"/>
  <c r="M2200" i="5"/>
  <c r="G2927" i="8"/>
  <c r="R1376" i="5"/>
  <c r="I1375" i="5"/>
  <c r="J1336" i="5"/>
  <c r="A1165" i="5"/>
  <c r="C1131" i="5"/>
  <c r="D89" i="10"/>
  <c r="R1170" i="5"/>
  <c r="B1172" i="5"/>
  <c r="D1501" i="8"/>
  <c r="A1144" i="5"/>
  <c r="A1137" i="5"/>
  <c r="R901" i="5"/>
  <c r="A877" i="5"/>
  <c r="X911" i="5"/>
  <c r="D1161" i="8"/>
  <c r="I481" i="8"/>
  <c r="A374" i="5"/>
  <c r="I515" i="8"/>
  <c r="A395" i="5"/>
  <c r="A330" i="5"/>
  <c r="A351" i="5"/>
  <c r="I355" i="5"/>
  <c r="I447" i="8"/>
  <c r="R328" i="5"/>
  <c r="A121" i="8"/>
  <c r="B121" i="8"/>
  <c r="J2152" i="5"/>
  <c r="A1974" i="5"/>
  <c r="R3082" i="5"/>
  <c r="A2180" i="5"/>
  <c r="A2187" i="5"/>
  <c r="X3076" i="5"/>
  <c r="M1894" i="5"/>
  <c r="R34" i="5"/>
  <c r="G49" i="5"/>
  <c r="D4" i="10"/>
  <c r="C2457" i="5"/>
  <c r="G4423" i="8"/>
  <c r="G4457" i="8"/>
  <c r="M3110" i="5"/>
  <c r="M2192" i="5"/>
  <c r="B2090" i="5"/>
  <c r="D2623" i="8"/>
  <c r="J1693" i="5"/>
  <c r="J1438" i="5"/>
  <c r="G1397" i="8"/>
  <c r="R136" i="5"/>
  <c r="I94" i="4"/>
  <c r="G94" i="4"/>
  <c r="G87" i="4"/>
  <c r="I87" i="4"/>
  <c r="G82" i="4"/>
  <c r="I82" i="4"/>
  <c r="G64" i="4"/>
  <c r="I64" i="4"/>
  <c r="G60" i="4"/>
  <c r="I60" i="4"/>
  <c r="I16" i="4"/>
  <c r="G16" i="4"/>
  <c r="I9" i="4"/>
  <c r="G9" i="4"/>
  <c r="I66" i="4"/>
  <c r="G66" i="4"/>
  <c r="I54" i="4"/>
  <c r="I27" i="4"/>
  <c r="G27" i="4"/>
  <c r="G104" i="4"/>
  <c r="I104" i="4"/>
  <c r="I120" i="4"/>
  <c r="G120" i="4"/>
  <c r="I93" i="4"/>
  <c r="G93" i="4"/>
  <c r="I119" i="4"/>
  <c r="G119" i="4"/>
  <c r="G115" i="4"/>
  <c r="I99" i="4"/>
  <c r="G99" i="4"/>
  <c r="G86" i="4"/>
  <c r="I86" i="4"/>
  <c r="I72" i="4"/>
  <c r="G72" i="4"/>
  <c r="I49" i="4"/>
  <c r="I21" i="4"/>
  <c r="G21" i="4"/>
  <c r="R169" i="5"/>
  <c r="Z373" i="5"/>
  <c r="B3140" i="5"/>
  <c r="Z730" i="5"/>
  <c r="R1495" i="5"/>
  <c r="J3317" i="8"/>
  <c r="A1747" i="8"/>
  <c r="B1747" i="8"/>
  <c r="A1441" i="8"/>
  <c r="G1441" i="8"/>
  <c r="G3621" i="8"/>
  <c r="J2365" i="8"/>
  <c r="A2292" i="8"/>
  <c r="B2292" i="8"/>
  <c r="G2090" i="8"/>
  <c r="G1442" i="8"/>
  <c r="A4330" i="8"/>
  <c r="B4330" i="8"/>
  <c r="A4332" i="8"/>
  <c r="B4332" i="8"/>
  <c r="A1440" i="8"/>
  <c r="B1440" i="8"/>
  <c r="G2533" i="8"/>
  <c r="A1445" i="8"/>
  <c r="J1445" i="8"/>
  <c r="J2530" i="8"/>
  <c r="G3622" i="8"/>
  <c r="G2365" i="8"/>
  <c r="J3621" i="8"/>
  <c r="A1990" i="8"/>
  <c r="B1990" i="8"/>
  <c r="A1752" i="8"/>
  <c r="B1752" i="8"/>
  <c r="A1751" i="8"/>
  <c r="B1751" i="8"/>
  <c r="A1377" i="8"/>
  <c r="B1377" i="8"/>
  <c r="F1433" i="8"/>
  <c r="E1462" i="8"/>
  <c r="A970" i="8"/>
  <c r="J970" i="8"/>
  <c r="G1003" i="8"/>
  <c r="A664" i="8"/>
  <c r="B664" i="8"/>
  <c r="E3944" i="8"/>
  <c r="I1023" i="8"/>
  <c r="A4469" i="8"/>
  <c r="A2022" i="8"/>
  <c r="B2022" i="8"/>
  <c r="I1873" i="8"/>
  <c r="G1549" i="8"/>
  <c r="A969" i="8"/>
  <c r="A662" i="8"/>
  <c r="B662" i="8"/>
  <c r="G4460" i="8"/>
  <c r="A4468" i="8"/>
  <c r="B4468" i="8"/>
  <c r="A2023" i="8"/>
  <c r="B2023" i="8"/>
  <c r="J3518" i="8"/>
  <c r="A2021" i="8"/>
  <c r="A47" i="8"/>
  <c r="B47" i="8"/>
  <c r="J2528" i="8"/>
  <c r="A3924" i="8"/>
  <c r="G3984" i="8"/>
  <c r="A2019" i="8"/>
  <c r="B2019" i="8"/>
  <c r="A2024" i="8"/>
  <c r="B2024" i="8"/>
  <c r="A49" i="8"/>
  <c r="B49" i="8"/>
  <c r="E1802" i="8"/>
  <c r="J15" i="8"/>
  <c r="B3757" i="8"/>
  <c r="G3757" i="8"/>
  <c r="J2087" i="8"/>
  <c r="J3620" i="8"/>
  <c r="G3620" i="8"/>
  <c r="A1342" i="8"/>
  <c r="B1342" i="8"/>
  <c r="A1340" i="8"/>
  <c r="B1340" i="8"/>
  <c r="A1344" i="8"/>
  <c r="B1344" i="8"/>
  <c r="A3753" i="8"/>
  <c r="B3753" i="8"/>
  <c r="A1817" i="8"/>
  <c r="G1817" i="8"/>
  <c r="G1440" i="8"/>
  <c r="G2528" i="8"/>
  <c r="J2025" i="8"/>
  <c r="G652" i="8"/>
  <c r="B1549" i="8"/>
  <c r="O2353" i="5"/>
  <c r="J3759" i="8"/>
  <c r="A3825" i="8"/>
  <c r="B3825" i="8"/>
  <c r="B1445" i="8"/>
  <c r="A4266" i="8"/>
  <c r="B4266" i="8"/>
  <c r="A1748" i="8"/>
  <c r="B1748" i="8"/>
  <c r="J288" i="8"/>
  <c r="A1345" i="8"/>
  <c r="B1345" i="8"/>
  <c r="A1341" i="8"/>
  <c r="B1341" i="8"/>
  <c r="A1746" i="8"/>
  <c r="B1746" i="8"/>
  <c r="E3536" i="8"/>
  <c r="J289" i="8"/>
  <c r="J1442" i="8"/>
  <c r="A1339" i="8"/>
  <c r="B1339" i="8"/>
  <c r="A1447" i="8"/>
  <c r="B1434" i="8"/>
  <c r="A1753" i="8"/>
  <c r="B1753" i="8"/>
  <c r="J1000" i="8"/>
  <c r="G1544" i="8"/>
  <c r="G3616" i="8"/>
  <c r="G4256" i="8"/>
  <c r="A2467" i="8"/>
  <c r="B2467" i="8"/>
  <c r="G1548" i="8"/>
  <c r="R526" i="5"/>
  <c r="A189" i="8"/>
  <c r="G189" i="8"/>
  <c r="G3515" i="8"/>
  <c r="A660" i="8"/>
  <c r="B660" i="8"/>
  <c r="R730" i="5"/>
  <c r="G16" i="8"/>
  <c r="R2872" i="5"/>
  <c r="A1750" i="8"/>
  <c r="B1750" i="8"/>
  <c r="G287" i="8"/>
  <c r="A1343" i="8"/>
  <c r="B1343" i="8"/>
  <c r="AH51" i="5"/>
  <c r="J4466" i="8"/>
  <c r="A1444" i="8"/>
  <c r="G1444" i="8"/>
  <c r="A1443" i="8"/>
  <c r="B1443" i="8"/>
  <c r="I1907" i="8"/>
  <c r="Z2770" i="5"/>
  <c r="Z118" i="5"/>
  <c r="R1444" i="5"/>
  <c r="R540" i="5"/>
  <c r="R2886" i="5"/>
  <c r="O161" i="5"/>
  <c r="O1997" i="5"/>
  <c r="R1727" i="5"/>
  <c r="R758" i="5"/>
  <c r="Z401" i="5"/>
  <c r="O1385" i="5"/>
  <c r="R2172" i="5"/>
  <c r="O2915" i="5"/>
  <c r="Z285" i="5"/>
  <c r="Z744" i="5"/>
  <c r="Z146" i="5"/>
  <c r="R1699" i="5"/>
  <c r="O2864" i="5"/>
  <c r="R183" i="5"/>
  <c r="B534" i="5"/>
  <c r="S532" i="5" s="1"/>
  <c r="B2180" i="5"/>
  <c r="B2188" i="5" s="1"/>
  <c r="Z2798" i="5"/>
  <c r="B1561" i="5"/>
  <c r="S1566" i="5" s="1"/>
  <c r="B643" i="5"/>
  <c r="S648" i="5" s="1"/>
  <c r="R3192" i="5"/>
  <c r="O722" i="5"/>
  <c r="C2" i="10"/>
  <c r="B2" i="10"/>
  <c r="A2" i="10" s="1"/>
  <c r="C1" i="10"/>
  <c r="B40" i="5"/>
  <c r="B2069" i="5"/>
  <c r="D2080" i="5" s="1"/>
  <c r="R2186" i="5"/>
  <c r="B896" i="5"/>
  <c r="S901" i="5" s="1"/>
  <c r="O1028" i="5"/>
  <c r="Q32" i="5"/>
  <c r="Q25" i="5"/>
  <c r="E578" i="8"/>
  <c r="J557" i="8"/>
  <c r="AH31" i="5"/>
  <c r="O1537" i="5"/>
  <c r="B2827" i="5"/>
  <c r="C2845" i="5" s="1"/>
  <c r="B2841" i="5"/>
  <c r="L2848" i="5" s="1"/>
  <c r="F4425" i="8"/>
  <c r="E4454" i="8"/>
  <c r="A4436" i="8"/>
  <c r="G4436" i="8"/>
  <c r="G2364" i="8"/>
  <c r="B2364" i="8"/>
  <c r="G1004" i="8"/>
  <c r="J999" i="8"/>
  <c r="J1003" i="8"/>
  <c r="G1002" i="8"/>
  <c r="J1004" i="8"/>
  <c r="B992" i="8"/>
  <c r="J1002" i="8"/>
  <c r="G1001" i="8"/>
  <c r="Z2260" i="5"/>
  <c r="Z2274" i="5"/>
  <c r="Z2288" i="5"/>
  <c r="Z2390" i="5"/>
  <c r="Z2362" i="5"/>
  <c r="O2354" i="5"/>
  <c r="B2834" i="5"/>
  <c r="S2839" i="5" s="1"/>
  <c r="J4092" i="8"/>
  <c r="G4098" i="8"/>
  <c r="G2363" i="8"/>
  <c r="G1005" i="8"/>
  <c r="A3790" i="8"/>
  <c r="B3790" i="8"/>
  <c r="A3787" i="8"/>
  <c r="B3787" i="8"/>
  <c r="B2080" i="8"/>
  <c r="J2093" i="8"/>
  <c r="G2089" i="8"/>
  <c r="J2090" i="8"/>
  <c r="I2213" i="8"/>
  <c r="I2179" i="8"/>
  <c r="I2451" i="8"/>
  <c r="I2485" i="8"/>
  <c r="Z2311" i="5"/>
  <c r="Z2339" i="5"/>
  <c r="Z2325" i="5"/>
  <c r="A3384" i="8"/>
  <c r="B3384" i="8"/>
  <c r="G3372" i="8"/>
  <c r="A3378" i="8"/>
  <c r="B3378" i="8"/>
  <c r="R2937" i="5"/>
  <c r="R2923" i="5"/>
  <c r="B2929" i="5"/>
  <c r="S2927" i="5" s="1"/>
  <c r="Z1625" i="5"/>
  <c r="Z1611" i="5"/>
  <c r="O1589" i="5"/>
  <c r="A1613" i="8"/>
  <c r="B1613" i="8"/>
  <c r="A1615" i="8"/>
  <c r="B1615" i="8"/>
  <c r="A1612" i="8"/>
  <c r="B1612" i="8"/>
  <c r="A1610" i="8"/>
  <c r="B1610" i="8"/>
  <c r="A1616" i="8"/>
  <c r="B1616" i="8"/>
  <c r="R438" i="5"/>
  <c r="R452" i="5"/>
  <c r="A3718" i="8"/>
  <c r="B3718" i="8"/>
  <c r="A3720" i="8"/>
  <c r="G3720" i="8"/>
  <c r="A3722" i="8"/>
  <c r="B3722" i="8"/>
  <c r="A3725" i="8"/>
  <c r="J3725" i="8"/>
  <c r="A3723" i="8"/>
  <c r="A3721" i="8"/>
  <c r="B3721" i="8"/>
  <c r="R1342" i="5"/>
  <c r="R1356" i="5"/>
  <c r="A188" i="8"/>
  <c r="G188" i="8"/>
  <c r="A185" i="8"/>
  <c r="A187" i="8"/>
  <c r="B187" i="8"/>
  <c r="A184" i="8"/>
  <c r="B184" i="8"/>
  <c r="E204" i="8"/>
  <c r="A186" i="8"/>
  <c r="G186" i="8"/>
  <c r="A3827" i="8"/>
  <c r="A3821" i="8"/>
  <c r="J3821" i="8"/>
  <c r="A3822" i="8"/>
  <c r="B3822" i="8"/>
  <c r="A3824" i="8"/>
  <c r="B3824" i="8"/>
  <c r="A3823" i="8"/>
  <c r="B3823" i="8"/>
  <c r="F3813" i="8"/>
  <c r="B133" i="5"/>
  <c r="S138" i="5" s="1"/>
  <c r="G3311" i="8"/>
  <c r="I819" i="8"/>
  <c r="B2368" i="5"/>
  <c r="S2366" i="5" s="1"/>
  <c r="J3316" i="8"/>
  <c r="A1617" i="8"/>
  <c r="B1617" i="8"/>
  <c r="Z1597" i="5"/>
  <c r="Z271" i="5"/>
  <c r="O2302" i="5"/>
  <c r="J3520" i="8"/>
  <c r="B288" i="8"/>
  <c r="J2363" i="8"/>
  <c r="F3507" i="8"/>
  <c r="R1370" i="5"/>
  <c r="B2382" i="5"/>
  <c r="S2394" i="5" s="1"/>
  <c r="G2330" i="8"/>
  <c r="J2324" i="8"/>
  <c r="E2346" i="8"/>
  <c r="J2330" i="8"/>
  <c r="A4433" i="8"/>
  <c r="J4433" i="8"/>
  <c r="J998" i="8"/>
  <c r="B414" i="8"/>
  <c r="A423" i="8"/>
  <c r="B423" i="8"/>
  <c r="Z897" i="5"/>
  <c r="Z911" i="5"/>
  <c r="R3294" i="5"/>
  <c r="R3308" i="5"/>
  <c r="R1115" i="5"/>
  <c r="B1107" i="5"/>
  <c r="L1107" i="5" s="1"/>
  <c r="Z2019" i="5"/>
  <c r="Z2005" i="5"/>
  <c r="Z2580" i="5"/>
  <c r="Z2594" i="5"/>
  <c r="Z2566" i="5"/>
  <c r="A1068" i="8"/>
  <c r="B1068" i="8"/>
  <c r="A1069" i="8"/>
  <c r="B1069" i="8"/>
  <c r="A1067" i="8"/>
  <c r="B1067" i="8"/>
  <c r="J1446" i="8"/>
  <c r="B1446" i="8"/>
  <c r="A3752" i="8"/>
  <c r="B3752" i="8"/>
  <c r="B3746" i="8"/>
  <c r="A3754" i="8"/>
  <c r="B3754" i="8"/>
  <c r="A285" i="8"/>
  <c r="G285" i="8"/>
  <c r="A286" i="8"/>
  <c r="B286" i="8"/>
  <c r="E306" i="8"/>
  <c r="A3724" i="8"/>
  <c r="B3724" i="8"/>
  <c r="G1000" i="8"/>
  <c r="I3947" i="8"/>
  <c r="A2463" i="8"/>
  <c r="B2463" i="8"/>
  <c r="A3110" i="8"/>
  <c r="B3110" i="8"/>
  <c r="B1494" i="5"/>
  <c r="B1522" i="5" s="1"/>
  <c r="J3314" i="8"/>
  <c r="G3316" i="8"/>
  <c r="A3381" i="8"/>
  <c r="B3381" i="8"/>
  <c r="A1072" i="8"/>
  <c r="B1072" i="8"/>
  <c r="G3317" i="8"/>
  <c r="G2331" i="8"/>
  <c r="A1073" i="8"/>
  <c r="B1073" i="8"/>
  <c r="G1604" i="8"/>
  <c r="F2079" i="8"/>
  <c r="A290" i="8"/>
  <c r="J290" i="8"/>
  <c r="A291" i="8"/>
  <c r="G291" i="8"/>
  <c r="G3520" i="8"/>
  <c r="J3616" i="8"/>
  <c r="J2364" i="8"/>
  <c r="B3508" i="8"/>
  <c r="I2587" i="8"/>
  <c r="I2621" i="8"/>
  <c r="B2261" i="5"/>
  <c r="B2289" i="5" s="1"/>
  <c r="B2282" i="5"/>
  <c r="B2275" i="5"/>
  <c r="S2280" i="5" s="1"/>
  <c r="B2836" i="5"/>
  <c r="S2841" i="5" s="1"/>
  <c r="B2822" i="5"/>
  <c r="B2850" i="5" s="1"/>
  <c r="B2829" i="5"/>
  <c r="S2827" i="5" s="1"/>
  <c r="G998" i="8"/>
  <c r="A182" i="8"/>
  <c r="A4437" i="8"/>
  <c r="B4437" i="8"/>
  <c r="A1070" i="8"/>
  <c r="B1070" i="8"/>
  <c r="F1909" i="8"/>
  <c r="Z3127" i="5"/>
  <c r="Z3141" i="5"/>
  <c r="Z3155" i="5"/>
  <c r="F991" i="8"/>
  <c r="J3313" i="8"/>
  <c r="G3712" i="8"/>
  <c r="R424" i="5"/>
  <c r="F2895" i="8"/>
  <c r="B2222" i="5"/>
  <c r="S2227" i="5" s="1"/>
  <c r="O1640" i="5"/>
  <c r="O2507" i="5"/>
  <c r="J3074" i="8"/>
  <c r="J3243" i="8"/>
  <c r="F3167" i="8"/>
  <c r="J2091" i="8"/>
  <c r="J2092" i="8"/>
  <c r="O3272" i="5"/>
  <c r="B532" i="5"/>
  <c r="S530" i="5" s="1"/>
  <c r="A52" i="8"/>
  <c r="B52" i="8"/>
  <c r="A48" i="8"/>
  <c r="B48" i="8"/>
  <c r="A964" i="8"/>
  <c r="B964" i="8"/>
  <c r="A971" i="8"/>
  <c r="B971" i="8"/>
  <c r="A967" i="8"/>
  <c r="B967" i="8"/>
  <c r="A965" i="8"/>
  <c r="B965" i="8"/>
  <c r="A966" i="8"/>
  <c r="G966" i="8"/>
  <c r="E2040" i="8"/>
  <c r="A3929" i="8"/>
  <c r="J3929" i="8"/>
  <c r="A3990" i="8"/>
  <c r="F311" i="8"/>
  <c r="I2655" i="8"/>
  <c r="O1435" i="5"/>
  <c r="AH5" i="5"/>
  <c r="G2012" i="8"/>
  <c r="A2018" i="8"/>
  <c r="B2018" i="8"/>
  <c r="J3623" i="8"/>
  <c r="A50" i="8"/>
  <c r="B50" i="8"/>
  <c r="Z3178" i="5"/>
  <c r="Z3206" i="5"/>
  <c r="Z3192" i="5"/>
  <c r="F2" i="4"/>
  <c r="C51" i="10"/>
  <c r="J561" i="8"/>
  <c r="B561" i="8"/>
  <c r="B1617" i="5"/>
  <c r="S1629" i="5" s="1"/>
  <c r="B2078" i="5"/>
  <c r="B2086" i="5" s="1"/>
  <c r="B2071" i="5"/>
  <c r="A1140" i="8"/>
  <c r="B1140" i="8"/>
  <c r="A1135" i="8"/>
  <c r="B1135" i="8"/>
  <c r="R1152" i="5"/>
  <c r="B1139" i="5"/>
  <c r="B1167" i="5" s="1"/>
  <c r="B1146" i="5"/>
  <c r="S1144" i="5" s="1"/>
  <c r="B1160" i="5"/>
  <c r="L1167" i="5" s="1"/>
  <c r="A3480" i="8"/>
  <c r="G3480" i="8"/>
  <c r="A3481" i="8"/>
  <c r="J3481" i="8"/>
  <c r="E3502" i="8"/>
  <c r="O2609" i="5"/>
  <c r="R2645" i="5"/>
  <c r="R2617" i="5"/>
  <c r="A1783" i="8"/>
  <c r="B1783" i="8"/>
  <c r="A1780" i="8"/>
  <c r="B1780" i="8"/>
  <c r="A1781" i="8"/>
  <c r="B1781" i="8"/>
  <c r="A1784" i="8"/>
  <c r="B1784" i="8"/>
  <c r="B1774" i="8"/>
  <c r="A1787" i="8"/>
  <c r="B1787" i="8"/>
  <c r="A1782" i="8"/>
  <c r="B1782" i="8"/>
  <c r="A1786" i="8"/>
  <c r="B1786" i="8"/>
  <c r="A1785" i="8"/>
  <c r="B1785" i="8"/>
  <c r="A595" i="8"/>
  <c r="A591" i="8"/>
  <c r="A590" i="8"/>
  <c r="A593" i="8"/>
  <c r="G584" i="8"/>
  <c r="A592" i="8"/>
  <c r="A597" i="8"/>
  <c r="A594" i="8"/>
  <c r="A596" i="8"/>
  <c r="F583" i="8"/>
  <c r="O1078" i="5"/>
  <c r="AH22" i="5"/>
  <c r="A3279" i="8"/>
  <c r="B3279" i="8"/>
  <c r="A3280" i="8"/>
  <c r="J3280" i="8"/>
  <c r="A3278" i="8"/>
  <c r="A3283" i="8"/>
  <c r="G3283" i="8"/>
  <c r="A3276" i="8"/>
  <c r="J3276" i="8"/>
  <c r="E3298" i="8"/>
  <c r="A3889" i="8"/>
  <c r="A3890" i="8"/>
  <c r="B3890" i="8"/>
  <c r="A3895" i="8"/>
  <c r="A3891" i="8"/>
  <c r="A3894" i="8"/>
  <c r="J3894" i="8"/>
  <c r="A3893" i="8"/>
  <c r="A3892" i="8"/>
  <c r="B3892" i="8"/>
  <c r="B1005" i="8"/>
  <c r="J1005" i="8"/>
  <c r="O2761" i="5"/>
  <c r="AH55" i="5"/>
  <c r="B2361" i="8"/>
  <c r="G2361" i="8"/>
  <c r="B2359" i="8"/>
  <c r="J2359" i="8"/>
  <c r="G2359" i="8"/>
  <c r="B1153" i="5"/>
  <c r="S1158" i="5" s="1"/>
  <c r="B2637" i="5"/>
  <c r="B2645" i="5" s="1"/>
  <c r="G3723" i="8"/>
  <c r="B2375" i="5"/>
  <c r="B2361" i="5"/>
  <c r="B2389" i="5" s="1"/>
  <c r="G358" i="8"/>
  <c r="G356" i="8"/>
  <c r="R1166" i="5"/>
  <c r="B1603" i="5"/>
  <c r="S1601" i="5" s="1"/>
  <c r="G3617" i="8"/>
  <c r="A3482" i="8"/>
  <c r="B3482" i="8"/>
  <c r="A3587" i="8"/>
  <c r="B3587" i="8"/>
  <c r="A3582" i="8"/>
  <c r="B3582" i="8"/>
  <c r="A3277" i="8"/>
  <c r="G3277" i="8"/>
  <c r="A1138" i="8"/>
  <c r="B1138" i="8"/>
  <c r="A3888" i="8"/>
  <c r="B2630" i="5"/>
  <c r="S2635" i="5" s="1"/>
  <c r="B2616" i="5"/>
  <c r="B2644" i="5" s="1"/>
  <c r="R234" i="5"/>
  <c r="B219" i="5"/>
  <c r="B240" i="5"/>
  <c r="S252" i="5" s="1"/>
  <c r="O212" i="5"/>
  <c r="B226" i="5"/>
  <c r="S224" i="5" s="1"/>
  <c r="B999" i="8"/>
  <c r="G999" i="8"/>
  <c r="I751" i="8"/>
  <c r="I785" i="8"/>
  <c r="Z1778" i="5"/>
  <c r="Z1764" i="5"/>
  <c r="O1742" i="5"/>
  <c r="R3206" i="5"/>
  <c r="R3178" i="5"/>
  <c r="B3186" i="5"/>
  <c r="G6" i="8"/>
  <c r="F5" i="8"/>
  <c r="J16" i="8"/>
  <c r="E34" i="8"/>
  <c r="G17" i="8"/>
  <c r="G13" i="8"/>
  <c r="G19" i="8"/>
  <c r="G15" i="8"/>
  <c r="J19" i="8"/>
  <c r="J18" i="8"/>
  <c r="G142" i="8"/>
  <c r="J151" i="8"/>
  <c r="J155" i="8"/>
  <c r="G155" i="8"/>
  <c r="J2533" i="8"/>
  <c r="J2532" i="8"/>
  <c r="J2529" i="8"/>
  <c r="E2550" i="8"/>
  <c r="G2532" i="8"/>
  <c r="F2521" i="8"/>
  <c r="J2535" i="8"/>
  <c r="G2534" i="8"/>
  <c r="J2358" i="8"/>
  <c r="G2358" i="8"/>
  <c r="F73" i="8"/>
  <c r="AH1" i="5"/>
  <c r="R3243" i="5"/>
  <c r="R2631" i="5"/>
  <c r="G18" i="8"/>
  <c r="G3282" i="8"/>
  <c r="J3072" i="8"/>
  <c r="G3623" i="8"/>
  <c r="G4094" i="8"/>
  <c r="J3820" i="8"/>
  <c r="B2057" i="5"/>
  <c r="G3072" i="8"/>
  <c r="O3170" i="5"/>
  <c r="R3229" i="5"/>
  <c r="O2251" i="5"/>
  <c r="G550" i="8"/>
  <c r="J563" i="8"/>
  <c r="F549" i="8"/>
  <c r="G557" i="8"/>
  <c r="G563" i="8"/>
  <c r="A3281" i="8"/>
  <c r="G1445" i="8"/>
  <c r="E3842" i="8"/>
  <c r="G3820" i="8"/>
  <c r="G3814" i="8"/>
  <c r="J3825" i="8"/>
  <c r="A4471" i="8"/>
  <c r="B4471" i="8"/>
  <c r="A4472" i="8"/>
  <c r="J4472" i="8"/>
  <c r="G2529" i="8"/>
  <c r="Z1750" i="5"/>
  <c r="B636" i="5"/>
  <c r="S634" i="5" s="1"/>
  <c r="B629" i="5"/>
  <c r="Z795" i="5"/>
  <c r="Z809" i="5"/>
  <c r="AH18" i="5"/>
  <c r="O874" i="5"/>
  <c r="AH27" i="5"/>
  <c r="A4265" i="8"/>
  <c r="B4265" i="8"/>
  <c r="A4262" i="8"/>
  <c r="B4262" i="8"/>
  <c r="A4267" i="8"/>
  <c r="B4267" i="8"/>
  <c r="B3882" i="8"/>
  <c r="B2358" i="8"/>
  <c r="J1441" i="8"/>
  <c r="J17" i="8"/>
  <c r="O3221" i="5"/>
  <c r="G561" i="8"/>
  <c r="AH3" i="5"/>
  <c r="F3473" i="8"/>
  <c r="O1792" i="5"/>
  <c r="B3623" i="8"/>
  <c r="B233" i="5"/>
  <c r="R3076" i="5"/>
  <c r="R3090" i="5"/>
  <c r="F3269" i="8"/>
  <c r="E170" i="8"/>
  <c r="E3094" i="8"/>
  <c r="E612" i="8"/>
  <c r="B2064" i="5"/>
  <c r="F3065" i="8"/>
  <c r="O1130" i="5"/>
  <c r="R220" i="5"/>
  <c r="B3193" i="5"/>
  <c r="S3198" i="5" s="1"/>
  <c r="A3589" i="8"/>
  <c r="B3589" i="8"/>
  <c r="B3200" i="5"/>
  <c r="S3212" i="5" s="1"/>
  <c r="B3270" i="8"/>
  <c r="G2535" i="8"/>
  <c r="J13" i="8"/>
  <c r="G2522" i="8"/>
  <c r="Z628" i="5"/>
  <c r="Z656" i="5"/>
  <c r="Z642" i="5"/>
  <c r="A1985" i="8"/>
  <c r="B1985" i="8"/>
  <c r="A1986" i="8"/>
  <c r="B1986" i="8"/>
  <c r="A1987" i="8"/>
  <c r="B1987" i="8"/>
  <c r="A1984" i="8"/>
  <c r="B1984" i="8"/>
  <c r="B1501" i="5"/>
  <c r="S1499" i="5" s="1"/>
  <c r="R1509" i="5"/>
  <c r="B1508" i="5"/>
  <c r="S1513" i="5" s="1"/>
  <c r="O1487" i="5"/>
  <c r="B3179" i="5"/>
  <c r="A1376" i="8"/>
  <c r="B1376" i="8"/>
  <c r="A1378" i="8"/>
  <c r="B1378" i="8"/>
  <c r="A1379" i="8"/>
  <c r="B1379" i="8"/>
  <c r="B1366" i="8"/>
  <c r="A3755" i="8"/>
  <c r="B3755" i="8"/>
  <c r="A3756" i="8"/>
  <c r="B3756" i="8"/>
  <c r="A3758" i="8"/>
  <c r="A3382" i="8"/>
  <c r="B3382" i="8"/>
  <c r="A3380" i="8"/>
  <c r="B3380" i="8"/>
  <c r="A3385" i="8"/>
  <c r="B3385" i="8"/>
  <c r="A4434" i="8"/>
  <c r="A4435" i="8"/>
  <c r="B4426" i="8"/>
  <c r="A4432" i="8"/>
  <c r="A4439" i="8"/>
  <c r="J2360" i="8"/>
  <c r="G2360" i="8"/>
  <c r="B2362" i="8"/>
  <c r="J2362" i="8"/>
  <c r="G3076" i="8"/>
  <c r="E3162" i="8"/>
  <c r="B1515" i="5"/>
  <c r="B1523" i="5" s="1"/>
  <c r="G151" i="8"/>
  <c r="G3245" i="8"/>
  <c r="Z2529" i="5"/>
  <c r="Z2515" i="5"/>
  <c r="Z2543" i="5"/>
  <c r="O517" i="5"/>
  <c r="AH11" i="5"/>
  <c r="E3332" i="8"/>
  <c r="F3303" i="8"/>
  <c r="G3313" i="8"/>
  <c r="AH32" i="5"/>
  <c r="O1588" i="5"/>
  <c r="A2160" i="8"/>
  <c r="A2161" i="8"/>
  <c r="A2158" i="8"/>
  <c r="A2155" i="8"/>
  <c r="A2154" i="8"/>
  <c r="A2156" i="8"/>
  <c r="G2148" i="8"/>
  <c r="A2159" i="8"/>
  <c r="A2157" i="8"/>
  <c r="B151" i="8"/>
  <c r="Z883" i="5"/>
  <c r="J3311" i="8"/>
  <c r="A424" i="8"/>
  <c r="G424" i="8"/>
  <c r="B3133" i="5"/>
  <c r="B3351" i="5"/>
  <c r="L3358" i="5" s="1"/>
  <c r="A1137" i="8"/>
  <c r="B1137" i="8"/>
  <c r="A1134" i="8"/>
  <c r="B1134" i="8"/>
  <c r="A1141" i="8"/>
  <c r="B1141" i="8"/>
  <c r="R2121" i="5"/>
  <c r="R2135" i="5"/>
  <c r="R2107" i="5"/>
  <c r="R1087" i="5"/>
  <c r="I1159" i="8"/>
  <c r="I1193" i="8"/>
  <c r="B1466" i="5"/>
  <c r="L1466" i="5" s="1"/>
  <c r="A2702" i="8"/>
  <c r="B2702" i="8"/>
  <c r="R693" i="5"/>
  <c r="G3518" i="8"/>
  <c r="G3312" i="8"/>
  <c r="B525" i="5"/>
  <c r="B550" i="5" s="1"/>
  <c r="R1458" i="5"/>
  <c r="A4064" i="8"/>
  <c r="B4064" i="8"/>
  <c r="J3515" i="8"/>
  <c r="J3822" i="8"/>
  <c r="J2088" i="8"/>
  <c r="G2091" i="8"/>
  <c r="O3068" i="5"/>
  <c r="I3573" i="8"/>
  <c r="G3517" i="8"/>
  <c r="J3514" i="8"/>
  <c r="A1066" i="8"/>
  <c r="B1066" i="8"/>
  <c r="G3759" i="8"/>
  <c r="R656" i="5"/>
  <c r="A832" i="8"/>
  <c r="J832" i="8"/>
  <c r="J3519" i="8"/>
  <c r="A427" i="8"/>
  <c r="J2089" i="8"/>
  <c r="B650" i="5"/>
  <c r="L657" i="5" s="1"/>
  <c r="E4488" i="8"/>
  <c r="A422" i="8"/>
  <c r="A3584" i="8"/>
  <c r="B3584" i="8"/>
  <c r="G2088" i="8"/>
  <c r="A1375" i="8"/>
  <c r="B1375" i="8"/>
  <c r="A1374" i="8"/>
  <c r="B1374" i="8"/>
  <c r="A3586" i="8"/>
  <c r="B3586" i="8"/>
  <c r="G1443" i="8"/>
  <c r="G3519" i="8"/>
  <c r="J2023" i="8"/>
  <c r="A1139" i="8"/>
  <c r="B1139" i="8"/>
  <c r="B2531" i="8"/>
  <c r="G2531" i="8"/>
  <c r="J2531" i="8"/>
  <c r="R1050" i="5"/>
  <c r="R1064" i="5"/>
  <c r="R1036" i="5"/>
  <c r="O1079" i="5"/>
  <c r="A3486" i="8"/>
  <c r="A3483" i="8"/>
  <c r="A3487" i="8"/>
  <c r="A3485" i="8"/>
  <c r="B3474" i="8"/>
  <c r="Z2441" i="5"/>
  <c r="Z2413" i="5"/>
  <c r="I3845" i="8"/>
  <c r="I3811" i="8"/>
  <c r="Z846" i="5"/>
  <c r="Z860" i="5"/>
  <c r="Z832" i="5"/>
  <c r="A114" i="8"/>
  <c r="G114" i="8"/>
  <c r="A116" i="8"/>
  <c r="B116" i="8"/>
  <c r="A117" i="8"/>
  <c r="B117" i="8"/>
  <c r="A115" i="8"/>
  <c r="B115" i="8"/>
  <c r="G108" i="8"/>
  <c r="A120" i="8"/>
  <c r="B120" i="8"/>
  <c r="A119" i="8"/>
  <c r="B119" i="8"/>
  <c r="Z350" i="5"/>
  <c r="Z336" i="5"/>
  <c r="Z322" i="5"/>
  <c r="A1953" i="8"/>
  <c r="B1953" i="8"/>
  <c r="A1957" i="8"/>
  <c r="G1957" i="8"/>
  <c r="A1955" i="8"/>
  <c r="J1955" i="8"/>
  <c r="A1954" i="8"/>
  <c r="G1944" i="8"/>
  <c r="A1950" i="8"/>
  <c r="J1950" i="8"/>
  <c r="A1951" i="8"/>
  <c r="B1951" i="8"/>
  <c r="A1952" i="8"/>
  <c r="J1952" i="8"/>
  <c r="A1956" i="8"/>
  <c r="A2056" i="8"/>
  <c r="B2056" i="8"/>
  <c r="A2055" i="8"/>
  <c r="B2055" i="8"/>
  <c r="A2059" i="8"/>
  <c r="B2059" i="8"/>
  <c r="A2058" i="8"/>
  <c r="B2058" i="8"/>
  <c r="A2054" i="8"/>
  <c r="B2054" i="8"/>
  <c r="A2057" i="8"/>
  <c r="B2057" i="8"/>
  <c r="A2052" i="8"/>
  <c r="B2046" i="8"/>
  <c r="A2053" i="8"/>
  <c r="B2053" i="8"/>
  <c r="G4052" i="8"/>
  <c r="E442" i="8"/>
  <c r="O2405" i="5"/>
  <c r="A3786" i="8"/>
  <c r="B3786" i="8"/>
  <c r="I3777" i="8"/>
  <c r="I3743" i="8"/>
  <c r="Z67" i="5"/>
  <c r="Z95" i="5"/>
  <c r="Z81" i="5"/>
  <c r="B4290" i="8"/>
  <c r="A4302" i="8"/>
  <c r="A4300" i="8"/>
  <c r="A4299" i="8"/>
  <c r="A4297" i="8"/>
  <c r="J4297" i="8"/>
  <c r="A4301" i="8"/>
  <c r="J4301" i="8"/>
  <c r="A4303" i="8"/>
  <c r="A4296" i="8"/>
  <c r="E4318" i="8"/>
  <c r="A4298" i="8"/>
  <c r="J4298" i="8"/>
  <c r="F4289" i="8"/>
  <c r="J2534" i="8"/>
  <c r="J3282" i="8"/>
  <c r="R1903" i="5"/>
  <c r="J3484" i="8"/>
  <c r="J3517" i="8"/>
  <c r="G3514" i="8"/>
  <c r="G1060" i="8"/>
  <c r="O2455" i="5"/>
  <c r="J3757" i="8"/>
  <c r="F413" i="8"/>
  <c r="R628" i="5"/>
  <c r="B3484" i="8"/>
  <c r="J1440" i="8"/>
  <c r="Z2886" i="5"/>
  <c r="A4399" i="8"/>
  <c r="B4399" i="8"/>
  <c r="J3312" i="8"/>
  <c r="Z2988" i="5"/>
  <c r="E2108" i="8"/>
  <c r="G2093" i="8"/>
  <c r="G3576" i="8"/>
  <c r="A1373" i="8"/>
  <c r="B1373" i="8"/>
  <c r="G2025" i="8"/>
  <c r="G2021" i="8"/>
  <c r="G1128" i="8"/>
  <c r="A1136" i="8"/>
  <c r="B1136" i="8"/>
  <c r="G2284" i="8"/>
  <c r="A2294" i="8"/>
  <c r="B2294" i="8"/>
  <c r="A2290" i="8"/>
  <c r="B2290" i="8"/>
  <c r="A2296" i="8"/>
  <c r="B2296" i="8"/>
  <c r="A2293" i="8"/>
  <c r="A2297" i="8"/>
  <c r="B2297" i="8"/>
  <c r="A2291" i="8"/>
  <c r="B2291" i="8"/>
  <c r="J4302" i="8"/>
  <c r="I343" i="8"/>
  <c r="I377" i="8"/>
  <c r="I1737" i="8"/>
  <c r="I1703" i="8"/>
  <c r="I2417" i="8"/>
  <c r="I2383" i="8"/>
  <c r="B2623" i="5"/>
  <c r="S2621" i="5" s="1"/>
  <c r="G834" i="8"/>
  <c r="B834" i="8"/>
  <c r="J834" i="8"/>
  <c r="I1635" i="8"/>
  <c r="I1669" i="8"/>
  <c r="I2043" i="8"/>
  <c r="I2077" i="8"/>
  <c r="A220" i="8"/>
  <c r="B220" i="8"/>
  <c r="A2698" i="8"/>
  <c r="B2698" i="8"/>
  <c r="A2699" i="8"/>
  <c r="B2699" i="8"/>
  <c r="B539" i="5"/>
  <c r="G3074" i="8"/>
  <c r="B3330" i="5"/>
  <c r="B3355" i="5" s="1"/>
  <c r="Z2900" i="5"/>
  <c r="A3792" i="8"/>
  <c r="B3792" i="8"/>
  <c r="A3788" i="8"/>
  <c r="B3788" i="8"/>
  <c r="A835" i="8"/>
  <c r="G835" i="8"/>
  <c r="A830" i="8"/>
  <c r="B830" i="8"/>
  <c r="Z3359" i="5"/>
  <c r="E1938" i="8"/>
  <c r="Z2974" i="5"/>
  <c r="O2762" i="5"/>
  <c r="A3009" i="8"/>
  <c r="J3009" i="8"/>
  <c r="A3010" i="8"/>
  <c r="B3010" i="8"/>
  <c r="B2998" i="8"/>
  <c r="A3008" i="8"/>
  <c r="B3008" i="8"/>
  <c r="A3006" i="8"/>
  <c r="B3006" i="8"/>
  <c r="A3007" i="8"/>
  <c r="B3007" i="8"/>
  <c r="A3005" i="8"/>
  <c r="G3005" i="8"/>
  <c r="A3004" i="8"/>
  <c r="B3004" i="8"/>
  <c r="A3011" i="8"/>
  <c r="B3011" i="8"/>
  <c r="G3916" i="8"/>
  <c r="A3928" i="8"/>
  <c r="A3922" i="8"/>
  <c r="A3927" i="8"/>
  <c r="A3925" i="8"/>
  <c r="A3926" i="8"/>
  <c r="F3915" i="8"/>
  <c r="A3995" i="8"/>
  <c r="A3997" i="8"/>
  <c r="A3991" i="8"/>
  <c r="A3992" i="8"/>
  <c r="J3992" i="8"/>
  <c r="A3996" i="8"/>
  <c r="G3996" i="8"/>
  <c r="A3994" i="8"/>
  <c r="J3994" i="8"/>
  <c r="I4219" i="8"/>
  <c r="I4253" i="8"/>
  <c r="A4473" i="8"/>
  <c r="A4467" i="8"/>
  <c r="G4467" i="8"/>
  <c r="A4470" i="8"/>
  <c r="J4470" i="8"/>
  <c r="J154" i="8"/>
  <c r="G154" i="8"/>
  <c r="G153" i="8"/>
  <c r="B153" i="8"/>
  <c r="B1944" i="8"/>
  <c r="F1943" i="8"/>
  <c r="E1972" i="8"/>
  <c r="J1953" i="8"/>
  <c r="A1991" i="8"/>
  <c r="B1991" i="8"/>
  <c r="A1988" i="8"/>
  <c r="B1988" i="8"/>
  <c r="B1978" i="8"/>
  <c r="G148" i="8"/>
  <c r="B148" i="8"/>
  <c r="J148" i="8"/>
  <c r="F855" i="8"/>
  <c r="E884" i="8"/>
  <c r="G856" i="8"/>
  <c r="A868" i="8"/>
  <c r="A866" i="8"/>
  <c r="A865" i="8"/>
  <c r="A862" i="8"/>
  <c r="A863" i="8"/>
  <c r="A869" i="8"/>
  <c r="A933" i="8"/>
  <c r="B933" i="8"/>
  <c r="A930" i="8"/>
  <c r="B930" i="8"/>
  <c r="A932" i="8"/>
  <c r="B932" i="8"/>
  <c r="A935" i="8"/>
  <c r="B935" i="8"/>
  <c r="A936" i="8"/>
  <c r="B936" i="8"/>
  <c r="A934" i="8"/>
  <c r="B934" i="8"/>
  <c r="A931" i="8"/>
  <c r="B931" i="8"/>
  <c r="G924" i="8"/>
  <c r="A937" i="8"/>
  <c r="B937" i="8"/>
  <c r="A1917" i="8"/>
  <c r="A1920" i="8"/>
  <c r="A1922" i="8"/>
  <c r="B1910" i="8"/>
  <c r="A1919" i="8"/>
  <c r="A1921" i="8"/>
  <c r="A1918" i="8"/>
  <c r="A1923" i="8"/>
  <c r="A1916" i="8"/>
  <c r="A2705" i="8"/>
  <c r="B2705" i="8"/>
  <c r="G2692" i="8"/>
  <c r="I4287" i="8"/>
  <c r="O518" i="5"/>
  <c r="A4162" i="8"/>
  <c r="J4162" i="8"/>
  <c r="B796" i="5"/>
  <c r="A864" i="8"/>
  <c r="G864" i="8"/>
  <c r="B548" i="5"/>
  <c r="B556" i="5" s="1"/>
  <c r="A828" i="8"/>
  <c r="G828" i="8"/>
  <c r="G3780" i="8"/>
  <c r="A831" i="8"/>
  <c r="G831" i="8"/>
  <c r="A833" i="8"/>
  <c r="J833" i="8"/>
  <c r="B527" i="5"/>
  <c r="B555" i="5" s="1"/>
  <c r="Z707" i="5"/>
  <c r="Z3345" i="5"/>
  <c r="G289" i="8"/>
  <c r="A3144" i="8"/>
  <c r="B3144" i="8"/>
  <c r="A3146" i="8"/>
  <c r="B3146" i="8"/>
  <c r="A3141" i="8"/>
  <c r="B3141" i="8"/>
  <c r="A3147" i="8"/>
  <c r="B3147" i="8"/>
  <c r="B3134" i="8"/>
  <c r="A3142" i="8"/>
  <c r="B3142" i="8"/>
  <c r="A3143" i="8"/>
  <c r="B3143" i="8"/>
  <c r="A3140" i="8"/>
  <c r="B3140" i="8"/>
  <c r="A3145" i="8"/>
  <c r="G2216" i="8"/>
  <c r="A2227" i="8"/>
  <c r="B2227" i="8"/>
  <c r="A2222" i="8"/>
  <c r="B2222" i="8"/>
  <c r="A2228" i="8"/>
  <c r="B2228" i="8"/>
  <c r="A2229" i="8"/>
  <c r="B2229" i="8"/>
  <c r="A2225" i="8"/>
  <c r="B2225" i="8"/>
  <c r="A2223" i="8"/>
  <c r="B2223" i="8"/>
  <c r="A2224" i="8"/>
  <c r="B2224" i="8"/>
  <c r="A2226" i="8"/>
  <c r="B2226" i="8"/>
  <c r="G2318" i="8"/>
  <c r="F2317" i="8"/>
  <c r="G2324" i="8"/>
  <c r="F3745" i="8"/>
  <c r="G3746" i="8"/>
  <c r="E3774" i="8"/>
  <c r="J3752" i="8"/>
  <c r="J3754" i="8"/>
  <c r="G3754" i="8"/>
  <c r="G3752" i="8"/>
  <c r="E3910" i="8"/>
  <c r="F3881" i="8"/>
  <c r="G3882" i="8"/>
  <c r="J3891" i="8"/>
  <c r="B188" i="8"/>
  <c r="J188" i="8"/>
  <c r="A421" i="8"/>
  <c r="A426" i="8"/>
  <c r="A420" i="8"/>
  <c r="A425" i="8"/>
  <c r="Z999" i="5"/>
  <c r="Z1013" i="5"/>
  <c r="Z985" i="5"/>
  <c r="G1953" i="8"/>
  <c r="A2704" i="8"/>
  <c r="B2704" i="8"/>
  <c r="B546" i="5"/>
  <c r="S558" i="5" s="1"/>
  <c r="A4164" i="8"/>
  <c r="B4164" i="8"/>
  <c r="B3074" i="8"/>
  <c r="A867" i="8"/>
  <c r="J867" i="8"/>
  <c r="A829" i="8"/>
  <c r="G829" i="8"/>
  <c r="B3344" i="5"/>
  <c r="S3349" i="5" s="1"/>
  <c r="Z2872" i="5"/>
  <c r="B822" i="8"/>
  <c r="Z679" i="5"/>
  <c r="B289" i="8"/>
  <c r="B3337" i="5"/>
  <c r="C3355" i="5" s="1"/>
  <c r="Z1662" i="5"/>
  <c r="Z1648" i="5"/>
  <c r="Z1676" i="5"/>
  <c r="Z1815" i="5"/>
  <c r="Z1829" i="5"/>
  <c r="Z1801" i="5"/>
  <c r="A2430" i="8"/>
  <c r="A2429" i="8"/>
  <c r="A2428" i="8"/>
  <c r="A2432" i="8"/>
  <c r="A2427" i="8"/>
  <c r="G2420" i="8"/>
  <c r="A2431" i="8"/>
  <c r="A2433" i="8"/>
  <c r="A2426" i="8"/>
  <c r="F2419" i="8"/>
  <c r="E2448" i="8"/>
  <c r="O1894" i="5"/>
  <c r="AH38" i="5"/>
  <c r="I2893" i="8"/>
  <c r="I2859" i="8"/>
  <c r="R2260" i="5"/>
  <c r="R2274" i="5"/>
  <c r="O2252" i="5"/>
  <c r="R2288" i="5"/>
  <c r="B2268" i="5"/>
  <c r="S2266" i="5" s="1"/>
  <c r="I4015" i="8"/>
  <c r="I4049" i="8"/>
  <c r="I3335" i="8"/>
  <c r="I3369" i="8"/>
  <c r="J2331" i="8"/>
  <c r="B4433" i="8"/>
  <c r="G4433" i="8"/>
  <c r="B4438" i="8"/>
  <c r="G4438" i="8"/>
  <c r="A83" i="8"/>
  <c r="A87" i="8"/>
  <c r="A80" i="8"/>
  <c r="E102" i="8"/>
  <c r="A86" i="8"/>
  <c r="A81" i="8"/>
  <c r="A82" i="8"/>
  <c r="A85" i="8"/>
  <c r="A84" i="8"/>
  <c r="F2011" i="8"/>
  <c r="J2024" i="8"/>
  <c r="G2020" i="8"/>
  <c r="G2023" i="8"/>
  <c r="G2024" i="8"/>
  <c r="J2020" i="8"/>
  <c r="J2022" i="8"/>
  <c r="A3414" i="8"/>
  <c r="A3417" i="8"/>
  <c r="F3405" i="8"/>
  <c r="B3406" i="8"/>
  <c r="A3418" i="8"/>
  <c r="E3434" i="8"/>
  <c r="A3416" i="8"/>
  <c r="A3413" i="8"/>
  <c r="A3419" i="8"/>
  <c r="A3412" i="8"/>
  <c r="A3415" i="8"/>
  <c r="J1956" i="8"/>
  <c r="A730" i="8"/>
  <c r="B730" i="8"/>
  <c r="G720" i="8"/>
  <c r="A726" i="8"/>
  <c r="B726" i="8"/>
  <c r="A727" i="8"/>
  <c r="B727" i="8"/>
  <c r="A728" i="8"/>
  <c r="B728" i="8"/>
  <c r="A731" i="8"/>
  <c r="B731" i="8"/>
  <c r="A733" i="8"/>
  <c r="B733" i="8"/>
  <c r="A729" i="8"/>
  <c r="B729" i="8"/>
  <c r="A732" i="8"/>
  <c r="B732" i="8"/>
  <c r="B3149" i="5"/>
  <c r="B3157" i="5" s="1"/>
  <c r="B3142" i="5"/>
  <c r="S3147" i="5" s="1"/>
  <c r="Z3076" i="5"/>
  <c r="O3119" i="5"/>
  <c r="B4466" i="8"/>
  <c r="I2349" i="8"/>
  <c r="I2315" i="8"/>
  <c r="A2701" i="8"/>
  <c r="B2701" i="8"/>
  <c r="A2700" i="8"/>
  <c r="B2700" i="8"/>
  <c r="G2998" i="8"/>
  <c r="F2997" i="8"/>
  <c r="E3026" i="8"/>
  <c r="Z554" i="5"/>
  <c r="Z526" i="5"/>
  <c r="B541" i="5"/>
  <c r="Z540" i="5"/>
  <c r="Z577" i="5"/>
  <c r="Z591" i="5"/>
  <c r="Z605" i="5"/>
  <c r="E850" i="8"/>
  <c r="F821" i="8"/>
  <c r="Z1319" i="5"/>
  <c r="O1283" i="5"/>
  <c r="Z1305" i="5"/>
  <c r="Z1291" i="5"/>
  <c r="I275" i="8"/>
  <c r="I309" i="8"/>
  <c r="R336" i="5"/>
  <c r="R322" i="5"/>
  <c r="R350" i="5"/>
  <c r="O314" i="5"/>
  <c r="AH56" i="5"/>
  <c r="O2812" i="5"/>
  <c r="A3583" i="8"/>
  <c r="B3583" i="8"/>
  <c r="A3588" i="8"/>
  <c r="B3588" i="8"/>
  <c r="A3585" i="8"/>
  <c r="B3585" i="8"/>
  <c r="A3690" i="8"/>
  <c r="A3686" i="8"/>
  <c r="A3687" i="8"/>
  <c r="A3691" i="8"/>
  <c r="E3706" i="8"/>
  <c r="A3688" i="8"/>
  <c r="A3684" i="8"/>
  <c r="A3685" i="8"/>
  <c r="B3678" i="8"/>
  <c r="F3677" i="8"/>
  <c r="A3689" i="8"/>
  <c r="A3653" i="8"/>
  <c r="A3654" i="8"/>
  <c r="G3644" i="8"/>
  <c r="A3656" i="8"/>
  <c r="A3657" i="8"/>
  <c r="A3652" i="8"/>
  <c r="A3651" i="8"/>
  <c r="A3655" i="8"/>
  <c r="F3643" i="8"/>
  <c r="A3650" i="8"/>
  <c r="E3672" i="8"/>
  <c r="O619" i="5"/>
  <c r="AH13" i="5"/>
  <c r="B3280" i="8"/>
  <c r="Z3104" i="5"/>
  <c r="B3135" i="5"/>
  <c r="Z30" i="5"/>
  <c r="G4466" i="8"/>
  <c r="J2086" i="8"/>
  <c r="G2086" i="8"/>
  <c r="J3147" i="8"/>
  <c r="O2047" i="5"/>
  <c r="AH41" i="5"/>
  <c r="O364" i="5"/>
  <c r="AH8" i="5"/>
  <c r="B4460" i="8"/>
  <c r="O620" i="5"/>
  <c r="A3793" i="8"/>
  <c r="B3793" i="8"/>
  <c r="A3791" i="8"/>
  <c r="B3791" i="8"/>
  <c r="A3789" i="8"/>
  <c r="B3789" i="8"/>
  <c r="R2784" i="5"/>
  <c r="R2770" i="5"/>
  <c r="R2798" i="5"/>
  <c r="Z2668" i="5"/>
  <c r="Z2696" i="5"/>
  <c r="Z2682" i="5"/>
  <c r="J3277" i="8"/>
  <c r="G3618" i="8"/>
  <c r="E3638" i="8"/>
  <c r="J3617" i="8"/>
  <c r="J3619" i="8"/>
  <c r="G3619" i="8"/>
  <c r="F3609" i="8"/>
  <c r="J3622" i="8"/>
  <c r="G3610" i="8"/>
  <c r="O2710" i="5"/>
  <c r="AH54" i="5"/>
  <c r="A2635" i="8"/>
  <c r="B2635" i="8"/>
  <c r="A2630" i="8"/>
  <c r="B2630" i="8"/>
  <c r="A2634" i="8"/>
  <c r="B2634" i="8"/>
  <c r="A2633" i="8"/>
  <c r="B2633" i="8"/>
  <c r="G2624" i="8"/>
  <c r="A2631" i="8"/>
  <c r="B2631" i="8"/>
  <c r="A2636" i="8"/>
  <c r="B2636" i="8"/>
  <c r="A2632" i="8"/>
  <c r="B2632" i="8"/>
  <c r="A2637" i="8"/>
  <c r="B2637" i="8"/>
  <c r="O8" i="5"/>
  <c r="B3128" i="5"/>
  <c r="B3156" i="5" s="1"/>
  <c r="A4398" i="8"/>
  <c r="B4398" i="8"/>
  <c r="B3147" i="5"/>
  <c r="L3147" i="5" s="1"/>
  <c r="J3140" i="8"/>
  <c r="F3133" i="8"/>
  <c r="E2074" i="8"/>
  <c r="G2058" i="8"/>
  <c r="J2053" i="8"/>
  <c r="G2046" i="8"/>
  <c r="J2058" i="8"/>
  <c r="F2045" i="8"/>
  <c r="B2076" i="5"/>
  <c r="S2088" i="5" s="1"/>
  <c r="B2055" i="5"/>
  <c r="B2083" i="5" s="1"/>
  <c r="B2062" i="5"/>
  <c r="S2060" i="5" s="1"/>
  <c r="O2048" i="5"/>
  <c r="R2056" i="5"/>
  <c r="R2084" i="5"/>
  <c r="R2070" i="5"/>
  <c r="A2804" i="8"/>
  <c r="B2804" i="8"/>
  <c r="A2806" i="8"/>
  <c r="B2806" i="8"/>
  <c r="B2794" i="8"/>
  <c r="A2803" i="8"/>
  <c r="B2803" i="8"/>
  <c r="A2801" i="8"/>
  <c r="B2801" i="8"/>
  <c r="A2800" i="8"/>
  <c r="B2800" i="8"/>
  <c r="A2807" i="8"/>
  <c r="B2807" i="8"/>
  <c r="A2802" i="8"/>
  <c r="B2802" i="8"/>
  <c r="A2805" i="8"/>
  <c r="B2805" i="8"/>
  <c r="A1576" i="8"/>
  <c r="A1579" i="8"/>
  <c r="E1598" i="8"/>
  <c r="A1578" i="8"/>
  <c r="B1570" i="8"/>
  <c r="F1569" i="8"/>
  <c r="A1580" i="8"/>
  <c r="A1583" i="8"/>
  <c r="A1582" i="8"/>
  <c r="A1581" i="8"/>
  <c r="A1577" i="8"/>
  <c r="R3359" i="5"/>
  <c r="R3345" i="5"/>
  <c r="R3331" i="5"/>
  <c r="O3323" i="5"/>
  <c r="F3711" i="8"/>
  <c r="J3718" i="8"/>
  <c r="B3712" i="8"/>
  <c r="J3719" i="8"/>
  <c r="E3740" i="8"/>
  <c r="G3719" i="8"/>
  <c r="G3724" i="8"/>
  <c r="B3276" i="8"/>
  <c r="O671" i="5"/>
  <c r="A4167" i="8"/>
  <c r="B35" i="10"/>
  <c r="A35" i="10" s="1"/>
  <c r="C35" i="10"/>
  <c r="Q440" i="5"/>
  <c r="B379" i="5"/>
  <c r="B386" i="5"/>
  <c r="B393" i="5"/>
  <c r="B372" i="5"/>
  <c r="B400" i="5" s="1"/>
  <c r="A2461" i="8"/>
  <c r="B2461" i="8"/>
  <c r="A2460" i="8"/>
  <c r="B2460" i="8"/>
  <c r="A2465" i="8"/>
  <c r="B2465" i="8"/>
  <c r="A2466" i="8"/>
  <c r="B2466" i="8"/>
  <c r="A2462" i="8"/>
  <c r="B2462" i="8"/>
  <c r="A2464" i="8"/>
  <c r="B2464" i="8"/>
  <c r="C233" i="10"/>
  <c r="A233" i="10"/>
  <c r="Q2976" i="5"/>
  <c r="C62" i="10"/>
  <c r="Q790" i="5"/>
  <c r="B62" i="10"/>
  <c r="A62" i="10"/>
  <c r="C137" i="10"/>
  <c r="B137" i="10"/>
  <c r="A137" i="10"/>
  <c r="Q1752" i="5"/>
  <c r="C141" i="10"/>
  <c r="B141" i="10"/>
  <c r="A141" i="10" s="1"/>
  <c r="Q1803" i="5"/>
  <c r="Q1817" i="5"/>
  <c r="B143" i="10"/>
  <c r="C143" i="10"/>
  <c r="A143" i="10"/>
  <c r="Q1956" i="5"/>
  <c r="C153" i="10"/>
  <c r="A153" i="10" s="1"/>
  <c r="C178" i="10"/>
  <c r="Q2269" i="5"/>
  <c r="B178" i="10"/>
  <c r="E3196" i="8"/>
  <c r="G290" i="8"/>
  <c r="E4012" i="8"/>
  <c r="F3983" i="8"/>
  <c r="B3984" i="8"/>
  <c r="R3127" i="5"/>
  <c r="R3141" i="5"/>
  <c r="R3155" i="5"/>
  <c r="A245" i="10"/>
  <c r="C251" i="10"/>
  <c r="Q3238" i="5"/>
  <c r="C254" i="10"/>
  <c r="A254" i="10"/>
  <c r="J287" i="8"/>
  <c r="B287" i="8"/>
  <c r="J4194" i="8"/>
  <c r="B4194" i="8"/>
  <c r="A319" i="8"/>
  <c r="A318" i="8"/>
  <c r="A320" i="8"/>
  <c r="G312" i="8"/>
  <c r="A324" i="8"/>
  <c r="A322" i="8"/>
  <c r="A323" i="8"/>
  <c r="A321" i="8"/>
  <c r="A325" i="8"/>
  <c r="B138" i="10"/>
  <c r="C138" i="10"/>
  <c r="A138" i="10"/>
  <c r="Q1759" i="5"/>
  <c r="Q2568" i="5"/>
  <c r="C201" i="10"/>
  <c r="B201" i="10"/>
  <c r="R387" i="5"/>
  <c r="O365" i="5"/>
  <c r="R373" i="5"/>
  <c r="R401" i="5"/>
  <c r="G958" i="8"/>
  <c r="E986" i="8"/>
  <c r="F957" i="8"/>
  <c r="A3178" i="8"/>
  <c r="A3176" i="8"/>
  <c r="A3175" i="8"/>
  <c r="A3179" i="8"/>
  <c r="A3181" i="8"/>
  <c r="A3180" i="8"/>
  <c r="A3177" i="8"/>
  <c r="A3174" i="8"/>
  <c r="G3168" i="8"/>
  <c r="Q1103" i="5"/>
  <c r="B87" i="10"/>
  <c r="A87" i="10"/>
  <c r="Q1970" i="5"/>
  <c r="C155" i="10"/>
  <c r="A155" i="10" s="1"/>
  <c r="A3111" i="8"/>
  <c r="A3106" i="8"/>
  <c r="I3301" i="8"/>
  <c r="I3267" i="8"/>
  <c r="Q1242" i="5"/>
  <c r="C97" i="10"/>
  <c r="C11" i="10"/>
  <c r="A11" i="10" s="1"/>
  <c r="C223" i="10"/>
  <c r="B3826" i="8"/>
  <c r="J3826" i="8"/>
  <c r="Z489" i="5"/>
  <c r="Z503" i="5"/>
  <c r="Z475" i="5"/>
  <c r="O2965" i="5"/>
  <c r="AH59" i="5"/>
  <c r="A4130" i="8"/>
  <c r="B4130" i="8"/>
  <c r="A4126" i="8"/>
  <c r="B4126" i="8"/>
  <c r="G4120" i="8"/>
  <c r="A4129" i="8"/>
  <c r="B4129" i="8"/>
  <c r="A4128" i="8"/>
  <c r="B4128" i="8"/>
  <c r="A4133" i="8"/>
  <c r="B4133" i="8"/>
  <c r="A4127" i="8"/>
  <c r="J4127" i="8"/>
  <c r="A4132" i="8"/>
  <c r="B4132" i="8"/>
  <c r="A4131" i="8"/>
  <c r="B4131" i="8"/>
  <c r="A4403" i="8"/>
  <c r="B4403" i="8"/>
  <c r="A4404" i="8"/>
  <c r="B4404" i="8"/>
  <c r="A4401" i="8"/>
  <c r="B4401" i="8"/>
  <c r="J4468" i="8"/>
  <c r="B1712" i="5"/>
  <c r="S1717" i="5" s="1"/>
  <c r="I37" i="8"/>
  <c r="Z3025" i="5"/>
  <c r="A3113" i="8"/>
  <c r="J3113" i="8"/>
  <c r="A3112" i="8"/>
  <c r="B3112" i="8"/>
  <c r="J965" i="8"/>
  <c r="J4201" i="8"/>
  <c r="O2863" i="5"/>
  <c r="E4182" i="8"/>
  <c r="A4161" i="8"/>
  <c r="B4161" i="8"/>
  <c r="Z44" i="5"/>
  <c r="J3310" i="8"/>
  <c r="A4402" i="8"/>
  <c r="B4402" i="8"/>
  <c r="A4160" i="8"/>
  <c r="J4160" i="8"/>
  <c r="A4405" i="8"/>
  <c r="B4405" i="8"/>
  <c r="Q2225" i="5"/>
  <c r="B175" i="10"/>
  <c r="C175" i="10"/>
  <c r="Q2313" i="5"/>
  <c r="B181" i="10"/>
  <c r="C181" i="10"/>
  <c r="Q3027" i="5"/>
  <c r="C237" i="10"/>
  <c r="A237" i="10" s="1"/>
  <c r="B237" i="10"/>
  <c r="B210" i="8"/>
  <c r="A223" i="8"/>
  <c r="B223" i="8"/>
  <c r="A222" i="8"/>
  <c r="B222" i="8"/>
  <c r="A218" i="8"/>
  <c r="B218" i="8"/>
  <c r="A219" i="8"/>
  <c r="B219" i="8"/>
  <c r="A216" i="8"/>
  <c r="B216" i="8"/>
  <c r="A221" i="8"/>
  <c r="B221" i="8"/>
  <c r="A118" i="10"/>
  <c r="R1574" i="5"/>
  <c r="R1560" i="5"/>
  <c r="B1547" i="5"/>
  <c r="B1554" i="5"/>
  <c r="S1552" i="5" s="1"/>
  <c r="R1546" i="5"/>
  <c r="B135" i="10"/>
  <c r="A135" i="10" s="1"/>
  <c r="Q1715" i="5"/>
  <c r="Q3041" i="5"/>
  <c r="B239" i="10"/>
  <c r="A239" i="10" s="1"/>
  <c r="A9" i="10"/>
  <c r="Q1409" i="5"/>
  <c r="C111" i="10"/>
  <c r="A111" i="10" s="1"/>
  <c r="B111" i="10"/>
  <c r="Q1650" i="5"/>
  <c r="C129" i="10"/>
  <c r="B129" i="10"/>
  <c r="Q1664" i="5"/>
  <c r="B131" i="10"/>
  <c r="A131" i="10"/>
  <c r="Q2575" i="5"/>
  <c r="B202" i="10"/>
  <c r="C202" i="10"/>
  <c r="Q630" i="5"/>
  <c r="B57" i="10"/>
  <c r="A57" i="10"/>
  <c r="Q1868" i="5"/>
  <c r="B147" i="10"/>
  <c r="A147" i="10" s="1"/>
  <c r="C169" i="10"/>
  <c r="Q2160" i="5"/>
  <c r="B169" i="10"/>
  <c r="A169" i="10" s="1"/>
  <c r="A154" i="10"/>
  <c r="A42" i="10"/>
  <c r="Q134" i="5"/>
  <c r="J284" i="8"/>
  <c r="B284" i="8"/>
  <c r="G284" i="8"/>
  <c r="R679" i="5"/>
  <c r="R707" i="5"/>
  <c r="B235" i="10"/>
  <c r="A235" i="10" s="1"/>
  <c r="A4062" i="8"/>
  <c r="A4065" i="8"/>
  <c r="A4058" i="8"/>
  <c r="A4059" i="8"/>
  <c r="B4188" i="8"/>
  <c r="F4187" i="8"/>
  <c r="E4216" i="8"/>
  <c r="J4198" i="8"/>
  <c r="G4196" i="8"/>
  <c r="J4196" i="8"/>
  <c r="G4194" i="8"/>
  <c r="G4195" i="8"/>
  <c r="G4198" i="8"/>
  <c r="J4197" i="8"/>
  <c r="J4195" i="8"/>
  <c r="G4200" i="8"/>
  <c r="Z3280" i="5"/>
  <c r="Z3294" i="5"/>
  <c r="Z3308" i="5"/>
  <c r="A63" i="10"/>
  <c r="A105" i="10"/>
  <c r="E3128" i="8"/>
  <c r="G4197" i="8"/>
  <c r="B4197" i="8"/>
  <c r="E4080" i="8"/>
  <c r="A221" i="10"/>
  <c r="J4199" i="8"/>
  <c r="I3" i="8"/>
  <c r="B3040" i="5"/>
  <c r="Z3053" i="5"/>
  <c r="K5" i="4"/>
  <c r="A3107" i="8"/>
  <c r="B3107" i="8"/>
  <c r="G3100" i="8"/>
  <c r="G964" i="8"/>
  <c r="A4063" i="8"/>
  <c r="B4063" i="8"/>
  <c r="G965" i="8"/>
  <c r="G4201" i="8"/>
  <c r="A4163" i="8"/>
  <c r="B4163" i="8"/>
  <c r="A4165" i="8"/>
  <c r="B4165" i="8"/>
  <c r="A4166" i="8"/>
  <c r="B4166" i="8"/>
  <c r="B3126" i="5"/>
  <c r="A663" i="8"/>
  <c r="B663" i="8"/>
  <c r="A659" i="8"/>
  <c r="B659" i="8"/>
  <c r="B3026" i="5"/>
  <c r="B3054" i="5" s="1"/>
  <c r="B1902" i="5"/>
  <c r="B1930" i="5" s="1"/>
  <c r="A3109" i="8"/>
  <c r="B3109" i="8"/>
  <c r="J964" i="8"/>
  <c r="A4060" i="8"/>
  <c r="G4060" i="8"/>
  <c r="G4199" i="8"/>
  <c r="B3072" i="8"/>
  <c r="F4153" i="8"/>
  <c r="R1917" i="5"/>
  <c r="B2091" i="8"/>
  <c r="A665" i="8"/>
  <c r="B665" i="8"/>
  <c r="A658" i="8"/>
  <c r="B658" i="8"/>
  <c r="G3826" i="8"/>
  <c r="B1568" i="5"/>
  <c r="B1576" i="5" s="1"/>
  <c r="G4392" i="8"/>
  <c r="Q185" i="5"/>
  <c r="C15" i="10"/>
  <c r="A15" i="10"/>
  <c r="Q637" i="5"/>
  <c r="B50" i="10"/>
  <c r="C50" i="10"/>
  <c r="B234" i="10"/>
  <c r="A234" i="10" s="1"/>
  <c r="Q2983" i="5"/>
  <c r="Q3078" i="5"/>
  <c r="B241" i="10"/>
  <c r="C241" i="10"/>
  <c r="A488" i="8"/>
  <c r="B488" i="8"/>
  <c r="A490" i="8"/>
  <c r="B490" i="8"/>
  <c r="A493" i="8"/>
  <c r="B493" i="8"/>
  <c r="A495" i="8"/>
  <c r="B495" i="8"/>
  <c r="A492" i="8"/>
  <c r="B492" i="8"/>
  <c r="A491" i="8"/>
  <c r="B491" i="8"/>
  <c r="A494" i="8"/>
  <c r="B494" i="8"/>
  <c r="B482" i="8"/>
  <c r="A489" i="8"/>
  <c r="B489" i="8"/>
  <c r="Q3333" i="5"/>
  <c r="B261" i="10"/>
  <c r="A261" i="10" s="1"/>
  <c r="C261" i="10"/>
  <c r="B97" i="10"/>
  <c r="A97" i="10"/>
  <c r="A186" i="10"/>
  <c r="A151" i="10"/>
  <c r="G3825" i="8"/>
  <c r="A215" i="10"/>
  <c r="B2092" i="8"/>
  <c r="G2092" i="8"/>
  <c r="G4086" i="8"/>
  <c r="J4098" i="8"/>
  <c r="J4093" i="8"/>
  <c r="J4095" i="8"/>
  <c r="G4099" i="8"/>
  <c r="J4097" i="8"/>
  <c r="J4096" i="8"/>
  <c r="J4099" i="8"/>
  <c r="G4095" i="8"/>
  <c r="G4097" i="8"/>
  <c r="F4085" i="8"/>
  <c r="G4096" i="8"/>
  <c r="J4094" i="8"/>
  <c r="G4092" i="8"/>
  <c r="A230" i="10"/>
  <c r="G4093" i="8"/>
  <c r="B30" i="10"/>
  <c r="A30" i="10" s="1"/>
  <c r="B34" i="10"/>
  <c r="A34" i="10" s="1"/>
  <c r="B38" i="10"/>
  <c r="A38" i="10" s="1"/>
  <c r="O3118" i="5"/>
  <c r="AH62" i="5"/>
  <c r="B251" i="10"/>
  <c r="O3271" i="5"/>
  <c r="AH65" i="5"/>
  <c r="A23" i="10"/>
  <c r="F3099" i="8"/>
  <c r="J4200" i="8"/>
  <c r="B4200" i="8"/>
  <c r="F4051" i="8"/>
  <c r="E340" i="8"/>
  <c r="A210" i="10"/>
  <c r="A115" i="10"/>
  <c r="E4114" i="8"/>
  <c r="J4469" i="8"/>
  <c r="G4469" i="8"/>
  <c r="B4469" i="8"/>
  <c r="R795" i="5"/>
  <c r="O773" i="5"/>
  <c r="R809" i="5"/>
  <c r="R781" i="5"/>
  <c r="B789" i="5"/>
  <c r="S787" i="5" s="1"/>
  <c r="B1604" i="8"/>
  <c r="F1603" i="8"/>
  <c r="E1632" i="8"/>
  <c r="G1614" i="8"/>
  <c r="J1614" i="8"/>
  <c r="J1617" i="8"/>
  <c r="J1611" i="8"/>
  <c r="G1615" i="8"/>
  <c r="A386" i="8"/>
  <c r="B386" i="8"/>
  <c r="A393" i="8"/>
  <c r="B393" i="8"/>
  <c r="A387" i="8"/>
  <c r="B387" i="8"/>
  <c r="G380" i="8"/>
  <c r="A392" i="8"/>
  <c r="B392" i="8"/>
  <c r="A389" i="8"/>
  <c r="B389" i="8"/>
  <c r="A388" i="8"/>
  <c r="B388" i="8"/>
  <c r="A390" i="8"/>
  <c r="B390" i="8"/>
  <c r="A391" i="8"/>
  <c r="B391" i="8"/>
  <c r="B3315" i="8"/>
  <c r="G3315" i="8"/>
  <c r="B558" i="8"/>
  <c r="J558" i="8"/>
  <c r="G558" i="8"/>
  <c r="B3075" i="8"/>
  <c r="G3075" i="8"/>
  <c r="I989" i="8"/>
  <c r="I955" i="8"/>
  <c r="A2257" i="8"/>
  <c r="B2257" i="8"/>
  <c r="B2250" i="8"/>
  <c r="A2256" i="8"/>
  <c r="B2256" i="8"/>
  <c r="A2263" i="8"/>
  <c r="B2263" i="8"/>
  <c r="A2259" i="8"/>
  <c r="B2259" i="8"/>
  <c r="A2258" i="8"/>
  <c r="B2258" i="8"/>
  <c r="A2261" i="8"/>
  <c r="B2261" i="8"/>
  <c r="A2262" i="8"/>
  <c r="B2262" i="8"/>
  <c r="A2260" i="8"/>
  <c r="B2260" i="8"/>
  <c r="R2441" i="5"/>
  <c r="R2413" i="5"/>
  <c r="R2427" i="5"/>
  <c r="G833" i="8"/>
  <c r="O772" i="5"/>
  <c r="AH16" i="5"/>
  <c r="I1125" i="8"/>
  <c r="I1091" i="8"/>
  <c r="R1203" i="5"/>
  <c r="R1189" i="5"/>
  <c r="R1217" i="5"/>
  <c r="AH35" i="5"/>
  <c r="O1741" i="5"/>
  <c r="G346" i="8"/>
  <c r="G352" i="8"/>
  <c r="F345" i="8"/>
  <c r="G353" i="8"/>
  <c r="J354" i="8"/>
  <c r="G357" i="8"/>
  <c r="J358" i="8"/>
  <c r="G354" i="8"/>
  <c r="J355" i="8"/>
  <c r="J352" i="8"/>
  <c r="E374" i="8"/>
  <c r="J359" i="8"/>
  <c r="J353" i="8"/>
  <c r="G359" i="8"/>
  <c r="G355" i="8"/>
  <c r="J357" i="8"/>
  <c r="I4355" i="8"/>
  <c r="I4389" i="8"/>
  <c r="E4148" i="8"/>
  <c r="F4119" i="8"/>
  <c r="B4120" i="8"/>
  <c r="G1611" i="8"/>
  <c r="B1611" i="8"/>
  <c r="B556" i="8"/>
  <c r="J556" i="8"/>
  <c r="G556" i="8"/>
  <c r="B562" i="8"/>
  <c r="G562" i="8"/>
  <c r="B3073" i="8"/>
  <c r="G3073" i="8"/>
  <c r="J3073" i="8"/>
  <c r="J3078" i="8"/>
  <c r="B3078" i="8"/>
  <c r="G3078" i="8"/>
  <c r="I207" i="8"/>
  <c r="I241" i="8"/>
  <c r="O1129" i="5"/>
  <c r="AH23" i="5"/>
  <c r="A1850" i="8"/>
  <c r="B1850" i="8"/>
  <c r="A1854" i="8"/>
  <c r="B1854" i="8"/>
  <c r="A1851" i="8"/>
  <c r="B1851" i="8"/>
  <c r="A1852" i="8"/>
  <c r="B1852" i="8"/>
  <c r="A1855" i="8"/>
  <c r="B1855" i="8"/>
  <c r="A1848" i="8"/>
  <c r="B1848" i="8"/>
  <c r="B1842" i="8"/>
  <c r="A1853" i="8"/>
  <c r="B1853" i="8"/>
  <c r="A1849" i="8"/>
  <c r="B1849" i="8"/>
  <c r="J149" i="8"/>
  <c r="G149" i="8"/>
  <c r="B149" i="8"/>
  <c r="B2433" i="5"/>
  <c r="B2441" i="5" s="1"/>
  <c r="F107" i="8"/>
  <c r="B903" i="5"/>
  <c r="L910" i="5" s="1"/>
  <c r="B782" i="5"/>
  <c r="B810" i="5" s="1"/>
  <c r="B2173" i="5"/>
  <c r="B3993" i="8"/>
  <c r="G3993" i="8"/>
  <c r="J3993" i="8"/>
  <c r="I1227" i="8"/>
  <c r="I1261" i="8"/>
  <c r="E3978" i="8"/>
  <c r="A3960" i="8"/>
  <c r="B3950" i="8"/>
  <c r="A3961" i="8"/>
  <c r="A3959" i="8"/>
  <c r="A3958" i="8"/>
  <c r="A3956" i="8"/>
  <c r="A3957" i="8"/>
  <c r="A3962" i="8"/>
  <c r="A3963" i="8"/>
  <c r="G119" i="8"/>
  <c r="E136" i="8"/>
  <c r="B108" i="8"/>
  <c r="A3449" i="8"/>
  <c r="B3449" i="8"/>
  <c r="A3446" i="8"/>
  <c r="B3446" i="8"/>
  <c r="A3450" i="8"/>
  <c r="B3450" i="8"/>
  <c r="G3440" i="8"/>
  <c r="A3448" i="8"/>
  <c r="B3448" i="8"/>
  <c r="A3453" i="8"/>
  <c r="B3453" i="8"/>
  <c r="A3452" i="8"/>
  <c r="B3452" i="8"/>
  <c r="A3447" i="8"/>
  <c r="B3447" i="8"/>
  <c r="A3451" i="8"/>
  <c r="B3451" i="8"/>
  <c r="B2982" i="5"/>
  <c r="S2980" i="5" s="1"/>
  <c r="R2974" i="5"/>
  <c r="R3002" i="5"/>
  <c r="B2989" i="5"/>
  <c r="O2966" i="5"/>
  <c r="B2996" i="5"/>
  <c r="B2973" i="5"/>
  <c r="B3001" i="5" s="1"/>
  <c r="B2980" i="5"/>
  <c r="S2978" i="5" s="1"/>
  <c r="R2988" i="5"/>
  <c r="B2975" i="5"/>
  <c r="B3003" i="5" s="1"/>
  <c r="B2987" i="5"/>
  <c r="S2992" i="5" s="1"/>
  <c r="B2994" i="5"/>
  <c r="B3079" i="8"/>
  <c r="G3079" i="8"/>
  <c r="J3079" i="8"/>
  <c r="B560" i="8"/>
  <c r="J560" i="8"/>
  <c r="G560" i="8"/>
  <c r="B3077" i="8"/>
  <c r="G3077" i="8"/>
  <c r="J3077" i="8"/>
  <c r="F1535" i="8"/>
  <c r="E1564" i="8"/>
  <c r="J1548" i="8"/>
  <c r="G1542" i="8"/>
  <c r="J1545" i="8"/>
  <c r="J1544" i="8"/>
  <c r="G1545" i="8"/>
  <c r="G1543" i="8"/>
  <c r="J1543" i="8"/>
  <c r="G1547" i="8"/>
  <c r="J1547" i="8"/>
  <c r="J1542" i="8"/>
  <c r="G1546" i="8"/>
  <c r="J1546" i="8"/>
  <c r="O1690" i="5"/>
  <c r="AH34" i="5"/>
  <c r="B3202" i="8"/>
  <c r="A3212" i="8"/>
  <c r="F3201" i="8"/>
  <c r="A3213" i="8"/>
  <c r="A3209" i="8"/>
  <c r="A3211" i="8"/>
  <c r="E3230" i="8"/>
  <c r="A3214" i="8"/>
  <c r="A3215" i="8"/>
  <c r="A3208" i="8"/>
  <c r="A3210" i="8"/>
  <c r="A3859" i="8"/>
  <c r="B3859" i="8"/>
  <c r="A3856" i="8"/>
  <c r="B3856" i="8"/>
  <c r="A3861" i="8"/>
  <c r="B3861" i="8"/>
  <c r="A3860" i="8"/>
  <c r="B3860" i="8"/>
  <c r="A3857" i="8"/>
  <c r="B3857" i="8"/>
  <c r="A3854" i="8"/>
  <c r="B3854" i="8"/>
  <c r="A3858" i="8"/>
  <c r="B3858" i="8"/>
  <c r="A3855" i="8"/>
  <c r="B3855" i="8"/>
  <c r="G3848" i="8"/>
  <c r="B152" i="8"/>
  <c r="G152" i="8"/>
  <c r="J152" i="8"/>
  <c r="I3063" i="8"/>
  <c r="B882" i="5"/>
  <c r="B907" i="5" s="1"/>
  <c r="F3949" i="8"/>
  <c r="B2159" i="5"/>
  <c r="J3075" i="8"/>
  <c r="Z1982" i="5"/>
  <c r="Z1968" i="5"/>
  <c r="Z1954" i="5"/>
  <c r="AH61" i="5"/>
  <c r="O3067" i="5"/>
  <c r="J1202" i="8"/>
  <c r="F1195" i="8"/>
  <c r="E1224" i="8"/>
  <c r="J1203" i="8"/>
  <c r="G1202" i="8"/>
  <c r="B1196" i="8"/>
  <c r="G1209" i="8"/>
  <c r="G1208" i="8"/>
  <c r="G1206" i="8"/>
  <c r="J1209" i="8"/>
  <c r="J1208" i="8"/>
  <c r="J1206" i="8"/>
  <c r="G1207" i="8"/>
  <c r="J1204" i="8"/>
  <c r="G1203" i="8"/>
  <c r="J1207" i="8"/>
  <c r="G1205" i="8"/>
  <c r="G1204" i="8"/>
  <c r="J1205" i="8"/>
  <c r="Z3243" i="5"/>
  <c r="Z3257" i="5"/>
  <c r="Z3229" i="5"/>
  <c r="B3314" i="8"/>
  <c r="G3314" i="8"/>
  <c r="B559" i="8"/>
  <c r="J559" i="8"/>
  <c r="G559" i="8"/>
  <c r="B3076" i="8"/>
  <c r="J3076" i="8"/>
  <c r="I173" i="8"/>
  <c r="I139" i="8"/>
  <c r="G1782" i="8"/>
  <c r="J1781" i="8"/>
  <c r="J1780" i="8"/>
  <c r="F1773" i="8"/>
  <c r="G1787" i="8"/>
  <c r="J1785" i="8"/>
  <c r="J1787" i="8"/>
  <c r="A1814" i="8"/>
  <c r="A1820" i="8"/>
  <c r="G1808" i="8"/>
  <c r="A1816" i="8"/>
  <c r="A1821" i="8"/>
  <c r="A1815" i="8"/>
  <c r="E1836" i="8"/>
  <c r="F1807" i="8"/>
  <c r="R1421" i="5"/>
  <c r="R1393" i="5"/>
  <c r="R1407" i="5"/>
  <c r="F2283" i="8"/>
  <c r="E2312" i="8"/>
  <c r="G2295" i="8"/>
  <c r="J2295" i="8"/>
  <c r="B2284" i="8"/>
  <c r="G3249" i="8"/>
  <c r="J3249" i="8"/>
  <c r="G3243" i="8"/>
  <c r="J3248" i="8"/>
  <c r="G3248" i="8"/>
  <c r="G3247" i="8"/>
  <c r="G3246" i="8"/>
  <c r="G3242" i="8"/>
  <c r="E3264" i="8"/>
  <c r="J3247" i="8"/>
  <c r="J3242" i="8"/>
  <c r="F3235" i="8"/>
  <c r="G3244" i="8"/>
  <c r="J3244" i="8"/>
  <c r="J3246" i="8"/>
  <c r="J3245" i="8"/>
  <c r="B3236" i="8"/>
  <c r="B2426" i="5"/>
  <c r="S2431" i="5" s="1"/>
  <c r="B2412" i="5"/>
  <c r="B2419" i="5"/>
  <c r="S2417" i="5" s="1"/>
  <c r="AH48" i="5"/>
  <c r="O2404" i="5"/>
  <c r="G150" i="8"/>
  <c r="J150" i="8"/>
  <c r="B150" i="8"/>
  <c r="G115" i="8"/>
  <c r="B803" i="5"/>
  <c r="G3310" i="8"/>
  <c r="J562" i="8"/>
  <c r="J3315" i="8"/>
  <c r="E2958" i="8"/>
  <c r="A2942" i="8"/>
  <c r="A2941" i="8"/>
  <c r="B2930" i="8"/>
  <c r="F2929" i="8"/>
  <c r="A2937" i="8"/>
  <c r="A2938" i="8"/>
  <c r="A2940" i="8"/>
  <c r="A2939" i="8"/>
  <c r="A2943" i="8"/>
  <c r="A2936" i="8"/>
  <c r="B2964" i="8"/>
  <c r="F2963" i="8"/>
  <c r="G2977" i="8"/>
  <c r="G2974" i="8"/>
  <c r="J2971" i="8"/>
  <c r="J2970" i="8"/>
  <c r="G2976" i="8"/>
  <c r="G2971" i="8"/>
  <c r="G2973" i="8"/>
  <c r="J2976" i="8"/>
  <c r="G2975" i="8"/>
  <c r="G2970" i="8"/>
  <c r="J2975" i="8"/>
  <c r="G2972" i="8"/>
  <c r="E2992" i="8"/>
  <c r="J2972" i="8"/>
  <c r="J2977" i="8"/>
  <c r="J2974" i="8"/>
  <c r="J2973" i="8"/>
  <c r="G664" i="8"/>
  <c r="E680" i="8"/>
  <c r="F651" i="8"/>
  <c r="B652" i="8"/>
  <c r="G662" i="8"/>
  <c r="J661" i="8"/>
  <c r="G661" i="8"/>
  <c r="J664" i="8"/>
  <c r="J662" i="8"/>
  <c r="O976" i="5"/>
  <c r="AH20" i="5"/>
  <c r="Z1036" i="5"/>
  <c r="B1056" i="5"/>
  <c r="L1056" i="5" s="1"/>
  <c r="Z1050" i="5"/>
  <c r="B1042" i="5"/>
  <c r="B1035" i="5"/>
  <c r="Z1064" i="5"/>
  <c r="B1049" i="5"/>
  <c r="A460" i="8"/>
  <c r="A454" i="8"/>
  <c r="A455" i="8"/>
  <c r="A456" i="8"/>
  <c r="A458" i="8"/>
  <c r="G448" i="8"/>
  <c r="A459" i="8"/>
  <c r="E476" i="8"/>
  <c r="A457" i="8"/>
  <c r="A461" i="8"/>
  <c r="F447" i="8"/>
  <c r="I2927" i="8"/>
  <c r="I2961" i="8"/>
  <c r="R2594" i="5"/>
  <c r="R2566" i="5"/>
  <c r="R2580" i="5"/>
  <c r="O2558" i="5"/>
  <c r="Z2733" i="5"/>
  <c r="Z2747" i="5"/>
  <c r="B2718" i="5"/>
  <c r="B2746" i="5" s="1"/>
  <c r="Z2719" i="5"/>
  <c r="R271" i="5"/>
  <c r="O263" i="5"/>
  <c r="R285" i="5"/>
  <c r="R299" i="5"/>
  <c r="B286" i="5"/>
  <c r="S291" i="5" s="1"/>
  <c r="B279" i="5"/>
  <c r="B272" i="5"/>
  <c r="B300" i="5" s="1"/>
  <c r="B293" i="5"/>
  <c r="A2596" i="8"/>
  <c r="B2590" i="8"/>
  <c r="A2602" i="8"/>
  <c r="A2599" i="8"/>
  <c r="A2597" i="8"/>
  <c r="A2601" i="8"/>
  <c r="A2603" i="8"/>
  <c r="E2618" i="8"/>
  <c r="A2600" i="8"/>
  <c r="F2589" i="8"/>
  <c r="A2598" i="8"/>
  <c r="I547" i="8"/>
  <c r="I581" i="8"/>
  <c r="G2454" i="8"/>
  <c r="F2453" i="8"/>
  <c r="G2467" i="8"/>
  <c r="E2482" i="8"/>
  <c r="B1672" i="8"/>
  <c r="G1683" i="8"/>
  <c r="J1683" i="8"/>
  <c r="G1685" i="8"/>
  <c r="J1682" i="8"/>
  <c r="G1678" i="8"/>
  <c r="J1684" i="8"/>
  <c r="J1685" i="8"/>
  <c r="J1680" i="8"/>
  <c r="J1679" i="8"/>
  <c r="G1682" i="8"/>
  <c r="J1678" i="8"/>
  <c r="G1680" i="8"/>
  <c r="G1679" i="8"/>
  <c r="E1700" i="8"/>
  <c r="F1671" i="8"/>
  <c r="J1681" i="8"/>
  <c r="G1681" i="8"/>
  <c r="G1684" i="8"/>
  <c r="I1771" i="8"/>
  <c r="I1805" i="8"/>
  <c r="AH30" i="5"/>
  <c r="O1486" i="5"/>
  <c r="A2126" i="8"/>
  <c r="F2113" i="8"/>
  <c r="A2123" i="8"/>
  <c r="A2121" i="8"/>
  <c r="A2125" i="8"/>
  <c r="E2142" i="8"/>
  <c r="A2122" i="8"/>
  <c r="A2120" i="8"/>
  <c r="A2127" i="8"/>
  <c r="B2114" i="8"/>
  <c r="A2124" i="8"/>
  <c r="B2885" i="5"/>
  <c r="B2878" i="5"/>
  <c r="S2876" i="5" s="1"/>
  <c r="B2892" i="5"/>
  <c r="B2871" i="5"/>
  <c r="B2899" i="5" s="1"/>
  <c r="AH64" i="5"/>
  <c r="O3220" i="5"/>
  <c r="B170" i="5"/>
  <c r="B177" i="5"/>
  <c r="B191" i="5"/>
  <c r="S203" i="5" s="1"/>
  <c r="B184" i="5"/>
  <c r="S189" i="5" s="1"/>
  <c r="J4064" i="8"/>
  <c r="AH21" i="5"/>
  <c r="O1027" i="5"/>
  <c r="B2329" i="8"/>
  <c r="G2329" i="8"/>
  <c r="J2329" i="8"/>
  <c r="AH17" i="5"/>
  <c r="O823" i="5"/>
  <c r="A631" i="8"/>
  <c r="A629" i="8"/>
  <c r="E646" i="8"/>
  <c r="A627" i="8"/>
  <c r="B618" i="8"/>
  <c r="F617" i="8"/>
  <c r="A624" i="8"/>
  <c r="A625" i="8"/>
  <c r="A628" i="8"/>
  <c r="A630" i="8"/>
  <c r="A626" i="8"/>
  <c r="AH33" i="5"/>
  <c r="O1639" i="5"/>
  <c r="AH40" i="5"/>
  <c r="O1996" i="5"/>
  <c r="Z2172" i="5"/>
  <c r="Z2158" i="5"/>
  <c r="Z2186" i="5"/>
  <c r="G482" i="8"/>
  <c r="E510" i="8"/>
  <c r="F481" i="8"/>
  <c r="B3032" i="8"/>
  <c r="J3041" i="8"/>
  <c r="G3043" i="8"/>
  <c r="J3044" i="8"/>
  <c r="G3038" i="8"/>
  <c r="F3031" i="8"/>
  <c r="J3039" i="8"/>
  <c r="J3038" i="8"/>
  <c r="G3042" i="8"/>
  <c r="G3041" i="8"/>
  <c r="J3045" i="8"/>
  <c r="G3039" i="8"/>
  <c r="J3043" i="8"/>
  <c r="J3042" i="8"/>
  <c r="G3045" i="8"/>
  <c r="J3040" i="8"/>
  <c r="E3060" i="8"/>
  <c r="G3040" i="8"/>
  <c r="G3044" i="8"/>
  <c r="B3440" i="8"/>
  <c r="E3468" i="8"/>
  <c r="F3439" i="8"/>
  <c r="G3449" i="8"/>
  <c r="B3" i="10"/>
  <c r="B380" i="8"/>
  <c r="F379" i="8"/>
  <c r="E408" i="8"/>
  <c r="I1975" i="8"/>
  <c r="I2009" i="8"/>
  <c r="O1945" i="5"/>
  <c r="AH39" i="5"/>
  <c r="B1974" i="5"/>
  <c r="L1981" i="5" s="1"/>
  <c r="B1960" i="5"/>
  <c r="S1958" i="5" s="1"/>
  <c r="B1967" i="5"/>
  <c r="B1953" i="5"/>
  <c r="I2825" i="8"/>
  <c r="I2791" i="8"/>
  <c r="G2862" i="8"/>
  <c r="J2873" i="8"/>
  <c r="G2869" i="8"/>
  <c r="G2873" i="8"/>
  <c r="J2874" i="8"/>
  <c r="J2872" i="8"/>
  <c r="E2890" i="8"/>
  <c r="J2870" i="8"/>
  <c r="G2874" i="8"/>
  <c r="J2871" i="8"/>
  <c r="G2875" i="8"/>
  <c r="F2861" i="8"/>
  <c r="J2869" i="8"/>
  <c r="J2868" i="8"/>
  <c r="J2875" i="8"/>
  <c r="G2871" i="8"/>
  <c r="G2872" i="8"/>
  <c r="G2868" i="8"/>
  <c r="G2870" i="8"/>
  <c r="I3131" i="8"/>
  <c r="I3165" i="8"/>
  <c r="A1036" i="8"/>
  <c r="A1033" i="8"/>
  <c r="A1034" i="8"/>
  <c r="A1038" i="8"/>
  <c r="E1054" i="8"/>
  <c r="A1032" i="8"/>
  <c r="A1039" i="8"/>
  <c r="A1037" i="8"/>
  <c r="B1026" i="8"/>
  <c r="F1025" i="8"/>
  <c r="A1035" i="8"/>
  <c r="B1060" i="8"/>
  <c r="F1059" i="8"/>
  <c r="G1071" i="8"/>
  <c r="E1088" i="8"/>
  <c r="G1066" i="8"/>
  <c r="G1070" i="8"/>
  <c r="J1071" i="8"/>
  <c r="J1070" i="8"/>
  <c r="J1066" i="8"/>
  <c r="G1067" i="8"/>
  <c r="O2914" i="5"/>
  <c r="AH58" i="5"/>
  <c r="E748" i="8"/>
  <c r="B720" i="8"/>
  <c r="F719" i="8"/>
  <c r="G969" i="8"/>
  <c r="B969" i="8"/>
  <c r="J969" i="8"/>
  <c r="AH24" i="5"/>
  <c r="O1180" i="5"/>
  <c r="R1268" i="5"/>
  <c r="R1240" i="5"/>
  <c r="O1232" i="5"/>
  <c r="B1262" i="5"/>
  <c r="I1264" i="5" s="1"/>
  <c r="R1254" i="5"/>
  <c r="E2006" i="8"/>
  <c r="G1989" i="8"/>
  <c r="J1989" i="8"/>
  <c r="F1977" i="8"/>
  <c r="G1988" i="8"/>
  <c r="G1978" i="8"/>
  <c r="J1990" i="8"/>
  <c r="G1990" i="8"/>
  <c r="R3025" i="5"/>
  <c r="R3053" i="5"/>
  <c r="B3047" i="5"/>
  <c r="L3047" i="5" s="1"/>
  <c r="B3033" i="5"/>
  <c r="S3031" i="5" s="1"/>
  <c r="O3017" i="5"/>
  <c r="R3039" i="5"/>
  <c r="J4332" i="8"/>
  <c r="F4323" i="8"/>
  <c r="B4324" i="8"/>
  <c r="E4352" i="8"/>
  <c r="G4330" i="8"/>
  <c r="J4331" i="8"/>
  <c r="J4330" i="8"/>
  <c r="G4334" i="8"/>
  <c r="J4337" i="8"/>
  <c r="G4331" i="8"/>
  <c r="G4336" i="8"/>
  <c r="J4334" i="8"/>
  <c r="G4333" i="8"/>
  <c r="J4335" i="8"/>
  <c r="J4336" i="8"/>
  <c r="G4335" i="8"/>
  <c r="G4337" i="8"/>
  <c r="J4333" i="8"/>
  <c r="B1819" i="8"/>
  <c r="J1819" i="8"/>
  <c r="G1819" i="8"/>
  <c r="AH4" i="5"/>
  <c r="O160" i="5"/>
  <c r="O2098" i="5"/>
  <c r="AH42" i="5"/>
  <c r="A901" i="8"/>
  <c r="A902" i="8"/>
  <c r="A897" i="8"/>
  <c r="B890" i="8"/>
  <c r="A898" i="8"/>
  <c r="A899" i="8"/>
  <c r="A900" i="8"/>
  <c r="A903" i="8"/>
  <c r="A896" i="8"/>
  <c r="E918" i="8"/>
  <c r="F889" i="8"/>
  <c r="B1408" i="5"/>
  <c r="S1413" i="5" s="1"/>
  <c r="B1401" i="5"/>
  <c r="S1399" i="5" s="1"/>
  <c r="B1394" i="5"/>
  <c r="B1422" i="5" s="1"/>
  <c r="B1415" i="5"/>
  <c r="B1423" i="5" s="1"/>
  <c r="A1882" i="8"/>
  <c r="A1887" i="8"/>
  <c r="A1889" i="8"/>
  <c r="A1883" i="8"/>
  <c r="F1875" i="8"/>
  <c r="A1885" i="8"/>
  <c r="A1888" i="8"/>
  <c r="E1904" i="8"/>
  <c r="A1884" i="8"/>
  <c r="A1886" i="8"/>
  <c r="G1876" i="8"/>
  <c r="G1842" i="8"/>
  <c r="F1841" i="8"/>
  <c r="E1870" i="8"/>
  <c r="A2564" i="8"/>
  <c r="A2567" i="8"/>
  <c r="G2556" i="8"/>
  <c r="A2565" i="8"/>
  <c r="A2568" i="8"/>
  <c r="F2555" i="8"/>
  <c r="A2563" i="8"/>
  <c r="E2584" i="8"/>
  <c r="A2562" i="8"/>
  <c r="A2569" i="8"/>
  <c r="A2566" i="8"/>
  <c r="A4365" i="8"/>
  <c r="A4364" i="8"/>
  <c r="A4366" i="8"/>
  <c r="F4357" i="8"/>
  <c r="A4368" i="8"/>
  <c r="A4367" i="8"/>
  <c r="A4370" i="8"/>
  <c r="E4386" i="8"/>
  <c r="A4371" i="8"/>
  <c r="A4369" i="8"/>
  <c r="B4358" i="8"/>
  <c r="B183" i="8"/>
  <c r="G183" i="8"/>
  <c r="J183" i="8"/>
  <c r="B4061" i="8"/>
  <c r="G4061" i="8"/>
  <c r="J4061" i="8"/>
  <c r="G3924" i="8"/>
  <c r="B3924" i="8"/>
  <c r="J3924" i="8"/>
  <c r="B585" i="5"/>
  <c r="R577" i="5"/>
  <c r="R591" i="5"/>
  <c r="R605" i="5"/>
  <c r="J2325" i="8"/>
  <c r="B2325" i="8"/>
  <c r="G2325" i="8"/>
  <c r="AH10" i="5"/>
  <c r="O466" i="5"/>
  <c r="I445" i="8"/>
  <c r="I411" i="8"/>
  <c r="J1137" i="8"/>
  <c r="G1140" i="8"/>
  <c r="B1128" i="8"/>
  <c r="G1137" i="8"/>
  <c r="E1156" i="8"/>
  <c r="F1127" i="8"/>
  <c r="R832" i="5"/>
  <c r="R860" i="5"/>
  <c r="R846" i="5"/>
  <c r="O824" i="5"/>
  <c r="B833" i="5"/>
  <c r="O2200" i="5"/>
  <c r="AH44" i="5"/>
  <c r="I479" i="8"/>
  <c r="I513" i="8"/>
  <c r="B597" i="5"/>
  <c r="B605" i="5" s="1"/>
  <c r="B583" i="5"/>
  <c r="B590" i="5"/>
  <c r="S595" i="5" s="1"/>
  <c r="B576" i="5"/>
  <c r="B604" i="5" s="1"/>
  <c r="G798" i="8"/>
  <c r="F787" i="8"/>
  <c r="J801" i="8"/>
  <c r="J794" i="8"/>
  <c r="J798" i="8"/>
  <c r="B788" i="8"/>
  <c r="J799" i="8"/>
  <c r="J797" i="8"/>
  <c r="G794" i="8"/>
  <c r="E816" i="8"/>
  <c r="J800" i="8"/>
  <c r="G797" i="8"/>
  <c r="G799" i="8"/>
  <c r="G801" i="8"/>
  <c r="G796" i="8"/>
  <c r="G795" i="8"/>
  <c r="J796" i="8"/>
  <c r="G800" i="8"/>
  <c r="J795" i="8"/>
  <c r="B1007" i="5"/>
  <c r="S1019" i="5" s="1"/>
  <c r="R999" i="5"/>
  <c r="R1013" i="5"/>
  <c r="R985" i="5"/>
  <c r="B993" i="5"/>
  <c r="S991" i="5" s="1"/>
  <c r="B1000" i="5"/>
  <c r="B986" i="5"/>
  <c r="G1344" i="8"/>
  <c r="J1340" i="8"/>
  <c r="J1341" i="8"/>
  <c r="G1338" i="8"/>
  <c r="B1332" i="8"/>
  <c r="F1331" i="8"/>
  <c r="E1360" i="8"/>
  <c r="G1341" i="8"/>
  <c r="J1338" i="8"/>
  <c r="J1344" i="8"/>
  <c r="A1413" i="8"/>
  <c r="A1408" i="8"/>
  <c r="E1428" i="8"/>
  <c r="A1407" i="8"/>
  <c r="A1406" i="8"/>
  <c r="G1400" i="8"/>
  <c r="A1412" i="8"/>
  <c r="F1399" i="8"/>
  <c r="A1409" i="8"/>
  <c r="A1410" i="8"/>
  <c r="A1411" i="8"/>
  <c r="B1647" i="5"/>
  <c r="B1654" i="5"/>
  <c r="S1652" i="5" s="1"/>
  <c r="B1661" i="5"/>
  <c r="S1666" i="5" s="1"/>
  <c r="B1668" i="5"/>
  <c r="L1675" i="5" s="1"/>
  <c r="A2190" i="8"/>
  <c r="A2193" i="8"/>
  <c r="A2189" i="8"/>
  <c r="A2195" i="8"/>
  <c r="A2191" i="8"/>
  <c r="A2188" i="8"/>
  <c r="F2181" i="8"/>
  <c r="E2210" i="8"/>
  <c r="B2182" i="8"/>
  <c r="A2194" i="8"/>
  <c r="A2192" i="8"/>
  <c r="G2703" i="8"/>
  <c r="J2703" i="8"/>
  <c r="G2702" i="8"/>
  <c r="E2720" i="8"/>
  <c r="F2691" i="8"/>
  <c r="B2692" i="8"/>
  <c r="B1445" i="5"/>
  <c r="B2739" i="5"/>
  <c r="L2746" i="5" s="1"/>
  <c r="O1436" i="5"/>
  <c r="J121" i="8"/>
  <c r="B1248" i="5"/>
  <c r="S1246" i="5" s="1"/>
  <c r="O2201" i="5"/>
  <c r="O569" i="5"/>
  <c r="B2588" i="5"/>
  <c r="L2588" i="5" s="1"/>
  <c r="Z1699" i="5"/>
  <c r="Z1727" i="5"/>
  <c r="Z1713" i="5"/>
  <c r="B1698" i="5"/>
  <c r="B1726" i="5" s="1"/>
  <c r="I2553" i="8"/>
  <c r="I2519" i="8"/>
  <c r="A525" i="8"/>
  <c r="A523" i="8"/>
  <c r="G516" i="8"/>
  <c r="A528" i="8"/>
  <c r="A527" i="8"/>
  <c r="A526" i="8"/>
  <c r="A522" i="8"/>
  <c r="F515" i="8"/>
  <c r="A524" i="8"/>
  <c r="A529" i="8"/>
  <c r="E544" i="8"/>
  <c r="R118" i="5"/>
  <c r="R146" i="5"/>
  <c r="R132" i="5"/>
  <c r="O110" i="5"/>
  <c r="B140" i="5"/>
  <c r="B148" i="5" s="1"/>
  <c r="I1465" i="8"/>
  <c r="I1431" i="8"/>
  <c r="B2760" i="8"/>
  <c r="F2759" i="8"/>
  <c r="E2788" i="8"/>
  <c r="J2770" i="8"/>
  <c r="J2773" i="8"/>
  <c r="G2767" i="8"/>
  <c r="G2769" i="8"/>
  <c r="J2772" i="8"/>
  <c r="J2768" i="8"/>
  <c r="J2769" i="8"/>
  <c r="G2772" i="8"/>
  <c r="G2768" i="8"/>
  <c r="J2767" i="8"/>
  <c r="G2766" i="8"/>
  <c r="G2771" i="8"/>
  <c r="J2771" i="8"/>
  <c r="G2770" i="8"/>
  <c r="J2766" i="8"/>
  <c r="G2773" i="8"/>
  <c r="A2909" i="8"/>
  <c r="A2904" i="8"/>
  <c r="A2905" i="8"/>
  <c r="A2902" i="8"/>
  <c r="G2896" i="8"/>
  <c r="E2924" i="8"/>
  <c r="A2907" i="8"/>
  <c r="A2906" i="8"/>
  <c r="A2908" i="8"/>
  <c r="A2903" i="8"/>
  <c r="B4222" i="8"/>
  <c r="A4234" i="8"/>
  <c r="A4231" i="8"/>
  <c r="F4221" i="8"/>
  <c r="A4232" i="8"/>
  <c r="A4230" i="8"/>
  <c r="E4250" i="8"/>
  <c r="A4235" i="8"/>
  <c r="A4229" i="8"/>
  <c r="A4228" i="8"/>
  <c r="A4233" i="8"/>
  <c r="B14" i="8"/>
  <c r="G14" i="8"/>
  <c r="J14" i="8"/>
  <c r="R95" i="5"/>
  <c r="R67" i="5"/>
  <c r="B87" i="5"/>
  <c r="E91" i="5" s="1"/>
  <c r="B66" i="5"/>
  <c r="B91" i="5" s="1"/>
  <c r="O59" i="5"/>
  <c r="B73" i="5"/>
  <c r="C91" i="5" s="1"/>
  <c r="R81" i="5"/>
  <c r="B80" i="5"/>
  <c r="S85" i="5" s="1"/>
  <c r="AH2" i="5"/>
  <c r="O58" i="5"/>
  <c r="B444" i="5"/>
  <c r="S456" i="5" s="1"/>
  <c r="Z438" i="5"/>
  <c r="B425" i="5"/>
  <c r="Z452" i="5"/>
  <c r="Z424" i="5"/>
  <c r="B430" i="5"/>
  <c r="C448" i="5" s="1"/>
  <c r="B437" i="5"/>
  <c r="D448" i="5" s="1"/>
  <c r="B446" i="5"/>
  <c r="S458" i="5" s="1"/>
  <c r="B423" i="5"/>
  <c r="B451" i="5" s="1"/>
  <c r="B432" i="5"/>
  <c r="S430" i="5" s="1"/>
  <c r="B439" i="5"/>
  <c r="S444" i="5" s="1"/>
  <c r="O416" i="5"/>
  <c r="O415" i="5"/>
  <c r="AH9" i="5"/>
  <c r="G970" i="8"/>
  <c r="B968" i="8"/>
  <c r="G968" i="8"/>
  <c r="J968" i="8"/>
  <c r="A1648" i="8"/>
  <c r="A1644" i="8"/>
  <c r="A1646" i="8"/>
  <c r="A1650" i="8"/>
  <c r="A1645" i="8"/>
  <c r="A1651" i="8"/>
  <c r="A1647" i="8"/>
  <c r="A1649" i="8"/>
  <c r="E1666" i="8"/>
  <c r="F1637" i="8"/>
  <c r="B1638" i="8"/>
  <c r="A3551" i="8"/>
  <c r="A3553" i="8"/>
  <c r="A3549" i="8"/>
  <c r="A3548" i="8"/>
  <c r="A3552" i="8"/>
  <c r="E3570" i="8"/>
  <c r="A3554" i="8"/>
  <c r="F3541" i="8"/>
  <c r="B3542" i="8"/>
  <c r="A3555" i="8"/>
  <c r="A3550" i="8"/>
  <c r="B3848" i="8"/>
  <c r="F3847" i="8"/>
  <c r="E3876" i="8"/>
  <c r="A4029" i="8"/>
  <c r="A4026" i="8"/>
  <c r="E4046" i="8"/>
  <c r="A4028" i="8"/>
  <c r="A4030" i="8"/>
  <c r="A4031" i="8"/>
  <c r="B4018" i="8"/>
  <c r="A4025" i="8"/>
  <c r="F4017" i="8"/>
  <c r="A4027" i="8"/>
  <c r="A4024" i="8"/>
  <c r="B3249" i="5"/>
  <c r="B3242" i="5"/>
  <c r="S3247" i="5" s="1"/>
  <c r="B3235" i="5"/>
  <c r="S3233" i="5" s="1"/>
  <c r="B3228" i="5"/>
  <c r="B3256" i="5" s="1"/>
  <c r="G3521" i="8"/>
  <c r="B3521" i="8"/>
  <c r="J3521" i="8"/>
  <c r="G210" i="8"/>
  <c r="F209" i="8"/>
  <c r="G217" i="8"/>
  <c r="J217" i="8"/>
  <c r="G218" i="8"/>
  <c r="G2794" i="8"/>
  <c r="F2793" i="8"/>
  <c r="E2822" i="8"/>
  <c r="G2801" i="8"/>
  <c r="B685" i="5"/>
  <c r="B699" i="5"/>
  <c r="B707" i="5" s="1"/>
  <c r="B678" i="5"/>
  <c r="B692" i="5"/>
  <c r="S697" i="5" s="1"/>
  <c r="F1739" i="8"/>
  <c r="J1747" i="8"/>
  <c r="G1750" i="8"/>
  <c r="E1768" i="8"/>
  <c r="B1740" i="8"/>
  <c r="G1753" i="8"/>
  <c r="J1749" i="8"/>
  <c r="J1753" i="8"/>
  <c r="G1747" i="8"/>
  <c r="G1749" i="8"/>
  <c r="G1748" i="8"/>
  <c r="J1752" i="8"/>
  <c r="J1750" i="8"/>
  <c r="A2399" i="8"/>
  <c r="F2385" i="8"/>
  <c r="A2394" i="8"/>
  <c r="A2397" i="8"/>
  <c r="E2414" i="8"/>
  <c r="A2393" i="8"/>
  <c r="A2395" i="8"/>
  <c r="A2392" i="8"/>
  <c r="B2386" i="8"/>
  <c r="A2398" i="8"/>
  <c r="A2396" i="8"/>
  <c r="Z1903" i="5"/>
  <c r="Z1917" i="5"/>
  <c r="Z1931" i="5"/>
  <c r="O1895" i="5"/>
  <c r="B1916" i="5"/>
  <c r="B1909" i="5"/>
  <c r="S1907" i="5" s="1"/>
  <c r="E4420" i="8"/>
  <c r="F4391" i="8"/>
  <c r="J4400" i="8"/>
  <c r="B4392" i="8"/>
  <c r="G4400" i="8"/>
  <c r="G3929" i="8"/>
  <c r="J2328" i="8"/>
  <c r="B2328" i="8"/>
  <c r="G2328" i="8"/>
  <c r="G2327" i="8"/>
  <c r="J2327" i="8"/>
  <c r="B2327" i="8"/>
  <c r="B2013" i="5"/>
  <c r="S2011" i="5" s="1"/>
  <c r="B2006" i="5"/>
  <c r="R2019" i="5"/>
  <c r="B2027" i="5"/>
  <c r="S2039" i="5" s="1"/>
  <c r="R2033" i="5"/>
  <c r="B2020" i="5"/>
  <c r="R2005" i="5"/>
  <c r="R2223" i="5"/>
  <c r="R2209" i="5"/>
  <c r="R2237" i="5"/>
  <c r="B2208" i="5"/>
  <c r="B2236" i="5" s="1"/>
  <c r="B2224" i="5"/>
  <c r="S2229" i="5" s="1"/>
  <c r="B1670" i="5"/>
  <c r="S1682" i="5" s="1"/>
  <c r="R1662" i="5"/>
  <c r="R1676" i="5"/>
  <c r="B1656" i="5"/>
  <c r="B1663" i="5"/>
  <c r="R1648" i="5"/>
  <c r="B1649" i="5"/>
  <c r="B2216" i="8"/>
  <c r="E2244" i="8"/>
  <c r="G2223" i="8"/>
  <c r="J2227" i="8"/>
  <c r="F2215" i="8"/>
  <c r="G2222" i="8"/>
  <c r="J2223" i="8"/>
  <c r="F3371" i="8"/>
  <c r="G3383" i="8"/>
  <c r="E3400" i="8"/>
  <c r="B3372" i="8"/>
  <c r="G3384" i="8"/>
  <c r="J3383" i="8"/>
  <c r="G3380" i="8"/>
  <c r="J3382" i="8"/>
  <c r="J3379" i="8"/>
  <c r="G3379" i="8"/>
  <c r="Z1458" i="5"/>
  <c r="Z1472" i="5"/>
  <c r="Z1444" i="5"/>
  <c r="B1459" i="5"/>
  <c r="S1464" i="5" s="1"/>
  <c r="B1452" i="5"/>
  <c r="S1450" i="5" s="1"/>
  <c r="A1174" i="8"/>
  <c r="A1175" i="8"/>
  <c r="B1162" i="8"/>
  <c r="A1172" i="8"/>
  <c r="A1171" i="8"/>
  <c r="A1173" i="8"/>
  <c r="A1170" i="8"/>
  <c r="A1168" i="8"/>
  <c r="A1169" i="8"/>
  <c r="E1190" i="8"/>
  <c r="F1161" i="8"/>
  <c r="Z1370" i="5"/>
  <c r="Z1356" i="5"/>
  <c r="Z1342" i="5"/>
  <c r="O1334" i="5"/>
  <c r="B1348" i="5"/>
  <c r="S1346" i="5" s="1"/>
  <c r="B1355" i="5"/>
  <c r="B1362" i="5"/>
  <c r="L1369" i="5" s="1"/>
  <c r="B2586" i="5"/>
  <c r="E2590" i="5" s="1"/>
  <c r="B2579" i="5"/>
  <c r="D2590" i="5" s="1"/>
  <c r="B2565" i="5"/>
  <c r="B2593" i="5" s="1"/>
  <c r="B2572" i="5"/>
  <c r="C2590" i="5" s="1"/>
  <c r="B2727" i="5"/>
  <c r="B2741" i="5"/>
  <c r="L2748" i="5" s="1"/>
  <c r="B2734" i="5"/>
  <c r="S2739" i="5" s="1"/>
  <c r="B2720" i="5"/>
  <c r="G46" i="8"/>
  <c r="B40" i="8"/>
  <c r="J51" i="8"/>
  <c r="J46" i="8"/>
  <c r="G53" i="8"/>
  <c r="J53" i="8"/>
  <c r="G48" i="8"/>
  <c r="G50" i="8"/>
  <c r="G47" i="8"/>
  <c r="G51" i="8"/>
  <c r="G49" i="8"/>
  <c r="J48" i="8"/>
  <c r="J50" i="8"/>
  <c r="E68" i="8"/>
  <c r="F39" i="8"/>
  <c r="I1363" i="8"/>
  <c r="I1397" i="8"/>
  <c r="G2250" i="8"/>
  <c r="E2278" i="8"/>
  <c r="F2249" i="8"/>
  <c r="G4264" i="8"/>
  <c r="J4264" i="8"/>
  <c r="F4255" i="8"/>
  <c r="G4268" i="8"/>
  <c r="J4268" i="8"/>
  <c r="G4269" i="8"/>
  <c r="J4263" i="8"/>
  <c r="G4263" i="8"/>
  <c r="G4266" i="8"/>
  <c r="B4256" i="8"/>
  <c r="J4266" i="8"/>
  <c r="E4284" i="8"/>
  <c r="J4269" i="8"/>
  <c r="B12" i="8"/>
  <c r="J12" i="8"/>
  <c r="G12" i="8"/>
  <c r="B787" i="5"/>
  <c r="S785" i="5" s="1"/>
  <c r="B780" i="5"/>
  <c r="B805" i="5" s="1"/>
  <c r="B794" i="5"/>
  <c r="S799" i="5" s="1"/>
  <c r="B801" i="5"/>
  <c r="S813" i="5" s="1"/>
  <c r="G2488" i="8"/>
  <c r="A2500" i="8"/>
  <c r="A2501" i="8"/>
  <c r="A2497" i="8"/>
  <c r="F2487" i="8"/>
  <c r="A2495" i="8"/>
  <c r="E2516" i="8"/>
  <c r="A2494" i="8"/>
  <c r="A2499" i="8"/>
  <c r="A2496" i="8"/>
  <c r="A2498" i="8"/>
  <c r="AH53" i="5"/>
  <c r="O2659" i="5"/>
  <c r="O670" i="5"/>
  <c r="AH14" i="5"/>
  <c r="B1821" i="5"/>
  <c r="E1825" i="5" s="1"/>
  <c r="B1814" i="5"/>
  <c r="D1825" i="5" s="1"/>
  <c r="B1800" i="5"/>
  <c r="B1825" i="5" s="1"/>
  <c r="B1807" i="5"/>
  <c r="C1825" i="5" s="1"/>
  <c r="J3110" i="8"/>
  <c r="G3108" i="8"/>
  <c r="B3108" i="8"/>
  <c r="J3108" i="8"/>
  <c r="G3923" i="8"/>
  <c r="J3923" i="8"/>
  <c r="B3923" i="8"/>
  <c r="A1102" i="8"/>
  <c r="F1093" i="8"/>
  <c r="A1106" i="8"/>
  <c r="A1103" i="8"/>
  <c r="A1104" i="8"/>
  <c r="A1107" i="8"/>
  <c r="A1105" i="8"/>
  <c r="E1122" i="8"/>
  <c r="A1101" i="8"/>
  <c r="B1094" i="8"/>
  <c r="A1100" i="8"/>
  <c r="B1264" i="8"/>
  <c r="J1277" i="8"/>
  <c r="J1273" i="8"/>
  <c r="E1292" i="8"/>
  <c r="G1273" i="8"/>
  <c r="G1272" i="8"/>
  <c r="J1275" i="8"/>
  <c r="G1277" i="8"/>
  <c r="G1271" i="8"/>
  <c r="J1272" i="8"/>
  <c r="G1276" i="8"/>
  <c r="J1271" i="8"/>
  <c r="J1276" i="8"/>
  <c r="G1274" i="8"/>
  <c r="G1270" i="8"/>
  <c r="J1274" i="8"/>
  <c r="F1263" i="8"/>
  <c r="G1275" i="8"/>
  <c r="J1270" i="8"/>
  <c r="O925" i="5"/>
  <c r="AH19" i="5"/>
  <c r="R503" i="5"/>
  <c r="R475" i="5"/>
  <c r="R489" i="5"/>
  <c r="G1366" i="8"/>
  <c r="G1372" i="8"/>
  <c r="J1372" i="8"/>
  <c r="E1394" i="8"/>
  <c r="F1365" i="8"/>
  <c r="J1377" i="8"/>
  <c r="G1377" i="8"/>
  <c r="O2506" i="5"/>
  <c r="AH50" i="5"/>
  <c r="B2624" i="8"/>
  <c r="F2623" i="8"/>
  <c r="J2635" i="8"/>
  <c r="E2652" i="8"/>
  <c r="G2636" i="8"/>
  <c r="B118" i="8"/>
  <c r="G118" i="8"/>
  <c r="J118" i="8"/>
  <c r="R897" i="5"/>
  <c r="B891" i="5"/>
  <c r="B884" i="5"/>
  <c r="O875" i="5"/>
  <c r="B898" i="5"/>
  <c r="S903" i="5" s="1"/>
  <c r="R883" i="5"/>
  <c r="B905" i="5"/>
  <c r="S917" i="5" s="1"/>
  <c r="R911" i="5"/>
  <c r="A1513" i="8"/>
  <c r="A1512" i="8"/>
  <c r="A1509" i="8"/>
  <c r="A1514" i="8"/>
  <c r="A1508" i="8"/>
  <c r="B1502" i="8"/>
  <c r="F1501" i="8"/>
  <c r="A1515" i="8"/>
  <c r="E1530" i="8"/>
  <c r="A1511" i="8"/>
  <c r="A1510" i="8"/>
  <c r="B1151" i="5"/>
  <c r="S1156" i="5" s="1"/>
  <c r="B1158" i="5"/>
  <c r="L1165" i="5" s="1"/>
  <c r="B1144" i="5"/>
  <c r="C1162" i="5" s="1"/>
  <c r="B1137" i="5"/>
  <c r="B1165" i="5" s="1"/>
  <c r="E3808" i="8"/>
  <c r="B3780" i="8"/>
  <c r="F3779" i="8"/>
  <c r="J3790" i="8"/>
  <c r="J3787" i="8"/>
  <c r="G3790" i="8"/>
  <c r="G3787" i="8"/>
  <c r="G3788" i="8"/>
  <c r="R44" i="5"/>
  <c r="C3" i="10"/>
  <c r="R30" i="5"/>
  <c r="R16" i="5"/>
  <c r="AH6" i="5"/>
  <c r="O262" i="5"/>
  <c r="B1707" i="5"/>
  <c r="B1714" i="5"/>
  <c r="S1719" i="5" s="1"/>
  <c r="B1700" i="5"/>
  <c r="B1721" i="5"/>
  <c r="L1728" i="5" s="1"/>
  <c r="A2732" i="8"/>
  <c r="A2735" i="8"/>
  <c r="B2726" i="8"/>
  <c r="A2737" i="8"/>
  <c r="A2734" i="8"/>
  <c r="A2733" i="8"/>
  <c r="A2738" i="8"/>
  <c r="A2736" i="8"/>
  <c r="F2725" i="8"/>
  <c r="A2739" i="8"/>
  <c r="E2754" i="8"/>
  <c r="O2149" i="5"/>
  <c r="AH43" i="5"/>
  <c r="R2464" i="5"/>
  <c r="R2492" i="5"/>
  <c r="O2456" i="5"/>
  <c r="B2465" i="5"/>
  <c r="B2493" i="5" s="1"/>
  <c r="B2479" i="5"/>
  <c r="R2478" i="5"/>
  <c r="B2486" i="5"/>
  <c r="B2494" i="5" s="1"/>
  <c r="B2472" i="5"/>
  <c r="S2470" i="5" s="1"/>
  <c r="I3675" i="8"/>
  <c r="I3709" i="8"/>
  <c r="AH63" i="5"/>
  <c r="O3169" i="5"/>
  <c r="A1479" i="8"/>
  <c r="A1474" i="8"/>
  <c r="A1478" i="8"/>
  <c r="A1475" i="8"/>
  <c r="G1468" i="8"/>
  <c r="A1477" i="8"/>
  <c r="A1476" i="8"/>
  <c r="A1481" i="8"/>
  <c r="F1467" i="8"/>
  <c r="E1496" i="8"/>
  <c r="A1480" i="8"/>
  <c r="AH37" i="5"/>
  <c r="O1843" i="5"/>
  <c r="Z1880" i="5"/>
  <c r="Z1866" i="5"/>
  <c r="Z1852" i="5"/>
  <c r="O1844" i="5"/>
  <c r="R2325" i="5"/>
  <c r="O2303" i="5"/>
  <c r="R2311" i="5"/>
  <c r="R2339" i="5"/>
  <c r="B2310" i="5"/>
  <c r="B2335" i="5" s="1"/>
  <c r="B2317" i="5"/>
  <c r="C2335" i="5" s="1"/>
  <c r="B2324" i="5"/>
  <c r="D2335" i="5" s="1"/>
  <c r="B2331" i="5"/>
  <c r="B2339" i="5" s="1"/>
  <c r="A694" i="8"/>
  <c r="A699" i="8"/>
  <c r="A695" i="8"/>
  <c r="A692" i="8"/>
  <c r="F685" i="8"/>
  <c r="A696" i="8"/>
  <c r="B686" i="8"/>
  <c r="A697" i="8"/>
  <c r="A698" i="8"/>
  <c r="E714" i="8"/>
  <c r="A693" i="8"/>
  <c r="B966" i="8"/>
  <c r="J966" i="8"/>
  <c r="Z1189" i="5"/>
  <c r="Z1203" i="5"/>
  <c r="O1181" i="5"/>
  <c r="B1211" i="5"/>
  <c r="L1218" i="5" s="1"/>
  <c r="B1197" i="5"/>
  <c r="S1195" i="5" s="1"/>
  <c r="Z1217" i="5"/>
  <c r="B1204" i="5"/>
  <c r="S1209" i="5" s="1"/>
  <c r="B1190" i="5"/>
  <c r="B1218" i="5" s="1"/>
  <c r="AH25" i="5"/>
  <c r="O1231" i="5"/>
  <c r="R2682" i="5"/>
  <c r="R2696" i="5"/>
  <c r="R2668" i="5"/>
  <c r="O2660" i="5"/>
  <c r="B3576" i="8"/>
  <c r="E3604" i="8"/>
  <c r="F3575" i="8"/>
  <c r="J3588" i="8"/>
  <c r="J3582" i="8"/>
  <c r="G3588" i="8"/>
  <c r="J3587" i="8"/>
  <c r="AH60" i="5"/>
  <c r="O3016" i="5"/>
  <c r="B1818" i="8"/>
  <c r="J1818" i="8"/>
  <c r="G1818" i="8"/>
  <c r="B3516" i="8"/>
  <c r="J3516" i="8"/>
  <c r="G3516" i="8"/>
  <c r="A253" i="8"/>
  <c r="E272" i="8"/>
  <c r="G244" i="8"/>
  <c r="A250" i="8"/>
  <c r="F243" i="8"/>
  <c r="A257" i="8"/>
  <c r="A251" i="8"/>
  <c r="A252" i="8"/>
  <c r="A256" i="8"/>
  <c r="A255" i="8"/>
  <c r="A254" i="8"/>
  <c r="Z169" i="5"/>
  <c r="B175" i="5"/>
  <c r="S173" i="5" s="1"/>
  <c r="B168" i="5"/>
  <c r="B189" i="5"/>
  <c r="L196" i="5" s="1"/>
  <c r="B182" i="5"/>
  <c r="S187" i="5" s="1"/>
  <c r="Z183" i="5"/>
  <c r="Z197" i="5"/>
  <c r="Z2121" i="5"/>
  <c r="Z2107" i="5"/>
  <c r="O2099" i="5"/>
  <c r="Z2135" i="5"/>
  <c r="A2837" i="8"/>
  <c r="A2838" i="8"/>
  <c r="G2828" i="8"/>
  <c r="A2835" i="8"/>
  <c r="A2841" i="8"/>
  <c r="A2839" i="8"/>
  <c r="A2836" i="8"/>
  <c r="A2834" i="8"/>
  <c r="E2856" i="8"/>
  <c r="A2840" i="8"/>
  <c r="F923" i="8"/>
  <c r="B924" i="8"/>
  <c r="G931" i="8"/>
  <c r="G933" i="8"/>
  <c r="E952" i="8"/>
  <c r="J936" i="8"/>
  <c r="J932" i="8"/>
  <c r="G932" i="8"/>
  <c r="AH26" i="5"/>
  <c r="O1282" i="5"/>
  <c r="A1715" i="8"/>
  <c r="F1705" i="8"/>
  <c r="A1714" i="8"/>
  <c r="B1706" i="8"/>
  <c r="A1719" i="8"/>
  <c r="A1716" i="8"/>
  <c r="A1713" i="8"/>
  <c r="E1734" i="8"/>
  <c r="A1717" i="8"/>
  <c r="A1718" i="8"/>
  <c r="A1712" i="8"/>
  <c r="Z1407" i="5"/>
  <c r="Z1421" i="5"/>
  <c r="B1413" i="5"/>
  <c r="L1420" i="5" s="1"/>
  <c r="Z1393" i="5"/>
  <c r="B1406" i="5"/>
  <c r="S1411" i="5" s="1"/>
  <c r="B1392" i="5"/>
  <c r="B1399" i="5"/>
  <c r="S1397" i="5" s="1"/>
  <c r="AH28" i="5"/>
  <c r="O1384" i="5"/>
  <c r="R1801" i="5"/>
  <c r="O1793" i="5"/>
  <c r="R1829" i="5"/>
  <c r="R1815" i="5"/>
  <c r="B1918" i="5"/>
  <c r="B1925" i="5"/>
  <c r="L1925" i="5" s="1"/>
  <c r="B1911" i="5"/>
  <c r="S1909" i="5" s="1"/>
  <c r="B1904" i="5"/>
  <c r="B3293" i="5"/>
  <c r="S3298" i="5" s="1"/>
  <c r="B3279" i="5"/>
  <c r="B3307" i="5" s="1"/>
  <c r="B3300" i="5"/>
  <c r="S3312" i="5" s="1"/>
  <c r="B3286" i="5"/>
  <c r="B189" i="8"/>
  <c r="J189" i="8"/>
  <c r="G2326" i="8"/>
  <c r="B2326" i="8"/>
  <c r="J2326" i="8"/>
  <c r="A1242" i="8"/>
  <c r="A1243" i="8"/>
  <c r="A1241" i="8"/>
  <c r="A1238" i="8"/>
  <c r="A1237" i="8"/>
  <c r="E1258" i="8"/>
  <c r="A1239" i="8"/>
  <c r="B1230" i="8"/>
  <c r="A1240" i="8"/>
  <c r="A1236" i="8"/>
  <c r="F1229" i="8"/>
  <c r="R948" i="5"/>
  <c r="B956" i="5"/>
  <c r="L956" i="5" s="1"/>
  <c r="B942" i="5"/>
  <c r="S940" i="5" s="1"/>
  <c r="R962" i="5"/>
  <c r="B935" i="5"/>
  <c r="B963" i="5" s="1"/>
  <c r="R934" i="5"/>
  <c r="B949" i="5"/>
  <c r="G4165" i="8"/>
  <c r="J4165" i="8"/>
  <c r="O568" i="5"/>
  <c r="AH12" i="5"/>
  <c r="A767" i="8"/>
  <c r="F753" i="8"/>
  <c r="A761" i="8"/>
  <c r="A765" i="8"/>
  <c r="A762" i="8"/>
  <c r="B754" i="8"/>
  <c r="A760" i="8"/>
  <c r="A766" i="8"/>
  <c r="A763" i="8"/>
  <c r="A764" i="8"/>
  <c r="E782" i="8"/>
  <c r="A1307" i="8"/>
  <c r="B1298" i="8"/>
  <c r="F1297" i="8"/>
  <c r="A1308" i="8"/>
  <c r="A1304" i="8"/>
  <c r="A1305" i="8"/>
  <c r="A1311" i="8"/>
  <c r="A1309" i="8"/>
  <c r="A1310" i="8"/>
  <c r="A1306" i="8"/>
  <c r="E1326" i="8"/>
  <c r="I2111" i="8"/>
  <c r="I2145" i="8"/>
  <c r="F2657" i="8"/>
  <c r="B2658" i="8"/>
  <c r="A2670" i="8"/>
  <c r="A2664" i="8"/>
  <c r="A2668" i="8"/>
  <c r="A2665" i="8"/>
  <c r="A2669" i="8"/>
  <c r="A2667" i="8"/>
  <c r="E2686" i="8"/>
  <c r="A2671" i="8"/>
  <c r="A2666" i="8"/>
  <c r="E3366" i="8"/>
  <c r="B3338" i="8"/>
  <c r="A3344" i="8"/>
  <c r="A3346" i="8"/>
  <c r="A3347" i="8"/>
  <c r="A3345" i="8"/>
  <c r="A3350" i="8"/>
  <c r="A3351" i="8"/>
  <c r="A3348" i="8"/>
  <c r="A3349" i="8"/>
  <c r="F3337" i="8"/>
  <c r="B2537" i="5"/>
  <c r="B2545" i="5" s="1"/>
  <c r="B2516" i="5"/>
  <c r="B2544" i="5" s="1"/>
  <c r="R2543" i="5"/>
  <c r="B2530" i="5"/>
  <c r="R2515" i="5"/>
  <c r="R2529" i="5"/>
  <c r="B2523" i="5"/>
  <c r="B1705" i="5"/>
  <c r="S1703" i="5" s="1"/>
  <c r="B119" i="5"/>
  <c r="B2229" i="5"/>
  <c r="L2236" i="5" s="1"/>
  <c r="B1923" i="5"/>
  <c r="S1935" i="5" s="1"/>
  <c r="O1691" i="5"/>
  <c r="B126" i="5"/>
  <c r="S124" i="5" s="1"/>
  <c r="B2215" i="5"/>
  <c r="S2213" i="5" s="1"/>
  <c r="E238" i="8"/>
  <c r="O2711" i="5"/>
  <c r="B1341" i="5"/>
  <c r="B1369" i="5" s="1"/>
  <c r="B1464" i="5"/>
  <c r="B2732" i="5"/>
  <c r="G121" i="8"/>
  <c r="B889" i="5"/>
  <c r="C907" i="5" s="1"/>
  <c r="F2827" i="8"/>
  <c r="B2166" i="5"/>
  <c r="O2150" i="5"/>
  <c r="O977" i="5"/>
  <c r="O467" i="5"/>
  <c r="B1719" i="5"/>
  <c r="B1727" i="5" s="1"/>
  <c r="B1255" i="5"/>
  <c r="S1260" i="5" s="1"/>
  <c r="J47" i="8"/>
  <c r="B970" i="8"/>
  <c r="J1345" i="8"/>
  <c r="G660" i="8"/>
  <c r="G4468" i="8"/>
  <c r="G3451" i="8"/>
  <c r="J971" i="8"/>
  <c r="J4436" i="8"/>
  <c r="J2019" i="8"/>
  <c r="J286" i="8"/>
  <c r="J1443" i="8"/>
  <c r="J4164" i="8"/>
  <c r="G3110" i="8"/>
  <c r="G2261" i="8"/>
  <c r="J49" i="8"/>
  <c r="J3380" i="8"/>
  <c r="J3384" i="8"/>
  <c r="J2222" i="8"/>
  <c r="G1752" i="8"/>
  <c r="J1751" i="8"/>
  <c r="G1751" i="8"/>
  <c r="G2802" i="8"/>
  <c r="G1139" i="8"/>
  <c r="J1139" i="8"/>
  <c r="G4332" i="8"/>
  <c r="G1073" i="8"/>
  <c r="J1817" i="8"/>
  <c r="G659" i="8"/>
  <c r="J660" i="8"/>
  <c r="G2292" i="8"/>
  <c r="G1781" i="8"/>
  <c r="G117" i="8"/>
  <c r="B833" i="8"/>
  <c r="G1610" i="8"/>
  <c r="B3480" i="8"/>
  <c r="B290" i="8"/>
  <c r="J3724" i="8"/>
  <c r="G3004" i="8"/>
  <c r="G3279" i="8"/>
  <c r="G2022" i="8"/>
  <c r="G3892" i="8"/>
  <c r="J3753" i="8"/>
  <c r="J4437" i="8"/>
  <c r="J3892" i="8"/>
  <c r="G2019" i="8"/>
  <c r="J3755" i="8"/>
  <c r="J2292" i="8"/>
  <c r="B1441" i="8"/>
  <c r="G3822" i="8"/>
  <c r="J1444" i="8"/>
  <c r="C59" i="10"/>
  <c r="A59" i="10" s="1"/>
  <c r="B59" i="10"/>
  <c r="C58" i="10"/>
  <c r="B58" i="10"/>
  <c r="J935" i="8"/>
  <c r="J1375" i="8"/>
  <c r="J1342" i="8"/>
  <c r="J1343" i="8"/>
  <c r="B1817" i="8"/>
  <c r="G2463" i="8"/>
  <c r="J2018" i="8"/>
  <c r="B2021" i="8"/>
  <c r="J2021" i="8"/>
  <c r="J2803" i="8"/>
  <c r="G1343" i="8"/>
  <c r="J1135" i="8"/>
  <c r="J2467" i="8"/>
  <c r="J864" i="8"/>
  <c r="J829" i="8"/>
  <c r="G184" i="8"/>
  <c r="J4265" i="8"/>
  <c r="J3792" i="8"/>
  <c r="G1342" i="8"/>
  <c r="G1985" i="8"/>
  <c r="J1067" i="8"/>
  <c r="J1612" i="8"/>
  <c r="G423" i="8"/>
  <c r="G3140" i="8"/>
  <c r="J3011" i="8"/>
  <c r="J184" i="8"/>
  <c r="J1374" i="8"/>
  <c r="G3382" i="8"/>
  <c r="J186" i="8"/>
  <c r="G2294" i="8"/>
  <c r="J1786" i="8"/>
  <c r="B829" i="8"/>
  <c r="J1613" i="8"/>
  <c r="G1613" i="8"/>
  <c r="J4129" i="8"/>
  <c r="B291" i="8"/>
  <c r="G935" i="8"/>
  <c r="G3582" i="8"/>
  <c r="J2634" i="8"/>
  <c r="J1379" i="8"/>
  <c r="G4262" i="8"/>
  <c r="G2259" i="8"/>
  <c r="G52" i="8"/>
  <c r="G1345" i="8"/>
  <c r="J1339" i="8"/>
  <c r="G1340" i="8"/>
  <c r="G1339" i="8"/>
  <c r="J1140" i="8"/>
  <c r="J1984" i="8"/>
  <c r="J1068" i="8"/>
  <c r="G390" i="8"/>
  <c r="G490" i="8"/>
  <c r="B186" i="8"/>
  <c r="J2463" i="8"/>
  <c r="J659" i="8"/>
  <c r="B4160" i="8"/>
  <c r="G1612" i="8"/>
  <c r="J423" i="8"/>
  <c r="J285" i="8"/>
  <c r="J3480" i="8"/>
  <c r="G3721" i="8"/>
  <c r="G2054" i="8"/>
  <c r="G2056" i="8"/>
  <c r="J3279" i="8"/>
  <c r="G3753" i="8"/>
  <c r="B4436" i="8"/>
  <c r="J3721" i="8"/>
  <c r="B1447" i="8"/>
  <c r="G1447" i="8"/>
  <c r="J1447" i="8"/>
  <c r="G1379" i="8"/>
  <c r="G3381" i="8"/>
  <c r="G4403" i="8"/>
  <c r="G1746" i="8"/>
  <c r="J1748" i="8"/>
  <c r="J1746" i="8"/>
  <c r="J2805" i="8"/>
  <c r="G1984" i="8"/>
  <c r="J728" i="8"/>
  <c r="J730" i="8"/>
  <c r="J490" i="8"/>
  <c r="G4064" i="8"/>
  <c r="G2297" i="8"/>
  <c r="G1780" i="8"/>
  <c r="J115" i="8"/>
  <c r="G832" i="8"/>
  <c r="J291" i="8"/>
  <c r="G3276" i="8"/>
  <c r="J3824" i="8"/>
  <c r="B1444" i="8"/>
  <c r="B43" i="5"/>
  <c r="A3" i="10"/>
  <c r="B1" i="10"/>
  <c r="A1" i="10"/>
  <c r="J967" i="8"/>
  <c r="B3827" i="8"/>
  <c r="J3827" i="8"/>
  <c r="J3378" i="8"/>
  <c r="G187" i="8"/>
  <c r="G2704" i="8"/>
  <c r="G1991" i="8"/>
  <c r="G726" i="8"/>
  <c r="G1072" i="8"/>
  <c r="G2460" i="8"/>
  <c r="J2464" i="8"/>
  <c r="G1617" i="8"/>
  <c r="J1615" i="8"/>
  <c r="J3823" i="8"/>
  <c r="G286" i="8"/>
  <c r="G1951" i="8"/>
  <c r="J1951" i="8"/>
  <c r="G3722" i="8"/>
  <c r="J3722" i="8"/>
  <c r="B182" i="8"/>
  <c r="G182" i="8"/>
  <c r="J182" i="8"/>
  <c r="B185" i="8"/>
  <c r="G185" i="8"/>
  <c r="J185" i="8"/>
  <c r="B3720" i="8"/>
  <c r="J3720" i="8"/>
  <c r="J933" i="8"/>
  <c r="J934" i="8"/>
  <c r="J3589" i="8"/>
  <c r="G2634" i="8"/>
  <c r="J2262" i="8"/>
  <c r="G3385" i="8"/>
  <c r="B3929" i="8"/>
  <c r="J187" i="8"/>
  <c r="W16" i="9"/>
  <c r="J2702" i="8"/>
  <c r="G1138" i="8"/>
  <c r="G1986" i="8"/>
  <c r="J1986" i="8"/>
  <c r="G1068" i="8"/>
  <c r="G1069" i="8"/>
  <c r="J1069" i="8"/>
  <c r="G389" i="8"/>
  <c r="J494" i="8"/>
  <c r="G4162" i="8"/>
  <c r="J1784" i="8"/>
  <c r="B864" i="8"/>
  <c r="G4132" i="8"/>
  <c r="J1616" i="8"/>
  <c r="J3482" i="8"/>
  <c r="G3823" i="8"/>
  <c r="B285" i="8"/>
  <c r="G971" i="8"/>
  <c r="J2054" i="8"/>
  <c r="G3144" i="8"/>
  <c r="G2018" i="8"/>
  <c r="J3890" i="8"/>
  <c r="G3824" i="8"/>
  <c r="G3827" i="8"/>
  <c r="J3723" i="8"/>
  <c r="B3723" i="8"/>
  <c r="G934" i="8"/>
  <c r="J930" i="8"/>
  <c r="G930" i="8"/>
  <c r="J3788" i="8"/>
  <c r="J2633" i="8"/>
  <c r="J1378" i="8"/>
  <c r="G1375" i="8"/>
  <c r="G4164" i="8"/>
  <c r="G4265" i="8"/>
  <c r="J52" i="8"/>
  <c r="G3378" i="8"/>
  <c r="J3381" i="8"/>
  <c r="G2228" i="8"/>
  <c r="G2804" i="8"/>
  <c r="J2801" i="8"/>
  <c r="G221" i="8"/>
  <c r="G3854" i="8"/>
  <c r="J2698" i="8"/>
  <c r="G2698" i="8"/>
  <c r="G1135" i="8"/>
  <c r="J1138" i="8"/>
  <c r="J1991" i="8"/>
  <c r="J731" i="8"/>
  <c r="J1073" i="8"/>
  <c r="J1072" i="8"/>
  <c r="J389" i="8"/>
  <c r="G3448" i="8"/>
  <c r="G489" i="8"/>
  <c r="B4162" i="8"/>
  <c r="J658" i="8"/>
  <c r="G658" i="8"/>
  <c r="J2294" i="8"/>
  <c r="G1784" i="8"/>
  <c r="J117" i="8"/>
  <c r="J1610" i="8"/>
  <c r="G1616" i="8"/>
  <c r="G967" i="8"/>
  <c r="G3718" i="8"/>
  <c r="G2053" i="8"/>
  <c r="J2055" i="8"/>
  <c r="G3147" i="8"/>
  <c r="G3280" i="8"/>
  <c r="G3008" i="8"/>
  <c r="J119" i="8"/>
  <c r="G4437" i="8"/>
  <c r="G3755" i="8"/>
  <c r="J3990" i="8"/>
  <c r="B3990" i="8"/>
  <c r="G3990" i="8"/>
  <c r="B3821" i="8"/>
  <c r="G3821" i="8"/>
  <c r="B3725" i="8"/>
  <c r="G3725" i="8"/>
  <c r="C49" i="10"/>
  <c r="B49" i="10"/>
  <c r="A49" i="10"/>
  <c r="B51" i="10"/>
  <c r="A51" i="10"/>
  <c r="A50" i="10"/>
  <c r="G4439" i="8"/>
  <c r="B4439" i="8"/>
  <c r="J4439" i="8"/>
  <c r="B3888" i="8"/>
  <c r="G3888" i="8"/>
  <c r="B3893" i="8"/>
  <c r="G3893" i="8"/>
  <c r="J3893" i="8"/>
  <c r="J594" i="8"/>
  <c r="G594" i="8"/>
  <c r="B594" i="8"/>
  <c r="B593" i="8"/>
  <c r="G593" i="8"/>
  <c r="J593" i="8"/>
  <c r="G4163" i="8"/>
  <c r="G3583" i="8"/>
  <c r="J3793" i="8"/>
  <c r="G1378" i="8"/>
  <c r="G4267" i="8"/>
  <c r="G2227" i="8"/>
  <c r="J2701" i="8"/>
  <c r="J1853" i="8"/>
  <c r="B4472" i="8"/>
  <c r="B2161" i="8"/>
  <c r="G2161" i="8"/>
  <c r="J2161" i="8"/>
  <c r="G4432" i="8"/>
  <c r="J4432" i="8"/>
  <c r="B4432" i="8"/>
  <c r="G3894" i="8"/>
  <c r="B3894" i="8"/>
  <c r="J3889" i="8"/>
  <c r="B3889" i="8"/>
  <c r="J3278" i="8"/>
  <c r="G3278" i="8"/>
  <c r="B3278" i="8"/>
  <c r="B597" i="8"/>
  <c r="J597" i="8"/>
  <c r="G597" i="8"/>
  <c r="G590" i="8"/>
  <c r="B590" i="8"/>
  <c r="J590" i="8"/>
  <c r="J4163" i="8"/>
  <c r="G2260" i="8"/>
  <c r="J3385" i="8"/>
  <c r="J2802" i="8"/>
  <c r="J2699" i="8"/>
  <c r="G1141" i="8"/>
  <c r="J1141" i="8"/>
  <c r="J1134" i="8"/>
  <c r="J1987" i="8"/>
  <c r="G728" i="8"/>
  <c r="G393" i="8"/>
  <c r="G493" i="8"/>
  <c r="G1786" i="8"/>
  <c r="G830" i="8"/>
  <c r="G867" i="8"/>
  <c r="B832" i="8"/>
  <c r="J831" i="8"/>
  <c r="G3482" i="8"/>
  <c r="G4472" i="8"/>
  <c r="B3283" i="8"/>
  <c r="G2057" i="8"/>
  <c r="J3756" i="8"/>
  <c r="J4471" i="8"/>
  <c r="B2157" i="8"/>
  <c r="J2157" i="8"/>
  <c r="G2157" i="8"/>
  <c r="B2154" i="8"/>
  <c r="J2154" i="8"/>
  <c r="G2154" i="8"/>
  <c r="B2160" i="8"/>
  <c r="G2160" i="8"/>
  <c r="J2160" i="8"/>
  <c r="G4471" i="8"/>
  <c r="B3891" i="8"/>
  <c r="G3891" i="8"/>
  <c r="G592" i="8"/>
  <c r="J592" i="8"/>
  <c r="B592" i="8"/>
  <c r="B591" i="8"/>
  <c r="G591" i="8"/>
  <c r="J591" i="8"/>
  <c r="B3481" i="8"/>
  <c r="G3481" i="8"/>
  <c r="G2158" i="8"/>
  <c r="J2158" i="8"/>
  <c r="B2158" i="8"/>
  <c r="J4434" i="8"/>
  <c r="B4434" i="8"/>
  <c r="G4434" i="8"/>
  <c r="B3758" i="8"/>
  <c r="G3758" i="8"/>
  <c r="G3587" i="8"/>
  <c r="G2633" i="8"/>
  <c r="G4402" i="8"/>
  <c r="J4399" i="8"/>
  <c r="G2803" i="8"/>
  <c r="J493" i="8"/>
  <c r="G663" i="8"/>
  <c r="G2296" i="8"/>
  <c r="J3283" i="8"/>
  <c r="J3888" i="8"/>
  <c r="B2156" i="8"/>
  <c r="J2156" i="8"/>
  <c r="G2156" i="8"/>
  <c r="B3281" i="8"/>
  <c r="G3281" i="8"/>
  <c r="J3281" i="8"/>
  <c r="J4060" i="8"/>
  <c r="J931" i="8"/>
  <c r="J3583" i="8"/>
  <c r="G3793" i="8"/>
  <c r="G2632" i="8"/>
  <c r="J2632" i="8"/>
  <c r="G1374" i="8"/>
  <c r="G1376" i="8"/>
  <c r="J4267" i="8"/>
  <c r="G4399" i="8"/>
  <c r="G1987" i="8"/>
  <c r="G731" i="8"/>
  <c r="J663" i="8"/>
  <c r="G2290" i="8"/>
  <c r="G1783" i="8"/>
  <c r="J3584" i="8"/>
  <c r="G3589" i="8"/>
  <c r="J3789" i="8"/>
  <c r="J2631" i="8"/>
  <c r="J2636" i="8"/>
  <c r="J1376" i="8"/>
  <c r="J4262" i="8"/>
  <c r="J2259" i="8"/>
  <c r="J2257" i="8"/>
  <c r="G2224" i="8"/>
  <c r="G2225" i="8"/>
  <c r="J2226" i="8"/>
  <c r="G2800" i="8"/>
  <c r="G2701" i="8"/>
  <c r="G1134" i="8"/>
  <c r="G1854" i="8"/>
  <c r="J1985" i="8"/>
  <c r="J393" i="8"/>
  <c r="J3453" i="8"/>
  <c r="G494" i="8"/>
  <c r="G120" i="8"/>
  <c r="J2297" i="8"/>
  <c r="J2296" i="8"/>
  <c r="G1785" i="8"/>
  <c r="J1782" i="8"/>
  <c r="J1783" i="8"/>
  <c r="B835" i="8"/>
  <c r="J4131" i="8"/>
  <c r="J2057" i="8"/>
  <c r="J2056" i="8"/>
  <c r="G2055" i="8"/>
  <c r="B3277" i="8"/>
  <c r="J3008" i="8"/>
  <c r="J3004" i="8"/>
  <c r="G3890" i="8"/>
  <c r="G3756" i="8"/>
  <c r="J3758" i="8"/>
  <c r="G3889" i="8"/>
  <c r="B2159" i="8"/>
  <c r="J2159" i="8"/>
  <c r="G2159" i="8"/>
  <c r="B2155" i="8"/>
  <c r="J2155" i="8"/>
  <c r="G2155" i="8"/>
  <c r="B4435" i="8"/>
  <c r="J4435" i="8"/>
  <c r="G4435" i="8"/>
  <c r="B3895" i="8"/>
  <c r="J3895" i="8"/>
  <c r="G3895" i="8"/>
  <c r="G596" i="8"/>
  <c r="B596" i="8"/>
  <c r="J596" i="8"/>
  <c r="B595" i="8"/>
  <c r="G595" i="8"/>
  <c r="J595" i="8"/>
  <c r="J2052" i="8"/>
  <c r="G2052" i="8"/>
  <c r="B2052" i="8"/>
  <c r="B1952" i="8"/>
  <c r="G1952" i="8"/>
  <c r="B3483" i="8"/>
  <c r="J3483" i="8"/>
  <c r="G3483" i="8"/>
  <c r="J3586" i="8"/>
  <c r="J3786" i="8"/>
  <c r="G3786" i="8"/>
  <c r="G1373" i="8"/>
  <c r="J2261" i="8"/>
  <c r="G2256" i="8"/>
  <c r="J2229" i="8"/>
  <c r="J4398" i="8"/>
  <c r="J220" i="8"/>
  <c r="J216" i="8"/>
  <c r="G2705" i="8"/>
  <c r="G2700" i="8"/>
  <c r="G1136" i="8"/>
  <c r="J1136" i="8"/>
  <c r="J727" i="8"/>
  <c r="J390" i="8"/>
  <c r="B828" i="8"/>
  <c r="J116" i="8"/>
  <c r="J830" i="8"/>
  <c r="J120" i="8"/>
  <c r="G2059" i="8"/>
  <c r="G3142" i="8"/>
  <c r="J3007" i="8"/>
  <c r="J3142" i="8"/>
  <c r="G3011" i="8"/>
  <c r="B4296" i="8"/>
  <c r="J4296" i="8"/>
  <c r="G4296" i="8"/>
  <c r="B4299" i="8"/>
  <c r="G4299" i="8"/>
  <c r="J4299" i="8"/>
  <c r="B1956" i="8"/>
  <c r="G1956" i="8"/>
  <c r="B3487" i="8"/>
  <c r="G3487" i="8"/>
  <c r="J3487" i="8"/>
  <c r="B4303" i="8"/>
  <c r="G4303" i="8"/>
  <c r="B1954" i="8"/>
  <c r="J1954" i="8"/>
  <c r="G1954" i="8"/>
  <c r="G116" i="8"/>
  <c r="J3107" i="8"/>
  <c r="G2229" i="8"/>
  <c r="G2226" i="8"/>
  <c r="B3113" i="8"/>
  <c r="G216" i="8"/>
  <c r="J3860" i="8"/>
  <c r="J2700" i="8"/>
  <c r="J2290" i="8"/>
  <c r="G2291" i="8"/>
  <c r="J2291" i="8"/>
  <c r="J3146" i="8"/>
  <c r="G3146" i="8"/>
  <c r="B4298" i="8"/>
  <c r="G4298" i="8"/>
  <c r="B4301" i="8"/>
  <c r="G4301" i="8"/>
  <c r="B4302" i="8"/>
  <c r="G4302" i="8"/>
  <c r="B1955" i="8"/>
  <c r="G1955" i="8"/>
  <c r="B114" i="8"/>
  <c r="J114" i="8"/>
  <c r="B3486" i="8"/>
  <c r="J3486" i="8"/>
  <c r="G3486" i="8"/>
  <c r="B422" i="8"/>
  <c r="J422" i="8"/>
  <c r="G422" i="8"/>
  <c r="B424" i="8"/>
  <c r="J424" i="8"/>
  <c r="B4300" i="8"/>
  <c r="J4300" i="8"/>
  <c r="G4300" i="8"/>
  <c r="G3586" i="8"/>
  <c r="G3584" i="8"/>
  <c r="J1373" i="8"/>
  <c r="J2256" i="8"/>
  <c r="J2807" i="8"/>
  <c r="G220" i="8"/>
  <c r="G3860" i="8"/>
  <c r="J2705" i="8"/>
  <c r="G727" i="8"/>
  <c r="J2462" i="8"/>
  <c r="J828" i="8"/>
  <c r="J2059" i="8"/>
  <c r="G3007" i="8"/>
  <c r="J3010" i="8"/>
  <c r="J4303" i="8"/>
  <c r="B2293" i="8"/>
  <c r="J2293" i="8"/>
  <c r="G2293" i="8"/>
  <c r="G4297" i="8"/>
  <c r="B4297" i="8"/>
  <c r="B1950" i="8"/>
  <c r="G1950" i="8"/>
  <c r="B1957" i="8"/>
  <c r="J1957" i="8"/>
  <c r="G3485" i="8"/>
  <c r="J3485" i="8"/>
  <c r="B3485" i="8"/>
  <c r="B427" i="8"/>
  <c r="J427" i="8"/>
  <c r="G427" i="8"/>
  <c r="G1851" i="8"/>
  <c r="B867" i="8"/>
  <c r="G4133" i="8"/>
  <c r="G3141" i="8"/>
  <c r="B3412" i="8"/>
  <c r="G3412" i="8"/>
  <c r="J3412" i="8"/>
  <c r="J3417" i="8"/>
  <c r="B3417" i="8"/>
  <c r="G3417" i="8"/>
  <c r="B85" i="8"/>
  <c r="G85" i="8"/>
  <c r="J85" i="8"/>
  <c r="B2426" i="8"/>
  <c r="G2426" i="8"/>
  <c r="J2426" i="8"/>
  <c r="G2427" i="8"/>
  <c r="B2427" i="8"/>
  <c r="J2427" i="8"/>
  <c r="B2430" i="8"/>
  <c r="J2430" i="8"/>
  <c r="G2430" i="8"/>
  <c r="B420" i="8"/>
  <c r="G420" i="8"/>
  <c r="J420" i="8"/>
  <c r="B3145" i="8"/>
  <c r="J3145" i="8"/>
  <c r="B1921" i="8"/>
  <c r="G1921" i="8"/>
  <c r="J1921" i="8"/>
  <c r="B1920" i="8"/>
  <c r="J1920" i="8"/>
  <c r="G1920" i="8"/>
  <c r="B863" i="8"/>
  <c r="G863" i="8"/>
  <c r="J863" i="8"/>
  <c r="B868" i="8"/>
  <c r="G868" i="8"/>
  <c r="J868" i="8"/>
  <c r="G4473" i="8"/>
  <c r="B4473" i="8"/>
  <c r="J4473" i="8"/>
  <c r="B3996" i="8"/>
  <c r="J3996" i="8"/>
  <c r="G3995" i="8"/>
  <c r="J3995" i="8"/>
  <c r="B3995" i="8"/>
  <c r="B3927" i="8"/>
  <c r="J3927" i="8"/>
  <c r="G3927" i="8"/>
  <c r="B3009" i="8"/>
  <c r="G3009" i="8"/>
  <c r="G3858" i="8"/>
  <c r="G495" i="8"/>
  <c r="B831" i="8"/>
  <c r="G937" i="8"/>
  <c r="G936" i="8"/>
  <c r="J3791" i="8"/>
  <c r="J2637" i="8"/>
  <c r="G2635" i="8"/>
  <c r="J2224" i="8"/>
  <c r="J4063" i="8"/>
  <c r="G4398" i="8"/>
  <c r="G4401" i="8"/>
  <c r="G2805" i="8"/>
  <c r="G223" i="8"/>
  <c r="G3859" i="8"/>
  <c r="J2704" i="8"/>
  <c r="G2699" i="8"/>
  <c r="G3109" i="8"/>
  <c r="J1988" i="8"/>
  <c r="G733" i="8"/>
  <c r="J732" i="8"/>
  <c r="J733" i="8"/>
  <c r="G730" i="8"/>
  <c r="G732" i="8"/>
  <c r="G387" i="8"/>
  <c r="G2466" i="8"/>
  <c r="J835" i="8"/>
  <c r="J4132" i="8"/>
  <c r="J4126" i="8"/>
  <c r="G4129" i="8"/>
  <c r="J3006" i="8"/>
  <c r="G3006" i="8"/>
  <c r="J3144" i="8"/>
  <c r="B3419" i="8"/>
  <c r="G3419" i="8"/>
  <c r="J3419" i="8"/>
  <c r="J3418" i="8"/>
  <c r="G3418" i="8"/>
  <c r="B3418" i="8"/>
  <c r="B3414" i="8"/>
  <c r="J3414" i="8"/>
  <c r="G3414" i="8"/>
  <c r="B82" i="8"/>
  <c r="G82" i="8"/>
  <c r="J82" i="8"/>
  <c r="B80" i="8"/>
  <c r="J80" i="8"/>
  <c r="G80" i="8"/>
  <c r="B2433" i="8"/>
  <c r="J2433" i="8"/>
  <c r="G2433" i="8"/>
  <c r="B2432" i="8"/>
  <c r="J2432" i="8"/>
  <c r="G2432" i="8"/>
  <c r="B426" i="8"/>
  <c r="G426" i="8"/>
  <c r="J426" i="8"/>
  <c r="B1916" i="8"/>
  <c r="J1916" i="8"/>
  <c r="G1916" i="8"/>
  <c r="B1919" i="8"/>
  <c r="J1919" i="8"/>
  <c r="G1919" i="8"/>
  <c r="B1917" i="8"/>
  <c r="G1917" i="8"/>
  <c r="J1917" i="8"/>
  <c r="G862" i="8"/>
  <c r="J862" i="8"/>
  <c r="B862" i="8"/>
  <c r="B3992" i="8"/>
  <c r="G3992" i="8"/>
  <c r="B3922" i="8"/>
  <c r="J3922" i="8"/>
  <c r="G3922" i="8"/>
  <c r="B3413" i="8"/>
  <c r="J3413" i="8"/>
  <c r="G3413" i="8"/>
  <c r="B81" i="8"/>
  <c r="G81" i="8"/>
  <c r="J81" i="8"/>
  <c r="B87" i="8"/>
  <c r="G87" i="8"/>
  <c r="J87" i="8"/>
  <c r="B2431" i="8"/>
  <c r="G2431" i="8"/>
  <c r="J2431" i="8"/>
  <c r="B2428" i="8"/>
  <c r="J2428" i="8"/>
  <c r="G2428" i="8"/>
  <c r="B421" i="8"/>
  <c r="J421" i="8"/>
  <c r="G421" i="8"/>
  <c r="B1923" i="8"/>
  <c r="G1923" i="8"/>
  <c r="J1923" i="8"/>
  <c r="B865" i="8"/>
  <c r="J865" i="8"/>
  <c r="G865" i="8"/>
  <c r="B4470" i="8"/>
  <c r="G4470" i="8"/>
  <c r="B3991" i="8"/>
  <c r="J3991" i="8"/>
  <c r="G3991" i="8"/>
  <c r="G3926" i="8"/>
  <c r="B3926" i="8"/>
  <c r="J3926" i="8"/>
  <c r="B3928" i="8"/>
  <c r="G3928" i="8"/>
  <c r="J3928" i="8"/>
  <c r="B3005" i="8"/>
  <c r="J3005" i="8"/>
  <c r="B4060" i="8"/>
  <c r="G3107" i="8"/>
  <c r="J937" i="8"/>
  <c r="G3792" i="8"/>
  <c r="G3791" i="8"/>
  <c r="G2637" i="8"/>
  <c r="J2228" i="8"/>
  <c r="J2225" i="8"/>
  <c r="G4161" i="8"/>
  <c r="G3113" i="8"/>
  <c r="J4403" i="8"/>
  <c r="J2804" i="8"/>
  <c r="G2807" i="8"/>
  <c r="J218" i="8"/>
  <c r="J3861" i="8"/>
  <c r="J726" i="8"/>
  <c r="J2460" i="8"/>
  <c r="J2466" i="8"/>
  <c r="G4126" i="8"/>
  <c r="J4133" i="8"/>
  <c r="J3141" i="8"/>
  <c r="G3143" i="8"/>
  <c r="J3143" i="8"/>
  <c r="G3145" i="8"/>
  <c r="B3415" i="8"/>
  <c r="J3415" i="8"/>
  <c r="G3415" i="8"/>
  <c r="J3416" i="8"/>
  <c r="G3416" i="8"/>
  <c r="B3416" i="8"/>
  <c r="B84" i="8"/>
  <c r="G84" i="8"/>
  <c r="J84" i="8"/>
  <c r="B86" i="8"/>
  <c r="J86" i="8"/>
  <c r="G86" i="8"/>
  <c r="B83" i="8"/>
  <c r="G83" i="8"/>
  <c r="J83" i="8"/>
  <c r="B2429" i="8"/>
  <c r="G2429" i="8"/>
  <c r="J2429" i="8"/>
  <c r="B425" i="8"/>
  <c r="J425" i="8"/>
  <c r="G425" i="8"/>
  <c r="B1918" i="8"/>
  <c r="G1918" i="8"/>
  <c r="J1918" i="8"/>
  <c r="B1922" i="8"/>
  <c r="J1922" i="8"/>
  <c r="G1922" i="8"/>
  <c r="B869" i="8"/>
  <c r="G869" i="8"/>
  <c r="J869" i="8"/>
  <c r="B866" i="8"/>
  <c r="G866" i="8"/>
  <c r="J866" i="8"/>
  <c r="B4467" i="8"/>
  <c r="J4467" i="8"/>
  <c r="G3994" i="8"/>
  <c r="B3994" i="8"/>
  <c r="G3997" i="8"/>
  <c r="J3997" i="8"/>
  <c r="B3997" i="8"/>
  <c r="B3925" i="8"/>
  <c r="J3925" i="8"/>
  <c r="G3925" i="8"/>
  <c r="G3010" i="8"/>
  <c r="J3585" i="8"/>
  <c r="G2631" i="8"/>
  <c r="U18" i="9"/>
  <c r="J1854" i="8"/>
  <c r="G3452" i="8"/>
  <c r="J3452" i="8"/>
  <c r="J488" i="8"/>
  <c r="G2461" i="8"/>
  <c r="B1583" i="8"/>
  <c r="G1583" i="8"/>
  <c r="J1583" i="8"/>
  <c r="J1578" i="8"/>
  <c r="B1578" i="8"/>
  <c r="G1578" i="8"/>
  <c r="J3655" i="8"/>
  <c r="B3655" i="8"/>
  <c r="G3655" i="8"/>
  <c r="G3656" i="8"/>
  <c r="B3656" i="8"/>
  <c r="J3656" i="8"/>
  <c r="B3689" i="8"/>
  <c r="G3689" i="8"/>
  <c r="J3689" i="8"/>
  <c r="J3684" i="8"/>
  <c r="B3684" i="8"/>
  <c r="G3684" i="8"/>
  <c r="B3687" i="8"/>
  <c r="G3687" i="8"/>
  <c r="J3687" i="8"/>
  <c r="B1576" i="8"/>
  <c r="G1576" i="8"/>
  <c r="J1576" i="8"/>
  <c r="B3657" i="8"/>
  <c r="J3657" i="8"/>
  <c r="G3657" i="8"/>
  <c r="B3685" i="8"/>
  <c r="J3685" i="8"/>
  <c r="G3685" i="8"/>
  <c r="J2630" i="8"/>
  <c r="G2630" i="8"/>
  <c r="G4404" i="8"/>
  <c r="J2806" i="8"/>
  <c r="J1848" i="8"/>
  <c r="J729" i="8"/>
  <c r="G729" i="8"/>
  <c r="J2461" i="8"/>
  <c r="G4160" i="8"/>
  <c r="B1577" i="8"/>
  <c r="G1577" i="8"/>
  <c r="J1577" i="8"/>
  <c r="B1580" i="8"/>
  <c r="J1580" i="8"/>
  <c r="G1580" i="8"/>
  <c r="G3651" i="8"/>
  <c r="J3651" i="8"/>
  <c r="B3651" i="8"/>
  <c r="B3688" i="8"/>
  <c r="J3688" i="8"/>
  <c r="G3688" i="8"/>
  <c r="B3686" i="8"/>
  <c r="G3686" i="8"/>
  <c r="J3686" i="8"/>
  <c r="B1582" i="8"/>
  <c r="G1582" i="8"/>
  <c r="J1582" i="8"/>
  <c r="G3653" i="8"/>
  <c r="J3653" i="8"/>
  <c r="B3653" i="8"/>
  <c r="B3691" i="8"/>
  <c r="G3691" i="8"/>
  <c r="J3691" i="8"/>
  <c r="G4166" i="8"/>
  <c r="G3585" i="8"/>
  <c r="G3789" i="8"/>
  <c r="G2262" i="8"/>
  <c r="G2263" i="8"/>
  <c r="J2800" i="8"/>
  <c r="G2806" i="8"/>
  <c r="G1848" i="8"/>
  <c r="J388" i="8"/>
  <c r="B1581" i="8"/>
  <c r="G1581" i="8"/>
  <c r="J1581" i="8"/>
  <c r="B1579" i="8"/>
  <c r="G1579" i="8"/>
  <c r="J1579" i="8"/>
  <c r="G3650" i="8"/>
  <c r="J3650" i="8"/>
  <c r="B3650" i="8"/>
  <c r="G3652" i="8"/>
  <c r="J3652" i="8"/>
  <c r="B3652" i="8"/>
  <c r="G3654" i="8"/>
  <c r="J3654" i="8"/>
  <c r="B3654" i="8"/>
  <c r="B3690" i="8"/>
  <c r="J3690" i="8"/>
  <c r="G3690" i="8"/>
  <c r="B4058" i="8"/>
  <c r="G4058" i="8"/>
  <c r="J4058" i="8"/>
  <c r="B3177" i="8"/>
  <c r="J3177" i="8"/>
  <c r="G3177" i="8"/>
  <c r="B3175" i="8"/>
  <c r="G3175" i="8"/>
  <c r="J3175" i="8"/>
  <c r="B322" i="8"/>
  <c r="J322" i="8"/>
  <c r="G322" i="8"/>
  <c r="B318" i="8"/>
  <c r="J318" i="8"/>
  <c r="G318" i="8"/>
  <c r="J3112" i="8"/>
  <c r="J222" i="8"/>
  <c r="J3854" i="8"/>
  <c r="G3856" i="8"/>
  <c r="J3109" i="8"/>
  <c r="G1849" i="8"/>
  <c r="J1849" i="8"/>
  <c r="G3450" i="8"/>
  <c r="J3450" i="8"/>
  <c r="G491" i="8"/>
  <c r="G2465" i="8"/>
  <c r="J665" i="8"/>
  <c r="G665" i="8"/>
  <c r="G4130" i="8"/>
  <c r="J4130" i="8"/>
  <c r="J4065" i="8"/>
  <c r="B4065" i="8"/>
  <c r="G4065" i="8"/>
  <c r="B3180" i="8"/>
  <c r="G3180" i="8"/>
  <c r="J3180" i="8"/>
  <c r="B3176" i="8"/>
  <c r="G3176" i="8"/>
  <c r="J3176" i="8"/>
  <c r="B325" i="8"/>
  <c r="J325" i="8"/>
  <c r="G325" i="8"/>
  <c r="B324" i="8"/>
  <c r="G324" i="8"/>
  <c r="J324" i="8"/>
  <c r="B319" i="8"/>
  <c r="J319" i="8"/>
  <c r="G319" i="8"/>
  <c r="J4166" i="8"/>
  <c r="G2258" i="8"/>
  <c r="J4161" i="8"/>
  <c r="G4063" i="8"/>
  <c r="G3112" i="8"/>
  <c r="J4401" i="8"/>
  <c r="G4405" i="8"/>
  <c r="J4405" i="8"/>
  <c r="J223" i="8"/>
  <c r="G222" i="8"/>
  <c r="J3859" i="8"/>
  <c r="J3857" i="8"/>
  <c r="G1855" i="8"/>
  <c r="G1852" i="8"/>
  <c r="G3446" i="8"/>
  <c r="J3446" i="8"/>
  <c r="G3453" i="8"/>
  <c r="J492" i="8"/>
  <c r="G492" i="8"/>
  <c r="G2464" i="8"/>
  <c r="J2465" i="8"/>
  <c r="A251" i="10"/>
  <c r="B4062" i="8"/>
  <c r="G4062" i="8"/>
  <c r="J4062" i="8"/>
  <c r="A175" i="10"/>
  <c r="B4127" i="8"/>
  <c r="G4127" i="8"/>
  <c r="B3106" i="8"/>
  <c r="J3106" i="8"/>
  <c r="G3106" i="8"/>
  <c r="G3181" i="8"/>
  <c r="B3181" i="8"/>
  <c r="J3181" i="8"/>
  <c r="B3178" i="8"/>
  <c r="J3178" i="8"/>
  <c r="G3178" i="8"/>
  <c r="B321" i="8"/>
  <c r="J321" i="8"/>
  <c r="G321" i="8"/>
  <c r="A178" i="10"/>
  <c r="J2260" i="8"/>
  <c r="J2263" i="8"/>
  <c r="G2257" i="8"/>
  <c r="J4402" i="8"/>
  <c r="J4404" i="8"/>
  <c r="G219" i="8"/>
  <c r="J219" i="8"/>
  <c r="J221" i="8"/>
  <c r="G3855" i="8"/>
  <c r="G3857" i="8"/>
  <c r="J3856" i="8"/>
  <c r="J3855" i="8"/>
  <c r="J1851" i="8"/>
  <c r="J1852" i="8"/>
  <c r="G1853" i="8"/>
  <c r="G388" i="8"/>
  <c r="J387" i="8"/>
  <c r="J3451" i="8"/>
  <c r="J3449" i="8"/>
  <c r="J3448" i="8"/>
  <c r="J491" i="8"/>
  <c r="J489" i="8"/>
  <c r="J495" i="8"/>
  <c r="G488" i="8"/>
  <c r="G2462" i="8"/>
  <c r="G4128" i="8"/>
  <c r="J4128" i="8"/>
  <c r="A241" i="10"/>
  <c r="B4059" i="8"/>
  <c r="J4059" i="8"/>
  <c r="G4059" i="8"/>
  <c r="A202" i="10"/>
  <c r="A129" i="10"/>
  <c r="A181" i="10"/>
  <c r="B3111" i="8"/>
  <c r="J3111" i="8"/>
  <c r="G3111" i="8"/>
  <c r="B3174" i="8"/>
  <c r="J3174" i="8"/>
  <c r="G3174" i="8"/>
  <c r="B3179" i="8"/>
  <c r="G3179" i="8"/>
  <c r="J3179" i="8"/>
  <c r="A201" i="10"/>
  <c r="B323" i="8"/>
  <c r="G323" i="8"/>
  <c r="J323" i="8"/>
  <c r="J320" i="8"/>
  <c r="G320" i="8"/>
  <c r="B320" i="8"/>
  <c r="G4167" i="8"/>
  <c r="B4167" i="8"/>
  <c r="J4167" i="8"/>
  <c r="G4131" i="8"/>
  <c r="B1821" i="8"/>
  <c r="G1821" i="8"/>
  <c r="J1821" i="8"/>
  <c r="B1814" i="8"/>
  <c r="J1814" i="8"/>
  <c r="G1814" i="8"/>
  <c r="B3208" i="8"/>
  <c r="J3208" i="8"/>
  <c r="G3208" i="8"/>
  <c r="J3211" i="8"/>
  <c r="B3211" i="8"/>
  <c r="G3211" i="8"/>
  <c r="J3212" i="8"/>
  <c r="G3212" i="8"/>
  <c r="B3212" i="8"/>
  <c r="B3963" i="8"/>
  <c r="G3963" i="8"/>
  <c r="J3963" i="8"/>
  <c r="B3958" i="8"/>
  <c r="J3958" i="8"/>
  <c r="G3958" i="8"/>
  <c r="B3960" i="8"/>
  <c r="J3960" i="8"/>
  <c r="G3960" i="8"/>
  <c r="B1815" i="8"/>
  <c r="J1815" i="8"/>
  <c r="G1815" i="8"/>
  <c r="B1820" i="8"/>
  <c r="G1820" i="8"/>
  <c r="J1820" i="8"/>
  <c r="B3210" i="8"/>
  <c r="G3210" i="8"/>
  <c r="J3210" i="8"/>
  <c r="B3956" i="8"/>
  <c r="G3956" i="8"/>
  <c r="J3956" i="8"/>
  <c r="J2258" i="8"/>
  <c r="J392" i="8"/>
  <c r="G386" i="8"/>
  <c r="B3214" i="8"/>
  <c r="G3214" i="8"/>
  <c r="J3214" i="8"/>
  <c r="B3213" i="8"/>
  <c r="G3213" i="8"/>
  <c r="J3213" i="8"/>
  <c r="B3957" i="8"/>
  <c r="J3957" i="8"/>
  <c r="G3957" i="8"/>
  <c r="B3961" i="8"/>
  <c r="J3961" i="8"/>
  <c r="G3961" i="8"/>
  <c r="J3858" i="8"/>
  <c r="AF16" i="9"/>
  <c r="G1850" i="8"/>
  <c r="J1855" i="8"/>
  <c r="J386" i="8"/>
  <c r="J391" i="8"/>
  <c r="J3447" i="8"/>
  <c r="G3447" i="8"/>
  <c r="B1816" i="8"/>
  <c r="G1816" i="8"/>
  <c r="J1816" i="8"/>
  <c r="B3215" i="8"/>
  <c r="J3215" i="8"/>
  <c r="G3215" i="8"/>
  <c r="B3209" i="8"/>
  <c r="G3209" i="8"/>
  <c r="J3209" i="8"/>
  <c r="B3962" i="8"/>
  <c r="G3962" i="8"/>
  <c r="J3962" i="8"/>
  <c r="B3959" i="8"/>
  <c r="J3959" i="8"/>
  <c r="G3959" i="8"/>
  <c r="G3861" i="8"/>
  <c r="J1850" i="8"/>
  <c r="G391" i="8"/>
  <c r="G392" i="8"/>
  <c r="B3347" i="8"/>
  <c r="J3347" i="8"/>
  <c r="G3347" i="8"/>
  <c r="J2664" i="8"/>
  <c r="G2664" i="8"/>
  <c r="B2664" i="8"/>
  <c r="G1311" i="8"/>
  <c r="J1311" i="8"/>
  <c r="B1311" i="8"/>
  <c r="B764" i="8"/>
  <c r="G764" i="8"/>
  <c r="J764" i="8"/>
  <c r="J1239" i="8"/>
  <c r="G1239" i="8"/>
  <c r="B1239" i="8"/>
  <c r="G1241" i="8"/>
  <c r="J1241" i="8"/>
  <c r="B1241" i="8"/>
  <c r="B253" i="8"/>
  <c r="G253" i="8"/>
  <c r="J253" i="8"/>
  <c r="B1474" i="8"/>
  <c r="G1474" i="8"/>
  <c r="J1474" i="8"/>
  <c r="B1512" i="8"/>
  <c r="G1512" i="8"/>
  <c r="J1512" i="8"/>
  <c r="B1169" i="8"/>
  <c r="J1169" i="8"/>
  <c r="G1169" i="8"/>
  <c r="B2392" i="8"/>
  <c r="J2392" i="8"/>
  <c r="G2392" i="8"/>
  <c r="J4233" i="8"/>
  <c r="G4233" i="8"/>
  <c r="B4233" i="8"/>
  <c r="G2908" i="8"/>
  <c r="B2908" i="8"/>
  <c r="J2908" i="8"/>
  <c r="J526" i="8"/>
  <c r="G526" i="8"/>
  <c r="B526" i="8"/>
  <c r="B2191" i="8"/>
  <c r="G2191" i="8"/>
  <c r="J2191" i="8"/>
  <c r="B4366" i="8"/>
  <c r="G4366" i="8"/>
  <c r="J4366" i="8"/>
  <c r="B2567" i="8"/>
  <c r="G2567" i="8"/>
  <c r="J2567" i="8"/>
  <c r="B900" i="8"/>
  <c r="J900" i="8"/>
  <c r="G900" i="8"/>
  <c r="J628" i="8"/>
  <c r="B628" i="8"/>
  <c r="G628" i="8"/>
  <c r="J2125" i="8"/>
  <c r="B2125" i="8"/>
  <c r="G2125" i="8"/>
  <c r="B457" i="8"/>
  <c r="G457" i="8"/>
  <c r="J457" i="8"/>
  <c r="B460" i="8"/>
  <c r="J460" i="8"/>
  <c r="G460" i="8"/>
  <c r="B2939" i="8"/>
  <c r="J2939" i="8"/>
  <c r="G2939" i="8"/>
  <c r="G1717" i="8"/>
  <c r="B1717" i="8"/>
  <c r="J1717" i="8"/>
  <c r="B1715" i="8"/>
  <c r="J1715" i="8"/>
  <c r="G1715" i="8"/>
  <c r="B2834" i="8"/>
  <c r="G2834" i="8"/>
  <c r="J2834" i="8"/>
  <c r="B257" i="8"/>
  <c r="J257" i="8"/>
  <c r="G257" i="8"/>
  <c r="B1480" i="8"/>
  <c r="J1480" i="8"/>
  <c r="G1480" i="8"/>
  <c r="B1478" i="8"/>
  <c r="G1478" i="8"/>
  <c r="J1478" i="8"/>
  <c r="G1103" i="8"/>
  <c r="J1103" i="8"/>
  <c r="B1103" i="8"/>
  <c r="B2496" i="8"/>
  <c r="G2496" i="8"/>
  <c r="J2496" i="8"/>
  <c r="B1175" i="8"/>
  <c r="G1175" i="8"/>
  <c r="J1175" i="8"/>
  <c r="B2399" i="8"/>
  <c r="G2399" i="8"/>
  <c r="J2399" i="8"/>
  <c r="B3552" i="8"/>
  <c r="J3552" i="8"/>
  <c r="G3552" i="8"/>
  <c r="B1649" i="8"/>
  <c r="G1649" i="8"/>
  <c r="J1649" i="8"/>
  <c r="G1650" i="8"/>
  <c r="B1650" i="8"/>
  <c r="J1650" i="8"/>
  <c r="B4235" i="8"/>
  <c r="G4235" i="8"/>
  <c r="J4235" i="8"/>
  <c r="G522" i="8"/>
  <c r="B522" i="8"/>
  <c r="J522" i="8"/>
  <c r="B2194" i="8"/>
  <c r="J2194" i="8"/>
  <c r="G2194" i="8"/>
  <c r="B2188" i="8"/>
  <c r="J2188" i="8"/>
  <c r="G2188" i="8"/>
  <c r="B2193" i="8"/>
  <c r="J2193" i="8"/>
  <c r="G2193" i="8"/>
  <c r="J1409" i="8"/>
  <c r="B1409" i="8"/>
  <c r="G1409" i="8"/>
  <c r="G1406" i="8"/>
  <c r="J1406" i="8"/>
  <c r="B1406" i="8"/>
  <c r="B1413" i="8"/>
  <c r="G1413" i="8"/>
  <c r="J1413" i="8"/>
  <c r="J2566" i="8"/>
  <c r="G2566" i="8"/>
  <c r="B2566" i="8"/>
  <c r="G2563" i="8"/>
  <c r="J2563" i="8"/>
  <c r="B2563" i="8"/>
  <c r="G1884" i="8"/>
  <c r="J1884" i="8"/>
  <c r="B1884" i="8"/>
  <c r="B1882" i="8"/>
  <c r="G1882" i="8"/>
  <c r="J1882" i="8"/>
  <c r="B903" i="8"/>
  <c r="J903" i="8"/>
  <c r="G903" i="8"/>
  <c r="B1037" i="8"/>
  <c r="G1037" i="8"/>
  <c r="J1037" i="8"/>
  <c r="B1038" i="8"/>
  <c r="G1038" i="8"/>
  <c r="J1038" i="8"/>
  <c r="B630" i="8"/>
  <c r="G630" i="8"/>
  <c r="J630" i="8"/>
  <c r="B629" i="8"/>
  <c r="G629" i="8"/>
  <c r="J629" i="8"/>
  <c r="G2600" i="8"/>
  <c r="J2600" i="8"/>
  <c r="B2600" i="8"/>
  <c r="G2597" i="8"/>
  <c r="B2597" i="8"/>
  <c r="J2597" i="8"/>
  <c r="B2596" i="8"/>
  <c r="J2596" i="8"/>
  <c r="G2596" i="8"/>
  <c r="B461" i="8"/>
  <c r="J461" i="8"/>
  <c r="G461" i="8"/>
  <c r="G454" i="8"/>
  <c r="J454" i="8"/>
  <c r="B454" i="8"/>
  <c r="J2943" i="8"/>
  <c r="B2943" i="8"/>
  <c r="G2943" i="8"/>
  <c r="B2937" i="8"/>
  <c r="G2937" i="8"/>
  <c r="J2937" i="8"/>
  <c r="G2942" i="8"/>
  <c r="J2942" i="8"/>
  <c r="B2942" i="8"/>
  <c r="X18" i="9"/>
  <c r="Y16" i="9"/>
  <c r="AB26" i="9"/>
  <c r="W24" i="9"/>
  <c r="V16" i="9"/>
  <c r="Y19" i="9"/>
  <c r="V18" i="9"/>
  <c r="AF21" i="9"/>
  <c r="AE21" i="9"/>
  <c r="U25" i="9"/>
  <c r="AA20" i="9"/>
  <c r="Y18" i="9"/>
  <c r="AC23" i="9"/>
  <c r="AB17" i="9"/>
  <c r="Z25" i="9"/>
  <c r="Z23" i="9"/>
  <c r="V26" i="9"/>
  <c r="W23" i="9"/>
  <c r="Y23" i="9"/>
  <c r="AA26" i="9"/>
  <c r="AC18" i="9"/>
  <c r="AB22" i="9"/>
  <c r="AF22" i="9"/>
  <c r="X24" i="9"/>
  <c r="AC26" i="9"/>
  <c r="AB25" i="9"/>
  <c r="AC27" i="9"/>
  <c r="AB24" i="9"/>
  <c r="AC22" i="9"/>
  <c r="AA16" i="9"/>
  <c r="AD19" i="9"/>
  <c r="U23" i="9"/>
  <c r="AC16" i="9"/>
  <c r="U21" i="9"/>
  <c r="AA27" i="9"/>
  <c r="AF19" i="9"/>
  <c r="U19" i="9"/>
  <c r="AF20" i="9"/>
  <c r="AE24" i="9"/>
  <c r="AB19" i="9"/>
  <c r="V23" i="9"/>
  <c r="V21" i="9"/>
  <c r="AB21" i="9"/>
  <c r="AF24" i="9"/>
  <c r="G3348" i="8"/>
  <c r="J3348" i="8"/>
  <c r="B3348" i="8"/>
  <c r="J2667" i="8"/>
  <c r="B2667" i="8"/>
  <c r="G2667" i="8"/>
  <c r="G2836" i="8"/>
  <c r="B2836" i="8"/>
  <c r="J2836" i="8"/>
  <c r="G256" i="8"/>
  <c r="B256" i="8"/>
  <c r="J256" i="8"/>
  <c r="J697" i="8"/>
  <c r="G697" i="8"/>
  <c r="B697" i="8"/>
  <c r="B1477" i="8"/>
  <c r="G1477" i="8"/>
  <c r="J1477" i="8"/>
  <c r="G2738" i="8"/>
  <c r="B2738" i="8"/>
  <c r="J2738" i="8"/>
  <c r="G1105" i="8"/>
  <c r="J1105" i="8"/>
  <c r="B1105" i="8"/>
  <c r="B2499" i="8"/>
  <c r="J2499" i="8"/>
  <c r="G2499" i="8"/>
  <c r="J1171" i="8"/>
  <c r="G1171" i="8"/>
  <c r="B1171" i="8"/>
  <c r="B2397" i="8"/>
  <c r="G2397" i="8"/>
  <c r="J2397" i="8"/>
  <c r="G4031" i="8"/>
  <c r="B4031" i="8"/>
  <c r="J4031" i="8"/>
  <c r="G4026" i="8"/>
  <c r="B4026" i="8"/>
  <c r="J4026" i="8"/>
  <c r="B3548" i="8"/>
  <c r="J3548" i="8"/>
  <c r="G3548" i="8"/>
  <c r="B1647" i="8"/>
  <c r="G1647" i="8"/>
  <c r="J1647" i="8"/>
  <c r="B529" i="8"/>
  <c r="J529" i="8"/>
  <c r="G529" i="8"/>
  <c r="J523" i="8"/>
  <c r="B523" i="8"/>
  <c r="G523" i="8"/>
  <c r="B1407" i="8"/>
  <c r="J1407" i="8"/>
  <c r="G1407" i="8"/>
  <c r="J4370" i="8"/>
  <c r="G4370" i="8"/>
  <c r="B4370" i="8"/>
  <c r="J2569" i="8"/>
  <c r="G2569" i="8"/>
  <c r="B2569" i="8"/>
  <c r="B1883" i="8"/>
  <c r="J1883" i="8"/>
  <c r="G1883" i="8"/>
  <c r="B897" i="8"/>
  <c r="G897" i="8"/>
  <c r="J897" i="8"/>
  <c r="B1035" i="8"/>
  <c r="G1035" i="8"/>
  <c r="J1035" i="8"/>
  <c r="B1039" i="8"/>
  <c r="J1039" i="8"/>
  <c r="G1039" i="8"/>
  <c r="B1034" i="8"/>
  <c r="G1034" i="8"/>
  <c r="J1034" i="8"/>
  <c r="B631" i="8"/>
  <c r="G631" i="8"/>
  <c r="J631" i="8"/>
  <c r="B2127" i="8"/>
  <c r="G2127" i="8"/>
  <c r="J2127" i="8"/>
  <c r="G2126" i="8"/>
  <c r="J2126" i="8"/>
  <c r="B2126" i="8"/>
  <c r="B2599" i="8"/>
  <c r="J2599" i="8"/>
  <c r="G2599" i="8"/>
  <c r="B458" i="8"/>
  <c r="G458" i="8"/>
  <c r="J458" i="8"/>
  <c r="J3349" i="8"/>
  <c r="G3349" i="8"/>
  <c r="B3349" i="8"/>
  <c r="B3345" i="8"/>
  <c r="G3345" i="8"/>
  <c r="J3345" i="8"/>
  <c r="J2668" i="8"/>
  <c r="G2668" i="8"/>
  <c r="B2668" i="8"/>
  <c r="G1309" i="8"/>
  <c r="B1309" i="8"/>
  <c r="J1309" i="8"/>
  <c r="B1308" i="8"/>
  <c r="G1308" i="8"/>
  <c r="J1308" i="8"/>
  <c r="B760" i="8"/>
  <c r="G760" i="8"/>
  <c r="J760" i="8"/>
  <c r="B761" i="8"/>
  <c r="G761" i="8"/>
  <c r="J761" i="8"/>
  <c r="J1238" i="8"/>
  <c r="B1238" i="8"/>
  <c r="G1238" i="8"/>
  <c r="J1719" i="8"/>
  <c r="G1719" i="8"/>
  <c r="B1719" i="8"/>
  <c r="B2835" i="8"/>
  <c r="G2835" i="8"/>
  <c r="J2835" i="8"/>
  <c r="J255" i="8"/>
  <c r="B255" i="8"/>
  <c r="G255" i="8"/>
  <c r="B698" i="8"/>
  <c r="J698" i="8"/>
  <c r="G698" i="8"/>
  <c r="B694" i="8"/>
  <c r="G694" i="8"/>
  <c r="J694" i="8"/>
  <c r="B1476" i="8"/>
  <c r="G1476" i="8"/>
  <c r="J1476" i="8"/>
  <c r="B2736" i="8"/>
  <c r="J2736" i="8"/>
  <c r="G2736" i="8"/>
  <c r="B2737" i="8"/>
  <c r="G2737" i="8"/>
  <c r="J2737" i="8"/>
  <c r="B1510" i="8"/>
  <c r="G1510" i="8"/>
  <c r="J1510" i="8"/>
  <c r="G1509" i="8"/>
  <c r="B1509" i="8"/>
  <c r="J1509" i="8"/>
  <c r="B2495" i="8"/>
  <c r="J2495" i="8"/>
  <c r="G2495" i="8"/>
  <c r="J2500" i="8"/>
  <c r="G2500" i="8"/>
  <c r="B2500" i="8"/>
  <c r="B1173" i="8"/>
  <c r="J1173" i="8"/>
  <c r="G1173" i="8"/>
  <c r="B4024" i="8"/>
  <c r="G4024" i="8"/>
  <c r="J4024" i="8"/>
  <c r="G3551" i="8"/>
  <c r="J3551" i="8"/>
  <c r="B3551" i="8"/>
  <c r="B2903" i="8"/>
  <c r="J2903" i="8"/>
  <c r="G2903" i="8"/>
  <c r="J2904" i="8"/>
  <c r="G2904" i="8"/>
  <c r="B2904" i="8"/>
  <c r="B3350" i="8"/>
  <c r="G3350" i="8"/>
  <c r="J3350" i="8"/>
  <c r="B3344" i="8"/>
  <c r="J3344" i="8"/>
  <c r="G3344" i="8"/>
  <c r="B2671" i="8"/>
  <c r="J2671" i="8"/>
  <c r="G2671" i="8"/>
  <c r="B2665" i="8"/>
  <c r="G2665" i="8"/>
  <c r="J2665" i="8"/>
  <c r="B1310" i="8"/>
  <c r="J1310" i="8"/>
  <c r="G1310" i="8"/>
  <c r="B1304" i="8"/>
  <c r="J1304" i="8"/>
  <c r="G1304" i="8"/>
  <c r="B1307" i="8"/>
  <c r="G1307" i="8"/>
  <c r="J1307" i="8"/>
  <c r="J766" i="8"/>
  <c r="G766" i="8"/>
  <c r="B766" i="8"/>
  <c r="G765" i="8"/>
  <c r="J765" i="8"/>
  <c r="B765" i="8"/>
  <c r="G1240" i="8"/>
  <c r="J1240" i="8"/>
  <c r="B1240" i="8"/>
  <c r="B1237" i="8"/>
  <c r="G1237" i="8"/>
  <c r="J1237" i="8"/>
  <c r="G1242" i="8"/>
  <c r="J1242" i="8"/>
  <c r="B1242" i="8"/>
  <c r="B1718" i="8"/>
  <c r="J1718" i="8"/>
  <c r="G1718" i="8"/>
  <c r="B1716" i="8"/>
  <c r="G1716" i="8"/>
  <c r="J1716" i="8"/>
  <c r="B2841" i="8"/>
  <c r="G2841" i="8"/>
  <c r="J2841" i="8"/>
  <c r="B2837" i="8"/>
  <c r="J2837" i="8"/>
  <c r="G2837" i="8"/>
  <c r="G254" i="8"/>
  <c r="B254" i="8"/>
  <c r="J254" i="8"/>
  <c r="B251" i="8"/>
  <c r="J251" i="8"/>
  <c r="G251" i="8"/>
  <c r="G696" i="8"/>
  <c r="J696" i="8"/>
  <c r="B696" i="8"/>
  <c r="B699" i="8"/>
  <c r="G699" i="8"/>
  <c r="J699" i="8"/>
  <c r="B1481" i="8"/>
  <c r="J1481" i="8"/>
  <c r="G1481" i="8"/>
  <c r="B1475" i="8"/>
  <c r="G1475" i="8"/>
  <c r="J1475" i="8"/>
  <c r="B2734" i="8"/>
  <c r="J2734" i="8"/>
  <c r="G2734" i="8"/>
  <c r="B2732" i="8"/>
  <c r="G2732" i="8"/>
  <c r="J2732" i="8"/>
  <c r="B1515" i="8"/>
  <c r="G1515" i="8"/>
  <c r="J1515" i="8"/>
  <c r="B1514" i="8"/>
  <c r="G1514" i="8"/>
  <c r="J1514" i="8"/>
  <c r="B1101" i="8"/>
  <c r="J1101" i="8"/>
  <c r="G1101" i="8"/>
  <c r="B1104" i="8"/>
  <c r="J1104" i="8"/>
  <c r="G1104" i="8"/>
  <c r="B1102" i="8"/>
  <c r="G1102" i="8"/>
  <c r="J1102" i="8"/>
  <c r="B2498" i="8"/>
  <c r="J2498" i="8"/>
  <c r="G2498" i="8"/>
  <c r="G2501" i="8"/>
  <c r="B2501" i="8"/>
  <c r="J2501" i="8"/>
  <c r="B1170" i="8"/>
  <c r="J1170" i="8"/>
  <c r="G1170" i="8"/>
  <c r="B2398" i="8"/>
  <c r="J2398" i="8"/>
  <c r="G2398" i="8"/>
  <c r="G2393" i="8"/>
  <c r="B2393" i="8"/>
  <c r="J2393" i="8"/>
  <c r="B4025" i="8"/>
  <c r="J4025" i="8"/>
  <c r="G4025" i="8"/>
  <c r="B4028" i="8"/>
  <c r="J4028" i="8"/>
  <c r="G4028" i="8"/>
  <c r="B3555" i="8"/>
  <c r="G3555" i="8"/>
  <c r="J3555" i="8"/>
  <c r="J3553" i="8"/>
  <c r="B3553" i="8"/>
  <c r="G3553" i="8"/>
  <c r="B1645" i="8"/>
  <c r="J1645" i="8"/>
  <c r="G1645" i="8"/>
  <c r="B1648" i="8"/>
  <c r="J1648" i="8"/>
  <c r="G1648" i="8"/>
  <c r="B4229" i="8"/>
  <c r="J4229" i="8"/>
  <c r="G4229" i="8"/>
  <c r="B4232" i="8"/>
  <c r="J4232" i="8"/>
  <c r="G4232" i="8"/>
  <c r="J2907" i="8"/>
  <c r="B2907" i="8"/>
  <c r="G2907" i="8"/>
  <c r="J2905" i="8"/>
  <c r="B2905" i="8"/>
  <c r="G2905" i="8"/>
  <c r="B528" i="8"/>
  <c r="J528" i="8"/>
  <c r="G528" i="8"/>
  <c r="B2192" i="8"/>
  <c r="G2192" i="8"/>
  <c r="J2192" i="8"/>
  <c r="B2189" i="8"/>
  <c r="J2189" i="8"/>
  <c r="G2189" i="8"/>
  <c r="B1410" i="8"/>
  <c r="G1410" i="8"/>
  <c r="J1410" i="8"/>
  <c r="B1408" i="8"/>
  <c r="G1408" i="8"/>
  <c r="J1408" i="8"/>
  <c r="B4371" i="8"/>
  <c r="G4371" i="8"/>
  <c r="J4371" i="8"/>
  <c r="J4368" i="8"/>
  <c r="G4368" i="8"/>
  <c r="B4368" i="8"/>
  <c r="J4365" i="8"/>
  <c r="B4365" i="8"/>
  <c r="G4365" i="8"/>
  <c r="J2565" i="8"/>
  <c r="B2565" i="8"/>
  <c r="G2565" i="8"/>
  <c r="B1886" i="8"/>
  <c r="J1886" i="8"/>
  <c r="G1886" i="8"/>
  <c r="G1885" i="8"/>
  <c r="J1885" i="8"/>
  <c r="B1885" i="8"/>
  <c r="G1887" i="8"/>
  <c r="J1887" i="8"/>
  <c r="B1887" i="8"/>
  <c r="B896" i="8"/>
  <c r="J896" i="8"/>
  <c r="G896" i="8"/>
  <c r="B898" i="8"/>
  <c r="J898" i="8"/>
  <c r="G898" i="8"/>
  <c r="B901" i="8"/>
  <c r="G901" i="8"/>
  <c r="J901" i="8"/>
  <c r="G1036" i="8"/>
  <c r="B1036" i="8"/>
  <c r="J1036" i="8"/>
  <c r="G626" i="8"/>
  <c r="B626" i="8"/>
  <c r="J626" i="8"/>
  <c r="J624" i="8"/>
  <c r="G624" i="8"/>
  <c r="B624" i="8"/>
  <c r="B2124" i="8"/>
  <c r="J2124" i="8"/>
  <c r="G2124" i="8"/>
  <c r="J2122" i="8"/>
  <c r="G2122" i="8"/>
  <c r="B2122" i="8"/>
  <c r="B2123" i="8"/>
  <c r="G2123" i="8"/>
  <c r="J2123" i="8"/>
  <c r="B2601" i="8"/>
  <c r="G2601" i="8"/>
  <c r="J2601" i="8"/>
  <c r="B459" i="8"/>
  <c r="G459" i="8"/>
  <c r="J459" i="8"/>
  <c r="B455" i="8"/>
  <c r="J455" i="8"/>
  <c r="G455" i="8"/>
  <c r="B2936" i="8"/>
  <c r="J2936" i="8"/>
  <c r="G2936" i="8"/>
  <c r="B2938" i="8"/>
  <c r="G2938" i="8"/>
  <c r="J2938" i="8"/>
  <c r="B2941" i="8"/>
  <c r="J2941" i="8"/>
  <c r="G2941" i="8"/>
  <c r="Z17" i="9"/>
  <c r="X22" i="9"/>
  <c r="V27" i="9"/>
  <c r="AE25" i="9"/>
  <c r="Z24" i="9"/>
  <c r="AE19" i="9"/>
  <c r="AF26" i="9"/>
  <c r="AF18" i="9"/>
  <c r="AD16" i="9"/>
  <c r="AC21" i="9"/>
  <c r="AA25" i="9"/>
  <c r="W22" i="9"/>
  <c r="W20" i="9"/>
  <c r="AB18" i="9"/>
  <c r="U22" i="9"/>
  <c r="AA24" i="9"/>
  <c r="AB16" i="9"/>
  <c r="Y21" i="9"/>
  <c r="W21" i="9"/>
  <c r="Z19" i="9"/>
  <c r="Z22" i="9"/>
  <c r="AD21" i="9"/>
  <c r="Y27" i="9"/>
  <c r="AE23" i="9"/>
  <c r="X23" i="9"/>
  <c r="AA18" i="9"/>
  <c r="U24" i="9"/>
  <c r="V20" i="9"/>
  <c r="AC17" i="9"/>
  <c r="AB27" i="9"/>
  <c r="Z26" i="9"/>
  <c r="V24" i="9"/>
  <c r="V22" i="9"/>
  <c r="AF17" i="9"/>
  <c r="W27" i="9"/>
  <c r="Z16" i="9"/>
  <c r="AD22" i="9"/>
  <c r="AD27" i="9"/>
  <c r="V25" i="9"/>
  <c r="W26" i="9"/>
  <c r="AA17" i="9"/>
  <c r="AF23" i="9"/>
  <c r="AA19" i="9"/>
  <c r="AE20" i="9"/>
  <c r="V19" i="9"/>
  <c r="Y17" i="9"/>
  <c r="AC19" i="9"/>
  <c r="X21" i="9"/>
  <c r="AD20" i="9"/>
  <c r="X25" i="9"/>
  <c r="U26" i="9"/>
  <c r="AE16" i="9"/>
  <c r="U17" i="9"/>
  <c r="G692" i="8"/>
  <c r="J692" i="8"/>
  <c r="B692" i="8"/>
  <c r="B1511" i="8"/>
  <c r="G1511" i="8"/>
  <c r="J1511" i="8"/>
  <c r="G1100" i="8"/>
  <c r="J1100" i="8"/>
  <c r="B1100" i="8"/>
  <c r="J1106" i="8"/>
  <c r="G1106" i="8"/>
  <c r="B1106" i="8"/>
  <c r="J1174" i="8"/>
  <c r="B1174" i="8"/>
  <c r="G1174" i="8"/>
  <c r="B4027" i="8"/>
  <c r="J4027" i="8"/>
  <c r="G4027" i="8"/>
  <c r="B1646" i="8"/>
  <c r="G1646" i="8"/>
  <c r="J1646" i="8"/>
  <c r="B4231" i="8"/>
  <c r="J4231" i="8"/>
  <c r="G4231" i="8"/>
  <c r="B2909" i="8"/>
  <c r="J2909" i="8"/>
  <c r="G2909" i="8"/>
  <c r="B2190" i="8"/>
  <c r="G2190" i="8"/>
  <c r="J2190" i="8"/>
  <c r="J3351" i="8"/>
  <c r="B3351" i="8"/>
  <c r="G3351" i="8"/>
  <c r="B3346" i="8"/>
  <c r="G3346" i="8"/>
  <c r="J3346" i="8"/>
  <c r="G2666" i="8"/>
  <c r="J2666" i="8"/>
  <c r="B2666" i="8"/>
  <c r="B2669" i="8"/>
  <c r="J2669" i="8"/>
  <c r="G2669" i="8"/>
  <c r="G2670" i="8"/>
  <c r="J2670" i="8"/>
  <c r="B2670" i="8"/>
  <c r="B1306" i="8"/>
  <c r="J1306" i="8"/>
  <c r="G1306" i="8"/>
  <c r="B1305" i="8"/>
  <c r="J1305" i="8"/>
  <c r="G1305" i="8"/>
  <c r="G763" i="8"/>
  <c r="B763" i="8"/>
  <c r="J763" i="8"/>
  <c r="B762" i="8"/>
  <c r="G762" i="8"/>
  <c r="J762" i="8"/>
  <c r="B767" i="8"/>
  <c r="G767" i="8"/>
  <c r="J767" i="8"/>
  <c r="J1236" i="8"/>
  <c r="B1236" i="8"/>
  <c r="G1236" i="8"/>
  <c r="B1243" i="8"/>
  <c r="G1243" i="8"/>
  <c r="J1243" i="8"/>
  <c r="B1712" i="8"/>
  <c r="G1712" i="8"/>
  <c r="J1712" i="8"/>
  <c r="B1713" i="8"/>
  <c r="J1713" i="8"/>
  <c r="G1713" i="8"/>
  <c r="B1714" i="8"/>
  <c r="G1714" i="8"/>
  <c r="J1714" i="8"/>
  <c r="B2840" i="8"/>
  <c r="G2840" i="8"/>
  <c r="J2840" i="8"/>
  <c r="B2839" i="8"/>
  <c r="G2839" i="8"/>
  <c r="J2839" i="8"/>
  <c r="J2838" i="8"/>
  <c r="G2838" i="8"/>
  <c r="B2838" i="8"/>
  <c r="G252" i="8"/>
  <c r="J252" i="8"/>
  <c r="B252" i="8"/>
  <c r="G250" i="8"/>
  <c r="J250" i="8"/>
  <c r="B250" i="8"/>
  <c r="J693" i="8"/>
  <c r="G693" i="8"/>
  <c r="B693" i="8"/>
  <c r="J695" i="8"/>
  <c r="B695" i="8"/>
  <c r="G695" i="8"/>
  <c r="B1479" i="8"/>
  <c r="J1479" i="8"/>
  <c r="G1479" i="8"/>
  <c r="B2739" i="8"/>
  <c r="J2739" i="8"/>
  <c r="G2739" i="8"/>
  <c r="B2733" i="8"/>
  <c r="J2733" i="8"/>
  <c r="G2733" i="8"/>
  <c r="B2735" i="8"/>
  <c r="G2735" i="8"/>
  <c r="J2735" i="8"/>
  <c r="B1508" i="8"/>
  <c r="J1508" i="8"/>
  <c r="G1508" i="8"/>
  <c r="B1513" i="8"/>
  <c r="G1513" i="8"/>
  <c r="J1513" i="8"/>
  <c r="G1107" i="8"/>
  <c r="J1107" i="8"/>
  <c r="B1107" i="8"/>
  <c r="B2494" i="8"/>
  <c r="J2494" i="8"/>
  <c r="G2494" i="8"/>
  <c r="B2497" i="8"/>
  <c r="G2497" i="8"/>
  <c r="J2497" i="8"/>
  <c r="B1168" i="8"/>
  <c r="G1168" i="8"/>
  <c r="J1168" i="8"/>
  <c r="G1172" i="8"/>
  <c r="B1172" i="8"/>
  <c r="J1172" i="8"/>
  <c r="B2396" i="8"/>
  <c r="J2396" i="8"/>
  <c r="G2396" i="8"/>
  <c r="J2395" i="8"/>
  <c r="B2395" i="8"/>
  <c r="G2395" i="8"/>
  <c r="B2394" i="8"/>
  <c r="J2394" i="8"/>
  <c r="G2394" i="8"/>
  <c r="B4030" i="8"/>
  <c r="G4030" i="8"/>
  <c r="J4030" i="8"/>
  <c r="B4029" i="8"/>
  <c r="J4029" i="8"/>
  <c r="G4029" i="8"/>
  <c r="B3550" i="8"/>
  <c r="J3550" i="8"/>
  <c r="G3550" i="8"/>
  <c r="B3554" i="8"/>
  <c r="J3554" i="8"/>
  <c r="G3554" i="8"/>
  <c r="B3549" i="8"/>
  <c r="G3549" i="8"/>
  <c r="J3549" i="8"/>
  <c r="B1651" i="8"/>
  <c r="J1651" i="8"/>
  <c r="G1651" i="8"/>
  <c r="B1644" i="8"/>
  <c r="J1644" i="8"/>
  <c r="G1644" i="8"/>
  <c r="B4228" i="8"/>
  <c r="J4228" i="8"/>
  <c r="G4228" i="8"/>
  <c r="J4230" i="8"/>
  <c r="B4230" i="8"/>
  <c r="G4230" i="8"/>
  <c r="J4234" i="8"/>
  <c r="B4234" i="8"/>
  <c r="G4234" i="8"/>
  <c r="J2906" i="8"/>
  <c r="G2906" i="8"/>
  <c r="B2906" i="8"/>
  <c r="B2902" i="8"/>
  <c r="G2902" i="8"/>
  <c r="J2902" i="8"/>
  <c r="B524" i="8"/>
  <c r="J524" i="8"/>
  <c r="G524" i="8"/>
  <c r="B527" i="8"/>
  <c r="J527" i="8"/>
  <c r="G527" i="8"/>
  <c r="B525" i="8"/>
  <c r="J525" i="8"/>
  <c r="G525" i="8"/>
  <c r="B2195" i="8"/>
  <c r="G2195" i="8"/>
  <c r="J2195" i="8"/>
  <c r="B1411" i="8"/>
  <c r="J1411" i="8"/>
  <c r="G1411" i="8"/>
  <c r="B1412" i="8"/>
  <c r="G1412" i="8"/>
  <c r="J1412" i="8"/>
  <c r="J4369" i="8"/>
  <c r="B4369" i="8"/>
  <c r="G4369" i="8"/>
  <c r="B4367" i="8"/>
  <c r="J4367" i="8"/>
  <c r="G4367" i="8"/>
  <c r="G4364" i="8"/>
  <c r="J4364" i="8"/>
  <c r="B4364" i="8"/>
  <c r="B2562" i="8"/>
  <c r="J2562" i="8"/>
  <c r="G2562" i="8"/>
  <c r="G2568" i="8"/>
  <c r="J2568" i="8"/>
  <c r="B2568" i="8"/>
  <c r="G2564" i="8"/>
  <c r="B2564" i="8"/>
  <c r="J2564" i="8"/>
  <c r="B1888" i="8"/>
  <c r="J1888" i="8"/>
  <c r="G1888" i="8"/>
  <c r="J1889" i="8"/>
  <c r="G1889" i="8"/>
  <c r="B1889" i="8"/>
  <c r="B899" i="8"/>
  <c r="J899" i="8"/>
  <c r="G899" i="8"/>
  <c r="B902" i="8"/>
  <c r="G902" i="8"/>
  <c r="J902" i="8"/>
  <c r="G1032" i="8"/>
  <c r="J1032" i="8"/>
  <c r="B1032" i="8"/>
  <c r="B1033" i="8"/>
  <c r="G1033" i="8"/>
  <c r="J1033" i="8"/>
  <c r="S20" i="5"/>
  <c r="C40" i="5"/>
  <c r="G625" i="8"/>
  <c r="J625" i="8"/>
  <c r="B625" i="8"/>
  <c r="B627" i="8"/>
  <c r="G627" i="8"/>
  <c r="J627" i="8"/>
  <c r="G2120" i="8"/>
  <c r="J2120" i="8"/>
  <c r="B2120" i="8"/>
  <c r="G2121" i="8"/>
  <c r="J2121" i="8"/>
  <c r="B2121" i="8"/>
  <c r="B2598" i="8"/>
  <c r="G2598" i="8"/>
  <c r="J2598" i="8"/>
  <c r="J2603" i="8"/>
  <c r="G2603" i="8"/>
  <c r="B2603" i="8"/>
  <c r="J2602" i="8"/>
  <c r="G2602" i="8"/>
  <c r="B2602" i="8"/>
  <c r="B456" i="8"/>
  <c r="J456" i="8"/>
  <c r="G456" i="8"/>
  <c r="B2940" i="8"/>
  <c r="G2940" i="8"/>
  <c r="J2940" i="8"/>
  <c r="AE22" i="9"/>
  <c r="AB20" i="9"/>
  <c r="AF25" i="9"/>
  <c r="U27" i="9"/>
  <c r="AD17" i="9"/>
  <c r="AE27" i="9"/>
  <c r="Y24" i="9"/>
  <c r="AD26" i="9"/>
  <c r="U20" i="9"/>
  <c r="AD18" i="9"/>
  <c r="AC20" i="9"/>
  <c r="AE17" i="9"/>
  <c r="Y22" i="9"/>
  <c r="AD23" i="9"/>
  <c r="Z18" i="9"/>
  <c r="AA23" i="9"/>
  <c r="X17" i="9"/>
  <c r="W17" i="9"/>
  <c r="Y25" i="9"/>
  <c r="AE18" i="9"/>
  <c r="X27" i="9"/>
  <c r="W25" i="9"/>
  <c r="X16" i="9"/>
  <c r="AA21" i="9"/>
  <c r="W19" i="9"/>
  <c r="X20" i="9"/>
  <c r="AD24" i="9"/>
  <c r="Z20" i="9"/>
  <c r="AC25" i="9"/>
  <c r="X26" i="9"/>
  <c r="Z27" i="9"/>
  <c r="Y26" i="9"/>
  <c r="A58" i="10"/>
  <c r="I114" i="4"/>
  <c r="I26" i="4"/>
  <c r="G48" i="4"/>
  <c r="I15" i="4"/>
  <c r="I103" i="4"/>
  <c r="G81" i="4"/>
  <c r="G96" i="4"/>
  <c r="G125" i="4"/>
  <c r="I52" i="4"/>
  <c r="I129" i="4"/>
  <c r="G74" i="4"/>
  <c r="G118" i="4"/>
  <c r="G70" i="4"/>
  <c r="I41" i="4"/>
  <c r="I63" i="4"/>
  <c r="G107" i="4"/>
  <c r="G92" i="4"/>
  <c r="G37" i="4"/>
  <c r="I30" i="4"/>
  <c r="I8" i="4"/>
  <c r="I85" i="4"/>
  <c r="G59" i="4"/>
  <c r="G4" i="4"/>
  <c r="G19" i="4"/>
  <c r="G3028" i="8"/>
  <c r="G3606" i="8"/>
  <c r="B1982" i="5"/>
  <c r="B1828" i="5"/>
  <c r="S2723" i="5"/>
  <c r="S3145" i="5"/>
  <c r="S2825" i="5" l="1"/>
  <c r="L1974" i="5"/>
  <c r="L555" i="5"/>
  <c r="S560" i="5"/>
  <c r="B1678" i="5"/>
  <c r="L548" i="5"/>
  <c r="B24" i="5"/>
  <c r="S22" i="5" s="1"/>
  <c r="B2632" i="5"/>
  <c r="S2637" i="5" s="1"/>
  <c r="B2377" i="5"/>
  <c r="S2382" i="5" s="1"/>
  <c r="B2625" i="5"/>
  <c r="S2623" i="5" s="1"/>
  <c r="B738" i="5"/>
  <c r="S736" i="5" s="1"/>
  <c r="B2639" i="5"/>
  <c r="L2639" i="5" s="1"/>
  <c r="B1313" i="5"/>
  <c r="B1321" i="5" s="1"/>
  <c r="B2115" i="5"/>
  <c r="S2113" i="5" s="1"/>
  <c r="B2363" i="5"/>
  <c r="F2386" i="5" s="1"/>
  <c r="B2370" i="5"/>
  <c r="S2368" i="5" s="1"/>
  <c r="B752" i="5"/>
  <c r="S764" i="5" s="1"/>
  <c r="B3288" i="5"/>
  <c r="S3286" i="5" s="1"/>
  <c r="B3302" i="5"/>
  <c r="L3309" i="5" s="1"/>
  <c r="B2129" i="5"/>
  <c r="B2137" i="5" s="1"/>
  <c r="B1802" i="5"/>
  <c r="B1830" i="5" s="1"/>
  <c r="B745" i="5"/>
  <c r="S750" i="5" s="1"/>
  <c r="B1306" i="5"/>
  <c r="H1315" i="5" s="1"/>
  <c r="B38" i="5"/>
  <c r="I40" i="5" s="1"/>
  <c r="B3295" i="5"/>
  <c r="S3300" i="5" s="1"/>
  <c r="B374" i="5"/>
  <c r="B402" i="5" s="1"/>
  <c r="B2108" i="5"/>
  <c r="B2136" i="5" s="1"/>
  <c r="B1823" i="5"/>
  <c r="L1830" i="5" s="1"/>
  <c r="B1102" i="5"/>
  <c r="H1111" i="5" s="1"/>
  <c r="B1809" i="5"/>
  <c r="S1807" i="5" s="1"/>
  <c r="B2618" i="5"/>
  <c r="B2646" i="5" s="1"/>
  <c r="B731" i="5"/>
  <c r="B759" i="5" s="1"/>
  <c r="B17" i="5"/>
  <c r="B45" i="5" s="1"/>
  <c r="B3281" i="5"/>
  <c r="B3309" i="5" s="1"/>
  <c r="B1292" i="5"/>
  <c r="B1320" i="5" s="1"/>
  <c r="B388" i="5"/>
  <c r="S393" i="5" s="1"/>
  <c r="B2122" i="5"/>
  <c r="S2127" i="5" s="1"/>
  <c r="B2384" i="5"/>
  <c r="L2391" i="5" s="1"/>
  <c r="B1095" i="5"/>
  <c r="S1093" i="5" s="1"/>
  <c r="B1088" i="5"/>
  <c r="B1116" i="5" s="1"/>
  <c r="B1299" i="5"/>
  <c r="S1297" i="5" s="1"/>
  <c r="B2894" i="5"/>
  <c r="B2902" i="5" s="1"/>
  <c r="B2873" i="5"/>
  <c r="F2896" i="5" s="1"/>
  <c r="B1109" i="5"/>
  <c r="L1116" i="5" s="1"/>
  <c r="B395" i="5"/>
  <c r="B403" i="5" s="1"/>
  <c r="B2880" i="5"/>
  <c r="S2878" i="5" s="1"/>
  <c r="B1816" i="5"/>
  <c r="S1821" i="5" s="1"/>
  <c r="B381" i="5"/>
  <c r="S379" i="5" s="1"/>
  <c r="B2887" i="5"/>
  <c r="B31" i="5"/>
  <c r="S36" i="5" s="1"/>
  <c r="C1978" i="5"/>
  <c r="S2649" i="5"/>
  <c r="B344" i="5"/>
  <c r="S356" i="5" s="1"/>
  <c r="B2435" i="5"/>
  <c r="L2442" i="5" s="1"/>
  <c r="B2924" i="5"/>
  <c r="B2952" i="5" s="1"/>
  <c r="B1051" i="5"/>
  <c r="S1056" i="5" s="1"/>
  <c r="B2683" i="5"/>
  <c r="S2688" i="5" s="1"/>
  <c r="B2669" i="5"/>
  <c r="F2692" i="5" s="1"/>
  <c r="B2127" i="5"/>
  <c r="S2139" i="5" s="1"/>
  <c r="B3244" i="5"/>
  <c r="S3249" i="5" s="1"/>
  <c r="B330" i="5"/>
  <c r="S328" i="5" s="1"/>
  <c r="B3237" i="5"/>
  <c r="S3235" i="5" s="1"/>
  <c r="B323" i="5"/>
  <c r="B351" i="5" s="1"/>
  <c r="B2931" i="5"/>
  <c r="S2929" i="5" s="1"/>
  <c r="B1044" i="5"/>
  <c r="S1042" i="5" s="1"/>
  <c r="B1772" i="5"/>
  <c r="L1772" i="5" s="1"/>
  <c r="B89" i="5"/>
  <c r="L89" i="5" s="1"/>
  <c r="B1350" i="5"/>
  <c r="S1348" i="5" s="1"/>
  <c r="B1037" i="5"/>
  <c r="B1065" i="5" s="1"/>
  <c r="B2690" i="5"/>
  <c r="L2690" i="5" s="1"/>
  <c r="B1751" i="5"/>
  <c r="B1779" i="5" s="1"/>
  <c r="B701" i="5"/>
  <c r="L708" i="5" s="1"/>
  <c r="B82" i="5"/>
  <c r="S87" i="5" s="1"/>
  <c r="B1058" i="5"/>
  <c r="L1058" i="5" s="1"/>
  <c r="Q1056" i="5" s="1"/>
  <c r="B2120" i="5"/>
  <c r="D2131" i="5" s="1"/>
  <c r="B2428" i="5"/>
  <c r="S2433" i="5" s="1"/>
  <c r="B3230" i="5"/>
  <c r="B3258" i="5" s="1"/>
  <c r="B68" i="5"/>
  <c r="F91" i="5" s="1"/>
  <c r="B1357" i="5"/>
  <c r="H1366" i="5" s="1"/>
  <c r="B2113" i="5"/>
  <c r="S2111" i="5" s="1"/>
  <c r="B1343" i="5"/>
  <c r="B337" i="5"/>
  <c r="H346" i="5" s="1"/>
  <c r="B1765" i="5"/>
  <c r="S1770" i="5" s="1"/>
  <c r="B687" i="5"/>
  <c r="S685" i="5" s="1"/>
  <c r="B75" i="5"/>
  <c r="G91" i="5" s="1"/>
  <c r="B2676" i="5"/>
  <c r="G2692" i="5" s="1"/>
  <c r="B694" i="5"/>
  <c r="H703" i="5" s="1"/>
  <c r="B1758" i="5"/>
  <c r="G1774" i="5" s="1"/>
  <c r="B680" i="5"/>
  <c r="B708" i="5" s="1"/>
  <c r="B2421" i="5"/>
  <c r="S2419" i="5" s="1"/>
  <c r="B2414" i="5"/>
  <c r="B2442" i="5" s="1"/>
  <c r="B3251" i="5"/>
  <c r="S3263" i="5" s="1"/>
  <c r="B2938" i="5"/>
  <c r="H2947" i="5" s="1"/>
  <c r="B1364" i="5"/>
  <c r="I1366" i="5" s="1"/>
  <c r="B2106" i="5"/>
  <c r="B2131" i="5" s="1"/>
  <c r="B2945" i="5"/>
  <c r="B2953" i="5" s="1"/>
  <c r="L446" i="5"/>
  <c r="L706" i="5"/>
  <c r="B94" i="5"/>
  <c r="J822" i="5"/>
  <c r="S3335" i="5"/>
  <c r="B228" i="5"/>
  <c r="G244" i="5" s="1"/>
  <c r="B221" i="5"/>
  <c r="F244" i="5" s="1"/>
  <c r="B3098" i="5"/>
  <c r="L3098" i="5" s="1"/>
  <c r="B998" i="5"/>
  <c r="S1003" i="5" s="1"/>
  <c r="B490" i="5"/>
  <c r="S495" i="5" s="1"/>
  <c r="B2688" i="5"/>
  <c r="L2695" i="5" s="1"/>
  <c r="B242" i="5"/>
  <c r="B250" i="5" s="1"/>
  <c r="B1598" i="5"/>
  <c r="B1626" i="5" s="1"/>
  <c r="B3038" i="5"/>
  <c r="S3043" i="5" s="1"/>
  <c r="B991" i="5"/>
  <c r="S989" i="5" s="1"/>
  <c r="B476" i="5"/>
  <c r="B504" i="5" s="1"/>
  <c r="B1005" i="5"/>
  <c r="B2333" i="5"/>
  <c r="B2341" i="5" s="1"/>
  <c r="B1503" i="5"/>
  <c r="G1519" i="5" s="1"/>
  <c r="B1510" i="5"/>
  <c r="H1519" i="5" s="1"/>
  <c r="B984" i="5"/>
  <c r="B1012" i="5" s="1"/>
  <c r="B483" i="5"/>
  <c r="S481" i="5" s="1"/>
  <c r="B2326" i="5"/>
  <c r="S2331" i="5" s="1"/>
  <c r="B750" i="5"/>
  <c r="L750" i="5" s="1"/>
  <c r="B1496" i="5"/>
  <c r="B1524" i="5" s="1"/>
  <c r="B3084" i="5"/>
  <c r="S3082" i="5" s="1"/>
  <c r="B3077" i="5"/>
  <c r="F3100" i="5" s="1"/>
  <c r="B3024" i="5"/>
  <c r="B3052" i="5" s="1"/>
  <c r="B2681" i="5"/>
  <c r="S2686" i="5" s="1"/>
  <c r="B729" i="5"/>
  <c r="B757" i="5" s="1"/>
  <c r="B743" i="5"/>
  <c r="S748" i="5" s="1"/>
  <c r="B736" i="5"/>
  <c r="S734" i="5" s="1"/>
  <c r="B1517" i="5"/>
  <c r="B3091" i="5"/>
  <c r="S3096" i="5" s="1"/>
  <c r="B2667" i="5"/>
  <c r="B2695" i="5" s="1"/>
  <c r="B497" i="5"/>
  <c r="S509" i="5" s="1"/>
  <c r="B2319" i="5"/>
  <c r="S2317" i="5" s="1"/>
  <c r="B235" i="5"/>
  <c r="S240" i="5" s="1"/>
  <c r="B1605" i="5"/>
  <c r="G1621" i="5" s="1"/>
  <c r="B1619" i="5"/>
  <c r="L1619" i="5" s="1"/>
  <c r="B1955" i="5"/>
  <c r="B1983" i="5" s="1"/>
  <c r="B1976" i="5"/>
  <c r="S1988" i="5" s="1"/>
  <c r="B3031" i="5"/>
  <c r="S3029" i="5" s="1"/>
  <c r="B2312" i="5"/>
  <c r="B2340" i="5" s="1"/>
  <c r="B2674" i="5"/>
  <c r="S2672" i="5" s="1"/>
  <c r="B1612" i="5"/>
  <c r="S1617" i="5" s="1"/>
  <c r="B1969" i="5"/>
  <c r="S1974" i="5" s="1"/>
  <c r="B1962" i="5"/>
  <c r="S1960" i="5" s="1"/>
  <c r="B3045" i="5"/>
  <c r="B3053" i="5" s="1"/>
  <c r="B2590" i="5"/>
  <c r="E2335" i="5"/>
  <c r="L2331" i="5"/>
  <c r="B1596" i="5"/>
  <c r="B1624" i="5" s="1"/>
  <c r="B578" i="5"/>
  <c r="B606" i="5" s="1"/>
  <c r="B1270" i="5"/>
  <c r="B599" i="5"/>
  <c r="L599" i="5" s="1"/>
  <c r="B1853" i="5"/>
  <c r="B1881" i="5" s="1"/>
  <c r="B2210" i="5"/>
  <c r="B2238" i="5" s="1"/>
  <c r="B592" i="5"/>
  <c r="S597" i="5" s="1"/>
  <c r="B277" i="5"/>
  <c r="S275" i="5" s="1"/>
  <c r="B2922" i="5"/>
  <c r="B2947" i="5" s="1"/>
  <c r="B2574" i="5"/>
  <c r="G2590" i="5" s="1"/>
  <c r="B1860" i="5"/>
  <c r="G1876" i="5" s="1"/>
  <c r="B1450" i="5"/>
  <c r="C1468" i="5" s="1"/>
  <c r="B2231" i="5"/>
  <c r="L2231" i="5" s="1"/>
  <c r="B2943" i="5"/>
  <c r="S2955" i="5" s="1"/>
  <c r="B3191" i="5"/>
  <c r="S3196" i="5" s="1"/>
  <c r="B1443" i="5"/>
  <c r="B1471" i="5" s="1"/>
  <c r="B3198" i="5"/>
  <c r="B3206" i="5" s="1"/>
  <c r="B1269" i="5"/>
  <c r="B2581" i="5"/>
  <c r="H2590" i="5" s="1"/>
  <c r="B1874" i="5"/>
  <c r="B1882" i="5" s="1"/>
  <c r="B1457" i="5"/>
  <c r="S1462" i="5" s="1"/>
  <c r="B840" i="5"/>
  <c r="S838" i="5" s="1"/>
  <c r="B284" i="5"/>
  <c r="S289" i="5" s="1"/>
  <c r="B1093" i="5"/>
  <c r="S1091" i="5" s="1"/>
  <c r="B1086" i="5"/>
  <c r="B1114" i="5" s="1"/>
  <c r="B2936" i="5"/>
  <c r="S2941" i="5" s="1"/>
  <c r="G2845" i="5"/>
  <c r="B270" i="5"/>
  <c r="B298" i="5" s="1"/>
  <c r="L2389" i="5"/>
  <c r="L2382" i="5"/>
  <c r="B1867" i="5"/>
  <c r="S1872" i="5" s="1"/>
  <c r="B2217" i="5"/>
  <c r="G2233" i="5" s="1"/>
  <c r="B847" i="5"/>
  <c r="H856" i="5" s="1"/>
  <c r="B1100" i="5"/>
  <c r="S1105" i="5" s="1"/>
  <c r="B3184" i="5"/>
  <c r="S3182" i="5" s="1"/>
  <c r="B2390" i="5"/>
  <c r="B854" i="5"/>
  <c r="S866" i="5" s="1"/>
  <c r="B291" i="5"/>
  <c r="S303" i="5" s="1"/>
  <c r="B2567" i="5"/>
  <c r="F2590" i="5" s="1"/>
  <c r="B1610" i="5"/>
  <c r="S1615" i="5" s="1"/>
  <c r="S1427" i="5"/>
  <c r="S1142" i="5"/>
  <c r="L1422" i="5"/>
  <c r="Q1420" i="5" s="1"/>
  <c r="I1418" i="5" s="1"/>
  <c r="I1417" i="5"/>
  <c r="L1415" i="5"/>
  <c r="B1676" i="5"/>
  <c r="L2229" i="5"/>
  <c r="B2084" i="5"/>
  <c r="E2080" i="5"/>
  <c r="L1668" i="5"/>
  <c r="S1680" i="5"/>
  <c r="S2957" i="5"/>
  <c r="B454" i="5"/>
  <c r="D805" i="5"/>
  <c r="B1166" i="5"/>
  <c r="L453" i="5"/>
  <c r="L1362" i="5"/>
  <c r="B2035" i="5"/>
  <c r="I2080" i="5"/>
  <c r="S711" i="5"/>
  <c r="S1170" i="5"/>
  <c r="C397" i="5"/>
  <c r="L2034" i="5"/>
  <c r="L2027" i="5"/>
  <c r="L699" i="5"/>
  <c r="L198" i="5"/>
  <c r="Q196" i="5" s="1"/>
  <c r="C1927" i="5"/>
  <c r="L3156" i="5"/>
  <c r="B554" i="5"/>
  <c r="S887" i="5"/>
  <c r="H1162" i="5"/>
  <c r="E703" i="5"/>
  <c r="S1986" i="5"/>
  <c r="D3151" i="5"/>
  <c r="C2233" i="5"/>
  <c r="G1672" i="5"/>
  <c r="D1927" i="5"/>
  <c r="C703" i="5"/>
  <c r="E3253" i="5"/>
  <c r="E1111" i="5"/>
  <c r="D3355" i="5"/>
  <c r="F1723" i="5"/>
  <c r="G907" i="5"/>
  <c r="I2998" i="5"/>
  <c r="F1570" i="5"/>
  <c r="B244" i="5"/>
  <c r="H2080" i="5"/>
  <c r="L553" i="5"/>
  <c r="Q553" i="5" s="1"/>
  <c r="H551" i="5" s="1"/>
  <c r="B1417" i="5"/>
  <c r="L546" i="5"/>
  <c r="Q546" i="5" s="1"/>
  <c r="L544" i="5" s="1"/>
  <c r="G1723" i="5"/>
  <c r="F856" i="5"/>
  <c r="G601" i="5"/>
  <c r="I295" i="5"/>
  <c r="D1060" i="5"/>
  <c r="E2998" i="5"/>
  <c r="H2998" i="5"/>
  <c r="L1063" i="5"/>
  <c r="B703" i="5"/>
  <c r="G2756" i="8"/>
  <c r="G3096" i="8"/>
  <c r="G3266" i="8"/>
  <c r="J1179" i="5"/>
  <c r="G886" i="8"/>
  <c r="G1566" i="8"/>
  <c r="J2097" i="5"/>
  <c r="G1702" i="8"/>
  <c r="J618" i="5"/>
  <c r="J2199" i="5"/>
  <c r="G4014" i="8"/>
  <c r="G3572" i="8"/>
  <c r="G4422" i="8"/>
  <c r="G2110" i="8"/>
  <c r="G2" i="8"/>
  <c r="G4320" i="8"/>
  <c r="G1906" i="8"/>
  <c r="G3538" i="8"/>
  <c r="G2144" i="8"/>
  <c r="J1281" i="5"/>
  <c r="G784" i="8"/>
  <c r="G3164" i="8"/>
  <c r="B3339" i="5"/>
  <c r="S3337" i="5" s="1"/>
  <c r="B1188" i="5"/>
  <c r="B1216" i="5" s="1"/>
  <c r="B3332" i="5"/>
  <c r="B3360" i="5" s="1"/>
  <c r="B1202" i="5"/>
  <c r="S1207" i="5" s="1"/>
  <c r="B2514" i="5"/>
  <c r="B2542" i="5" s="1"/>
  <c r="B2011" i="5"/>
  <c r="S2009" i="5" s="1"/>
  <c r="B852" i="5"/>
  <c r="B860" i="5" s="1"/>
  <c r="B2521" i="5"/>
  <c r="S2519" i="5" s="1"/>
  <c r="B2018" i="5"/>
  <c r="S2023" i="5" s="1"/>
  <c r="B2273" i="5"/>
  <c r="S2278" i="5" s="1"/>
  <c r="B2266" i="5"/>
  <c r="S2264" i="5" s="1"/>
  <c r="B1770" i="5"/>
  <c r="S1782" i="5" s="1"/>
  <c r="B1311" i="5"/>
  <c r="E1315" i="5" s="1"/>
  <c r="B838" i="5"/>
  <c r="S836" i="5" s="1"/>
  <c r="B495" i="5"/>
  <c r="L495" i="5" s="1"/>
  <c r="B124" i="5"/>
  <c r="S122" i="5" s="1"/>
  <c r="B2535" i="5"/>
  <c r="B2543" i="5" s="1"/>
  <c r="B2025" i="5"/>
  <c r="E2029" i="5" s="1"/>
  <c r="B1763" i="5"/>
  <c r="S1768" i="5" s="1"/>
  <c r="B2792" i="5"/>
  <c r="L2799" i="5" s="1"/>
  <c r="B845" i="5"/>
  <c r="S850" i="5" s="1"/>
  <c r="B474" i="5"/>
  <c r="B502" i="5" s="1"/>
  <c r="B117" i="5"/>
  <c r="B145" i="5" s="1"/>
  <c r="B1209" i="5"/>
  <c r="B1217" i="5" s="1"/>
  <c r="B2004" i="5"/>
  <c r="B2032" i="5" s="1"/>
  <c r="B1756" i="5"/>
  <c r="B3353" i="5"/>
  <c r="I3355" i="5" s="1"/>
  <c r="B2785" i="5"/>
  <c r="H2794" i="5" s="1"/>
  <c r="B831" i="5"/>
  <c r="B856" i="5" s="1"/>
  <c r="B488" i="5"/>
  <c r="D499" i="5" s="1"/>
  <c r="B138" i="5"/>
  <c r="E142" i="5" s="1"/>
  <c r="B1297" i="5"/>
  <c r="S1295" i="5" s="1"/>
  <c r="B1749" i="5"/>
  <c r="B1777" i="5" s="1"/>
  <c r="B2259" i="5"/>
  <c r="B2284" i="5" s="1"/>
  <c r="B2771" i="5"/>
  <c r="B3346" i="5"/>
  <c r="S3351" i="5" s="1"/>
  <c r="B481" i="5"/>
  <c r="C499" i="5" s="1"/>
  <c r="B131" i="5"/>
  <c r="S136" i="5" s="1"/>
  <c r="B2280" i="5"/>
  <c r="L2287" i="5" s="1"/>
  <c r="B1304" i="5"/>
  <c r="D1315" i="5" s="1"/>
  <c r="B2778" i="5"/>
  <c r="S2776" i="5" s="1"/>
  <c r="B1290" i="5"/>
  <c r="B1318" i="5" s="1"/>
  <c r="B2528" i="5"/>
  <c r="S2533" i="5" s="1"/>
  <c r="B1195" i="5"/>
  <c r="S1193" i="5" s="1"/>
  <c r="F550" i="5"/>
  <c r="D1723" i="5"/>
  <c r="B910" i="5"/>
  <c r="C2743" i="5"/>
  <c r="G1060" i="5"/>
  <c r="C193" i="5"/>
  <c r="I1672" i="5"/>
  <c r="L1617" i="5"/>
  <c r="I2029" i="5"/>
  <c r="G2539" i="5"/>
  <c r="F1927" i="5"/>
  <c r="B193" i="5"/>
  <c r="H1723" i="5"/>
  <c r="H1672" i="5"/>
  <c r="D3253" i="5"/>
  <c r="F1468" i="5"/>
  <c r="I550" i="5"/>
  <c r="C3151" i="5"/>
  <c r="E2641" i="5"/>
  <c r="E2437" i="5"/>
  <c r="E550" i="5"/>
  <c r="S1274" i="5"/>
  <c r="F2029" i="5"/>
  <c r="D601" i="5"/>
  <c r="E2896" i="5"/>
  <c r="H142" i="5"/>
  <c r="E1621" i="5"/>
  <c r="H2284" i="5"/>
  <c r="S2445" i="5"/>
  <c r="S2192" i="5"/>
  <c r="H295" i="5"/>
  <c r="L1262" i="5"/>
  <c r="L3054" i="5"/>
  <c r="I1009" i="5"/>
  <c r="H907" i="5"/>
  <c r="D2743" i="5"/>
  <c r="H2539" i="5"/>
  <c r="H1927" i="5"/>
  <c r="F2743" i="5"/>
  <c r="F1009" i="5"/>
  <c r="E1009" i="5"/>
  <c r="C601" i="5"/>
  <c r="B1978" i="5"/>
  <c r="F295" i="5"/>
  <c r="B1060" i="5"/>
  <c r="H2182" i="5"/>
  <c r="B3151" i="5"/>
  <c r="I1519" i="5"/>
  <c r="G2080" i="5"/>
  <c r="D244" i="5"/>
  <c r="F652" i="5"/>
  <c r="G3202" i="5"/>
  <c r="C2947" i="5"/>
  <c r="E2386" i="5"/>
  <c r="L1624" i="5"/>
  <c r="F2284" i="5"/>
  <c r="E3304" i="5"/>
  <c r="L2180" i="5"/>
  <c r="C2641" i="5"/>
  <c r="S3363" i="5"/>
  <c r="C2896" i="5"/>
  <c r="I2743" i="5"/>
  <c r="B448" i="5"/>
  <c r="S2329" i="5"/>
  <c r="F1519" i="5"/>
  <c r="E1468" i="5"/>
  <c r="C3304" i="5"/>
  <c r="H2488" i="5"/>
  <c r="H1009" i="5"/>
  <c r="D1978" i="5"/>
  <c r="D2896" i="5"/>
  <c r="C1060" i="5"/>
  <c r="H805" i="5"/>
  <c r="D550" i="5"/>
  <c r="G652" i="5"/>
  <c r="F2080" i="5"/>
  <c r="B1519" i="5"/>
  <c r="F805" i="5"/>
  <c r="I2182" i="5"/>
  <c r="G2182" i="5"/>
  <c r="F2539" i="5"/>
  <c r="H958" i="5"/>
  <c r="F1825" i="5"/>
  <c r="D1366" i="5"/>
  <c r="H2233" i="5"/>
  <c r="F448" i="5"/>
  <c r="B1672" i="5"/>
  <c r="G193" i="5"/>
  <c r="G295" i="5"/>
  <c r="I805" i="5"/>
  <c r="B2437" i="5"/>
  <c r="F2182" i="5"/>
  <c r="H2896" i="5"/>
  <c r="H3049" i="5"/>
  <c r="E397" i="5"/>
  <c r="F3202" i="5"/>
  <c r="B3202" i="5"/>
  <c r="I2284" i="5"/>
  <c r="G550" i="5"/>
  <c r="C1366" i="5"/>
  <c r="L1269" i="5"/>
  <c r="B1927" i="5"/>
  <c r="C1621" i="5"/>
  <c r="B1015" i="5"/>
  <c r="G958" i="5"/>
  <c r="B1625" i="5"/>
  <c r="D1519" i="5"/>
  <c r="D2233" i="5"/>
  <c r="D2641" i="5"/>
  <c r="I448" i="5"/>
  <c r="L759" i="5"/>
  <c r="F703" i="5"/>
  <c r="H193" i="5"/>
  <c r="B706" i="5"/>
  <c r="E1978" i="5"/>
  <c r="S377" i="5"/>
  <c r="E1672" i="5"/>
  <c r="F1162" i="5"/>
  <c r="L2187" i="5"/>
  <c r="G2998" i="5"/>
  <c r="G1927" i="5"/>
  <c r="F142" i="5"/>
  <c r="F907" i="5"/>
  <c r="G2743" i="5"/>
  <c r="F1366" i="5"/>
  <c r="F1672" i="5"/>
  <c r="H2029" i="5"/>
  <c r="F193" i="5"/>
  <c r="D397" i="5"/>
  <c r="G3151" i="5"/>
  <c r="H550" i="5"/>
  <c r="D2386" i="5"/>
  <c r="H2386" i="5"/>
  <c r="B1566" i="5"/>
  <c r="E1570" i="5" s="1"/>
  <c r="B2164" i="5"/>
  <c r="B2477" i="5"/>
  <c r="B3075" i="5"/>
  <c r="B3103" i="5" s="1"/>
  <c r="B947" i="5"/>
  <c r="S952" i="5" s="1"/>
  <c r="B1260" i="5"/>
  <c r="S1272" i="5" s="1"/>
  <c r="B2463" i="5"/>
  <c r="B1858" i="5"/>
  <c r="C1876" i="5" s="1"/>
  <c r="B1552" i="5"/>
  <c r="C1570" i="5" s="1"/>
  <c r="B940" i="5"/>
  <c r="B634" i="5"/>
  <c r="C652" i="5" s="1"/>
  <c r="B648" i="5"/>
  <c r="S660" i="5" s="1"/>
  <c r="B321" i="5"/>
  <c r="B349" i="5" s="1"/>
  <c r="B933" i="5"/>
  <c r="B961" i="5" s="1"/>
  <c r="B2171" i="5"/>
  <c r="S2176" i="5" s="1"/>
  <c r="B2484" i="5"/>
  <c r="L2484" i="5" s="1"/>
  <c r="B335" i="5"/>
  <c r="B3096" i="5"/>
  <c r="B2776" i="5"/>
  <c r="B1559" i="5"/>
  <c r="B1865" i="5"/>
  <c r="B954" i="5"/>
  <c r="S966" i="5" s="1"/>
  <c r="B2470" i="5"/>
  <c r="S2468" i="5" s="1"/>
  <c r="B342" i="5"/>
  <c r="S354" i="5" s="1"/>
  <c r="B1851" i="5"/>
  <c r="B3089" i="5"/>
  <c r="S3094" i="5" s="1"/>
  <c r="B2769" i="5"/>
  <c r="B2794" i="5" s="1"/>
  <c r="B2790" i="5"/>
  <c r="B2798" i="5" s="1"/>
  <c r="B328" i="5"/>
  <c r="C346" i="5" s="1"/>
  <c r="B1246" i="5"/>
  <c r="C1264" i="5" s="1"/>
  <c r="B2178" i="5"/>
  <c r="S2190" i="5" s="1"/>
  <c r="B29" i="5"/>
  <c r="D40" i="5" s="1"/>
  <c r="B1239" i="5"/>
  <c r="B1264" i="5" s="1"/>
  <c r="B2783" i="5"/>
  <c r="D2794" i="5" s="1"/>
  <c r="B36" i="5"/>
  <c r="E40" i="5" s="1"/>
  <c r="B1253" i="5"/>
  <c r="S1258" i="5" s="1"/>
  <c r="B627" i="5"/>
  <c r="B655" i="5" s="1"/>
  <c r="B3082" i="5"/>
  <c r="C3100" i="5" s="1"/>
  <c r="B1872" i="5"/>
  <c r="L1872" i="5" s="1"/>
  <c r="B641" i="5"/>
  <c r="D652" i="5" s="1"/>
  <c r="B1545" i="5"/>
  <c r="B1570" i="5" s="1"/>
  <c r="B2157" i="5"/>
  <c r="B2185" i="5" s="1"/>
  <c r="H91" i="5"/>
  <c r="L1677" i="5"/>
  <c r="Q1675" i="5" s="1"/>
  <c r="Q1677" i="5" s="1"/>
  <c r="B2237" i="5"/>
  <c r="S2484" i="5"/>
  <c r="S2062" i="5"/>
  <c r="E2233" i="5"/>
  <c r="L2644" i="5"/>
  <c r="H1264" i="5"/>
  <c r="L1670" i="5"/>
  <c r="S2241" i="5"/>
  <c r="B1366" i="5"/>
  <c r="S1805" i="5"/>
  <c r="S954" i="5"/>
  <c r="B1370" i="5"/>
  <c r="B3308" i="5"/>
  <c r="E1162" i="5"/>
  <c r="S2090" i="5"/>
  <c r="C2386" i="5"/>
  <c r="E1366" i="5"/>
  <c r="L3300" i="5"/>
  <c r="H2743" i="5"/>
  <c r="L2078" i="5"/>
  <c r="L1158" i="5"/>
  <c r="S1374" i="5"/>
  <c r="B3205" i="5"/>
  <c r="B2386" i="5"/>
  <c r="B553" i="5"/>
  <c r="S2294" i="5"/>
  <c r="B2290" i="5"/>
  <c r="F2641" i="5"/>
  <c r="S1921" i="5"/>
  <c r="S3133" i="5"/>
  <c r="S801" i="5"/>
  <c r="B2080" i="5"/>
  <c r="L2282" i="5"/>
  <c r="S544" i="5"/>
  <c r="S152" i="5"/>
  <c r="S2855" i="5"/>
  <c r="B3055" i="5"/>
  <c r="L1821" i="5"/>
  <c r="B861" i="5"/>
  <c r="S1833" i="5"/>
  <c r="S2570" i="5"/>
  <c r="B2998" i="5"/>
  <c r="S1119" i="5"/>
  <c r="B198" i="5"/>
  <c r="S3059" i="5"/>
  <c r="L140" i="5"/>
  <c r="S889" i="5"/>
  <c r="S2343" i="5"/>
  <c r="B1728" i="5"/>
  <c r="S3184" i="5"/>
  <c r="L1014" i="5"/>
  <c r="B601" i="5"/>
  <c r="B2845" i="5"/>
  <c r="I1468" i="5"/>
  <c r="B3359" i="5"/>
  <c r="S1478" i="5"/>
  <c r="H3202" i="5"/>
  <c r="L147" i="5"/>
  <c r="D1417" i="5"/>
  <c r="B1932" i="5"/>
  <c r="C3253" i="5"/>
  <c r="D2437" i="5"/>
  <c r="S3045" i="5"/>
  <c r="L3351" i="5"/>
  <c r="B2641" i="5"/>
  <c r="B1064" i="5"/>
  <c r="S583" i="5"/>
  <c r="L451" i="5"/>
  <c r="H1825" i="5"/>
  <c r="B196" i="5"/>
  <c r="H2845" i="5"/>
  <c r="I142" i="5"/>
  <c r="E3355" i="5"/>
  <c r="I3049" i="5"/>
  <c r="S2521" i="5"/>
  <c r="E1060" i="5"/>
  <c r="B452" i="5"/>
  <c r="L1828" i="5"/>
  <c r="B1474" i="5"/>
  <c r="L1473" i="5"/>
  <c r="L444" i="5"/>
  <c r="Q444" i="5" s="1"/>
  <c r="S1068" i="5"/>
  <c r="L1007" i="5"/>
  <c r="B1829" i="5"/>
  <c r="L2338" i="5"/>
  <c r="S2725" i="5"/>
  <c r="S1223" i="5"/>
  <c r="I1723" i="5"/>
  <c r="H1417" i="5"/>
  <c r="H3151" i="5"/>
  <c r="L1471" i="5"/>
  <c r="B1168" i="5"/>
  <c r="L1160" i="5"/>
  <c r="L1522" i="5"/>
  <c r="S2076" i="5"/>
  <c r="B3002" i="5"/>
  <c r="S2498" i="5"/>
  <c r="B2338" i="5"/>
  <c r="L293" i="5"/>
  <c r="L3045" i="5"/>
  <c r="Q3045" i="5" s="1"/>
  <c r="G3056" i="5" s="1"/>
  <c r="B658" i="5"/>
  <c r="F1213" i="5"/>
  <c r="B913" i="5"/>
  <c r="S2853" i="5"/>
  <c r="B2034" i="5"/>
  <c r="L2083" i="5"/>
  <c r="B2849" i="5"/>
  <c r="S609" i="5"/>
  <c r="S2380" i="5"/>
  <c r="L2841" i="5"/>
  <c r="Q2841" i="5" s="1"/>
  <c r="G224" i="10" s="1"/>
  <c r="S1923" i="5"/>
  <c r="C1672" i="5"/>
  <c r="D91" i="5"/>
  <c r="G1264" i="5"/>
  <c r="B247" i="5"/>
  <c r="B1575" i="5"/>
  <c r="L2899" i="5"/>
  <c r="B3208" i="5"/>
  <c r="S3284" i="5"/>
  <c r="S1476" i="5"/>
  <c r="G805" i="5"/>
  <c r="G2029" i="5"/>
  <c r="J1638" i="5"/>
  <c r="G2484" i="8"/>
  <c r="G4184" i="8"/>
  <c r="J312" i="5"/>
  <c r="G2212" i="8"/>
  <c r="J3168" i="5"/>
  <c r="G4456" i="8"/>
  <c r="G3640" i="8"/>
  <c r="G4048" i="8"/>
  <c r="G2178" i="8"/>
  <c r="J2760" i="5"/>
  <c r="G4082" i="8"/>
  <c r="G3708" i="8"/>
  <c r="G3232" i="8"/>
  <c r="G2620" i="8"/>
  <c r="G172" i="8"/>
  <c r="G1498" i="8"/>
  <c r="J1332" i="5"/>
  <c r="G1430" i="8"/>
  <c r="J3117" i="5"/>
  <c r="G2008" i="8"/>
  <c r="J2556" i="5"/>
  <c r="J414" i="5"/>
  <c r="G546" i="8"/>
  <c r="J2709" i="5"/>
  <c r="L1515" i="5"/>
  <c r="L2892" i="5"/>
  <c r="L3207" i="5"/>
  <c r="G1009" i="5"/>
  <c r="L1930" i="5"/>
  <c r="L393" i="5"/>
  <c r="D2845" i="5"/>
  <c r="G1022" i="8"/>
  <c r="J3321" i="5"/>
  <c r="G3368" i="8"/>
  <c r="G274" i="8"/>
  <c r="G2314" i="8"/>
  <c r="J1689" i="5"/>
  <c r="G1940" i="8"/>
  <c r="G104" i="8"/>
  <c r="G988" i="8"/>
  <c r="J2454" i="5"/>
  <c r="G2688" i="8"/>
  <c r="G3776" i="8"/>
  <c r="G3504" i="8"/>
  <c r="J2862" i="5"/>
  <c r="J210" i="5"/>
  <c r="G1770" i="8"/>
  <c r="G2280" i="8"/>
  <c r="G36" i="8"/>
  <c r="J2046" i="5"/>
  <c r="J1230" i="5"/>
  <c r="J108" i="5"/>
  <c r="J1128" i="5"/>
  <c r="J2505" i="5"/>
  <c r="J720" i="5"/>
  <c r="G580" i="8"/>
  <c r="B2748" i="5"/>
  <c r="L1923" i="5"/>
  <c r="Q1923" i="5" s="1"/>
  <c r="L1921" i="5" s="1"/>
  <c r="L808" i="5"/>
  <c r="G2284" i="5"/>
  <c r="G308" i="8"/>
  <c r="G2042" i="8"/>
  <c r="G818" i="8"/>
  <c r="G1158" i="8"/>
  <c r="G138" i="8"/>
  <c r="G3470" i="8"/>
  <c r="G1600" i="8"/>
  <c r="G4116" i="8"/>
  <c r="J2250" i="5"/>
  <c r="G206" i="8"/>
  <c r="G2858" i="8"/>
  <c r="G1532" i="8"/>
  <c r="G512" i="8"/>
  <c r="G4286" i="8"/>
  <c r="J2607" i="5"/>
  <c r="G2722" i="8"/>
  <c r="J1026" i="5"/>
  <c r="J567" i="5"/>
  <c r="G410" i="8"/>
  <c r="G1974" i="8"/>
  <c r="G1056" i="8"/>
  <c r="J1944" i="5"/>
  <c r="G2926" i="8"/>
  <c r="J2403" i="5"/>
  <c r="G1872" i="8"/>
  <c r="H1570" i="5"/>
  <c r="S405" i="5"/>
  <c r="E1927" i="5"/>
  <c r="B1675" i="5"/>
  <c r="J3219" i="5"/>
  <c r="G1192" i="8"/>
  <c r="G240" i="8"/>
  <c r="J516" i="5"/>
  <c r="J669" i="5"/>
  <c r="J771" i="5"/>
  <c r="G4354" i="8"/>
  <c r="G2416" i="8"/>
  <c r="J1995" i="5"/>
  <c r="G2450" i="8"/>
  <c r="G1226" i="8"/>
  <c r="G2246" i="8"/>
  <c r="J873" i="5"/>
  <c r="G2790" i="8"/>
  <c r="G4388" i="8"/>
  <c r="G2824" i="8"/>
  <c r="G614" i="8"/>
  <c r="G2654" i="8"/>
  <c r="G1328" i="8"/>
  <c r="G1294" i="8"/>
  <c r="J363" i="5"/>
  <c r="G2076" i="8"/>
  <c r="J1485" i="5"/>
  <c r="J1842" i="5"/>
  <c r="G376" i="8"/>
  <c r="L801" i="5"/>
  <c r="B1931" i="5"/>
  <c r="I3202" i="5"/>
  <c r="J2964" i="5"/>
  <c r="G1362" i="8"/>
  <c r="J975" i="5"/>
  <c r="G3130" i="8"/>
  <c r="J2811" i="5"/>
  <c r="G1668" i="8"/>
  <c r="G682" i="8"/>
  <c r="G3436" i="8"/>
  <c r="G2586" i="8"/>
  <c r="J159" i="5"/>
  <c r="J3066" i="5"/>
  <c r="G852" i="8"/>
  <c r="G750" i="8"/>
  <c r="G342" i="8"/>
  <c r="G3674" i="8"/>
  <c r="G3878" i="8"/>
  <c r="J1587" i="5"/>
  <c r="G1464" i="8"/>
  <c r="J57" i="5"/>
  <c r="G920" i="8"/>
  <c r="G3946" i="8"/>
  <c r="G4150" i="8"/>
  <c r="G4252" i="8"/>
  <c r="G1090" i="8"/>
  <c r="E1519" i="5"/>
  <c r="B401" i="5"/>
  <c r="B2900" i="5"/>
  <c r="I1162" i="5"/>
  <c r="H1213" i="5"/>
  <c r="B1472" i="5"/>
  <c r="H1468" i="5"/>
  <c r="D1009" i="5"/>
  <c r="S1172" i="5"/>
  <c r="G2382" i="8"/>
  <c r="G478" i="8"/>
  <c r="G1736" i="8"/>
  <c r="J1383" i="5"/>
  <c r="G3198" i="8"/>
  <c r="J261" i="5"/>
  <c r="J2301" i="5"/>
  <c r="G3844" i="8"/>
  <c r="G954" i="8"/>
  <c r="G3402" i="8"/>
  <c r="G1124" i="8"/>
  <c r="G3912" i="8"/>
  <c r="J924" i="5"/>
  <c r="J1536" i="5"/>
  <c r="G3742" i="8"/>
  <c r="J1077" i="5"/>
  <c r="J3270" i="5"/>
  <c r="G2518" i="8"/>
  <c r="J465" i="5"/>
  <c r="J1791" i="5"/>
  <c r="J2148" i="5"/>
  <c r="G1838" i="8"/>
  <c r="J3015" i="5"/>
  <c r="G3062" i="8"/>
  <c r="D2998" i="5"/>
  <c r="S1527" i="5"/>
  <c r="L400" i="5"/>
  <c r="S2904" i="5"/>
  <c r="L3200" i="5"/>
  <c r="L1464" i="5"/>
  <c r="Q1464" i="5" s="1"/>
  <c r="H1462" i="5" s="1"/>
  <c r="J1740" i="5"/>
  <c r="J2352" i="5"/>
  <c r="G2960" i="8"/>
  <c r="G3810" i="8"/>
  <c r="G648" i="8"/>
  <c r="J2913" i="5"/>
  <c r="G1396" i="8"/>
  <c r="G3980" i="8"/>
  <c r="G4218" i="8"/>
  <c r="G70" i="8"/>
  <c r="J1434" i="5"/>
  <c r="J1893" i="5"/>
  <c r="G2552" i="8"/>
  <c r="G1634" i="8"/>
  <c r="G3300" i="8"/>
  <c r="G444" i="8"/>
  <c r="G1804" i="8"/>
  <c r="G716" i="8"/>
  <c r="G2892" i="8"/>
  <c r="G2994" i="8"/>
  <c r="G3334" i="8"/>
  <c r="J2658" i="5"/>
  <c r="G1260" i="8"/>
  <c r="S1005" i="5"/>
  <c r="I2488" i="5"/>
  <c r="I907" i="5"/>
  <c r="B301" i="5"/>
  <c r="G1417" i="5"/>
  <c r="S662" i="5"/>
  <c r="B397" i="5"/>
  <c r="L247" i="5"/>
  <c r="L604" i="5"/>
  <c r="L912" i="5"/>
  <c r="Q910" i="5" s="1"/>
  <c r="L2493" i="5"/>
  <c r="S2535" i="5"/>
  <c r="B2594" i="5"/>
  <c r="S428" i="5"/>
  <c r="S3006" i="5"/>
  <c r="S1054" i="5"/>
  <c r="S2598" i="5"/>
  <c r="I652" i="5"/>
  <c r="L240" i="5"/>
  <c r="B2896" i="5"/>
  <c r="B1162" i="5"/>
  <c r="S2164" i="5"/>
  <c r="S2737" i="5"/>
  <c r="H652" i="5"/>
  <c r="E2845" i="5"/>
  <c r="L3052" i="5"/>
  <c r="L597" i="5"/>
  <c r="L2586" i="5"/>
  <c r="Q2586" i="5" s="1"/>
  <c r="F1978" i="5"/>
  <c r="S305" i="5"/>
  <c r="C1519" i="5"/>
  <c r="S3057" i="5"/>
  <c r="L905" i="5"/>
  <c r="L2486" i="5"/>
  <c r="L3001" i="5"/>
  <c r="E601" i="5"/>
  <c r="L2994" i="5"/>
  <c r="S2994" i="5"/>
  <c r="B248" i="5"/>
  <c r="L2593" i="5"/>
  <c r="E3049" i="5"/>
  <c r="E244" i="5"/>
  <c r="L650" i="5"/>
  <c r="L300" i="5"/>
  <c r="G1570" i="5"/>
  <c r="L2076" i="5"/>
  <c r="S546" i="5"/>
  <c r="L903" i="5"/>
  <c r="L2289" i="5"/>
  <c r="L87" i="5"/>
  <c r="S2074" i="5"/>
  <c r="S2892" i="5"/>
  <c r="I1213" i="5"/>
  <c r="G3049" i="5"/>
  <c r="D703" i="5"/>
  <c r="L1012" i="5"/>
  <c r="B811" i="5"/>
  <c r="B1723" i="5"/>
  <c r="F3049" i="5"/>
  <c r="B1014" i="5"/>
  <c r="L1932" i="5"/>
  <c r="B3207" i="5"/>
  <c r="S1972" i="5"/>
  <c r="S815" i="5"/>
  <c r="B912" i="5"/>
  <c r="L189" i="5"/>
  <c r="L1721" i="5"/>
  <c r="S1733" i="5"/>
  <c r="B2233" i="5"/>
  <c r="B1371" i="5"/>
  <c r="H3304" i="5"/>
  <c r="C805" i="5"/>
  <c r="L1719" i="5"/>
  <c r="S238" i="5"/>
  <c r="B1473" i="5"/>
  <c r="B1729" i="5"/>
  <c r="L1726" i="5"/>
  <c r="Q1726" i="5" s="1"/>
  <c r="B1677" i="5"/>
  <c r="B2187" i="5"/>
  <c r="S201" i="5"/>
  <c r="S277" i="5"/>
  <c r="B2851" i="5"/>
  <c r="B911" i="5"/>
  <c r="B3253" i="5"/>
  <c r="E1723" i="5"/>
  <c r="B2440" i="5"/>
  <c r="E193" i="5"/>
  <c r="B657" i="5"/>
  <c r="F2845" i="5"/>
  <c r="S1731" i="5"/>
  <c r="L803" i="5"/>
  <c r="S1819" i="5"/>
  <c r="S175" i="5"/>
  <c r="B1219" i="5"/>
  <c r="B197" i="5"/>
  <c r="C2998" i="5"/>
  <c r="D3304" i="5"/>
  <c r="C1723" i="5"/>
  <c r="E907" i="5"/>
  <c r="S915" i="5"/>
  <c r="B1420" i="5"/>
  <c r="L1211" i="5"/>
  <c r="G448" i="5"/>
  <c r="L810" i="5"/>
  <c r="H2692" i="5"/>
  <c r="F958" i="5"/>
  <c r="S2025" i="5"/>
  <c r="C550" i="5"/>
  <c r="B760" i="5"/>
  <c r="G1162" i="5"/>
  <c r="G1213" i="5"/>
  <c r="D193" i="5"/>
  <c r="C2437" i="5"/>
  <c r="I2590" i="5"/>
  <c r="L2544" i="5"/>
  <c r="S1040" i="5"/>
  <c r="I193" i="5"/>
  <c r="B3155" i="5"/>
  <c r="E3151" i="5"/>
  <c r="S3161" i="5"/>
  <c r="I754" i="5"/>
  <c r="S1360" i="5"/>
  <c r="L2595" i="5"/>
  <c r="D1162" i="5"/>
  <c r="S2549" i="5"/>
  <c r="B453" i="5"/>
  <c r="B199" i="5"/>
  <c r="L3154" i="5"/>
  <c r="S3159" i="5"/>
  <c r="I3151" i="5"/>
  <c r="L3149" i="5"/>
  <c r="Q3147" i="5" s="1"/>
  <c r="D907" i="5"/>
  <c r="L1568" i="5"/>
  <c r="L752" i="5"/>
  <c r="S391" i="5"/>
  <c r="C1417" i="5"/>
  <c r="E2743" i="5"/>
  <c r="S2600" i="5"/>
  <c r="I2539" i="5"/>
  <c r="L1524" i="5"/>
  <c r="F40" i="5"/>
  <c r="G1315" i="5"/>
  <c r="L1575" i="5"/>
  <c r="B2749" i="5"/>
  <c r="H448" i="5"/>
  <c r="L2739" i="5"/>
  <c r="B3154" i="5"/>
  <c r="L2085" i="5"/>
  <c r="I1570" i="5"/>
  <c r="B3358" i="5"/>
  <c r="L2637" i="5"/>
  <c r="S2178" i="5"/>
  <c r="L2537" i="5"/>
  <c r="L2741" i="5"/>
  <c r="B3304" i="5"/>
  <c r="S2751" i="5"/>
  <c r="B808" i="5"/>
  <c r="S1529" i="5"/>
  <c r="B1981" i="5"/>
  <c r="B1525" i="5"/>
  <c r="M1522" i="5" s="1"/>
  <c r="S1580" i="5"/>
  <c r="F2998" i="5"/>
  <c r="S2753" i="5"/>
  <c r="B2747" i="5"/>
  <c r="L1517" i="5"/>
  <c r="B2596" i="5"/>
  <c r="L191" i="5"/>
  <c r="S3131" i="5"/>
  <c r="L3003" i="5"/>
  <c r="L1005" i="5"/>
  <c r="E1417" i="5"/>
  <c r="B3257" i="5"/>
  <c r="S1705" i="5"/>
  <c r="L963" i="5"/>
  <c r="G142" i="5"/>
  <c r="G1468" i="5"/>
  <c r="C244" i="5"/>
  <c r="S1654" i="5"/>
  <c r="G2488" i="5"/>
  <c r="D1672" i="5"/>
  <c r="L3249" i="5"/>
  <c r="S2584" i="5"/>
  <c r="I958" i="5"/>
  <c r="L2850" i="5"/>
  <c r="Q2848" i="5" s="1"/>
  <c r="S3261" i="5"/>
  <c r="S1937" i="5"/>
  <c r="L2440" i="5"/>
  <c r="S581" i="5"/>
  <c r="L3256" i="5"/>
  <c r="L1413" i="5"/>
  <c r="B964" i="5"/>
  <c r="L1114" i="5"/>
  <c r="L2433" i="5"/>
  <c r="L94" i="5"/>
  <c r="S3008" i="5"/>
  <c r="B1013" i="5"/>
  <c r="S442" i="5"/>
  <c r="S683" i="5"/>
  <c r="B1421" i="5"/>
  <c r="S968" i="5"/>
  <c r="F1417" i="5"/>
  <c r="B1115" i="5"/>
  <c r="F3151" i="5"/>
  <c r="S99" i="5"/>
  <c r="L2996" i="5"/>
  <c r="S1017" i="5"/>
  <c r="B95" i="5"/>
  <c r="S1425" i="5"/>
  <c r="B2085" i="5"/>
  <c r="G40" i="5"/>
  <c r="C2080" i="5"/>
  <c r="I2845" i="5"/>
  <c r="B3004" i="5"/>
  <c r="I33" i="4"/>
  <c r="B1" i="4" s="1"/>
  <c r="I73" i="4"/>
  <c r="I108" i="4"/>
  <c r="I75" i="4"/>
  <c r="I98" i="4"/>
  <c r="Q2746" i="5"/>
  <c r="I2744" i="5" s="1"/>
  <c r="Q1165" i="5"/>
  <c r="Q1167" i="5" s="1"/>
  <c r="Q1168" i="5" s="1"/>
  <c r="I1927" i="5"/>
  <c r="B1063" i="5"/>
  <c r="B2743" i="5"/>
  <c r="S1668" i="5"/>
  <c r="F2488" i="5"/>
  <c r="B1933" i="5"/>
  <c r="B147" i="5"/>
  <c r="S2315" i="5"/>
  <c r="B809" i="5"/>
  <c r="S2890" i="5"/>
  <c r="E805" i="5"/>
  <c r="E448" i="5"/>
  <c r="L3307" i="5"/>
  <c r="S71" i="5"/>
  <c r="L1320" i="5" l="1"/>
  <c r="S1311" i="5"/>
  <c r="G1111" i="5"/>
  <c r="G3355" i="5"/>
  <c r="B2391" i="5"/>
  <c r="S699" i="5"/>
  <c r="S1362" i="5"/>
  <c r="F1774" i="5"/>
  <c r="S1603" i="5"/>
  <c r="B2134" i="5"/>
  <c r="D754" i="5"/>
  <c r="S1858" i="5"/>
  <c r="S2586" i="5"/>
  <c r="H2335" i="5"/>
  <c r="F2947" i="5"/>
  <c r="F346" i="5"/>
  <c r="S1756" i="5"/>
  <c r="S713" i="5"/>
  <c r="B46" i="5"/>
  <c r="M43" i="5" s="1"/>
  <c r="B709" i="5"/>
  <c r="M706" i="5" s="1"/>
  <c r="Q706" i="5"/>
  <c r="Q708" i="5" s="1"/>
  <c r="Q709" i="5" s="1"/>
  <c r="H1060" i="5"/>
  <c r="M1049" i="5" s="1"/>
  <c r="L45" i="5"/>
  <c r="F1111" i="5"/>
  <c r="G2947" i="5"/>
  <c r="G2386" i="5"/>
  <c r="M2375" i="5" s="1"/>
  <c r="L701" i="5"/>
  <c r="C2131" i="5"/>
  <c r="S50" i="5"/>
  <c r="H2641" i="5"/>
  <c r="I2947" i="5"/>
  <c r="L2945" i="5"/>
  <c r="I703" i="5"/>
  <c r="M699" i="5" s="1"/>
  <c r="L2952" i="5"/>
  <c r="L38" i="5"/>
  <c r="L3105" i="5"/>
  <c r="G397" i="5"/>
  <c r="F754" i="5"/>
  <c r="M553" i="5"/>
  <c r="S2141" i="5"/>
  <c r="I2641" i="5"/>
  <c r="S2547" i="5"/>
  <c r="L2185" i="5"/>
  <c r="C142" i="5"/>
  <c r="F3304" i="5"/>
  <c r="H3100" i="5"/>
  <c r="L1216" i="5"/>
  <c r="Q1216" i="5" s="1"/>
  <c r="Q1217" i="5" s="1"/>
  <c r="B2029" i="5"/>
  <c r="I1060" i="5"/>
  <c r="B1984" i="5"/>
  <c r="B1780" i="5"/>
  <c r="G3304" i="5"/>
  <c r="Q3307" i="5"/>
  <c r="H3305" i="5" s="1"/>
  <c r="S2906" i="5"/>
  <c r="Q2076" i="5"/>
  <c r="H2074" i="5" s="1"/>
  <c r="S1784" i="5"/>
  <c r="L2333" i="5"/>
  <c r="Q2331" i="5" s="1"/>
  <c r="I2896" i="5"/>
  <c r="M2892" i="5" s="1"/>
  <c r="G2641" i="5"/>
  <c r="L2127" i="5"/>
  <c r="L2134" i="5"/>
  <c r="F397" i="5"/>
  <c r="L1983" i="5"/>
  <c r="Q1981" i="5" s="1"/>
  <c r="I1979" i="5" s="1"/>
  <c r="L1779" i="5"/>
  <c r="L2894" i="5"/>
  <c r="Q2892" i="5" s="1"/>
  <c r="L2890" i="5" s="1"/>
  <c r="L2340" i="5"/>
  <c r="Q2338" i="5" s="1"/>
  <c r="I2335" i="5"/>
  <c r="G2437" i="5"/>
  <c r="B1066" i="5"/>
  <c r="M1063" i="5" s="1"/>
  <c r="H499" i="5"/>
  <c r="S342" i="5"/>
  <c r="I1774" i="5"/>
  <c r="L2901" i="5"/>
  <c r="Q2899" i="5" s="1"/>
  <c r="J2897" i="5" s="1"/>
  <c r="L1976" i="5"/>
  <c r="Q1974" i="5" s="1"/>
  <c r="Q1976" i="5" s="1"/>
  <c r="B156" i="10" s="1"/>
  <c r="S1070" i="5"/>
  <c r="H40" i="5"/>
  <c r="M36" i="5" s="1"/>
  <c r="S2125" i="5"/>
  <c r="I1978" i="5"/>
  <c r="B2697" i="5"/>
  <c r="L1065" i="5"/>
  <c r="Q1063" i="5" s="1"/>
  <c r="Q1065" i="5" s="1"/>
  <c r="Q1066" i="5" s="1"/>
  <c r="G3100" i="5"/>
  <c r="S101" i="5"/>
  <c r="S3314" i="5"/>
  <c r="B3310" i="5"/>
  <c r="M3307" i="5" s="1"/>
  <c r="B2135" i="5"/>
  <c r="E2131" i="5"/>
  <c r="B2901" i="5"/>
  <c r="I91" i="5"/>
  <c r="M87" i="5" s="1"/>
  <c r="B2595" i="5"/>
  <c r="M2593" i="5" s="1"/>
  <c r="Q87" i="5"/>
  <c r="G98" i="5" s="1"/>
  <c r="F2131" i="5"/>
  <c r="B97" i="5"/>
  <c r="I3304" i="5"/>
  <c r="M3300" i="5" s="1"/>
  <c r="F2437" i="5"/>
  <c r="L2688" i="5"/>
  <c r="Q2688" i="5" s="1"/>
  <c r="L2686" i="5" s="1"/>
  <c r="G754" i="5"/>
  <c r="L96" i="5"/>
  <c r="Q94" i="5" s="1"/>
  <c r="J92" i="5" s="1"/>
  <c r="B2950" i="5"/>
  <c r="E3202" i="5"/>
  <c r="S2943" i="5"/>
  <c r="S73" i="5"/>
  <c r="B1111" i="5"/>
  <c r="F3253" i="5"/>
  <c r="M400" i="5"/>
  <c r="S3210" i="5"/>
  <c r="G346" i="5"/>
  <c r="L3205" i="5"/>
  <c r="Q3205" i="5" s="1"/>
  <c r="J3203" i="5" s="1"/>
  <c r="S1107" i="5"/>
  <c r="L402" i="5"/>
  <c r="Q400" i="5" s="1"/>
  <c r="L398" i="5" s="1"/>
  <c r="L395" i="5"/>
  <c r="Q393" i="5" s="1"/>
  <c r="H391" i="5" s="1"/>
  <c r="L3198" i="5"/>
  <c r="Q3198" i="5" s="1"/>
  <c r="I346" i="5"/>
  <c r="L351" i="5"/>
  <c r="S407" i="5"/>
  <c r="H2131" i="5"/>
  <c r="F1060" i="5"/>
  <c r="M1042" i="5" s="1"/>
  <c r="I397" i="5"/>
  <c r="L1313" i="5"/>
  <c r="S1325" i="5"/>
  <c r="I1315" i="5"/>
  <c r="M1311" i="5" s="1"/>
  <c r="S852" i="5"/>
  <c r="B2186" i="5"/>
  <c r="M2185" i="5" s="1"/>
  <c r="C2488" i="5"/>
  <c r="D2182" i="5"/>
  <c r="L1879" i="5"/>
  <c r="B1880" i="5"/>
  <c r="I1825" i="5"/>
  <c r="M1821" i="5" s="1"/>
  <c r="I2131" i="5"/>
  <c r="Q1828" i="5"/>
  <c r="K1826" i="5" s="1"/>
  <c r="Q1114" i="5"/>
  <c r="K1112" i="5" s="1"/>
  <c r="S1835" i="5"/>
  <c r="B1778" i="5"/>
  <c r="S2651" i="5"/>
  <c r="S1121" i="5"/>
  <c r="B1831" i="5"/>
  <c r="M1828" i="5" s="1"/>
  <c r="B2647" i="5"/>
  <c r="M2644" i="5" s="1"/>
  <c r="L2646" i="5"/>
  <c r="Q2644" i="5" s="1"/>
  <c r="H2642" i="5" s="1"/>
  <c r="L1823" i="5"/>
  <c r="Q1821" i="5" s="1"/>
  <c r="F144" i="10" s="1"/>
  <c r="L3302" i="5"/>
  <c r="Q3300" i="5" s="1"/>
  <c r="I3298" i="5" s="1"/>
  <c r="H397" i="5"/>
  <c r="Q2637" i="5"/>
  <c r="F208" i="10" s="1"/>
  <c r="B1117" i="5"/>
  <c r="M1114" i="5" s="1"/>
  <c r="L2129" i="5"/>
  <c r="L2136" i="5"/>
  <c r="L1109" i="5"/>
  <c r="Q1107" i="5" s="1"/>
  <c r="G88" i="10" s="1"/>
  <c r="H1774" i="5"/>
  <c r="I1111" i="5"/>
  <c r="F1315" i="5"/>
  <c r="G703" i="5"/>
  <c r="M685" i="5" s="1"/>
  <c r="H1978" i="5"/>
  <c r="L3251" i="5"/>
  <c r="Q3249" i="5" s="1"/>
  <c r="I256" i="10" s="1"/>
  <c r="D3202" i="5"/>
  <c r="C2284" i="5"/>
  <c r="M2266" i="5" s="1"/>
  <c r="G2896" i="5"/>
  <c r="M2885" i="5" s="1"/>
  <c r="S226" i="5"/>
  <c r="Q1668" i="5"/>
  <c r="I132" i="10" s="1"/>
  <c r="B96" i="5"/>
  <c r="I2692" i="5"/>
  <c r="L2697" i="5"/>
  <c r="Q2695" i="5" s="1"/>
  <c r="J2693" i="5" s="1"/>
  <c r="B2698" i="5"/>
  <c r="Q2440" i="5"/>
  <c r="Q2441" i="5" s="1"/>
  <c r="B754" i="5"/>
  <c r="S2702" i="5"/>
  <c r="L2384" i="5"/>
  <c r="Q2382" i="5" s="1"/>
  <c r="S2447" i="5"/>
  <c r="S2674" i="5"/>
  <c r="G3253" i="5"/>
  <c r="M3235" i="5" s="1"/>
  <c r="L1364" i="5"/>
  <c r="Q1362" i="5" s="1"/>
  <c r="S1376" i="5"/>
  <c r="G2131" i="5"/>
  <c r="S2572" i="5"/>
  <c r="I2386" i="5"/>
  <c r="M2382" i="5" s="1"/>
  <c r="L2435" i="5"/>
  <c r="Q2433" i="5" s="1"/>
  <c r="I192" i="10" s="1"/>
  <c r="G499" i="5"/>
  <c r="B2443" i="5"/>
  <c r="M2440" i="5" s="1"/>
  <c r="H754" i="5"/>
  <c r="B2392" i="5"/>
  <c r="M2389" i="5" s="1"/>
  <c r="H244" i="5"/>
  <c r="M233" i="5" s="1"/>
  <c r="D2947" i="5"/>
  <c r="H1621" i="5"/>
  <c r="F601" i="5"/>
  <c r="M583" i="5" s="1"/>
  <c r="G1825" i="5"/>
  <c r="M1814" i="5" s="1"/>
  <c r="D3049" i="5"/>
  <c r="M3045" i="5" s="1"/>
  <c r="Q2389" i="5"/>
  <c r="Q2390" i="5" s="1"/>
  <c r="D1111" i="5"/>
  <c r="L1371" i="5"/>
  <c r="Q1369" i="5" s="1"/>
  <c r="L1367" i="5" s="1"/>
  <c r="S2396" i="5"/>
  <c r="I2437" i="5"/>
  <c r="B1372" i="5"/>
  <c r="M1369" i="5" s="1"/>
  <c r="M889" i="5"/>
  <c r="S3365" i="5"/>
  <c r="L3258" i="5"/>
  <c r="Q3256" i="5" s="1"/>
  <c r="Q3257" i="5" s="1"/>
  <c r="F3355" i="5"/>
  <c r="M3337" i="5" s="1"/>
  <c r="B505" i="5"/>
  <c r="I499" i="5"/>
  <c r="L3353" i="5"/>
  <c r="Q3351" i="5" s="1"/>
  <c r="J264" i="10" s="1"/>
  <c r="L504" i="5"/>
  <c r="D1774" i="5"/>
  <c r="I3253" i="5"/>
  <c r="M2338" i="5"/>
  <c r="M3052" i="5"/>
  <c r="H3253" i="5"/>
  <c r="B3259" i="5"/>
  <c r="M3256" i="5" s="1"/>
  <c r="Q3154" i="5"/>
  <c r="H3152" i="5" s="1"/>
  <c r="L3360" i="5"/>
  <c r="Q3358" i="5" s="1"/>
  <c r="H3356" i="5" s="1"/>
  <c r="B3361" i="5"/>
  <c r="M3358" i="5" s="1"/>
  <c r="S1515" i="5"/>
  <c r="B1468" i="5"/>
  <c r="M1450" i="5" s="1"/>
  <c r="Q451" i="5"/>
  <c r="I449" i="5" s="1"/>
  <c r="F2335" i="5"/>
  <c r="M2083" i="5"/>
  <c r="B3049" i="5"/>
  <c r="D2539" i="5"/>
  <c r="L249" i="5"/>
  <c r="Q247" i="5" s="1"/>
  <c r="J245" i="5" s="1"/>
  <c r="H2437" i="5"/>
  <c r="L2790" i="5"/>
  <c r="G1366" i="5"/>
  <c r="M1355" i="5" s="1"/>
  <c r="L497" i="5"/>
  <c r="Q495" i="5" s="1"/>
  <c r="B352" i="5"/>
  <c r="L344" i="5"/>
  <c r="S1886" i="5"/>
  <c r="G1978" i="5"/>
  <c r="M1960" i="5" s="1"/>
  <c r="B758" i="5"/>
  <c r="M757" i="5" s="1"/>
  <c r="B3106" i="5"/>
  <c r="Q750" i="5"/>
  <c r="K748" i="5" s="1"/>
  <c r="M2586" i="5"/>
  <c r="L655" i="5"/>
  <c r="Q655" i="5" s="1"/>
  <c r="K653" i="5" s="1"/>
  <c r="I3100" i="5"/>
  <c r="L1881" i="5"/>
  <c r="E754" i="5"/>
  <c r="L242" i="5"/>
  <c r="Q240" i="5" s="1"/>
  <c r="S1448" i="5"/>
  <c r="B1627" i="5"/>
  <c r="M1624" i="5" s="1"/>
  <c r="E652" i="5"/>
  <c r="M648" i="5" s="1"/>
  <c r="S2802" i="5"/>
  <c r="L757" i="5"/>
  <c r="Q757" i="5" s="1"/>
  <c r="H755" i="5" s="1"/>
  <c r="B295" i="5"/>
  <c r="B249" i="5"/>
  <c r="M247" i="5" s="1"/>
  <c r="I601" i="5"/>
  <c r="I1876" i="5"/>
  <c r="Q597" i="5"/>
  <c r="Q599" i="5" s="1"/>
  <c r="J608" i="5" s="1"/>
  <c r="C754" i="5"/>
  <c r="I1621" i="5"/>
  <c r="S1631" i="5"/>
  <c r="S3110" i="5"/>
  <c r="C1009" i="5"/>
  <c r="M998" i="5" s="1"/>
  <c r="C3202" i="5"/>
  <c r="M3184" i="5" s="1"/>
  <c r="I244" i="5"/>
  <c r="L1626" i="5"/>
  <c r="Q1624" i="5" s="1"/>
  <c r="I1622" i="5" s="1"/>
  <c r="F499" i="5"/>
  <c r="L1874" i="5"/>
  <c r="Q1872" i="5" s="1"/>
  <c r="H1870" i="5" s="1"/>
  <c r="B656" i="5"/>
  <c r="M655" i="5" s="1"/>
  <c r="L2178" i="5"/>
  <c r="Q2178" i="5" s="1"/>
  <c r="S762" i="5"/>
  <c r="S254" i="5"/>
  <c r="Q1617" i="5"/>
  <c r="J128" i="10" s="1"/>
  <c r="L606" i="5"/>
  <c r="Q604" i="5" s="1"/>
  <c r="I602" i="5" s="1"/>
  <c r="L648" i="5"/>
  <c r="Q648" i="5" s="1"/>
  <c r="I52" i="10" s="1"/>
  <c r="S2345" i="5"/>
  <c r="C3049" i="5"/>
  <c r="E2692" i="5"/>
  <c r="S2700" i="5"/>
  <c r="B146" i="5"/>
  <c r="M145" i="5" s="1"/>
  <c r="S1501" i="5"/>
  <c r="B2696" i="5"/>
  <c r="E295" i="5"/>
  <c r="B3105" i="5"/>
  <c r="B2692" i="5"/>
  <c r="L2535" i="5"/>
  <c r="Q2535" i="5" s="1"/>
  <c r="L2533" i="5" s="1"/>
  <c r="B1009" i="5"/>
  <c r="D2692" i="5"/>
  <c r="S2215" i="5"/>
  <c r="G2335" i="5"/>
  <c r="D1621" i="5"/>
  <c r="C2692" i="5"/>
  <c r="B1621" i="5"/>
  <c r="L2542" i="5"/>
  <c r="Q2542" i="5" s="1"/>
  <c r="Q2544" i="5" s="1"/>
  <c r="Q2545" i="5" s="1"/>
  <c r="G2794" i="5"/>
  <c r="M2222" i="5"/>
  <c r="M2076" i="5"/>
  <c r="Q2229" i="5"/>
  <c r="K2227" i="5" s="1"/>
  <c r="E2539" i="5"/>
  <c r="F1621" i="5"/>
  <c r="B1774" i="5"/>
  <c r="C295" i="5"/>
  <c r="D2029" i="5"/>
  <c r="M2025" i="5" s="1"/>
  <c r="C1111" i="5"/>
  <c r="B2239" i="5"/>
  <c r="M2236" i="5" s="1"/>
  <c r="S493" i="5"/>
  <c r="M73" i="5"/>
  <c r="L854" i="5"/>
  <c r="L2238" i="5"/>
  <c r="Q2236" i="5" s="1"/>
  <c r="H2234" i="5" s="1"/>
  <c r="I2233" i="5"/>
  <c r="M2229" i="5" s="1"/>
  <c r="M1675" i="5"/>
  <c r="Q2287" i="5"/>
  <c r="Q2289" i="5" s="1"/>
  <c r="G856" i="5"/>
  <c r="E499" i="5"/>
  <c r="B503" i="5"/>
  <c r="L502" i="5"/>
  <c r="S507" i="5"/>
  <c r="S150" i="5"/>
  <c r="L2950" i="5"/>
  <c r="B862" i="5"/>
  <c r="E2947" i="5"/>
  <c r="S864" i="5"/>
  <c r="D1468" i="5"/>
  <c r="M1464" i="5" s="1"/>
  <c r="S2292" i="5"/>
  <c r="E2284" i="5"/>
  <c r="L2280" i="5"/>
  <c r="Q2280" i="5" s="1"/>
  <c r="I856" i="5"/>
  <c r="B299" i="5"/>
  <c r="M298" i="5" s="1"/>
  <c r="L138" i="5"/>
  <c r="Q138" i="5" s="1"/>
  <c r="Q139" i="5" s="1"/>
  <c r="S2788" i="5"/>
  <c r="B2288" i="5"/>
  <c r="L291" i="5"/>
  <c r="Q291" i="5" s="1"/>
  <c r="F1876" i="5"/>
  <c r="D142" i="5"/>
  <c r="M138" i="5" s="1"/>
  <c r="F2233" i="5"/>
  <c r="M2215" i="5" s="1"/>
  <c r="L298" i="5"/>
  <c r="Q298" i="5" s="1"/>
  <c r="I296" i="5" s="1"/>
  <c r="L2943" i="5"/>
  <c r="S2243" i="5"/>
  <c r="L861" i="5"/>
  <c r="L145" i="5"/>
  <c r="Q145" i="5" s="1"/>
  <c r="I143" i="5" s="1"/>
  <c r="B2951" i="5"/>
  <c r="B142" i="5"/>
  <c r="L859" i="5"/>
  <c r="L852" i="5"/>
  <c r="E856" i="5"/>
  <c r="D3100" i="5"/>
  <c r="M2542" i="5"/>
  <c r="M546" i="5"/>
  <c r="H1876" i="5"/>
  <c r="B607" i="5"/>
  <c r="M604" i="5" s="1"/>
  <c r="B2539" i="5"/>
  <c r="S611" i="5"/>
  <c r="Q699" i="5"/>
  <c r="F56" i="10" s="1"/>
  <c r="D295" i="5"/>
  <c r="H601" i="5"/>
  <c r="C2029" i="5"/>
  <c r="L2797" i="5"/>
  <c r="Q2797" i="5" s="1"/>
  <c r="J2795" i="5" s="1"/>
  <c r="E2182" i="5"/>
  <c r="C856" i="5"/>
  <c r="Q1413" i="5"/>
  <c r="I112" i="10" s="1"/>
  <c r="M539" i="5"/>
  <c r="B499" i="5"/>
  <c r="M896" i="5"/>
  <c r="E2794" i="5"/>
  <c r="M80" i="5"/>
  <c r="S1309" i="5"/>
  <c r="C2539" i="5"/>
  <c r="M1165" i="5"/>
  <c r="C1315" i="5"/>
  <c r="M2579" i="5"/>
  <c r="M1916" i="5"/>
  <c r="L1209" i="5"/>
  <c r="Q1209" i="5" s="1"/>
  <c r="G96" i="10" s="1"/>
  <c r="S1221" i="5"/>
  <c r="E1213" i="5"/>
  <c r="M1909" i="5"/>
  <c r="B2492" i="5"/>
  <c r="E346" i="5"/>
  <c r="S2790" i="5"/>
  <c r="Q2484" i="5"/>
  <c r="J2482" i="5" s="1"/>
  <c r="E1774" i="5"/>
  <c r="M2994" i="5"/>
  <c r="D1213" i="5"/>
  <c r="L1260" i="5"/>
  <c r="Q1260" i="5" s="1"/>
  <c r="G1271" i="5" s="1"/>
  <c r="C1213" i="5"/>
  <c r="S2804" i="5"/>
  <c r="B2287" i="5"/>
  <c r="B1315" i="5"/>
  <c r="B1213" i="5"/>
  <c r="I2794" i="5"/>
  <c r="B2800" i="5"/>
  <c r="H3355" i="5"/>
  <c r="M3351" i="5" s="1"/>
  <c r="L2792" i="5"/>
  <c r="M175" i="5"/>
  <c r="B3100" i="5"/>
  <c r="D1264" i="5"/>
  <c r="M1253" i="5" s="1"/>
  <c r="B1574" i="5"/>
  <c r="L1573" i="5"/>
  <c r="Q1573" i="5" s="1"/>
  <c r="M226" i="5"/>
  <c r="M2069" i="5"/>
  <c r="D856" i="5"/>
  <c r="M2725" i="5"/>
  <c r="S479" i="5"/>
  <c r="B1267" i="5"/>
  <c r="B859" i="5"/>
  <c r="M1362" i="5"/>
  <c r="B1573" i="5"/>
  <c r="M2732" i="5"/>
  <c r="S1550" i="5"/>
  <c r="M182" i="5"/>
  <c r="M2739" i="5"/>
  <c r="S632" i="5"/>
  <c r="L2025" i="5"/>
  <c r="Q2025" i="5" s="1"/>
  <c r="I2023" i="5" s="1"/>
  <c r="L2032" i="5"/>
  <c r="Q2032" i="5" s="1"/>
  <c r="H2030" i="5" s="1"/>
  <c r="M1712" i="5"/>
  <c r="L36" i="5"/>
  <c r="Q36" i="5" s="1"/>
  <c r="F4" i="10" s="1"/>
  <c r="B2033" i="5"/>
  <c r="M2032" i="5" s="1"/>
  <c r="S2037" i="5"/>
  <c r="D2284" i="5"/>
  <c r="S48" i="5"/>
  <c r="M1501" i="5"/>
  <c r="L43" i="5"/>
  <c r="M1515" i="5"/>
  <c r="M801" i="5"/>
  <c r="M787" i="5"/>
  <c r="B2797" i="5"/>
  <c r="Q1158" i="5"/>
  <c r="H92" i="10" s="1"/>
  <c r="L551" i="5"/>
  <c r="M1216" i="5"/>
  <c r="M2572" i="5"/>
  <c r="L1318" i="5"/>
  <c r="Q1318" i="5" s="1"/>
  <c r="L1311" i="5"/>
  <c r="S1323" i="5"/>
  <c r="B1319" i="5"/>
  <c r="M1318" i="5" s="1"/>
  <c r="L1777" i="5"/>
  <c r="L1770" i="5"/>
  <c r="Q1770" i="5" s="1"/>
  <c r="B2799" i="5"/>
  <c r="F2794" i="5"/>
  <c r="C1774" i="5"/>
  <c r="S1754" i="5"/>
  <c r="S1884" i="5"/>
  <c r="M3133" i="5"/>
  <c r="M641" i="5"/>
  <c r="M1005" i="5"/>
  <c r="B346" i="5"/>
  <c r="Q3052" i="5"/>
  <c r="L3050" i="5" s="1"/>
  <c r="B652" i="5"/>
  <c r="M634" i="5" s="1"/>
  <c r="M3140" i="5"/>
  <c r="M430" i="5"/>
  <c r="M1654" i="5"/>
  <c r="D958" i="5"/>
  <c r="S326" i="5"/>
  <c r="Q2185" i="5"/>
  <c r="Q2186" i="5" s="1"/>
  <c r="B2182" i="5"/>
  <c r="E1876" i="5"/>
  <c r="L342" i="5"/>
  <c r="L349" i="5"/>
  <c r="E958" i="5"/>
  <c r="M1719" i="5"/>
  <c r="S1244" i="5"/>
  <c r="S1856" i="5"/>
  <c r="S34" i="5"/>
  <c r="B2491" i="5"/>
  <c r="B2488" i="5"/>
  <c r="M1246" i="5"/>
  <c r="L954" i="5"/>
  <c r="Q954" i="5" s="1"/>
  <c r="K952" i="5" s="1"/>
  <c r="S646" i="5"/>
  <c r="M2834" i="5"/>
  <c r="S3080" i="5"/>
  <c r="S1870" i="5"/>
  <c r="D1876" i="5"/>
  <c r="M2827" i="5"/>
  <c r="M1726" i="5"/>
  <c r="B1268" i="5"/>
  <c r="S1564" i="5"/>
  <c r="D1570" i="5"/>
  <c r="M1559" i="5" s="1"/>
  <c r="B962" i="5"/>
  <c r="M961" i="5" s="1"/>
  <c r="L961" i="5"/>
  <c r="Q961" i="5" s="1"/>
  <c r="Q1005" i="5"/>
  <c r="L1003" i="5" s="1"/>
  <c r="L2491" i="5"/>
  <c r="Q2491" i="5" s="1"/>
  <c r="S2496" i="5"/>
  <c r="B350" i="5"/>
  <c r="M2623" i="5"/>
  <c r="E1264" i="5"/>
  <c r="S2774" i="5"/>
  <c r="C2794" i="5"/>
  <c r="S2482" i="5"/>
  <c r="D2488" i="5"/>
  <c r="E2488" i="5"/>
  <c r="L1267" i="5"/>
  <c r="Q1267" i="5" s="1"/>
  <c r="K1265" i="5" s="1"/>
  <c r="E3100" i="5"/>
  <c r="L3096" i="5"/>
  <c r="Q3096" i="5" s="1"/>
  <c r="Q3097" i="5" s="1"/>
  <c r="L3103" i="5"/>
  <c r="B3104" i="5"/>
  <c r="S3108" i="5"/>
  <c r="C958" i="5"/>
  <c r="S938" i="5"/>
  <c r="C2182" i="5"/>
  <c r="S2162" i="5"/>
  <c r="B958" i="5"/>
  <c r="B1876" i="5"/>
  <c r="B1879" i="5"/>
  <c r="D346" i="5"/>
  <c r="S340" i="5"/>
  <c r="S1578" i="5"/>
  <c r="L1566" i="5"/>
  <c r="Q1566" i="5" s="1"/>
  <c r="K1564" i="5" s="1"/>
  <c r="J704" i="5"/>
  <c r="M1420" i="5"/>
  <c r="M451" i="5"/>
  <c r="M3001" i="5"/>
  <c r="Q1522" i="5"/>
  <c r="I1520" i="5" s="1"/>
  <c r="M1471" i="5"/>
  <c r="Q1471" i="5"/>
  <c r="Q1472" i="5" s="1"/>
  <c r="Q1012" i="5"/>
  <c r="I1010" i="5" s="1"/>
  <c r="M1981" i="5"/>
  <c r="I551" i="5"/>
  <c r="M794" i="5"/>
  <c r="Q555" i="5"/>
  <c r="Q556" i="5" s="1"/>
  <c r="Q554" i="5"/>
  <c r="K551" i="5"/>
  <c r="J551" i="5"/>
  <c r="Q2083" i="5"/>
  <c r="Q2084" i="5" s="1"/>
  <c r="M437" i="5"/>
  <c r="M1413" i="5"/>
  <c r="M1930" i="5"/>
  <c r="M2841" i="5"/>
  <c r="Q1930" i="5"/>
  <c r="H1928" i="5" s="1"/>
  <c r="M444" i="5"/>
  <c r="M2987" i="5"/>
  <c r="M3205" i="5"/>
  <c r="M1661" i="5"/>
  <c r="Q1515" i="5"/>
  <c r="L1513" i="5" s="1"/>
  <c r="M2848" i="5"/>
  <c r="Q808" i="5"/>
  <c r="I806" i="5" s="1"/>
  <c r="M1705" i="5"/>
  <c r="M1144" i="5"/>
  <c r="Q801" i="5"/>
  <c r="L799" i="5" s="1"/>
  <c r="M1552" i="5"/>
  <c r="Q903" i="5"/>
  <c r="Q904" i="5" s="1"/>
  <c r="M2899" i="5"/>
  <c r="M1508" i="5"/>
  <c r="M1668" i="5"/>
  <c r="Q2593" i="5"/>
  <c r="Q2595" i="5" s="1"/>
  <c r="Q2596" i="5" s="1"/>
  <c r="Q1422" i="5"/>
  <c r="Q1423" i="5" s="1"/>
  <c r="Q3047" i="5"/>
  <c r="C240" i="10" s="1"/>
  <c r="H240" i="10"/>
  <c r="G240" i="10"/>
  <c r="Q1925" i="5"/>
  <c r="B152" i="10" s="1"/>
  <c r="M2980" i="5"/>
  <c r="H1418" i="5"/>
  <c r="M1923" i="5"/>
  <c r="Q2994" i="5"/>
  <c r="Q2996" i="5" s="1"/>
  <c r="Q2997" i="5" s="1"/>
  <c r="L1163" i="5"/>
  <c r="M2746" i="5"/>
  <c r="M196" i="5"/>
  <c r="J1418" i="5"/>
  <c r="L1418" i="5"/>
  <c r="M808" i="5"/>
  <c r="K1418" i="5"/>
  <c r="M2368" i="5"/>
  <c r="J224" i="10"/>
  <c r="Q2739" i="5"/>
  <c r="H216" i="10" s="1"/>
  <c r="Q189" i="5"/>
  <c r="L187" i="5" s="1"/>
  <c r="J116" i="10"/>
  <c r="J1921" i="5"/>
  <c r="M903" i="5"/>
  <c r="I240" i="10"/>
  <c r="Q3001" i="5"/>
  <c r="Q3003" i="5" s="1"/>
  <c r="Q3004" i="5" s="1"/>
  <c r="M1406" i="5"/>
  <c r="Q1719" i="5"/>
  <c r="I1717" i="5" s="1"/>
  <c r="M22" i="5"/>
  <c r="M532" i="5"/>
  <c r="L3043" i="5"/>
  <c r="M189" i="5"/>
  <c r="Q1166" i="5"/>
  <c r="J240" i="10"/>
  <c r="G152" i="10"/>
  <c r="K1921" i="5"/>
  <c r="M1012" i="5"/>
  <c r="M3147" i="5"/>
  <c r="M910" i="5"/>
  <c r="K3043" i="5"/>
  <c r="H152" i="10"/>
  <c r="I152" i="10"/>
  <c r="Q1924" i="5"/>
  <c r="M2062" i="5"/>
  <c r="I3043" i="5"/>
  <c r="H1921" i="5"/>
  <c r="F152" i="10"/>
  <c r="M3154" i="5"/>
  <c r="I1921" i="5"/>
  <c r="J152" i="10"/>
  <c r="J1462" i="5"/>
  <c r="M1151" i="5"/>
  <c r="I1462" i="5"/>
  <c r="Q1421" i="5"/>
  <c r="H3043" i="5"/>
  <c r="F8" i="10"/>
  <c r="Q1465" i="5"/>
  <c r="H2744" i="5"/>
  <c r="H116" i="10"/>
  <c r="F240" i="10"/>
  <c r="Q3046" i="5"/>
  <c r="G1934" i="5"/>
  <c r="F116" i="10"/>
  <c r="J3043" i="5"/>
  <c r="J1724" i="5"/>
  <c r="L1724" i="5"/>
  <c r="H1724" i="5"/>
  <c r="K1724" i="5"/>
  <c r="I1724" i="5"/>
  <c r="Q1727" i="5"/>
  <c r="Q1728" i="5"/>
  <c r="Q1729" i="5" s="1"/>
  <c r="H248" i="10"/>
  <c r="G3158" i="5"/>
  <c r="K2839" i="5"/>
  <c r="J2074" i="5"/>
  <c r="M1399" i="5"/>
  <c r="Q2747" i="5"/>
  <c r="Q1466" i="5"/>
  <c r="B116" i="10" s="1"/>
  <c r="K1462" i="5"/>
  <c r="J248" i="10"/>
  <c r="I248" i="10"/>
  <c r="Q3148" i="5"/>
  <c r="M1158" i="5"/>
  <c r="G2648" i="5"/>
  <c r="L3145" i="5"/>
  <c r="J3145" i="5"/>
  <c r="G248" i="10"/>
  <c r="Q3149" i="5"/>
  <c r="B248" i="10" s="1"/>
  <c r="K3145" i="5"/>
  <c r="J2846" i="5"/>
  <c r="K2846" i="5"/>
  <c r="Q2849" i="5"/>
  <c r="G557" i="5"/>
  <c r="J3152" i="5"/>
  <c r="I116" i="10"/>
  <c r="L1673" i="5"/>
  <c r="I1163" i="5"/>
  <c r="K2744" i="5"/>
  <c r="G116" i="10"/>
  <c r="H1163" i="5"/>
  <c r="J544" i="5"/>
  <c r="H2846" i="5"/>
  <c r="L2846" i="5"/>
  <c r="Q2850" i="5"/>
  <c r="Q2851" i="5" s="1"/>
  <c r="I2846" i="5"/>
  <c r="J44" i="10"/>
  <c r="J2744" i="5"/>
  <c r="H44" i="10"/>
  <c r="L1462" i="5"/>
  <c r="G1475" i="5"/>
  <c r="J208" i="10"/>
  <c r="H3145" i="5"/>
  <c r="I3145" i="5"/>
  <c r="F248" i="10"/>
  <c r="G44" i="10"/>
  <c r="Q548" i="5"/>
  <c r="B44" i="10" s="1"/>
  <c r="H2839" i="5"/>
  <c r="K544" i="5"/>
  <c r="G560" i="5"/>
  <c r="AI11" i="5" s="1"/>
  <c r="I10" i="9" s="1"/>
  <c r="F16" i="9" s="1"/>
  <c r="F224" i="10"/>
  <c r="J2839" i="5"/>
  <c r="I544" i="5"/>
  <c r="Q2843" i="5"/>
  <c r="C224" i="10" s="1"/>
  <c r="Q547" i="5"/>
  <c r="I2839" i="5"/>
  <c r="G156" i="10"/>
  <c r="H544" i="5"/>
  <c r="L2744" i="5"/>
  <c r="Q2748" i="5"/>
  <c r="Q2749" i="5" s="1"/>
  <c r="G2855" i="5"/>
  <c r="AI56" i="5" s="1"/>
  <c r="Q2842" i="5"/>
  <c r="H224" i="10"/>
  <c r="I224" i="10"/>
  <c r="G2852" i="5"/>
  <c r="L2839" i="5"/>
  <c r="Q198" i="5"/>
  <c r="Q199" i="5" s="1"/>
  <c r="Q197" i="5"/>
  <c r="I194" i="5"/>
  <c r="H194" i="5"/>
  <c r="L194" i="5"/>
  <c r="J194" i="5"/>
  <c r="K194" i="5"/>
  <c r="L1054" i="5"/>
  <c r="J1054" i="5"/>
  <c r="H84" i="10"/>
  <c r="Q1058" i="5"/>
  <c r="B84" i="10" s="1"/>
  <c r="H1054" i="5"/>
  <c r="I1054" i="5"/>
  <c r="J84" i="10"/>
  <c r="F84" i="10"/>
  <c r="G84" i="10"/>
  <c r="Q1057" i="5"/>
  <c r="I84" i="10"/>
  <c r="G1067" i="5"/>
  <c r="K1054" i="5"/>
  <c r="I44" i="10"/>
  <c r="F44" i="10"/>
  <c r="Q2588" i="5"/>
  <c r="B204" i="10" s="1"/>
  <c r="I204" i="10"/>
  <c r="L2584" i="5"/>
  <c r="H2584" i="5"/>
  <c r="G2597" i="5"/>
  <c r="Q2587" i="5"/>
  <c r="G204" i="10"/>
  <c r="I2584" i="5"/>
  <c r="F204" i="10"/>
  <c r="K2584" i="5"/>
  <c r="J2584" i="5"/>
  <c r="J204" i="10"/>
  <c r="H204" i="10"/>
  <c r="G455" i="5"/>
  <c r="J36" i="10"/>
  <c r="K442" i="5"/>
  <c r="F36" i="10"/>
  <c r="J442" i="5"/>
  <c r="I36" i="10"/>
  <c r="L442" i="5"/>
  <c r="H442" i="5"/>
  <c r="G36" i="10"/>
  <c r="Q445" i="5"/>
  <c r="I442" i="5"/>
  <c r="H36" i="10"/>
  <c r="Q446" i="5"/>
  <c r="C36" i="10" s="1"/>
  <c r="K1163" i="5"/>
  <c r="J1163" i="5"/>
  <c r="H1673" i="5"/>
  <c r="K1673" i="5"/>
  <c r="Q1676" i="5"/>
  <c r="J1673" i="5"/>
  <c r="I1673" i="5"/>
  <c r="L3152" i="5"/>
  <c r="K3152" i="5"/>
  <c r="Q1371" i="5"/>
  <c r="J1367" i="5"/>
  <c r="Q912" i="5"/>
  <c r="H908" i="5"/>
  <c r="Q911" i="5"/>
  <c r="L908" i="5"/>
  <c r="I908" i="5"/>
  <c r="J908" i="5"/>
  <c r="K908" i="5"/>
  <c r="Q1982" i="5"/>
  <c r="L1979" i="5"/>
  <c r="Q1678" i="5"/>
  <c r="L3305" i="5"/>
  <c r="Q3308" i="5"/>
  <c r="K3305" i="5"/>
  <c r="K2693" i="5"/>
  <c r="Q2697" i="5"/>
  <c r="H2285" i="5" l="1"/>
  <c r="M2331" i="5"/>
  <c r="M1777" i="5"/>
  <c r="M2317" i="5"/>
  <c r="G761" i="5"/>
  <c r="G60" i="10"/>
  <c r="H595" i="5"/>
  <c r="J1979" i="5"/>
  <c r="G164" i="10"/>
  <c r="J1214" i="5"/>
  <c r="I2693" i="5"/>
  <c r="I164" i="10"/>
  <c r="L2074" i="5"/>
  <c r="K2074" i="5"/>
  <c r="I2074" i="5"/>
  <c r="Q2078" i="5"/>
  <c r="C164" i="10" s="1"/>
  <c r="H1214" i="5"/>
  <c r="H2693" i="5"/>
  <c r="F164" i="10"/>
  <c r="Q2696" i="5"/>
  <c r="Q1983" i="5"/>
  <c r="Q1984" i="5" s="1"/>
  <c r="H164" i="10"/>
  <c r="K1214" i="5"/>
  <c r="Q43" i="5"/>
  <c r="I41" i="5" s="1"/>
  <c r="K1979" i="5"/>
  <c r="Q2077" i="5"/>
  <c r="I1214" i="5"/>
  <c r="G2087" i="5"/>
  <c r="Q1218" i="5"/>
  <c r="Q1219" i="5" s="1"/>
  <c r="L1214" i="5"/>
  <c r="J164" i="10"/>
  <c r="M3242" i="5"/>
  <c r="L2693" i="5"/>
  <c r="H1979" i="5"/>
  <c r="L2285" i="5"/>
  <c r="M2134" i="5"/>
  <c r="Q751" i="5"/>
  <c r="Q598" i="5"/>
  <c r="B48" i="10"/>
  <c r="Q752" i="5"/>
  <c r="C60" i="10" s="1"/>
  <c r="H60" i="10"/>
  <c r="L595" i="5"/>
  <c r="M1348" i="5"/>
  <c r="J60" i="10"/>
  <c r="I748" i="5"/>
  <c r="I595" i="5"/>
  <c r="H748" i="5"/>
  <c r="J48" i="10"/>
  <c r="Q2950" i="5"/>
  <c r="H2948" i="5" s="1"/>
  <c r="G608" i="5"/>
  <c r="I60" i="10"/>
  <c r="F60" i="10"/>
  <c r="Q600" i="5"/>
  <c r="G48" i="10"/>
  <c r="H48" i="10"/>
  <c r="I1972" i="5"/>
  <c r="Q89" i="5"/>
  <c r="B8" i="10" s="1"/>
  <c r="J748" i="5"/>
  <c r="J595" i="5"/>
  <c r="Q1115" i="5"/>
  <c r="Q1116" i="5"/>
  <c r="Q1117" i="5" s="1"/>
  <c r="L748" i="5"/>
  <c r="C48" i="10"/>
  <c r="I48" i="10"/>
  <c r="F48" i="10"/>
  <c r="K595" i="5"/>
  <c r="I8" i="10"/>
  <c r="M2943" i="5"/>
  <c r="M2929" i="5"/>
  <c r="Q3103" i="5"/>
  <c r="Q3105" i="5" s="1"/>
  <c r="Q3106" i="5" s="1"/>
  <c r="Q3309" i="5"/>
  <c r="Q3310" i="5" s="1"/>
  <c r="I3152" i="5"/>
  <c r="I704" i="5"/>
  <c r="L704" i="5"/>
  <c r="M386" i="5"/>
  <c r="I3305" i="5"/>
  <c r="K704" i="5"/>
  <c r="J3305" i="5"/>
  <c r="L2635" i="5"/>
  <c r="Q707" i="5"/>
  <c r="Q3155" i="5"/>
  <c r="G208" i="10"/>
  <c r="I2635" i="5"/>
  <c r="G3161" i="5"/>
  <c r="AI62" i="5" s="1"/>
  <c r="K16" i="9" s="1"/>
  <c r="I20" i="9" s="1"/>
  <c r="J2635" i="5"/>
  <c r="H208" i="10"/>
  <c r="H2635" i="5"/>
  <c r="Q2638" i="5"/>
  <c r="M2433" i="5"/>
  <c r="Q2134" i="5"/>
  <c r="I2132" i="5" s="1"/>
  <c r="K2635" i="5"/>
  <c r="M692" i="5"/>
  <c r="Q3156" i="5"/>
  <c r="Q3157" i="5" s="1"/>
  <c r="Q2639" i="5"/>
  <c r="B208" i="10" s="1"/>
  <c r="I208" i="10"/>
  <c r="H704" i="5"/>
  <c r="Q342" i="5"/>
  <c r="H340" i="5" s="1"/>
  <c r="Q1879" i="5"/>
  <c r="Q1881" i="5" s="1"/>
  <c r="Q1882" i="5" s="1"/>
  <c r="M379" i="5"/>
  <c r="Q2288" i="5"/>
  <c r="I2285" i="5"/>
  <c r="M3286" i="5"/>
  <c r="Q2943" i="5"/>
  <c r="G232" i="10" s="1"/>
  <c r="G212" i="10"/>
  <c r="M1056" i="5"/>
  <c r="M2637" i="5"/>
  <c r="M2936" i="5"/>
  <c r="M2630" i="5"/>
  <c r="M2018" i="5"/>
  <c r="M94" i="5"/>
  <c r="Q2127" i="5"/>
  <c r="J2125" i="5" s="1"/>
  <c r="Q1370" i="5"/>
  <c r="I1367" i="5"/>
  <c r="K1367" i="5"/>
  <c r="H1367" i="5"/>
  <c r="Q656" i="5"/>
  <c r="M1107" i="5"/>
  <c r="M2113" i="5"/>
  <c r="J148" i="10"/>
  <c r="M3249" i="5"/>
  <c r="M3198" i="5"/>
  <c r="M2470" i="5"/>
  <c r="G148" i="10"/>
  <c r="M502" i="5"/>
  <c r="M3038" i="5"/>
  <c r="J132" i="10"/>
  <c r="M750" i="5"/>
  <c r="M2419" i="5"/>
  <c r="M1974" i="5"/>
  <c r="I148" i="10"/>
  <c r="Q1873" i="5"/>
  <c r="I1870" i="5"/>
  <c r="G1883" i="5"/>
  <c r="J653" i="5"/>
  <c r="M349" i="5"/>
  <c r="M29" i="5"/>
  <c r="G176" i="10"/>
  <c r="L1870" i="5"/>
  <c r="K1870" i="5"/>
  <c r="L653" i="5"/>
  <c r="H653" i="5"/>
  <c r="M2178" i="5"/>
  <c r="I653" i="5"/>
  <c r="Q1874" i="5"/>
  <c r="C148" i="10" s="1"/>
  <c r="K1666" i="5"/>
  <c r="M3293" i="5"/>
  <c r="Q657" i="5"/>
  <c r="Q658" i="5" s="1"/>
  <c r="H148" i="10"/>
  <c r="M124" i="5"/>
  <c r="F148" i="10"/>
  <c r="J1870" i="5"/>
  <c r="L2227" i="5"/>
  <c r="M488" i="5"/>
  <c r="K2482" i="5"/>
  <c r="M1879" i="5"/>
  <c r="K3356" i="5"/>
  <c r="J3356" i="5"/>
  <c r="M1807" i="5"/>
  <c r="L3356" i="5"/>
  <c r="Q3359" i="5"/>
  <c r="Q3360" i="5"/>
  <c r="Q3361" i="5" s="1"/>
  <c r="Q1626" i="5"/>
  <c r="Q1627" i="5" s="1"/>
  <c r="M240" i="5"/>
  <c r="Q1311" i="5"/>
  <c r="J1309" i="5" s="1"/>
  <c r="M2127" i="5"/>
  <c r="I3356" i="5"/>
  <c r="H212" i="10"/>
  <c r="J1622" i="5"/>
  <c r="M1457" i="5"/>
  <c r="Q502" i="5"/>
  <c r="Q504" i="5" s="1"/>
  <c r="Q505" i="5" s="1"/>
  <c r="M1967" i="5"/>
  <c r="Q1777" i="5"/>
  <c r="G1784" i="5" s="1"/>
  <c r="AI35" i="5" s="1"/>
  <c r="M9" i="9" s="1"/>
  <c r="E25" i="9" s="1"/>
  <c r="M3089" i="5"/>
  <c r="M3082" i="5"/>
  <c r="H184" i="10"/>
  <c r="G184" i="10"/>
  <c r="Q2332" i="5"/>
  <c r="G2342" i="5"/>
  <c r="J184" i="10"/>
  <c r="I184" i="10"/>
  <c r="L2329" i="5"/>
  <c r="I2329" i="5"/>
  <c r="H2329" i="5"/>
  <c r="K2329" i="5"/>
  <c r="F184" i="10"/>
  <c r="J2329" i="5"/>
  <c r="Q2333" i="5"/>
  <c r="B184" i="10" s="1"/>
  <c r="L2336" i="5"/>
  <c r="K2336" i="5"/>
  <c r="M2878" i="5"/>
  <c r="L1972" i="5"/>
  <c r="K1972" i="5"/>
  <c r="I1112" i="5"/>
  <c r="G128" i="10"/>
  <c r="I85" i="5"/>
  <c r="K85" i="5"/>
  <c r="M1100" i="5"/>
  <c r="M736" i="5"/>
  <c r="J1985" i="5"/>
  <c r="J1972" i="5"/>
  <c r="Q1977" i="5"/>
  <c r="H1972" i="5"/>
  <c r="Q1975" i="5"/>
  <c r="H1112" i="5"/>
  <c r="J8" i="10"/>
  <c r="H156" i="10"/>
  <c r="M2950" i="5"/>
  <c r="H8" i="10"/>
  <c r="M335" i="5"/>
  <c r="M2120" i="5"/>
  <c r="H85" i="5"/>
  <c r="J85" i="5"/>
  <c r="G1985" i="5"/>
  <c r="G8" i="10"/>
  <c r="M328" i="5"/>
  <c r="Q88" i="5"/>
  <c r="C156" i="10"/>
  <c r="A156" i="10" s="1"/>
  <c r="F156" i="10"/>
  <c r="H449" i="5"/>
  <c r="J1112" i="5"/>
  <c r="G1988" i="5"/>
  <c r="AI39" i="5" s="1"/>
  <c r="J10" i="9" s="1"/>
  <c r="F18" i="9" s="1"/>
  <c r="Q1822" i="5"/>
  <c r="I156" i="10"/>
  <c r="J156" i="10"/>
  <c r="L1112" i="5"/>
  <c r="L85" i="5"/>
  <c r="M2695" i="5"/>
  <c r="H1826" i="5"/>
  <c r="L1826" i="5"/>
  <c r="F88" i="10"/>
  <c r="Q1109" i="5"/>
  <c r="C88" i="10" s="1"/>
  <c r="H1360" i="5"/>
  <c r="H108" i="10"/>
  <c r="I1360" i="5"/>
  <c r="L1360" i="5"/>
  <c r="G1376" i="5"/>
  <c r="AI27" i="5" s="1"/>
  <c r="M11" i="9" s="1"/>
  <c r="F25" i="9" s="1"/>
  <c r="F108" i="10"/>
  <c r="J108" i="10"/>
  <c r="Q1363" i="5"/>
  <c r="I108" i="10"/>
  <c r="K1360" i="5"/>
  <c r="G108" i="10"/>
  <c r="Q1364" i="5"/>
  <c r="J1373" i="5" s="1"/>
  <c r="J1360" i="5"/>
  <c r="G1373" i="5"/>
  <c r="J88" i="10"/>
  <c r="K1105" i="5"/>
  <c r="Q1108" i="5"/>
  <c r="G1070" i="5"/>
  <c r="AI21" i="5" s="1"/>
  <c r="M16" i="9" s="1"/>
  <c r="I24" i="9" s="1"/>
  <c r="J212" i="10"/>
  <c r="Q2690" i="5"/>
  <c r="B212" i="10" s="1"/>
  <c r="I1061" i="5"/>
  <c r="Q1625" i="5"/>
  <c r="Q1830" i="5"/>
  <c r="Q1831" i="5" s="1"/>
  <c r="Q349" i="5"/>
  <c r="J347" i="5" s="1"/>
  <c r="G1118" i="5"/>
  <c r="J1105" i="5"/>
  <c r="Q2689" i="5"/>
  <c r="G1121" i="5"/>
  <c r="AI22" i="5" s="1"/>
  <c r="N14" i="9" s="1"/>
  <c r="H26" i="9" s="1"/>
  <c r="J1061" i="5"/>
  <c r="H2387" i="5"/>
  <c r="H1622" i="5"/>
  <c r="M2426" i="5"/>
  <c r="I88" i="10"/>
  <c r="I1105" i="5"/>
  <c r="H1105" i="5"/>
  <c r="I2686" i="5"/>
  <c r="L1622" i="5"/>
  <c r="G1631" i="5"/>
  <c r="AI32" i="5" s="1"/>
  <c r="J15" i="9" s="1"/>
  <c r="H19" i="9" s="1"/>
  <c r="Q1829" i="5"/>
  <c r="J2686" i="5"/>
  <c r="G2702" i="5"/>
  <c r="AI53" i="5" s="1"/>
  <c r="M19" i="9" s="1"/>
  <c r="J25" i="9" s="1"/>
  <c r="L1105" i="5"/>
  <c r="Q2237" i="5"/>
  <c r="I212" i="10"/>
  <c r="F212" i="10"/>
  <c r="K1622" i="5"/>
  <c r="I1826" i="5"/>
  <c r="H88" i="10"/>
  <c r="H2686" i="5"/>
  <c r="K2686" i="5"/>
  <c r="G2699" i="5"/>
  <c r="Q2486" i="5"/>
  <c r="B196" i="10" s="1"/>
  <c r="J1826" i="5"/>
  <c r="M2273" i="5"/>
  <c r="H188" i="10"/>
  <c r="F188" i="10"/>
  <c r="I188" i="10"/>
  <c r="G188" i="10"/>
  <c r="Q2383" i="5"/>
  <c r="G506" i="5"/>
  <c r="K493" i="5"/>
  <c r="Q1669" i="5"/>
  <c r="F132" i="10"/>
  <c r="M393" i="5"/>
  <c r="G132" i="10"/>
  <c r="G1679" i="5"/>
  <c r="J1666" i="5"/>
  <c r="M743" i="5"/>
  <c r="M1610" i="5"/>
  <c r="Q1670" i="5"/>
  <c r="B132" i="10" s="1"/>
  <c r="M1093" i="5"/>
  <c r="M2324" i="5"/>
  <c r="Q1415" i="5"/>
  <c r="B112" i="10" s="1"/>
  <c r="H1666" i="5"/>
  <c r="I1666" i="5"/>
  <c r="G1682" i="5"/>
  <c r="AI33" i="5" s="1"/>
  <c r="K13" i="9" s="1"/>
  <c r="G21" i="9" s="1"/>
  <c r="H132" i="10"/>
  <c r="L1666" i="5"/>
  <c r="M481" i="5"/>
  <c r="M495" i="5"/>
  <c r="L2387" i="5"/>
  <c r="L2438" i="5"/>
  <c r="I2438" i="5"/>
  <c r="I2387" i="5"/>
  <c r="Q852" i="5"/>
  <c r="J68" i="10" s="1"/>
  <c r="Q2442" i="5"/>
  <c r="Q2443" i="5" s="1"/>
  <c r="Q2391" i="5"/>
  <c r="Q2392" i="5" s="1"/>
  <c r="K2387" i="5"/>
  <c r="J2387" i="5"/>
  <c r="H2438" i="5"/>
  <c r="K2438" i="5"/>
  <c r="J2438" i="5"/>
  <c r="G1172" i="5"/>
  <c r="AI23" i="5" s="1"/>
  <c r="G7" i="9" s="1"/>
  <c r="D13" i="9" s="1"/>
  <c r="J92" i="10"/>
  <c r="Q2790" i="5"/>
  <c r="I220" i="10" s="1"/>
  <c r="J144" i="10"/>
  <c r="K449" i="5"/>
  <c r="Q2238" i="5"/>
  <c r="Q2239" i="5" s="1"/>
  <c r="H144" i="10"/>
  <c r="G144" i="10"/>
  <c r="L2897" i="5"/>
  <c r="Q1823" i="5"/>
  <c r="B144" i="10" s="1"/>
  <c r="G458" i="5"/>
  <c r="AI9" i="5" s="1"/>
  <c r="K6" i="9" s="1"/>
  <c r="D20" i="9" s="1"/>
  <c r="Q452" i="5"/>
  <c r="L2234" i="5"/>
  <c r="I2234" i="5"/>
  <c r="K2234" i="5"/>
  <c r="Q1619" i="5"/>
  <c r="Q1620" i="5" s="1"/>
  <c r="I1615" i="5"/>
  <c r="I128" i="10"/>
  <c r="G713" i="5"/>
  <c r="AI14" i="5" s="1"/>
  <c r="M20" i="9" s="1"/>
  <c r="K24" i="9" s="1"/>
  <c r="J1819" i="5"/>
  <c r="L449" i="5"/>
  <c r="G1628" i="5"/>
  <c r="H128" i="10"/>
  <c r="G1832" i="5"/>
  <c r="M277" i="5"/>
  <c r="G1835" i="5"/>
  <c r="AI36" i="5" s="1"/>
  <c r="N7" i="9" s="1"/>
  <c r="D27" i="9" s="1"/>
  <c r="K1819" i="5"/>
  <c r="Q859" i="5"/>
  <c r="J857" i="5" s="1"/>
  <c r="I1819" i="5"/>
  <c r="J449" i="5"/>
  <c r="Q1618" i="5"/>
  <c r="L1819" i="5"/>
  <c r="F128" i="10"/>
  <c r="K1615" i="5"/>
  <c r="L1615" i="5"/>
  <c r="K697" i="5"/>
  <c r="H1615" i="5"/>
  <c r="H1819" i="5"/>
  <c r="I144" i="10"/>
  <c r="Q453" i="5"/>
  <c r="Q454" i="5" s="1"/>
  <c r="J2234" i="5"/>
  <c r="J1615" i="5"/>
  <c r="M3103" i="5"/>
  <c r="M2783" i="5"/>
  <c r="M284" i="5"/>
  <c r="M2535" i="5"/>
  <c r="J2183" i="5"/>
  <c r="I2183" i="5"/>
  <c r="L2183" i="5"/>
  <c r="M1770" i="5"/>
  <c r="M2688" i="5"/>
  <c r="M1763" i="5"/>
  <c r="M1603" i="5"/>
  <c r="K2023" i="5"/>
  <c r="M3031" i="5"/>
  <c r="L2023" i="5"/>
  <c r="Q2900" i="5"/>
  <c r="M2491" i="5"/>
  <c r="Q1006" i="5"/>
  <c r="L952" i="5"/>
  <c r="I2897" i="5"/>
  <c r="J238" i="5"/>
  <c r="I20" i="10"/>
  <c r="K2176" i="5"/>
  <c r="G2189" i="5"/>
  <c r="H2897" i="5"/>
  <c r="Q2027" i="5"/>
  <c r="C160" i="10" s="1"/>
  <c r="H160" i="10"/>
  <c r="G196" i="10"/>
  <c r="H2482" i="5"/>
  <c r="M991" i="5"/>
  <c r="M3191" i="5"/>
  <c r="M2011" i="5"/>
  <c r="M2681" i="5"/>
  <c r="J2540" i="5"/>
  <c r="L1061" i="5"/>
  <c r="Q2901" i="5"/>
  <c r="Q2902" i="5" s="1"/>
  <c r="G160" i="10"/>
  <c r="G2345" i="5"/>
  <c r="AI46" i="5" s="1"/>
  <c r="J7" i="9" s="1"/>
  <c r="D19" i="9" s="1"/>
  <c r="H196" i="10"/>
  <c r="Q2485" i="5"/>
  <c r="G611" i="5"/>
  <c r="AI12" i="5" s="1"/>
  <c r="H12" i="9" s="1"/>
  <c r="G14" i="9" s="1"/>
  <c r="L3254" i="5"/>
  <c r="Q1064" i="5"/>
  <c r="K2897" i="5"/>
  <c r="H2336" i="5"/>
  <c r="I2336" i="5"/>
  <c r="H2023" i="5"/>
  <c r="J160" i="10"/>
  <c r="I196" i="10"/>
  <c r="L2482" i="5"/>
  <c r="H245" i="5"/>
  <c r="G2498" i="5"/>
  <c r="AI49" i="5" s="1"/>
  <c r="F5" i="9" s="1"/>
  <c r="C11" i="9" s="1"/>
  <c r="G2036" i="5"/>
  <c r="J196" i="10"/>
  <c r="M597" i="5"/>
  <c r="G764" i="5"/>
  <c r="AI15" i="5" s="1"/>
  <c r="N18" i="9" s="1"/>
  <c r="J26" i="9" s="1"/>
  <c r="H1061" i="5"/>
  <c r="Q2340" i="5"/>
  <c r="Q2341" i="5" s="1"/>
  <c r="I160" i="10"/>
  <c r="F160" i="10"/>
  <c r="G2495" i="5"/>
  <c r="I2482" i="5"/>
  <c r="Q248" i="5"/>
  <c r="M2287" i="5"/>
  <c r="K755" i="5"/>
  <c r="Q2339" i="5"/>
  <c r="J3094" i="5"/>
  <c r="F196" i="10"/>
  <c r="L602" i="5"/>
  <c r="K1061" i="5"/>
  <c r="J2336" i="5"/>
  <c r="Q2034" i="5"/>
  <c r="Q2035" i="5" s="1"/>
  <c r="Q2026" i="5"/>
  <c r="J2023" i="5"/>
  <c r="K2285" i="5"/>
  <c r="H112" i="10"/>
  <c r="I176" i="10"/>
  <c r="F172" i="10"/>
  <c r="I2380" i="5"/>
  <c r="Q2384" i="5"/>
  <c r="B188" i="10" s="1"/>
  <c r="M131" i="5"/>
  <c r="J2285" i="5"/>
  <c r="I2227" i="5"/>
  <c r="H172" i="10"/>
  <c r="J188" i="10"/>
  <c r="H2380" i="5"/>
  <c r="M859" i="5"/>
  <c r="Q2230" i="5"/>
  <c r="J2227" i="5"/>
  <c r="F176" i="10"/>
  <c r="G2240" i="5"/>
  <c r="K2380" i="5"/>
  <c r="M1617" i="5"/>
  <c r="M1865" i="5"/>
  <c r="M1573" i="5"/>
  <c r="H176" i="10"/>
  <c r="Q2231" i="5"/>
  <c r="J2240" i="5" s="1"/>
  <c r="G2396" i="5"/>
  <c r="AI47" i="5" s="1"/>
  <c r="N20" i="9" s="1"/>
  <c r="K26" i="9" s="1"/>
  <c r="G2393" i="5"/>
  <c r="G2243" i="5"/>
  <c r="AI44" i="5" s="1"/>
  <c r="H11" i="9" s="1"/>
  <c r="F15" i="9" s="1"/>
  <c r="H2227" i="5"/>
  <c r="L2380" i="5"/>
  <c r="F100" i="10"/>
  <c r="J176" i="10"/>
  <c r="J2380" i="5"/>
  <c r="Q3098" i="5"/>
  <c r="Q3099" i="5" s="1"/>
  <c r="Q1262" i="5"/>
  <c r="C100" i="10" s="1"/>
  <c r="G100" i="10"/>
  <c r="M2674" i="5"/>
  <c r="I1258" i="5"/>
  <c r="J1258" i="5"/>
  <c r="K1258" i="5"/>
  <c r="I100" i="10"/>
  <c r="H1258" i="5"/>
  <c r="J100" i="10"/>
  <c r="M838" i="5"/>
  <c r="Q1261" i="5"/>
  <c r="L1258" i="5"/>
  <c r="H100" i="10"/>
  <c r="H697" i="5"/>
  <c r="H56" i="10"/>
  <c r="J2030" i="5"/>
  <c r="M1858" i="5"/>
  <c r="Q2033" i="5"/>
  <c r="M845" i="5"/>
  <c r="J2948" i="5"/>
  <c r="J697" i="5"/>
  <c r="K2030" i="5"/>
  <c r="Q701" i="5"/>
  <c r="C56" i="10" s="1"/>
  <c r="M2790" i="5"/>
  <c r="M1195" i="5"/>
  <c r="M1297" i="5"/>
  <c r="G710" i="5"/>
  <c r="I697" i="5"/>
  <c r="L2030" i="5"/>
  <c r="I56" i="10"/>
  <c r="G2039" i="5"/>
  <c r="AI40" i="5" s="1"/>
  <c r="K9" i="9" s="1"/>
  <c r="E21" i="9" s="1"/>
  <c r="I2948" i="5"/>
  <c r="Q700" i="5"/>
  <c r="I2030" i="5"/>
  <c r="J56" i="10"/>
  <c r="I3050" i="5"/>
  <c r="Q2952" i="5"/>
  <c r="Q2953" i="5" s="1"/>
  <c r="L2948" i="5"/>
  <c r="G56" i="10"/>
  <c r="L697" i="5"/>
  <c r="H24" i="10"/>
  <c r="I289" i="5"/>
  <c r="G302" i="5"/>
  <c r="H289" i="5"/>
  <c r="F24" i="10"/>
  <c r="G24" i="10"/>
  <c r="L289" i="5"/>
  <c r="K289" i="5"/>
  <c r="Q293" i="5"/>
  <c r="C24" i="10" s="1"/>
  <c r="I24" i="10"/>
  <c r="J289" i="5"/>
  <c r="Q292" i="5"/>
  <c r="J24" i="10"/>
  <c r="H2278" i="5"/>
  <c r="K2278" i="5"/>
  <c r="Q2281" i="5"/>
  <c r="I180" i="10"/>
  <c r="F180" i="10"/>
  <c r="I2278" i="5"/>
  <c r="Q2282" i="5"/>
  <c r="C180" i="10" s="1"/>
  <c r="J180" i="10"/>
  <c r="L2278" i="5"/>
  <c r="G180" i="10"/>
  <c r="J2278" i="5"/>
  <c r="H180" i="10"/>
  <c r="G2294" i="5"/>
  <c r="AI45" i="5" s="1"/>
  <c r="I8" i="9" s="1"/>
  <c r="E16" i="9" s="1"/>
  <c r="G2291" i="5"/>
  <c r="I238" i="5"/>
  <c r="G20" i="10"/>
  <c r="Q497" i="5"/>
  <c r="C40" i="10" s="1"/>
  <c r="Q241" i="5"/>
  <c r="L493" i="5"/>
  <c r="H40" i="10"/>
  <c r="I493" i="5"/>
  <c r="I40" i="10"/>
  <c r="L136" i="5"/>
  <c r="H20" i="10"/>
  <c r="I245" i="5"/>
  <c r="M1304" i="5"/>
  <c r="M1267" i="5"/>
  <c r="M590" i="5"/>
  <c r="G40" i="10"/>
  <c r="G251" i="5"/>
  <c r="Q249" i="5"/>
  <c r="Q250" i="5" s="1"/>
  <c r="M1202" i="5"/>
  <c r="Q605" i="5"/>
  <c r="H602" i="5"/>
  <c r="Q140" i="5"/>
  <c r="J149" i="5" s="1"/>
  <c r="F20" i="10"/>
  <c r="G254" i="5"/>
  <c r="AI5" i="5" s="1"/>
  <c r="J13" i="9" s="1"/>
  <c r="G19" i="9" s="1"/>
  <c r="L245" i="5"/>
  <c r="K238" i="5"/>
  <c r="H493" i="5"/>
  <c r="F12" i="10"/>
  <c r="Q242" i="5"/>
  <c r="B20" i="10" s="1"/>
  <c r="F40" i="10"/>
  <c r="J493" i="5"/>
  <c r="L3298" i="5"/>
  <c r="L238" i="5"/>
  <c r="J20" i="10"/>
  <c r="J602" i="5"/>
  <c r="K245" i="5"/>
  <c r="Q606" i="5"/>
  <c r="Q607" i="5" s="1"/>
  <c r="M3096" i="5"/>
  <c r="H238" i="5"/>
  <c r="Q496" i="5"/>
  <c r="J40" i="10"/>
  <c r="K602" i="5"/>
  <c r="M2164" i="5"/>
  <c r="M2521" i="5"/>
  <c r="G2651" i="5"/>
  <c r="AI52" i="5" s="1"/>
  <c r="N16" i="9" s="1"/>
  <c r="I26" i="9" s="1"/>
  <c r="Q2645" i="5"/>
  <c r="F92" i="10"/>
  <c r="H1156" i="5"/>
  <c r="G92" i="10"/>
  <c r="J1156" i="5"/>
  <c r="L2642" i="5"/>
  <c r="Q1159" i="5"/>
  <c r="K2642" i="5"/>
  <c r="G1169" i="5"/>
  <c r="K1156" i="5"/>
  <c r="Q2646" i="5"/>
  <c r="Q2647" i="5" s="1"/>
  <c r="L1156" i="5"/>
  <c r="I2642" i="5"/>
  <c r="I1156" i="5"/>
  <c r="J2642" i="5"/>
  <c r="Q1160" i="5"/>
  <c r="J1169" i="5" s="1"/>
  <c r="M291" i="5"/>
  <c r="I92" i="10"/>
  <c r="K2795" i="5"/>
  <c r="I2795" i="5"/>
  <c r="L2795" i="5"/>
  <c r="M947" i="5"/>
  <c r="M2528" i="5"/>
  <c r="G1427" i="5"/>
  <c r="AI28" i="5" s="1"/>
  <c r="L13" i="9" s="1"/>
  <c r="G23" i="9" s="1"/>
  <c r="F112" i="10"/>
  <c r="M1260" i="5"/>
  <c r="G1424" i="5"/>
  <c r="G112" i="10"/>
  <c r="J1411" i="5"/>
  <c r="I1411" i="5"/>
  <c r="Q1414" i="5"/>
  <c r="H1411" i="5"/>
  <c r="M1209" i="5"/>
  <c r="K1411" i="5"/>
  <c r="L1411" i="5"/>
  <c r="H143" i="5"/>
  <c r="J112" i="10"/>
  <c r="Q759" i="5"/>
  <c r="Q760" i="5" s="1"/>
  <c r="Q758" i="5"/>
  <c r="M2797" i="5"/>
  <c r="I755" i="5"/>
  <c r="L755" i="5"/>
  <c r="M954" i="5"/>
  <c r="J755" i="5"/>
  <c r="K391" i="5"/>
  <c r="Q3053" i="5"/>
  <c r="G404" i="5"/>
  <c r="G3059" i="5"/>
  <c r="AI60" i="5" s="1"/>
  <c r="K19" i="9" s="1"/>
  <c r="J21" i="9" s="1"/>
  <c r="K3050" i="5"/>
  <c r="Q3054" i="5"/>
  <c r="Q3055" i="5" s="1"/>
  <c r="Q2798" i="5"/>
  <c r="H2795" i="5"/>
  <c r="H32" i="10"/>
  <c r="Q394" i="5"/>
  <c r="M3344" i="5"/>
  <c r="L391" i="5"/>
  <c r="Q395" i="5"/>
  <c r="C32" i="10" s="1"/>
  <c r="I391" i="5"/>
  <c r="G32" i="10"/>
  <c r="H3050" i="5"/>
  <c r="I32" i="10"/>
  <c r="F32" i="10"/>
  <c r="J3050" i="5"/>
  <c r="J32" i="10"/>
  <c r="Q2799" i="5"/>
  <c r="Q2800" i="5" s="1"/>
  <c r="J391" i="5"/>
  <c r="Q147" i="5"/>
  <c r="Q148" i="5" s="1"/>
  <c r="H646" i="5"/>
  <c r="J2890" i="5"/>
  <c r="H2890" i="5"/>
  <c r="J52" i="10"/>
  <c r="K143" i="5"/>
  <c r="I646" i="5"/>
  <c r="G2906" i="5"/>
  <c r="AI57" i="5" s="1"/>
  <c r="N13" i="9" s="1"/>
  <c r="G27" i="9" s="1"/>
  <c r="J228" i="10"/>
  <c r="G228" i="10"/>
  <c r="L143" i="5"/>
  <c r="I228" i="10"/>
  <c r="G2903" i="5"/>
  <c r="Q2893" i="5"/>
  <c r="M940" i="5"/>
  <c r="J143" i="5"/>
  <c r="I2890" i="5"/>
  <c r="H228" i="10"/>
  <c r="K2890" i="5"/>
  <c r="M852" i="5"/>
  <c r="Q146" i="5"/>
  <c r="F228" i="10"/>
  <c r="Q2894" i="5"/>
  <c r="C228" i="10" s="1"/>
  <c r="G659" i="5"/>
  <c r="I3094" i="5"/>
  <c r="Q3352" i="5"/>
  <c r="I2176" i="5"/>
  <c r="Q2187" i="5"/>
  <c r="Q2188" i="5" s="1"/>
  <c r="K398" i="5"/>
  <c r="H3094" i="5"/>
  <c r="H398" i="5"/>
  <c r="Q1523" i="5"/>
  <c r="L2176" i="5"/>
  <c r="H2183" i="5"/>
  <c r="J244" i="10"/>
  <c r="L3094" i="5"/>
  <c r="I398" i="5"/>
  <c r="I172" i="10"/>
  <c r="G172" i="10"/>
  <c r="M2776" i="5"/>
  <c r="M2280" i="5"/>
  <c r="G244" i="10"/>
  <c r="K3094" i="5"/>
  <c r="J172" i="10"/>
  <c r="J2176" i="5"/>
  <c r="H244" i="10"/>
  <c r="F244" i="10"/>
  <c r="G2192" i="5"/>
  <c r="AI43" i="5" s="1"/>
  <c r="G4" i="9" s="1"/>
  <c r="C12" i="9" s="1"/>
  <c r="Q2180" i="5"/>
  <c r="J2189" i="5" s="1"/>
  <c r="H2176" i="5"/>
  <c r="K2183" i="5"/>
  <c r="G3107" i="5"/>
  <c r="G407" i="5"/>
  <c r="AI8" i="5" s="1"/>
  <c r="N22" i="9" s="1"/>
  <c r="L26" i="9" s="1"/>
  <c r="I244" i="10"/>
  <c r="Q2179" i="5"/>
  <c r="M1756" i="5"/>
  <c r="H1316" i="5"/>
  <c r="Q1319" i="5"/>
  <c r="I1316" i="5"/>
  <c r="J1316" i="5"/>
  <c r="K1316" i="5"/>
  <c r="L1316" i="5"/>
  <c r="Q1320" i="5"/>
  <c r="Q1321" i="5" s="1"/>
  <c r="L1768" i="5"/>
  <c r="Q1772" i="5"/>
  <c r="B140" i="10" s="1"/>
  <c r="Q1771" i="5"/>
  <c r="F140" i="10"/>
  <c r="I140" i="10"/>
  <c r="G140" i="10"/>
  <c r="H1768" i="5"/>
  <c r="I1768" i="5"/>
  <c r="H140" i="10"/>
  <c r="J1768" i="5"/>
  <c r="G1781" i="5"/>
  <c r="K1768" i="5"/>
  <c r="J140" i="10"/>
  <c r="G2750" i="5"/>
  <c r="J3298" i="5"/>
  <c r="H260" i="10"/>
  <c r="I1003" i="5"/>
  <c r="Q3302" i="5"/>
  <c r="Q3303" i="5" s="1"/>
  <c r="G3314" i="5"/>
  <c r="AI65" i="5" s="1"/>
  <c r="N11" i="9" s="1"/>
  <c r="F27" i="9" s="1"/>
  <c r="H1265" i="5"/>
  <c r="K3298" i="5"/>
  <c r="I260" i="10"/>
  <c r="G3311" i="5"/>
  <c r="F80" i="10"/>
  <c r="Q402" i="5"/>
  <c r="Q403" i="5" s="1"/>
  <c r="G1016" i="5"/>
  <c r="H80" i="10"/>
  <c r="Q1007" i="5"/>
  <c r="J1016" i="5" s="1"/>
  <c r="J398" i="5"/>
  <c r="G80" i="10"/>
  <c r="J80" i="10"/>
  <c r="I80" i="10"/>
  <c r="Q401" i="5"/>
  <c r="F260" i="10"/>
  <c r="J260" i="10"/>
  <c r="Q3301" i="5"/>
  <c r="H1003" i="5"/>
  <c r="G260" i="10"/>
  <c r="H3298" i="5"/>
  <c r="J1003" i="5"/>
  <c r="K1003" i="5"/>
  <c r="K959" i="5"/>
  <c r="L959" i="5"/>
  <c r="H952" i="5"/>
  <c r="I952" i="5"/>
  <c r="M2484" i="5"/>
  <c r="J952" i="5"/>
  <c r="H76" i="10"/>
  <c r="J1564" i="5"/>
  <c r="Q1516" i="5"/>
  <c r="Q956" i="5"/>
  <c r="C76" i="10" s="1"/>
  <c r="G965" i="5"/>
  <c r="I76" i="10"/>
  <c r="G76" i="10"/>
  <c r="M1566" i="5"/>
  <c r="J76" i="10"/>
  <c r="F76" i="10"/>
  <c r="Q955" i="5"/>
  <c r="G968" i="5"/>
  <c r="AI19" i="5" s="1"/>
  <c r="K4" i="9" s="1"/>
  <c r="C20" i="9" s="1"/>
  <c r="H2533" i="5"/>
  <c r="Q3104" i="5"/>
  <c r="I3101" i="5"/>
  <c r="I1265" i="5"/>
  <c r="L1564" i="5"/>
  <c r="Q650" i="5"/>
  <c r="C52" i="10" s="1"/>
  <c r="G662" i="5"/>
  <c r="AI13" i="5" s="1"/>
  <c r="L5" i="9" s="1"/>
  <c r="C23" i="9" s="1"/>
  <c r="M2171" i="5"/>
  <c r="Q1269" i="5"/>
  <c r="Q1270" i="5" s="1"/>
  <c r="G1577" i="5"/>
  <c r="J124" i="10"/>
  <c r="K646" i="5"/>
  <c r="M2477" i="5"/>
  <c r="J959" i="5"/>
  <c r="I1564" i="5"/>
  <c r="H1564" i="5"/>
  <c r="J646" i="5"/>
  <c r="H959" i="5"/>
  <c r="G1274" i="5"/>
  <c r="AI25" i="5" s="1"/>
  <c r="D4" i="9" s="1"/>
  <c r="J1265" i="5"/>
  <c r="H124" i="10"/>
  <c r="G52" i="10"/>
  <c r="G1580" i="5"/>
  <c r="AI31" i="5" s="1"/>
  <c r="I4" i="9" s="1"/>
  <c r="C16" i="9" s="1"/>
  <c r="H1469" i="5"/>
  <c r="G124" i="10"/>
  <c r="M1872" i="5"/>
  <c r="K340" i="5"/>
  <c r="L1265" i="5"/>
  <c r="Q1268" i="5"/>
  <c r="F216" i="10"/>
  <c r="Q1568" i="5"/>
  <c r="B124" i="10" s="1"/>
  <c r="F52" i="10"/>
  <c r="Q1567" i="5"/>
  <c r="I959" i="5"/>
  <c r="Q963" i="5"/>
  <c r="Q964" i="5" s="1"/>
  <c r="F124" i="10"/>
  <c r="I124" i="10"/>
  <c r="Q649" i="5"/>
  <c r="H52" i="10"/>
  <c r="L646" i="5"/>
  <c r="Q962" i="5"/>
  <c r="M342" i="5"/>
  <c r="K3349" i="5"/>
  <c r="F264" i="10"/>
  <c r="G264" i="10"/>
  <c r="Q3353" i="5"/>
  <c r="J3362" i="5" s="1"/>
  <c r="C248" i="10"/>
  <c r="A248" i="10" s="1"/>
  <c r="H2540" i="5"/>
  <c r="I2540" i="5"/>
  <c r="H3349" i="5"/>
  <c r="H264" i="10"/>
  <c r="I264" i="10"/>
  <c r="G3362" i="5"/>
  <c r="G2549" i="5"/>
  <c r="AI50" i="5" s="1"/>
  <c r="G8" i="9" s="1"/>
  <c r="G3365" i="5"/>
  <c r="AI66" i="5" s="1"/>
  <c r="E6" i="9" s="1"/>
  <c r="D8" i="9" s="1"/>
  <c r="Q2543" i="5"/>
  <c r="L2540" i="5"/>
  <c r="I3349" i="5"/>
  <c r="L3349" i="5"/>
  <c r="K2540" i="5"/>
  <c r="J3349" i="5"/>
  <c r="K1520" i="5"/>
  <c r="L1520" i="5"/>
  <c r="Q1524" i="5"/>
  <c r="Q1525" i="5" s="1"/>
  <c r="J1520" i="5"/>
  <c r="H1520" i="5"/>
  <c r="Q2537" i="5"/>
  <c r="B200" i="10" s="1"/>
  <c r="K2533" i="5"/>
  <c r="I3254" i="5"/>
  <c r="F120" i="10"/>
  <c r="H12" i="10"/>
  <c r="K3254" i="5"/>
  <c r="G120" i="10"/>
  <c r="H1513" i="5"/>
  <c r="J12" i="10"/>
  <c r="H200" i="10"/>
  <c r="G200" i="10"/>
  <c r="G1526" i="5"/>
  <c r="Q1517" i="5"/>
  <c r="B120" i="10" s="1"/>
  <c r="I12" i="10"/>
  <c r="Q2536" i="5"/>
  <c r="J3254" i="5"/>
  <c r="I1513" i="5"/>
  <c r="H120" i="10"/>
  <c r="I136" i="5"/>
  <c r="K136" i="5"/>
  <c r="G149" i="5"/>
  <c r="J200" i="10"/>
  <c r="F200" i="10"/>
  <c r="I2533" i="5"/>
  <c r="J2533" i="5"/>
  <c r="H3254" i="5"/>
  <c r="I120" i="10"/>
  <c r="K1513" i="5"/>
  <c r="G12" i="10"/>
  <c r="G2546" i="5"/>
  <c r="Q3258" i="5"/>
  <c r="Q3259" i="5" s="1"/>
  <c r="G152" i="5"/>
  <c r="AI3" i="5" s="1"/>
  <c r="L9" i="9" s="1"/>
  <c r="E23" i="9" s="1"/>
  <c r="J1513" i="5"/>
  <c r="J120" i="10"/>
  <c r="H136" i="5"/>
  <c r="I200" i="10"/>
  <c r="G1529" i="5"/>
  <c r="AI30" i="5" s="1"/>
  <c r="J17" i="9" s="1"/>
  <c r="I19" i="9" s="1"/>
  <c r="J136" i="5"/>
  <c r="L806" i="5"/>
  <c r="Q1473" i="5"/>
  <c r="Q1474" i="5" s="1"/>
  <c r="J1469" i="5"/>
  <c r="I1469" i="5"/>
  <c r="G1478" i="5"/>
  <c r="AI29" i="5" s="1"/>
  <c r="K14" i="9" s="1"/>
  <c r="H20" i="9" s="1"/>
  <c r="J1010" i="5"/>
  <c r="K1469" i="5"/>
  <c r="L1469" i="5"/>
  <c r="Q2740" i="5"/>
  <c r="I216" i="10"/>
  <c r="K2737" i="5"/>
  <c r="J216" i="10"/>
  <c r="H2737" i="5"/>
  <c r="L2737" i="5"/>
  <c r="Q2085" i="5"/>
  <c r="Q2086" i="5" s="1"/>
  <c r="J2081" i="5"/>
  <c r="J2737" i="5"/>
  <c r="H2081" i="5"/>
  <c r="G216" i="10"/>
  <c r="Q2741" i="5"/>
  <c r="Q2742" i="5" s="1"/>
  <c r="L2081" i="5"/>
  <c r="I2081" i="5"/>
  <c r="K2081" i="5"/>
  <c r="I2737" i="5"/>
  <c r="G2753" i="5"/>
  <c r="AI54" i="5" s="1"/>
  <c r="L21" i="9" s="1"/>
  <c r="K23" i="9" s="1"/>
  <c r="G2090" i="5"/>
  <c r="AI41" i="5" s="1"/>
  <c r="L7" i="9" s="1"/>
  <c r="D23" i="9" s="1"/>
  <c r="I64" i="10"/>
  <c r="K1010" i="5"/>
  <c r="H799" i="5"/>
  <c r="L1010" i="5"/>
  <c r="Q1014" i="5"/>
  <c r="Q1015" i="5" s="1"/>
  <c r="H1010" i="5"/>
  <c r="G1019" i="5"/>
  <c r="AI20" i="5" s="1"/>
  <c r="L19" i="9" s="1"/>
  <c r="J23" i="9" s="1"/>
  <c r="Q1013" i="5"/>
  <c r="Q1926" i="5"/>
  <c r="J3158" i="5"/>
  <c r="G2600" i="5"/>
  <c r="AI51" i="5" s="1"/>
  <c r="H7" i="9" s="1"/>
  <c r="D15" i="9" s="1"/>
  <c r="L2591" i="5"/>
  <c r="K2125" i="5"/>
  <c r="Q2594" i="5"/>
  <c r="C152" i="10"/>
  <c r="A152" i="10" s="1"/>
  <c r="G168" i="10"/>
  <c r="Q300" i="5"/>
  <c r="Q301" i="5" s="1"/>
  <c r="F236" i="10"/>
  <c r="Q809" i="5"/>
  <c r="I1928" i="5"/>
  <c r="C236" i="10"/>
  <c r="L2489" i="5"/>
  <c r="J3005" i="5"/>
  <c r="H806" i="5"/>
  <c r="G1937" i="5"/>
  <c r="AI38" i="5" s="1"/>
  <c r="I13" i="9" s="1"/>
  <c r="G17" i="9" s="1"/>
  <c r="K806" i="5"/>
  <c r="J1928" i="5"/>
  <c r="J806" i="5"/>
  <c r="B236" i="10"/>
  <c r="K2992" i="5"/>
  <c r="Q810" i="5"/>
  <c r="Q811" i="5" s="1"/>
  <c r="Q1931" i="5"/>
  <c r="L1928" i="5"/>
  <c r="K1928" i="5"/>
  <c r="Q1932" i="5"/>
  <c r="Q1933" i="5" s="1"/>
  <c r="G64" i="10"/>
  <c r="K799" i="5"/>
  <c r="J799" i="5"/>
  <c r="G812" i="5"/>
  <c r="I799" i="5"/>
  <c r="Q803" i="5"/>
  <c r="J812" i="5" s="1"/>
  <c r="G815" i="5"/>
  <c r="AI16" i="5" s="1"/>
  <c r="I6" i="9" s="1"/>
  <c r="D16" i="9" s="1"/>
  <c r="F64" i="10"/>
  <c r="J64" i="10"/>
  <c r="H64" i="10"/>
  <c r="Q802" i="5"/>
  <c r="I1571" i="5"/>
  <c r="L3203" i="5"/>
  <c r="H2489" i="5"/>
  <c r="I3008" i="5"/>
  <c r="AJ59" i="5" s="1"/>
  <c r="I3203" i="5"/>
  <c r="I187" i="5"/>
  <c r="K2591" i="5"/>
  <c r="Q3206" i="5"/>
  <c r="J2489" i="5"/>
  <c r="I2489" i="5"/>
  <c r="Q2493" i="5"/>
  <c r="Q2494" i="5" s="1"/>
  <c r="Q2492" i="5"/>
  <c r="J3056" i="5"/>
  <c r="K2489" i="5"/>
  <c r="Q3048" i="5"/>
  <c r="B240" i="10"/>
  <c r="A240" i="10" s="1"/>
  <c r="I2999" i="5"/>
  <c r="I901" i="5"/>
  <c r="Q3207" i="5"/>
  <c r="Q3208" i="5" s="1"/>
  <c r="J901" i="5"/>
  <c r="F72" i="10"/>
  <c r="K901" i="5"/>
  <c r="G914" i="5"/>
  <c r="K3203" i="5"/>
  <c r="G72" i="10"/>
  <c r="H72" i="10"/>
  <c r="L901" i="5"/>
  <c r="J72" i="10"/>
  <c r="I72" i="10"/>
  <c r="Q905" i="5"/>
  <c r="Q906" i="5" s="1"/>
  <c r="Q3150" i="5"/>
  <c r="G917" i="5"/>
  <c r="AI18" i="5" s="1"/>
  <c r="G11" i="9" s="1"/>
  <c r="F13" i="9" s="1"/>
  <c r="H901" i="5"/>
  <c r="H3203" i="5"/>
  <c r="K92" i="5"/>
  <c r="L92" i="5"/>
  <c r="I92" i="5"/>
  <c r="G101" i="5"/>
  <c r="AI2" i="5" s="1"/>
  <c r="M7" i="9" s="1"/>
  <c r="D25" i="9" s="1"/>
  <c r="H92" i="5"/>
  <c r="Q95" i="5"/>
  <c r="Q299" i="5"/>
  <c r="G305" i="5"/>
  <c r="AI6" i="5" s="1"/>
  <c r="I15" i="9" s="1"/>
  <c r="H17" i="9" s="1"/>
  <c r="K1717" i="5"/>
  <c r="Q96" i="5"/>
  <c r="Q97" i="5" s="1"/>
  <c r="H296" i="5"/>
  <c r="K296" i="5"/>
  <c r="L296" i="5"/>
  <c r="F136" i="10"/>
  <c r="J2591" i="5"/>
  <c r="I2591" i="5"/>
  <c r="H2591" i="5"/>
  <c r="J1934" i="5"/>
  <c r="G2447" i="5"/>
  <c r="AI48" i="5" s="1"/>
  <c r="Q2435" i="5"/>
  <c r="B192" i="10" s="1"/>
  <c r="H2431" i="5"/>
  <c r="J2852" i="5"/>
  <c r="G192" i="10"/>
  <c r="J2431" i="5"/>
  <c r="G136" i="10"/>
  <c r="H192" i="10"/>
  <c r="J192" i="10"/>
  <c r="H96" i="10"/>
  <c r="G1223" i="5"/>
  <c r="AI24" i="5" s="1"/>
  <c r="F8" i="9" s="1"/>
  <c r="E10" i="9" s="1"/>
  <c r="Q191" i="5"/>
  <c r="B16" i="10" s="1"/>
  <c r="J236" i="10"/>
  <c r="H236" i="10"/>
  <c r="K2431" i="5"/>
  <c r="L1717" i="5"/>
  <c r="L1571" i="5"/>
  <c r="J296" i="5"/>
  <c r="J41" i="5"/>
  <c r="I34" i="5"/>
  <c r="J2999" i="5"/>
  <c r="G3008" i="5"/>
  <c r="AI59" i="5" s="1"/>
  <c r="Q2995" i="5"/>
  <c r="G3005" i="5"/>
  <c r="H2999" i="5"/>
  <c r="I2992" i="5"/>
  <c r="Q3002" i="5"/>
  <c r="I236" i="10"/>
  <c r="G236" i="10"/>
  <c r="Q44" i="5"/>
  <c r="J557" i="5"/>
  <c r="K2999" i="5"/>
  <c r="K41" i="5"/>
  <c r="L2992" i="5"/>
  <c r="J2992" i="5"/>
  <c r="L2999" i="5"/>
  <c r="H2992" i="5"/>
  <c r="I16" i="10"/>
  <c r="Q190" i="5"/>
  <c r="Q3199" i="5"/>
  <c r="I252" i="10"/>
  <c r="J252" i="10"/>
  <c r="K3196" i="5"/>
  <c r="G3212" i="5"/>
  <c r="AI63" i="5" s="1"/>
  <c r="G252" i="10"/>
  <c r="Q3200" i="5"/>
  <c r="H252" i="10"/>
  <c r="I3196" i="5"/>
  <c r="G3209" i="5"/>
  <c r="F252" i="10"/>
  <c r="L3196" i="5"/>
  <c r="J3196" i="5"/>
  <c r="H3196" i="5"/>
  <c r="J187" i="5"/>
  <c r="G203" i="5"/>
  <c r="AI4" i="5" s="1"/>
  <c r="K11" i="9" s="1"/>
  <c r="F21" i="9" s="1"/>
  <c r="K187" i="5"/>
  <c r="G200" i="5"/>
  <c r="J16" i="10"/>
  <c r="H187" i="5"/>
  <c r="G16" i="10"/>
  <c r="F16" i="10"/>
  <c r="H16" i="10"/>
  <c r="Q1720" i="5"/>
  <c r="K34" i="5"/>
  <c r="I4" i="10"/>
  <c r="K1207" i="5"/>
  <c r="J1207" i="5"/>
  <c r="J136" i="10"/>
  <c r="J1717" i="5"/>
  <c r="Q38" i="5"/>
  <c r="G4" i="10"/>
  <c r="G47" i="5"/>
  <c r="G1733" i="5"/>
  <c r="AI34" i="5" s="1"/>
  <c r="L11" i="9" s="1"/>
  <c r="F23" i="9" s="1"/>
  <c r="H1717" i="5"/>
  <c r="H4" i="10"/>
  <c r="L34" i="5"/>
  <c r="L1207" i="5"/>
  <c r="G1730" i="5"/>
  <c r="I136" i="10"/>
  <c r="Q37" i="5"/>
  <c r="J4" i="10"/>
  <c r="I96" i="10"/>
  <c r="Q1211" i="5"/>
  <c r="J1220" i="5" s="1"/>
  <c r="H1207" i="5"/>
  <c r="G2444" i="5"/>
  <c r="I2431" i="5"/>
  <c r="Q2434" i="5"/>
  <c r="F192" i="10"/>
  <c r="L2431" i="5"/>
  <c r="Q1721" i="5"/>
  <c r="I1733" i="5" s="1"/>
  <c r="AJ34" i="5" s="1"/>
  <c r="H34" i="5"/>
  <c r="J34" i="5"/>
  <c r="F96" i="10"/>
  <c r="I1207" i="5"/>
  <c r="J96" i="10"/>
  <c r="H136" i="10"/>
  <c r="G50" i="5"/>
  <c r="AI1" i="5" s="1"/>
  <c r="G1220" i="5"/>
  <c r="Q1210" i="5"/>
  <c r="J1475" i="5"/>
  <c r="C116" i="10"/>
  <c r="A116" i="10" s="1"/>
  <c r="Q1467" i="5"/>
  <c r="H3247" i="5"/>
  <c r="C8" i="10"/>
  <c r="A8" i="10" s="1"/>
  <c r="Q90" i="5"/>
  <c r="J98" i="5"/>
  <c r="H1571" i="5"/>
  <c r="K1571" i="5"/>
  <c r="Q1574" i="5"/>
  <c r="Q1575" i="5"/>
  <c r="Q1576" i="5" s="1"/>
  <c r="J1571" i="5"/>
  <c r="L3247" i="5"/>
  <c r="J2087" i="5"/>
  <c r="B164" i="10"/>
  <c r="A164" i="10" s="1"/>
  <c r="G3263" i="5"/>
  <c r="AI64" i="5" s="1"/>
  <c r="M12" i="9" s="1"/>
  <c r="G24" i="9" s="1"/>
  <c r="J256" i="10"/>
  <c r="K3247" i="5"/>
  <c r="Q3251" i="5"/>
  <c r="B256" i="10" s="1"/>
  <c r="G3260" i="5"/>
  <c r="G256" i="10"/>
  <c r="I3247" i="5"/>
  <c r="C44" i="10"/>
  <c r="A44" i="10" s="1"/>
  <c r="I560" i="5"/>
  <c r="AJ11" i="5" s="1"/>
  <c r="F256" i="10"/>
  <c r="J3247" i="5"/>
  <c r="Q3250" i="5"/>
  <c r="Q549" i="5"/>
  <c r="H256" i="10"/>
  <c r="B224" i="10"/>
  <c r="A224" i="10" s="1"/>
  <c r="I11" i="9"/>
  <c r="F17" i="9" s="1"/>
  <c r="I2855" i="5"/>
  <c r="AJ56" i="5" s="1"/>
  <c r="Q2844" i="5"/>
  <c r="C204" i="10"/>
  <c r="A204" i="10" s="1"/>
  <c r="F7" i="9"/>
  <c r="D11" i="9" s="1"/>
  <c r="F6" i="9"/>
  <c r="D10" i="9" s="1"/>
  <c r="Q2589" i="5"/>
  <c r="J2597" i="5"/>
  <c r="I2600" i="5"/>
  <c r="AJ51" i="5" s="1"/>
  <c r="Q753" i="5"/>
  <c r="C84" i="10"/>
  <c r="A84" i="10" s="1"/>
  <c r="Q1372" i="5"/>
  <c r="B60" i="10"/>
  <c r="A60" i="10" s="1"/>
  <c r="Q2290" i="5"/>
  <c r="B36" i="10"/>
  <c r="A36" i="10" s="1"/>
  <c r="Q447" i="5"/>
  <c r="J455" i="5"/>
  <c r="J1067" i="5"/>
  <c r="Q1059" i="5"/>
  <c r="I1070" i="5"/>
  <c r="AJ21" i="5" s="1"/>
  <c r="B148" i="10"/>
  <c r="A148" i="10" s="1"/>
  <c r="Q913" i="5"/>
  <c r="Q2698" i="5"/>
  <c r="A48" i="10" l="1"/>
  <c r="J761" i="5"/>
  <c r="Q45" i="5"/>
  <c r="Q46" i="5" s="1"/>
  <c r="H41" i="5"/>
  <c r="Q2079" i="5"/>
  <c r="L41" i="5"/>
  <c r="F168" i="10"/>
  <c r="J168" i="10"/>
  <c r="J3101" i="5"/>
  <c r="H2941" i="5"/>
  <c r="L2125" i="5"/>
  <c r="Q2792" i="5"/>
  <c r="C220" i="10" s="1"/>
  <c r="H168" i="10"/>
  <c r="I2125" i="5"/>
  <c r="H3101" i="5"/>
  <c r="L2941" i="5"/>
  <c r="G2954" i="5"/>
  <c r="H232" i="10"/>
  <c r="I2941" i="5"/>
  <c r="G2138" i="5"/>
  <c r="H2125" i="5"/>
  <c r="Q2129" i="5"/>
  <c r="C168" i="10" s="1"/>
  <c r="L3101" i="5"/>
  <c r="G3110" i="5"/>
  <c r="AI61" i="5" s="1"/>
  <c r="J4" i="9" s="1"/>
  <c r="C18" i="9" s="1"/>
  <c r="Q2128" i="5"/>
  <c r="K3101" i="5"/>
  <c r="F232" i="10"/>
  <c r="J2648" i="5"/>
  <c r="I168" i="10"/>
  <c r="L1309" i="5"/>
  <c r="F104" i="10"/>
  <c r="J104" i="10"/>
  <c r="I1309" i="5"/>
  <c r="G6" i="9"/>
  <c r="D12" i="9" s="1"/>
  <c r="F68" i="10"/>
  <c r="Q1313" i="5"/>
  <c r="J1322" i="5" s="1"/>
  <c r="Q1778" i="5"/>
  <c r="G68" i="10"/>
  <c r="K1309" i="5"/>
  <c r="G104" i="10"/>
  <c r="G1325" i="5"/>
  <c r="AI26" i="5" s="1"/>
  <c r="N8" i="9" s="1"/>
  <c r="E26" i="9" s="1"/>
  <c r="K17" i="9"/>
  <c r="I21" i="9" s="1"/>
  <c r="H104" i="10"/>
  <c r="I104" i="10"/>
  <c r="G1322" i="5"/>
  <c r="Q1312" i="5"/>
  <c r="H1309" i="5"/>
  <c r="I3161" i="5"/>
  <c r="AJ62" i="5" s="1"/>
  <c r="J11" i="9"/>
  <c r="F19" i="9" s="1"/>
  <c r="I1988" i="5"/>
  <c r="AJ39" i="5" s="1"/>
  <c r="G2141" i="5"/>
  <c r="AI42" i="5" s="1"/>
  <c r="N24" i="9" s="1"/>
  <c r="M26" i="9" s="1"/>
  <c r="P163" i="9" s="1"/>
  <c r="K1877" i="5"/>
  <c r="Q702" i="5"/>
  <c r="G2957" i="5"/>
  <c r="AI58" i="5" s="1"/>
  <c r="M15" i="9" s="1"/>
  <c r="H25" i="9" s="1"/>
  <c r="Q2951" i="5"/>
  <c r="K2948" i="5"/>
  <c r="C188" i="10"/>
  <c r="A188" i="10" s="1"/>
  <c r="L1877" i="5"/>
  <c r="J2132" i="5"/>
  <c r="G1886" i="5"/>
  <c r="AI37" i="5" s="1"/>
  <c r="H5" i="9" s="1"/>
  <c r="C15" i="9" s="1"/>
  <c r="Q2385" i="5"/>
  <c r="Q2136" i="5"/>
  <c r="Q2137" i="5" s="1"/>
  <c r="Q1880" i="5"/>
  <c r="H1877" i="5"/>
  <c r="H2132" i="5"/>
  <c r="Q2135" i="5"/>
  <c r="I1877" i="5"/>
  <c r="K2132" i="5"/>
  <c r="J1877" i="5"/>
  <c r="J2393" i="5"/>
  <c r="L2132" i="5"/>
  <c r="J340" i="5"/>
  <c r="G28" i="10"/>
  <c r="Q343" i="5"/>
  <c r="H28" i="10"/>
  <c r="I28" i="10"/>
  <c r="L340" i="5"/>
  <c r="J28" i="10"/>
  <c r="G353" i="5"/>
  <c r="F28" i="10"/>
  <c r="I340" i="5"/>
  <c r="Q344" i="5"/>
  <c r="Q345" i="5" s="1"/>
  <c r="Q2640" i="5"/>
  <c r="C208" i="10"/>
  <c r="A208" i="10" s="1"/>
  <c r="J2941" i="5"/>
  <c r="I3059" i="5"/>
  <c r="AJ60" i="5" s="1"/>
  <c r="C112" i="10"/>
  <c r="A112" i="10" s="1"/>
  <c r="I1886" i="5"/>
  <c r="AJ37" i="5" s="1"/>
  <c r="J1883" i="5"/>
  <c r="Q1875" i="5"/>
  <c r="M17" i="9"/>
  <c r="I25" i="9" s="1"/>
  <c r="Q2945" i="5"/>
  <c r="C232" i="10" s="1"/>
  <c r="J1118" i="5"/>
  <c r="B88" i="10"/>
  <c r="A88" i="10" s="1"/>
  <c r="Q1110" i="5"/>
  <c r="Q860" i="5"/>
  <c r="K857" i="5"/>
  <c r="J6" i="9"/>
  <c r="D18" i="9" s="1"/>
  <c r="L347" i="5"/>
  <c r="K2941" i="5"/>
  <c r="Q651" i="5"/>
  <c r="I662" i="5"/>
  <c r="AJ13" i="5" s="1"/>
  <c r="Q861" i="5"/>
  <c r="Q862" i="5" s="1"/>
  <c r="I232" i="10"/>
  <c r="I1121" i="5"/>
  <c r="AJ22" i="5" s="1"/>
  <c r="Q2944" i="5"/>
  <c r="J232" i="10"/>
  <c r="J659" i="5"/>
  <c r="B52" i="10"/>
  <c r="A52" i="10" s="1"/>
  <c r="H857" i="5"/>
  <c r="I857" i="5"/>
  <c r="L857" i="5"/>
  <c r="J500" i="5"/>
  <c r="Q503" i="5"/>
  <c r="K500" i="5"/>
  <c r="L500" i="5"/>
  <c r="H500" i="5"/>
  <c r="G509" i="5"/>
  <c r="AI10" i="5" s="1"/>
  <c r="J9" i="9" s="1"/>
  <c r="E19" i="9" s="1"/>
  <c r="I500" i="5"/>
  <c r="I458" i="5"/>
  <c r="AJ9" i="5" s="1"/>
  <c r="J14" i="9"/>
  <c r="H18" i="9" s="1"/>
  <c r="C132" i="10"/>
  <c r="A132" i="10" s="1"/>
  <c r="I1427" i="5"/>
  <c r="AJ28" i="5" s="1"/>
  <c r="F220" i="10"/>
  <c r="M18" i="9"/>
  <c r="J24" i="9" s="1"/>
  <c r="G220" i="10"/>
  <c r="K2788" i="5"/>
  <c r="J1424" i="5"/>
  <c r="M21" i="9"/>
  <c r="K25" i="9" s="1"/>
  <c r="K7" i="9"/>
  <c r="D21" i="9" s="1"/>
  <c r="Q1416" i="5"/>
  <c r="L2788" i="5"/>
  <c r="J220" i="10"/>
  <c r="G2804" i="5"/>
  <c r="AI55" i="5" s="1"/>
  <c r="E5" i="9" s="1"/>
  <c r="C9" i="9" s="1"/>
  <c r="J2788" i="5"/>
  <c r="Q2791" i="5"/>
  <c r="H2788" i="5"/>
  <c r="I2396" i="5"/>
  <c r="AJ47" i="5" s="1"/>
  <c r="H220" i="10"/>
  <c r="G2801" i="5"/>
  <c r="I2788" i="5"/>
  <c r="N15" i="9"/>
  <c r="H27" i="9" s="1"/>
  <c r="K12" i="9"/>
  <c r="G20" i="9" s="1"/>
  <c r="J200" i="5"/>
  <c r="Q1779" i="5"/>
  <c r="Q1780" i="5" s="1"/>
  <c r="I1775" i="5"/>
  <c r="L1775" i="5"/>
  <c r="H1775" i="5"/>
  <c r="J1775" i="5"/>
  <c r="K1775" i="5"/>
  <c r="M10" i="9"/>
  <c r="F24" i="9" s="1"/>
  <c r="I1376" i="5"/>
  <c r="AJ27" i="5" s="1"/>
  <c r="J1271" i="5"/>
  <c r="I2702" i="5"/>
  <c r="AJ53" i="5" s="1"/>
  <c r="B108" i="10"/>
  <c r="Q1365" i="5"/>
  <c r="J2699" i="5"/>
  <c r="C196" i="10"/>
  <c r="A196" i="10" s="1"/>
  <c r="Q2334" i="5"/>
  <c r="Q1263" i="5"/>
  <c r="K8" i="9"/>
  <c r="E20" i="9" s="1"/>
  <c r="I713" i="5"/>
  <c r="AJ14" i="5" s="1"/>
  <c r="B100" i="10"/>
  <c r="A100" i="10" s="1"/>
  <c r="J2495" i="5"/>
  <c r="C108" i="10"/>
  <c r="Q2487" i="5"/>
  <c r="B56" i="10"/>
  <c r="A56" i="10" s="1"/>
  <c r="Q2691" i="5"/>
  <c r="C212" i="10"/>
  <c r="A212" i="10" s="1"/>
  <c r="J2342" i="5"/>
  <c r="J710" i="5"/>
  <c r="C184" i="10"/>
  <c r="A184" i="10" s="1"/>
  <c r="N6" i="9"/>
  <c r="D26" i="9" s="1"/>
  <c r="H68" i="10"/>
  <c r="Q853" i="5"/>
  <c r="H347" i="5"/>
  <c r="C20" i="10"/>
  <c r="A20" i="10" s="1"/>
  <c r="I611" i="5"/>
  <c r="AJ12" i="5" s="1"/>
  <c r="J850" i="5"/>
  <c r="L850" i="5"/>
  <c r="I850" i="5"/>
  <c r="G356" i="5"/>
  <c r="AI7" i="5" s="1"/>
  <c r="Q351" i="5"/>
  <c r="Q352" i="5" s="1"/>
  <c r="Q243" i="5"/>
  <c r="I68" i="10"/>
  <c r="Q350" i="5"/>
  <c r="J251" i="5"/>
  <c r="G866" i="5"/>
  <c r="AI17" i="5" s="1"/>
  <c r="H8" i="9" s="1"/>
  <c r="E14" i="9" s="1"/>
  <c r="G863" i="5"/>
  <c r="Q854" i="5"/>
  <c r="Q855" i="5" s="1"/>
  <c r="I347" i="5"/>
  <c r="K850" i="5"/>
  <c r="H850" i="5"/>
  <c r="K347" i="5"/>
  <c r="C128" i="10"/>
  <c r="J1679" i="5"/>
  <c r="J1628" i="5"/>
  <c r="I1631" i="5"/>
  <c r="AJ32" i="5" s="1"/>
  <c r="I1682" i="5"/>
  <c r="AJ33" i="5" s="1"/>
  <c r="B128" i="10"/>
  <c r="F4" i="9"/>
  <c r="C10" i="9" s="1"/>
  <c r="Q1671" i="5"/>
  <c r="J1832" i="5"/>
  <c r="C144" i="10"/>
  <c r="A144" i="10" s="1"/>
  <c r="I1835" i="5"/>
  <c r="AJ36" i="5" s="1"/>
  <c r="Q1824" i="5"/>
  <c r="Q396" i="5"/>
  <c r="H13" i="9"/>
  <c r="G15" i="9" s="1"/>
  <c r="I2243" i="5"/>
  <c r="AJ44" i="5" s="1"/>
  <c r="I2039" i="5"/>
  <c r="AJ40" i="5" s="1"/>
  <c r="Q2232" i="5"/>
  <c r="J2036" i="5"/>
  <c r="N19" i="9"/>
  <c r="J27" i="9" s="1"/>
  <c r="G5" i="9"/>
  <c r="C13" i="9" s="1"/>
  <c r="B160" i="10"/>
  <c r="A160" i="10" s="1"/>
  <c r="B176" i="10"/>
  <c r="Q2028" i="5"/>
  <c r="C176" i="10"/>
  <c r="H10" i="9"/>
  <c r="F14" i="9" s="1"/>
  <c r="P92" i="9" s="1"/>
  <c r="J506" i="5"/>
  <c r="I509" i="5"/>
  <c r="AJ10" i="5" s="1"/>
  <c r="B40" i="10"/>
  <c r="A40" i="10" s="1"/>
  <c r="Q498" i="5"/>
  <c r="I764" i="5"/>
  <c r="AJ15" i="5" s="1"/>
  <c r="J404" i="5"/>
  <c r="B76" i="10"/>
  <c r="A76" i="10" s="1"/>
  <c r="B24" i="10"/>
  <c r="A24" i="10" s="1"/>
  <c r="Q294" i="5"/>
  <c r="J302" i="5"/>
  <c r="I2345" i="5"/>
  <c r="AJ46" i="5" s="1"/>
  <c r="B32" i="10"/>
  <c r="A32" i="10" s="1"/>
  <c r="J1781" i="5"/>
  <c r="B172" i="10"/>
  <c r="J2291" i="5"/>
  <c r="B244" i="10"/>
  <c r="Q1773" i="5"/>
  <c r="I2294" i="5"/>
  <c r="AJ45" i="5" s="1"/>
  <c r="B180" i="10"/>
  <c r="A180" i="10" s="1"/>
  <c r="I254" i="5"/>
  <c r="AJ5" i="5" s="1"/>
  <c r="C140" i="10"/>
  <c r="A140" i="10" s="1"/>
  <c r="E7" i="9"/>
  <c r="D9" i="9" s="1"/>
  <c r="C244" i="10"/>
  <c r="N21" i="9"/>
  <c r="K27" i="9" s="1"/>
  <c r="Q2283" i="5"/>
  <c r="J3107" i="5"/>
  <c r="C172" i="10"/>
  <c r="Q2181" i="5"/>
  <c r="I2651" i="5"/>
  <c r="AJ52" i="5" s="1"/>
  <c r="N12" i="9"/>
  <c r="G26" i="9" s="1"/>
  <c r="I9" i="9"/>
  <c r="E17" i="9" s="1"/>
  <c r="I2906" i="5"/>
  <c r="AJ57" i="5" s="1"/>
  <c r="B228" i="10"/>
  <c r="A228" i="10" s="1"/>
  <c r="I3365" i="5"/>
  <c r="AJ66" i="5" s="1"/>
  <c r="J12" i="9"/>
  <c r="G18" i="9" s="1"/>
  <c r="Q2895" i="5"/>
  <c r="J2903" i="5"/>
  <c r="I152" i="5"/>
  <c r="AJ3" i="5" s="1"/>
  <c r="J3311" i="5"/>
  <c r="C92" i="10"/>
  <c r="I3314" i="5"/>
  <c r="AJ65" i="5" s="1"/>
  <c r="B12" i="10"/>
  <c r="I1172" i="5"/>
  <c r="AJ23" i="5" s="1"/>
  <c r="L12" i="9"/>
  <c r="G22" i="9" s="1"/>
  <c r="K18" i="9"/>
  <c r="J20" i="9" s="1"/>
  <c r="Q128" i="9" s="1"/>
  <c r="Q1161" i="5"/>
  <c r="C12" i="10"/>
  <c r="B92" i="10"/>
  <c r="Q141" i="5"/>
  <c r="N23" i="9"/>
  <c r="L27" i="9" s="1"/>
  <c r="N17" i="9"/>
  <c r="I27" i="9" s="1"/>
  <c r="N9" i="9"/>
  <c r="E27" i="9" s="1"/>
  <c r="I3110" i="5"/>
  <c r="AJ61" i="5" s="1"/>
  <c r="I2192" i="5"/>
  <c r="AJ43" i="5" s="1"/>
  <c r="B260" i="10"/>
  <c r="C260" i="10"/>
  <c r="B216" i="10"/>
  <c r="Q957" i="5"/>
  <c r="L8" i="9"/>
  <c r="E22" i="9" s="1"/>
  <c r="J965" i="5"/>
  <c r="J2750" i="5"/>
  <c r="N10" i="9"/>
  <c r="F26" i="9" s="1"/>
  <c r="I1274" i="5"/>
  <c r="AJ25" i="5" s="1"/>
  <c r="C216" i="10"/>
  <c r="I2753" i="5"/>
  <c r="AJ54" i="5" s="1"/>
  <c r="K5" i="9"/>
  <c r="C21" i="9" s="1"/>
  <c r="M8" i="9"/>
  <c r="E24" i="9" s="1"/>
  <c r="J2444" i="5"/>
  <c r="L4" i="9"/>
  <c r="C22" i="9" s="1"/>
  <c r="I407" i="5"/>
  <c r="AJ8" i="5" s="1"/>
  <c r="I968" i="5"/>
  <c r="AJ19" i="5" s="1"/>
  <c r="Q3354" i="5"/>
  <c r="C264" i="10"/>
  <c r="B80" i="10"/>
  <c r="Q1008" i="5"/>
  <c r="L6" i="9"/>
  <c r="D22" i="9" s="1"/>
  <c r="B264" i="10"/>
  <c r="C80" i="10"/>
  <c r="I5" i="9"/>
  <c r="C17" i="9" s="1"/>
  <c r="C124" i="10"/>
  <c r="A124" i="10" s="1"/>
  <c r="G9" i="9"/>
  <c r="E13" i="9" s="1"/>
  <c r="Q1569" i="5"/>
  <c r="D5" i="9"/>
  <c r="C7" i="9" s="1"/>
  <c r="J1577" i="5"/>
  <c r="C28" i="10"/>
  <c r="J16" i="9"/>
  <c r="I18" i="9" s="1"/>
  <c r="I1019" i="5"/>
  <c r="AJ20" i="5" s="1"/>
  <c r="A236" i="10"/>
  <c r="Q2538" i="5"/>
  <c r="C200" i="10"/>
  <c r="A200" i="10" s="1"/>
  <c r="J2546" i="5"/>
  <c r="I2549" i="5"/>
  <c r="AJ50" i="5" s="1"/>
  <c r="C120" i="10"/>
  <c r="A120" i="10" s="1"/>
  <c r="J1526" i="5"/>
  <c r="I1529" i="5"/>
  <c r="AJ30" i="5" s="1"/>
  <c r="Q1518" i="5"/>
  <c r="I1478" i="5"/>
  <c r="AJ29" i="5" s="1"/>
  <c r="I815" i="5"/>
  <c r="AJ16" i="5" s="1"/>
  <c r="F9" i="9"/>
  <c r="E11" i="9" s="1"/>
  <c r="K15" i="9"/>
  <c r="H21" i="9" s="1"/>
  <c r="L20" i="9"/>
  <c r="Q127" i="9" s="1"/>
  <c r="I305" i="5"/>
  <c r="AJ6" i="5" s="1"/>
  <c r="G10" i="9"/>
  <c r="I12" i="9"/>
  <c r="G16" i="9" s="1"/>
  <c r="H6" i="9"/>
  <c r="D14" i="9" s="1"/>
  <c r="I2090" i="5"/>
  <c r="AJ41" i="5" s="1"/>
  <c r="L18" i="9"/>
  <c r="J22" i="9" s="1"/>
  <c r="I14" i="9"/>
  <c r="H16" i="9" s="1"/>
  <c r="Q804" i="5"/>
  <c r="C64" i="10"/>
  <c r="B64" i="10"/>
  <c r="J2138" i="5"/>
  <c r="Q2130" i="5"/>
  <c r="B168" i="10"/>
  <c r="A168" i="10" s="1"/>
  <c r="I7" i="9"/>
  <c r="D17" i="9" s="1"/>
  <c r="I1937" i="5"/>
  <c r="AJ38" i="5" s="1"/>
  <c r="I101" i="5"/>
  <c r="AJ2" i="5" s="1"/>
  <c r="I2498" i="5"/>
  <c r="AJ49" i="5" s="1"/>
  <c r="K10" i="9"/>
  <c r="F20" i="9" s="1"/>
  <c r="I203" i="5"/>
  <c r="AJ4" i="5" s="1"/>
  <c r="C16" i="10"/>
  <c r="A16" i="10" s="1"/>
  <c r="I917" i="5"/>
  <c r="AJ18" i="5" s="1"/>
  <c r="L10" i="9"/>
  <c r="F22" i="9" s="1"/>
  <c r="J914" i="5"/>
  <c r="Q192" i="5"/>
  <c r="C72" i="10"/>
  <c r="B72" i="10"/>
  <c r="B136" i="10"/>
  <c r="C192" i="10"/>
  <c r="A192" i="10" s="1"/>
  <c r="I2447" i="5"/>
  <c r="AJ48" i="5" s="1"/>
  <c r="M6" i="9"/>
  <c r="D24" i="9" s="1"/>
  <c r="J1730" i="5"/>
  <c r="Q2436" i="5"/>
  <c r="J2801" i="5"/>
  <c r="Q1722" i="5"/>
  <c r="M22" i="9"/>
  <c r="M23" i="9"/>
  <c r="L25" i="9" s="1"/>
  <c r="I1223" i="5"/>
  <c r="AJ24" i="5" s="1"/>
  <c r="L17" i="9"/>
  <c r="I23" i="9" s="1"/>
  <c r="L16" i="9"/>
  <c r="I22" i="9" s="1"/>
  <c r="L14" i="9"/>
  <c r="H22" i="9" s="1"/>
  <c r="L15" i="9"/>
  <c r="H23" i="9" s="1"/>
  <c r="J3209" i="5"/>
  <c r="C252" i="10"/>
  <c r="B252" i="10"/>
  <c r="I3212" i="5"/>
  <c r="AJ63" i="5" s="1"/>
  <c r="Q3201" i="5"/>
  <c r="I3263" i="5"/>
  <c r="AJ64" i="5" s="1"/>
  <c r="C136" i="10"/>
  <c r="C256" i="10"/>
  <c r="A256" i="10" s="1"/>
  <c r="B96" i="10"/>
  <c r="Q1212" i="5"/>
  <c r="I1580" i="5"/>
  <c r="AJ31" i="5" s="1"/>
  <c r="C96" i="10"/>
  <c r="C4" i="10"/>
  <c r="Q39" i="5"/>
  <c r="I50" i="5"/>
  <c r="AJ1" i="5" s="1"/>
  <c r="J47" i="5"/>
  <c r="M5" i="4" s="1"/>
  <c r="N4" i="9"/>
  <c r="C26" i="9" s="1"/>
  <c r="N5" i="9"/>
  <c r="C27" i="9" s="1"/>
  <c r="B4" i="10"/>
  <c r="M13" i="9"/>
  <c r="G25" i="9" s="1"/>
  <c r="J3260" i="5"/>
  <c r="Q3252" i="5"/>
  <c r="C6" i="9"/>
  <c r="E12" i="9"/>
  <c r="J5" i="9" l="1"/>
  <c r="C19" i="9" s="1"/>
  <c r="Q2793" i="5"/>
  <c r="B220" i="10"/>
  <c r="A220" i="10" s="1"/>
  <c r="A92" i="10"/>
  <c r="I2804" i="5"/>
  <c r="AJ55" i="5" s="1"/>
  <c r="B104" i="10"/>
  <c r="I1325" i="5"/>
  <c r="AJ26" i="5" s="1"/>
  <c r="Q1314" i="5"/>
  <c r="C104" i="10"/>
  <c r="I2957" i="5"/>
  <c r="AJ58" i="5" s="1"/>
  <c r="H4" i="9"/>
  <c r="C14" i="9" s="1"/>
  <c r="O90" i="9" s="1"/>
  <c r="O163" i="9"/>
  <c r="Q162" i="9"/>
  <c r="O162" i="9"/>
  <c r="P162" i="9"/>
  <c r="O164" i="9"/>
  <c r="N25" i="9"/>
  <c r="M27" i="9" s="1"/>
  <c r="Q164" i="9"/>
  <c r="P164" i="9"/>
  <c r="Q163" i="9"/>
  <c r="M14" i="9"/>
  <c r="H24" i="9" s="1"/>
  <c r="I2141" i="5"/>
  <c r="AJ42" i="5" s="1"/>
  <c r="J353" i="5"/>
  <c r="M7" i="4" s="1"/>
  <c r="B28" i="10"/>
  <c r="A28" i="10" s="1"/>
  <c r="I1784" i="5"/>
  <c r="AJ35" i="5" s="1"/>
  <c r="Q2946" i="5"/>
  <c r="B232" i="10"/>
  <c r="A232" i="10" s="1"/>
  <c r="J2954" i="5"/>
  <c r="J8" i="9"/>
  <c r="E18" i="9" s="1"/>
  <c r="O119" i="9" s="1"/>
  <c r="E4" i="9"/>
  <c r="C8" i="9" s="1"/>
  <c r="O56" i="9" s="1"/>
  <c r="I866" i="5"/>
  <c r="AJ17" i="5" s="1"/>
  <c r="B68" i="10"/>
  <c r="A108" i="10"/>
  <c r="A128" i="10"/>
  <c r="J863" i="5"/>
  <c r="C68" i="10"/>
  <c r="Q92" i="9"/>
  <c r="O92" i="9"/>
  <c r="H9" i="9"/>
  <c r="E15" i="9" s="1"/>
  <c r="Q68" i="9"/>
  <c r="I356" i="5"/>
  <c r="AJ7" i="5" s="1"/>
  <c r="A176" i="10"/>
  <c r="M4" i="9"/>
  <c r="C24" i="9" s="1"/>
  <c r="M5" i="9"/>
  <c r="C25" i="9" s="1"/>
  <c r="A12" i="10"/>
  <c r="A172" i="10"/>
  <c r="A244" i="10"/>
  <c r="A216" i="10"/>
  <c r="P115" i="9"/>
  <c r="Q171" i="9"/>
  <c r="A260" i="10"/>
  <c r="A80" i="10"/>
  <c r="A264" i="10"/>
  <c r="O127" i="9"/>
  <c r="O114" i="9"/>
  <c r="P116" i="9"/>
  <c r="Q116" i="9"/>
  <c r="O115" i="9"/>
  <c r="A64" i="10"/>
  <c r="Q114" i="9"/>
  <c r="P114" i="9"/>
  <c r="O116" i="9"/>
  <c r="P104" i="9"/>
  <c r="Q115" i="9"/>
  <c r="P123" i="9"/>
  <c r="O104" i="9"/>
  <c r="Q104" i="9"/>
  <c r="O109" i="9"/>
  <c r="P127" i="9"/>
  <c r="P68" i="9"/>
  <c r="O68" i="9"/>
  <c r="F12" i="9"/>
  <c r="P85" i="9" s="1"/>
  <c r="O108" i="9"/>
  <c r="K22" i="9"/>
  <c r="P138" i="9" s="1"/>
  <c r="Q108" i="9"/>
  <c r="P109" i="9"/>
  <c r="Q109" i="9"/>
  <c r="P108" i="9"/>
  <c r="P107" i="9"/>
  <c r="Q103" i="9"/>
  <c r="P79" i="9"/>
  <c r="P103" i="9"/>
  <c r="Q107" i="9"/>
  <c r="Q79" i="9"/>
  <c r="Q91" i="9"/>
  <c r="P91" i="9"/>
  <c r="O107" i="9"/>
  <c r="O79" i="9"/>
  <c r="O103" i="9"/>
  <c r="A72" i="10"/>
  <c r="O98" i="9"/>
  <c r="O91" i="9"/>
  <c r="O169" i="9"/>
  <c r="Q168" i="9"/>
  <c r="O168" i="9"/>
  <c r="P168" i="9"/>
  <c r="O170" i="9"/>
  <c r="O171" i="9"/>
  <c r="Q161" i="9"/>
  <c r="Q26" i="9" s="1"/>
  <c r="R164" i="9" s="1"/>
  <c r="O165" i="9"/>
  <c r="Q169" i="9"/>
  <c r="Q167" i="9"/>
  <c r="P165" i="9"/>
  <c r="P171" i="9"/>
  <c r="P167" i="9"/>
  <c r="Q165" i="9"/>
  <c r="P161" i="9"/>
  <c r="P26" i="9" s="1"/>
  <c r="Q166" i="9"/>
  <c r="Q133" i="9"/>
  <c r="Q130" i="9"/>
  <c r="O129" i="9"/>
  <c r="O126" i="9"/>
  <c r="P126" i="9"/>
  <c r="O134" i="9"/>
  <c r="Q134" i="9"/>
  <c r="P134" i="9"/>
  <c r="Q131" i="9"/>
  <c r="O133" i="9"/>
  <c r="O135" i="9"/>
  <c r="Q125" i="9"/>
  <c r="Q20" i="9" s="1"/>
  <c r="R126" i="9" s="1"/>
  <c r="O161" i="9"/>
  <c r="O26" i="9" s="1"/>
  <c r="A136" i="10"/>
  <c r="P130" i="9"/>
  <c r="P169" i="9"/>
  <c r="Q129" i="9"/>
  <c r="P125" i="9"/>
  <c r="P20" i="9" s="1"/>
  <c r="Q135" i="9"/>
  <c r="Q132" i="9"/>
  <c r="O128" i="9"/>
  <c r="Q170" i="9"/>
  <c r="O131" i="9"/>
  <c r="P133" i="9"/>
  <c r="P5" i="4"/>
  <c r="O132" i="9"/>
  <c r="P129" i="9"/>
  <c r="Q126" i="9"/>
  <c r="O125" i="9"/>
  <c r="O20" i="9" s="1"/>
  <c r="P135" i="9"/>
  <c r="P128" i="9"/>
  <c r="O130" i="9"/>
  <c r="P132" i="9"/>
  <c r="P131" i="9"/>
  <c r="P170" i="9"/>
  <c r="O167" i="9"/>
  <c r="P166" i="9"/>
  <c r="O166" i="9"/>
  <c r="Q140" i="9"/>
  <c r="P140" i="9"/>
  <c r="L24" i="9"/>
  <c r="O150" i="9" s="1"/>
  <c r="O140" i="9"/>
  <c r="P106" i="9"/>
  <c r="Q106" i="9"/>
  <c r="O102" i="9"/>
  <c r="Q110" i="9"/>
  <c r="Q105" i="9"/>
  <c r="P111" i="9"/>
  <c r="O110" i="9"/>
  <c r="P105" i="9"/>
  <c r="O105" i="9"/>
  <c r="Q101" i="9"/>
  <c r="Q16" i="9" s="1"/>
  <c r="R102" i="9" s="1"/>
  <c r="O111" i="9"/>
  <c r="Q111" i="9"/>
  <c r="P101" i="9"/>
  <c r="P16" i="9" s="1"/>
  <c r="Q102" i="9"/>
  <c r="P102" i="9"/>
  <c r="O106" i="9"/>
  <c r="O101" i="9"/>
  <c r="O16" i="9" s="1"/>
  <c r="O5" i="4"/>
  <c r="K6" i="4"/>
  <c r="J6" i="4"/>
  <c r="P110" i="9"/>
  <c r="A252" i="10"/>
  <c r="A4" i="10"/>
  <c r="Q90" i="9"/>
  <c r="O97" i="9"/>
  <c r="O99" i="9"/>
  <c r="P90" i="9"/>
  <c r="O94" i="9"/>
  <c r="Q99" i="9"/>
  <c r="O93" i="9"/>
  <c r="O96" i="9"/>
  <c r="P96" i="9"/>
  <c r="P95" i="9"/>
  <c r="P98" i="9"/>
  <c r="P94" i="9"/>
  <c r="Q96" i="9"/>
  <c r="Q97" i="9"/>
  <c r="L5" i="4"/>
  <c r="N5" i="4"/>
  <c r="A96" i="10"/>
  <c r="O43" i="9"/>
  <c r="Q44" i="9"/>
  <c r="P47" i="9"/>
  <c r="P49" i="9"/>
  <c r="P46" i="9"/>
  <c r="P43" i="9"/>
  <c r="O42" i="9"/>
  <c r="Q51" i="9"/>
  <c r="Q49" i="9"/>
  <c r="O48" i="9"/>
  <c r="O45" i="9"/>
  <c r="Q43" i="9"/>
  <c r="P41" i="9"/>
  <c r="P6" i="9" s="1"/>
  <c r="P50" i="9"/>
  <c r="O46" i="9"/>
  <c r="Q47" i="9"/>
  <c r="P45" i="9"/>
  <c r="P48" i="9"/>
  <c r="Q50" i="9"/>
  <c r="Q41" i="9"/>
  <c r="Q6" i="9" s="1"/>
  <c r="P44" i="9"/>
  <c r="O41" i="9"/>
  <c r="O6" i="9" s="1"/>
  <c r="Q42" i="9"/>
  <c r="O44" i="9"/>
  <c r="O47" i="9"/>
  <c r="P42" i="9"/>
  <c r="P51" i="9"/>
  <c r="O50" i="9"/>
  <c r="Q46" i="9"/>
  <c r="O51" i="9"/>
  <c r="Q45" i="9"/>
  <c r="Q48" i="9"/>
  <c r="O49" i="9"/>
  <c r="P70" i="9"/>
  <c r="P72" i="9"/>
  <c r="P66" i="9"/>
  <c r="P74" i="9"/>
  <c r="P71" i="9"/>
  <c r="Q72" i="9"/>
  <c r="Q69" i="9"/>
  <c r="O67" i="9"/>
  <c r="Q67" i="9"/>
  <c r="Q66" i="9"/>
  <c r="O74" i="9"/>
  <c r="P67" i="9"/>
  <c r="Q71" i="9"/>
  <c r="P69" i="9"/>
  <c r="Q73" i="9"/>
  <c r="O69" i="9"/>
  <c r="P73" i="9"/>
  <c r="O75" i="9"/>
  <c r="O71" i="9"/>
  <c r="O70" i="9"/>
  <c r="Q74" i="9"/>
  <c r="O73" i="9"/>
  <c r="P65" i="9"/>
  <c r="P10" i="9" s="1"/>
  <c r="Q75" i="9"/>
  <c r="Q65" i="9"/>
  <c r="Q10" i="9" s="1"/>
  <c r="O72" i="9"/>
  <c r="O65" i="9"/>
  <c r="O10" i="9" s="1"/>
  <c r="O66" i="9"/>
  <c r="Q70" i="9"/>
  <c r="P75" i="9"/>
  <c r="A104" i="10" l="1"/>
  <c r="Q93" i="9"/>
  <c r="Q94" i="9"/>
  <c r="Q89" i="9"/>
  <c r="Q14" i="9" s="1"/>
  <c r="R94" i="9" s="1"/>
  <c r="O89" i="9"/>
  <c r="O14" i="9" s="1"/>
  <c r="P97" i="9"/>
  <c r="Q98" i="9"/>
  <c r="Q95" i="9"/>
  <c r="O95" i="9"/>
  <c r="P121" i="9"/>
  <c r="N7" i="4"/>
  <c r="P118" i="9"/>
  <c r="P119" i="9"/>
  <c r="O120" i="9"/>
  <c r="Q113" i="9"/>
  <c r="Q18" i="9" s="1"/>
  <c r="R113" i="9" s="1"/>
  <c r="R18" i="9" s="1"/>
  <c r="O6" i="4"/>
  <c r="O7" i="4"/>
  <c r="M6" i="4"/>
  <c r="L7" i="4"/>
  <c r="K7" i="4"/>
  <c r="N6" i="4"/>
  <c r="J7" i="4"/>
  <c r="K10" i="4"/>
  <c r="L6" i="4"/>
  <c r="P6" i="4"/>
  <c r="J10" i="4"/>
  <c r="L10" i="4"/>
  <c r="M13" i="4"/>
  <c r="O12" i="4"/>
  <c r="K14" i="4"/>
  <c r="P15" i="4"/>
  <c r="Q63" i="9"/>
  <c r="Q55" i="9"/>
  <c r="O121" i="9"/>
  <c r="Q120" i="9"/>
  <c r="P122" i="9"/>
  <c r="O117" i="9"/>
  <c r="Q119" i="9"/>
  <c r="P99" i="9"/>
  <c r="P120" i="9"/>
  <c r="Q123" i="9"/>
  <c r="O118" i="9"/>
  <c r="O113" i="9"/>
  <c r="O18" i="9" s="1"/>
  <c r="O122" i="9"/>
  <c r="Q117" i="9"/>
  <c r="P117" i="9"/>
  <c r="P113" i="9"/>
  <c r="P18" i="9" s="1"/>
  <c r="O37" i="9"/>
  <c r="P93" i="9"/>
  <c r="P89" i="9"/>
  <c r="P14" i="9" s="1"/>
  <c r="Q118" i="9"/>
  <c r="O123" i="9"/>
  <c r="Q122" i="9"/>
  <c r="Q121" i="9"/>
  <c r="P59" i="9"/>
  <c r="P54" i="9"/>
  <c r="O54" i="9"/>
  <c r="Q56" i="9"/>
  <c r="O57" i="9"/>
  <c r="O55" i="9"/>
  <c r="P62" i="9"/>
  <c r="Q54" i="9"/>
  <c r="O58" i="9"/>
  <c r="Q34" i="9"/>
  <c r="P35" i="9"/>
  <c r="P34" i="9"/>
  <c r="O35" i="9"/>
  <c r="Q36" i="9"/>
  <c r="Q38" i="9"/>
  <c r="P38" i="9"/>
  <c r="Q32" i="9"/>
  <c r="O63" i="9"/>
  <c r="O61" i="9"/>
  <c r="P36" i="9"/>
  <c r="P60" i="9"/>
  <c r="O60" i="9"/>
  <c r="Q60" i="9"/>
  <c r="O32" i="9"/>
  <c r="P32" i="9"/>
  <c r="P53" i="9"/>
  <c r="P8" i="9" s="1"/>
  <c r="Q30" i="9"/>
  <c r="Q37" i="9"/>
  <c r="O38" i="9"/>
  <c r="P37" i="9"/>
  <c r="P58" i="9"/>
  <c r="P56" i="9"/>
  <c r="P33" i="9"/>
  <c r="Q53" i="9"/>
  <c r="Q8" i="9" s="1"/>
  <c r="R63" i="9" s="1"/>
  <c r="Q35" i="9"/>
  <c r="Q59" i="9"/>
  <c r="Q57" i="9"/>
  <c r="P31" i="9"/>
  <c r="P63" i="9"/>
  <c r="Q33" i="9"/>
  <c r="O34" i="9"/>
  <c r="O36" i="9"/>
  <c r="O33" i="9"/>
  <c r="P57" i="9"/>
  <c r="Q58" i="9"/>
  <c r="O30" i="9"/>
  <c r="P30" i="9"/>
  <c r="Q61" i="9"/>
  <c r="O59" i="9"/>
  <c r="A68" i="10"/>
  <c r="O53" i="9"/>
  <c r="O8" i="9" s="1"/>
  <c r="O62" i="9"/>
  <c r="Q31" i="9"/>
  <c r="O77" i="9"/>
  <c r="O12" i="9" s="1"/>
  <c r="P78" i="9"/>
  <c r="P55" i="9"/>
  <c r="Q62" i="9"/>
  <c r="O31" i="9"/>
  <c r="P61" i="9"/>
  <c r="Q77" i="9"/>
  <c r="Q12" i="9" s="1"/>
  <c r="O78" i="9"/>
  <c r="O154" i="9"/>
  <c r="O39" i="9"/>
  <c r="J15" i="4"/>
  <c r="J14" i="4"/>
  <c r="N13" i="4"/>
  <c r="L13" i="4"/>
  <c r="O11" i="4"/>
  <c r="L15" i="4"/>
  <c r="K8" i="4"/>
  <c r="M15" i="4"/>
  <c r="Q39" i="9"/>
  <c r="N11" i="4"/>
  <c r="L14" i="4"/>
  <c r="O10" i="4"/>
  <c r="P12" i="4"/>
  <c r="K11" i="4"/>
  <c r="K9" i="4"/>
  <c r="N9" i="4"/>
  <c r="J11" i="4"/>
  <c r="J8" i="4"/>
  <c r="M9" i="4"/>
  <c r="O14" i="4"/>
  <c r="L9" i="4"/>
  <c r="P8" i="4"/>
  <c r="O29" i="9"/>
  <c r="O4" i="9" s="1"/>
  <c r="N14" i="4"/>
  <c r="N12" i="4"/>
  <c r="J9" i="4"/>
  <c r="O8" i="4"/>
  <c r="K12" i="4"/>
  <c r="P11" i="4"/>
  <c r="L12" i="4"/>
  <c r="M12" i="4"/>
  <c r="L8" i="4"/>
  <c r="M11" i="4"/>
  <c r="J12" i="4"/>
  <c r="N10" i="4"/>
  <c r="O15" i="4"/>
  <c r="P9" i="4"/>
  <c r="K15" i="4"/>
  <c r="O9" i="4"/>
  <c r="Q29" i="9"/>
  <c r="Q4" i="9" s="1"/>
  <c r="R39" i="9" s="1"/>
  <c r="P39" i="9"/>
  <c r="M10" i="4"/>
  <c r="K13" i="4"/>
  <c r="M8" i="4"/>
  <c r="O13" i="4"/>
  <c r="P14" i="4"/>
  <c r="P10" i="4"/>
  <c r="L11" i="4"/>
  <c r="P29" i="9"/>
  <c r="P4" i="9" s="1"/>
  <c r="J13" i="4"/>
  <c r="P7" i="4"/>
  <c r="N8" i="4"/>
  <c r="N15" i="4"/>
  <c r="P13" i="4"/>
  <c r="M14" i="4"/>
  <c r="P83" i="9"/>
  <c r="P82" i="9"/>
  <c r="R54" i="9"/>
  <c r="O82" i="9"/>
  <c r="R56" i="9"/>
  <c r="Q85" i="9"/>
  <c r="R60" i="9"/>
  <c r="P86" i="9"/>
  <c r="Q82" i="9"/>
  <c r="R62" i="9"/>
  <c r="Q80" i="9"/>
  <c r="O87" i="9"/>
  <c r="P77" i="9"/>
  <c r="P12" i="9" s="1"/>
  <c r="R55" i="9"/>
  <c r="Q87" i="9"/>
  <c r="Q78" i="9"/>
  <c r="P87" i="9"/>
  <c r="O84" i="9"/>
  <c r="O81" i="9"/>
  <c r="O86" i="9"/>
  <c r="R122" i="9"/>
  <c r="R116" i="9"/>
  <c r="O80" i="9"/>
  <c r="Q84" i="9"/>
  <c r="O83" i="9"/>
  <c r="P81" i="9"/>
  <c r="R58" i="9"/>
  <c r="R53" i="9"/>
  <c r="R8" i="9" s="1"/>
  <c r="P80" i="9"/>
  <c r="Q83" i="9"/>
  <c r="P84" i="9"/>
  <c r="Q81" i="9"/>
  <c r="R57" i="9"/>
  <c r="R61" i="9"/>
  <c r="O85" i="9"/>
  <c r="Q86" i="9"/>
  <c r="R114" i="9"/>
  <c r="R120" i="9"/>
  <c r="R123" i="9"/>
  <c r="R115" i="9"/>
  <c r="R121" i="9"/>
  <c r="P143" i="9"/>
  <c r="P153" i="9"/>
  <c r="P150" i="9"/>
  <c r="Q157" i="9"/>
  <c r="P159" i="9"/>
  <c r="P149" i="9"/>
  <c r="P24" i="9" s="1"/>
  <c r="Q153" i="9"/>
  <c r="Q141" i="9"/>
  <c r="O145" i="9"/>
  <c r="P141" i="9"/>
  <c r="O144" i="9"/>
  <c r="O147" i="9"/>
  <c r="P137" i="9"/>
  <c r="P22" i="9" s="1"/>
  <c r="P139" i="9"/>
  <c r="P144" i="9"/>
  <c r="O142" i="9"/>
  <c r="O137" i="9"/>
  <c r="O22" i="9" s="1"/>
  <c r="Q147" i="9"/>
  <c r="P145" i="9"/>
  <c r="Q142" i="9"/>
  <c r="Q145" i="9"/>
  <c r="O139" i="9"/>
  <c r="R163" i="9"/>
  <c r="Q146" i="9"/>
  <c r="O143" i="9"/>
  <c r="Q139" i="9"/>
  <c r="R161" i="9"/>
  <c r="R26" i="9" s="1"/>
  <c r="Q144" i="9"/>
  <c r="O138" i="9"/>
  <c r="Q143" i="9"/>
  <c r="Q138" i="9"/>
  <c r="O146" i="9"/>
  <c r="P147" i="9"/>
  <c r="P146" i="9"/>
  <c r="Q137" i="9"/>
  <c r="Q22" i="9" s="1"/>
  <c r="R138" i="9" s="1"/>
  <c r="R162" i="9"/>
  <c r="O141" i="9"/>
  <c r="P142" i="9"/>
  <c r="Q158" i="9"/>
  <c r="Q154" i="9"/>
  <c r="O159" i="9"/>
  <c r="P156" i="9"/>
  <c r="P155" i="9"/>
  <c r="Q150" i="9"/>
  <c r="O158" i="9"/>
  <c r="P157" i="9"/>
  <c r="O149" i="9"/>
  <c r="O24" i="9" s="1"/>
  <c r="O157" i="9"/>
  <c r="P154" i="9"/>
  <c r="O156" i="9"/>
  <c r="Q155" i="9"/>
  <c r="O155" i="9"/>
  <c r="O153" i="9"/>
  <c r="Q156" i="9"/>
  <c r="P158" i="9"/>
  <c r="Q149" i="9"/>
  <c r="Q24" i="9" s="1"/>
  <c r="R152" i="9" s="1"/>
  <c r="Q159" i="9"/>
  <c r="R134" i="9"/>
  <c r="R127" i="9"/>
  <c r="R133" i="9"/>
  <c r="R135" i="9"/>
  <c r="R128" i="9"/>
  <c r="R125" i="9"/>
  <c r="R20" i="9" s="1"/>
  <c r="R98" i="9"/>
  <c r="R89" i="9"/>
  <c r="R14" i="9" s="1"/>
  <c r="R99" i="9"/>
  <c r="R96" i="9"/>
  <c r="R91" i="9"/>
  <c r="R95" i="9"/>
  <c r="R92" i="9"/>
  <c r="Q151" i="9"/>
  <c r="O152" i="9"/>
  <c r="P152" i="9"/>
  <c r="Q152" i="9"/>
  <c r="O151" i="9"/>
  <c r="P151" i="9"/>
  <c r="R90" i="9"/>
  <c r="R110" i="9"/>
  <c r="R109" i="9"/>
  <c r="R111" i="9"/>
  <c r="R103" i="9"/>
  <c r="R107" i="9"/>
  <c r="R101" i="9"/>
  <c r="R16" i="9" s="1"/>
  <c r="R108" i="9"/>
  <c r="R104" i="9"/>
  <c r="R97" i="9"/>
  <c r="R49" i="9"/>
  <c r="R46" i="9"/>
  <c r="R47" i="9"/>
  <c r="R50" i="9"/>
  <c r="R45" i="9"/>
  <c r="R41" i="9"/>
  <c r="R6" i="9" s="1"/>
  <c r="R43" i="9"/>
  <c r="R44" i="9"/>
  <c r="R42" i="9"/>
  <c r="R48" i="9"/>
  <c r="R51" i="9"/>
  <c r="R74" i="9"/>
  <c r="R70" i="9"/>
  <c r="R68" i="9"/>
  <c r="R65" i="9"/>
  <c r="R10" i="9" s="1"/>
  <c r="R66" i="9"/>
  <c r="R71" i="9"/>
  <c r="R73" i="9"/>
  <c r="R67" i="9"/>
  <c r="R75" i="9"/>
  <c r="R69" i="9"/>
  <c r="R72" i="9"/>
  <c r="R83" i="9"/>
  <c r="R79" i="9"/>
  <c r="R80" i="9"/>
  <c r="R82" i="9"/>
  <c r="R87" i="9"/>
  <c r="R86" i="9"/>
  <c r="R84" i="9"/>
  <c r="R77" i="9"/>
  <c r="R12" i="9" s="1"/>
  <c r="R78" i="9"/>
  <c r="R81" i="9"/>
  <c r="R85" i="9"/>
  <c r="R59" i="9" l="1"/>
  <c r="R31" i="9"/>
  <c r="R30" i="9"/>
  <c r="R36" i="9"/>
  <c r="R33" i="9"/>
  <c r="R35" i="9"/>
  <c r="R37" i="9"/>
  <c r="R38" i="9"/>
  <c r="R29" i="9"/>
  <c r="R4" i="9" s="1"/>
  <c r="R32" i="9"/>
  <c r="R34" i="9"/>
  <c r="R147" i="9"/>
  <c r="R150" i="9"/>
  <c r="R137" i="9"/>
  <c r="R22" i="9" s="1"/>
  <c r="R139" i="9"/>
  <c r="R140" i="9"/>
  <c r="R146" i="9"/>
  <c r="R159" i="9"/>
  <c r="R151" i="9"/>
  <c r="R149" i="9"/>
  <c r="R2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Randy Kendle</author>
  </authors>
  <commentList>
    <comment ref="AC10" authorId="0" shapeId="0" xr:uid="{00000000-0006-0000-0000-000001000000}">
      <text>
        <r>
          <rPr>
            <b/>
            <sz val="9"/>
            <color indexed="81"/>
            <rFont val="Tahoma"/>
            <family val="2"/>
          </rPr>
          <t>Click on the dropdown arrow</t>
        </r>
      </text>
    </comment>
    <comment ref="AC13" authorId="0" shapeId="0" xr:uid="{00000000-0006-0000-0000-000002000000}">
      <text>
        <r>
          <rPr>
            <b/>
            <sz val="9"/>
            <color indexed="81"/>
            <rFont val="Tahoma"/>
            <family val="2"/>
          </rPr>
          <t>Click on the dropdown arrow</t>
        </r>
      </text>
    </comment>
  </commentList>
</comments>
</file>

<file path=xl/sharedStrings.xml><?xml version="1.0" encoding="utf-8"?>
<sst xmlns="http://schemas.openxmlformats.org/spreadsheetml/2006/main" count="5879" uniqueCount="965">
  <si>
    <t>this player has previously competed collegiately.</t>
  </si>
  <si>
    <t>If the Tournament Director is convinced that this is a brand new college player, then you must change</t>
  </si>
  <si>
    <t>the "#N/A" to a negative number.  Start with "-1" (without the quotes).  For any other player that</t>
  </si>
  <si>
    <t>shows "#N/A" simply give them the next sequential negative number (eg., -2).  This is necessary</t>
  </si>
  <si>
    <t>individual college results.</t>
  </si>
  <si>
    <t>Note:  If you have assigned a player a negative number and realize later that they actual can be found in</t>
  </si>
  <si>
    <t>on top of your negative number.</t>
  </si>
  <si>
    <t>advance of the competition so they have time to enter the players' names, investigate any</t>
  </si>
  <si>
    <t>discrepancies, and print the needed Match Rosters.</t>
  </si>
  <si>
    <t>Simply print out all the pages where schools will be competing against each other.  For instance, if you</t>
  </si>
  <si>
    <t>have 6 schools in your Division competition (A-F), then you would print out these sheets for</t>
  </si>
  <si>
    <t>Hand the printed MATCH_ROSTER sheets to each school captain so they can cirlce their players for that particular competition and designate the doubles players.</t>
  </si>
  <si>
    <t>Print out the TEAM_MATCHES page that shows all 4 singles and the doubles.</t>
  </si>
  <si>
    <t>Print out the TEAM_MATCHES page that shows the 3 match slips for singles 2-4.</t>
  </si>
  <si>
    <t>Separate the match slips 2-4 by cutting them and handing them to the competing players.</t>
  </si>
  <si>
    <t>For the Red box #1, have each team captain sign it indicating the final result is accurate.</t>
  </si>
  <si>
    <t>Simply copy a blank ID cell and paste it into the cell where the negative number is shown.  Deleting the negative number will not make the computer display the correct ID because the formula is no longer present.  You must copy and paste a blank ID cell.</t>
  </si>
  <si>
    <t>Enter the scores into the spreadsheet when the captains return the match slips.</t>
  </si>
  <si>
    <t>Do I have to have a printer at the competition site to use this software?</t>
  </si>
  <si>
    <t>No.  You can still use paper and pencil to assign the teams against their opponents.  When you get back the results, you simply enter the data into the computer.</t>
  </si>
  <si>
    <t>Note the cell where you made the change.  If you need to get the formula back for cells R4, R6, or R8, then you need to copy and paste from one of those cells.  If you need to fix cells R10, R12, or R14, then you need to copy and paste from one of those cells.  If you need to fix cells R16, R18, or R20, then you need to copy and paste from one of those cells.  If you need to fix cells R22, R24, or R26, then you need to copy and paste from one of those cells.</t>
  </si>
  <si>
    <t>How do I print a particular match slip…say Team D vs Team F?</t>
  </si>
  <si>
    <t>to see if the player has a different spelling.  The player might go by Robert or Bob or Bobby or RJ etc.</t>
  </si>
  <si>
    <t>Moving Quickly to a Contest</t>
  </si>
  <si>
    <t>by using the FIND button or by holding down the CTRL key and at the same time pressing F.</t>
  </si>
  <si>
    <t>To avoid scrolling through all 66 possible contests (A-L), you can quickly go the contest you are looking for</t>
  </si>
  <si>
    <t>Simply click on the "Options &lt;&lt;" button labeled Red box #1 and make sure you select "Values" from the</t>
  </si>
  <si>
    <r>
      <t>"</t>
    </r>
    <r>
      <rPr>
        <u/>
        <sz val="10"/>
        <rFont val="Arial"/>
        <family val="2"/>
      </rPr>
      <t>L</t>
    </r>
    <r>
      <rPr>
        <sz val="10"/>
        <rFont val="Arial"/>
        <family val="2"/>
      </rPr>
      <t>ook in:" field (Red box #2) instead of the default answer of "Formulas".  Then simply type in what</t>
    </r>
  </si>
  <si>
    <t>you are looking for in the "Find what:" field (Red box #3) and click the "Find Next" button (Red</t>
  </si>
  <si>
    <t>the Find and Replace dialogue box by clicking on the "Close" button (Red box #5).</t>
  </si>
  <si>
    <t>Q1</t>
  </si>
  <si>
    <t>Q2</t>
  </si>
  <si>
    <t>Q3</t>
  </si>
  <si>
    <t>Q4</t>
  </si>
  <si>
    <t>Q5</t>
  </si>
  <si>
    <t>Q6</t>
  </si>
  <si>
    <t>Q7</t>
  </si>
  <si>
    <t>Q8</t>
  </si>
  <si>
    <t>Q9</t>
  </si>
  <si>
    <t>A9</t>
  </si>
  <si>
    <t>Q10</t>
  </si>
  <si>
    <t>A10</t>
  </si>
  <si>
    <t>Q11</t>
  </si>
  <si>
    <t>A11</t>
  </si>
  <si>
    <t>A</t>
  </si>
  <si>
    <t>B</t>
  </si>
  <si>
    <t>C</t>
  </si>
  <si>
    <t>D</t>
  </si>
  <si>
    <t>E</t>
  </si>
  <si>
    <t>F</t>
  </si>
  <si>
    <t>G</t>
  </si>
  <si>
    <t>H</t>
  </si>
  <si>
    <t>I</t>
  </si>
  <si>
    <t>J</t>
  </si>
  <si>
    <t>K</t>
  </si>
  <si>
    <t>L</t>
  </si>
  <si>
    <t>ID</t>
  </si>
  <si>
    <t>Rating</t>
  </si>
  <si>
    <t>Name of Player</t>
  </si>
  <si>
    <t>A2</t>
  </si>
  <si>
    <t>A5</t>
  </si>
  <si>
    <t>A6</t>
  </si>
  <si>
    <t>A7</t>
  </si>
  <si>
    <t>A8</t>
  </si>
  <si>
    <t>A1</t>
  </si>
  <si>
    <t>A3</t>
  </si>
  <si>
    <t>A4</t>
  </si>
  <si>
    <t>B1</t>
  </si>
  <si>
    <t>B2</t>
  </si>
  <si>
    <t>B3</t>
  </si>
  <si>
    <t>B4</t>
  </si>
  <si>
    <t>B5</t>
  </si>
  <si>
    <t>B6</t>
  </si>
  <si>
    <t>B7</t>
  </si>
  <si>
    <t>B8</t>
  </si>
  <si>
    <t>C1</t>
  </si>
  <si>
    <t>C2</t>
  </si>
  <si>
    <t>C3</t>
  </si>
  <si>
    <t>C4</t>
  </si>
  <si>
    <t>C5</t>
  </si>
  <si>
    <t>C6</t>
  </si>
  <si>
    <t>C7</t>
  </si>
  <si>
    <t>C8</t>
  </si>
  <si>
    <t>D1</t>
  </si>
  <si>
    <t>D2</t>
  </si>
  <si>
    <t>D3</t>
  </si>
  <si>
    <t>D4</t>
  </si>
  <si>
    <t>D5</t>
  </si>
  <si>
    <t>D6</t>
  </si>
  <si>
    <t>D7</t>
  </si>
  <si>
    <t>D8</t>
  </si>
  <si>
    <t>E1</t>
  </si>
  <si>
    <t>E2</t>
  </si>
  <si>
    <t>E3</t>
  </si>
  <si>
    <t>E4</t>
  </si>
  <si>
    <t>E5</t>
  </si>
  <si>
    <t>E6</t>
  </si>
  <si>
    <t>E7</t>
  </si>
  <si>
    <t>E8</t>
  </si>
  <si>
    <t>F1</t>
  </si>
  <si>
    <t>F2</t>
  </si>
  <si>
    <t>F3</t>
  </si>
  <si>
    <t>F4</t>
  </si>
  <si>
    <t>F5</t>
  </si>
  <si>
    <t>F6</t>
  </si>
  <si>
    <t>F7</t>
  </si>
  <si>
    <t>F8</t>
  </si>
  <si>
    <t>G1</t>
  </si>
  <si>
    <t>G2</t>
  </si>
  <si>
    <t>G3</t>
  </si>
  <si>
    <t>G4</t>
  </si>
  <si>
    <t>G5</t>
  </si>
  <si>
    <t>G6</t>
  </si>
  <si>
    <t>G7</t>
  </si>
  <si>
    <t>G8</t>
  </si>
  <si>
    <t>H1</t>
  </si>
  <si>
    <t>H2</t>
  </si>
  <si>
    <t>H3</t>
  </si>
  <si>
    <t>H4</t>
  </si>
  <si>
    <t>H5</t>
  </si>
  <si>
    <t>H6</t>
  </si>
  <si>
    <t>H7</t>
  </si>
  <si>
    <t>H8</t>
  </si>
  <si>
    <t>I1</t>
  </si>
  <si>
    <t>I2</t>
  </si>
  <si>
    <t>I3</t>
  </si>
  <si>
    <t>I4</t>
  </si>
  <si>
    <t>I5</t>
  </si>
  <si>
    <t>I6</t>
  </si>
  <si>
    <t>I7</t>
  </si>
  <si>
    <t>I8</t>
  </si>
  <si>
    <t>J1</t>
  </si>
  <si>
    <t>J2</t>
  </si>
  <si>
    <t>J3</t>
  </si>
  <si>
    <t>J4</t>
  </si>
  <si>
    <t>J5</t>
  </si>
  <si>
    <t>J6</t>
  </si>
  <si>
    <t>J7</t>
  </si>
  <si>
    <t>J8</t>
  </si>
  <si>
    <t>K1</t>
  </si>
  <si>
    <t>K2</t>
  </si>
  <si>
    <t>K3</t>
  </si>
  <si>
    <t>K4</t>
  </si>
  <si>
    <t>K5</t>
  </si>
  <si>
    <t>K6</t>
  </si>
  <si>
    <t>K7</t>
  </si>
  <si>
    <t>K8</t>
  </si>
  <si>
    <t>L1</t>
  </si>
  <si>
    <t>L2</t>
  </si>
  <si>
    <t>L3</t>
  </si>
  <si>
    <t>L4</t>
  </si>
  <si>
    <t>L5</t>
  </si>
  <si>
    <t>L6</t>
  </si>
  <si>
    <t>L7</t>
  </si>
  <si>
    <t>L8</t>
  </si>
  <si>
    <t>NCTTA Team Match Player Selection Form</t>
  </si>
  <si>
    <t>Singles</t>
  </si>
  <si>
    <t>Doubles</t>
  </si>
  <si>
    <t>Captain's Signature</t>
  </si>
  <si>
    <t>Time received by Meet Director:</t>
  </si>
  <si>
    <t>Team</t>
  </si>
  <si>
    <t>Name of Event:</t>
  </si>
  <si>
    <t>Location:</t>
  </si>
  <si>
    <t>Date:</t>
  </si>
  <si>
    <t>Vs.</t>
  </si>
  <si>
    <t>1st Singles</t>
  </si>
  <si>
    <t>2nd Singles</t>
  </si>
  <si>
    <t>3rd Singles</t>
  </si>
  <si>
    <t>4th Singles</t>
  </si>
  <si>
    <t>Umpire's Signature</t>
  </si>
  <si>
    <t>FINAL SCORE (circle winner)</t>
  </si>
  <si>
    <t>School/Team</t>
  </si>
  <si>
    <t>Win</t>
  </si>
  <si>
    <t>Loss</t>
  </si>
  <si>
    <t>MP</t>
  </si>
  <si>
    <t>Place</t>
  </si>
  <si>
    <t xml:space="preserve">    League Sponsor</t>
  </si>
  <si>
    <t>For each individual match, please circle the name and letter of the winner.</t>
  </si>
  <si>
    <t>Circle the four (4) players that will represent your school</t>
  </si>
  <si>
    <r>
      <t xml:space="preserve">If a team match </t>
    </r>
    <r>
      <rPr>
        <i/>
        <sz val="10"/>
        <rFont val="Arial"/>
        <family val="2"/>
      </rPr>
      <t>has not</t>
    </r>
    <r>
      <rPr>
        <sz val="10"/>
        <rFont val="Arial"/>
        <family val="2"/>
      </rPr>
      <t xml:space="preserve"> been decided in singles, then the player shown below will play doubles</t>
    </r>
  </si>
  <si>
    <t>Enter Division Name</t>
  </si>
  <si>
    <t>Enter Date</t>
  </si>
  <si>
    <t>Lastname, Firstname</t>
  </si>
  <si>
    <t>Email</t>
  </si>
  <si>
    <t>Select any name that appears alphabetically.</t>
  </si>
  <si>
    <t>For doubles, the player in the 1st singles position will automatically appear as one of the doubles players.</t>
  </si>
  <si>
    <t>singles player.</t>
  </si>
  <si>
    <t>the CALCULATE button any time you want to execute the formulas in the spreadsheet.</t>
  </si>
  <si>
    <t>Q12</t>
  </si>
  <si>
    <t>A12</t>
  </si>
  <si>
    <t>How can I speed up the spreadsheet when I enter the scores?</t>
  </si>
  <si>
    <t>Excel 2007 may run this spreadsheet slower than Excel 2003 when you enter scores.  To avoid any delay, simple change the Calculation mode to "manual" instead of "automatic".  Then press F9 or click on the CALCULATE button when you want the spreadsheet to update its formulas.</t>
  </si>
  <si>
    <t>Q13</t>
  </si>
  <si>
    <t>A13</t>
  </si>
  <si>
    <t>How do I print the DRAW sheet in just black and white?</t>
  </si>
  <si>
    <t>Go to Print Preview.  Click on Page Setup.  Check the box for Black/White ink. Click OK. Click PRINT. Click OK.</t>
  </si>
  <si>
    <t>Q14</t>
  </si>
  <si>
    <t>A14</t>
  </si>
  <si>
    <t>How do I print just the large team matches sheet and not the individual match slips for players 2-4?</t>
  </si>
  <si>
    <t>The DRAW sheet now shows the team result between Team A and Team L.</t>
  </si>
  <si>
    <t>The spreadsheet will do score and match validation to look for any data errors.  It will highlight in red</t>
  </si>
  <si>
    <t>anything that does not look appropriate.</t>
  </si>
  <si>
    <t>The first score is highlighted because an individual game must reach at least 11 points.</t>
  </si>
  <si>
    <t>The second score is highlighted because you have to win by at least 2 points.</t>
  </si>
  <si>
    <t>The third score is highlighted because you must win by exactly 2 points if one score is above 11.</t>
  </si>
  <si>
    <t>The fourth score is highlighted because only whole numbers are valid.</t>
  </si>
  <si>
    <t>The fifth score is highlighted because negative numbers are invalid.</t>
  </si>
  <si>
    <t>Click on FORMULAS.  Under Calculation options, click the radio button for Manual.  Then click OK.</t>
  </si>
  <si>
    <t>Entering Scores</t>
  </si>
  <si>
    <t>Enter your Division Name on the DRAW sheet in Cell B1.</t>
  </si>
  <si>
    <t>Enter your Hosting Location with City and State on the DRAW sheet in Cell D1.</t>
  </si>
  <si>
    <t>Enter the date of your tournament on the DRAW sheet in Cell P1.</t>
  </si>
  <si>
    <t>Enter a number from 1 to 11 on the DRAW sheet in Cell T1 for the number of round robin groups.</t>
  </si>
  <si>
    <t>If any players' ID comes up as #N/A, then look through the RATINGLIST sheet to see if it is spelled differently.  Correct any misspellings to make it match what is in the RATINGLIST sheet.</t>
  </si>
  <si>
    <t>If the player cannot be found in the RATINGLIST sheet, then we assume they are a new college player and are given a unique negative number.  Simply type a negative number into Column A.</t>
  </si>
  <si>
    <t>Print out all the pages on the MATCH_ROSTERS sheet for the matches that need to be played.</t>
  </si>
  <si>
    <t>What do I do if I mistakenly entered a negative number for a player's ID, but now I see the player is in the RATINGLIST sheet by another spelling?</t>
  </si>
  <si>
    <t>If I manually break a tie on the DRAW sheet in Column R by typing in the placement for a particular team and then realize that I shouldn't have done that, how do I get the formula back that will automatically rank the win/loss records of the teams?</t>
  </si>
  <si>
    <t>Click on the TEAM_MATCHES sheet.  Find Team D vs Team F.  Note the page numbers displayed on the sheet.  Click on the Print icon.  When the Print dialogue box appears, type in the page number into the FROM box (eg., 27) and then type the other number (eg., 28) into the TO box.  Then click the OK button.  This will print the match slip for the entire contest and the three individual match slips for singles 2-4.</t>
  </si>
  <si>
    <t>that they are going to use for that particular school competition.  In the picture above, the captain</t>
  </si>
  <si>
    <t>Enter Hosting Location (City, ST)</t>
  </si>
  <si>
    <t>1=12 team RR</t>
  </si>
  <si>
    <t>For the Red box #1, enter the Division name…such as "Lower Midwest Division" without the quotes.</t>
  </si>
  <si>
    <t xml:space="preserve">For the Red box #2, list each school team that will be competing…such as "Lindenwood A", </t>
  </si>
  <si>
    <t>"Murray State A", etc. without the quotes.</t>
  </si>
  <si>
    <t>For the Red box #3, enter the name of the hosting location with the city and state…such as "Lindenwood</t>
  </si>
  <si>
    <t>University (St. Charles, MO)" without the quotes.</t>
  </si>
  <si>
    <t>For the Red box #4, enter the date of the competition…such as "2/6/2011" without the quotes.</t>
  </si>
  <si>
    <t>The Red box #5 is used to control the "R" column which lists the Place of each competing team.</t>
  </si>
  <si>
    <t>If cell T1 has a "1", then all the teams will be ranked against each other from 1st to 12th (A to L) with the</t>
  </si>
  <si>
    <t>best team ranked #1 and the worst team ranked 12th if the entire round robin is full with 12 teams.</t>
  </si>
  <si>
    <t>If cell T1 has a "2", then the full round robin will be divided in half (A-F) and (G-L).</t>
  </si>
  <si>
    <r>
      <t>There will be</t>
    </r>
    <r>
      <rPr>
        <sz val="10"/>
        <color indexed="10"/>
        <rFont val="Arial"/>
        <family val="2"/>
      </rPr>
      <t xml:space="preserve"> two</t>
    </r>
    <r>
      <rPr>
        <sz val="10"/>
        <rFont val="Arial"/>
        <family val="2"/>
      </rPr>
      <t xml:space="preserve"> teams ranked #1 one for each 6-team round robin.</t>
    </r>
  </si>
  <si>
    <r>
      <t>There will be</t>
    </r>
    <r>
      <rPr>
        <sz val="10"/>
        <color indexed="10"/>
        <rFont val="Arial"/>
        <family val="2"/>
      </rPr>
      <t xml:space="preserve"> three</t>
    </r>
    <r>
      <rPr>
        <sz val="10"/>
        <rFont val="Arial"/>
        <family val="2"/>
      </rPr>
      <t xml:space="preserve"> teams ranked #1 one for each 4-team round robin.</t>
    </r>
  </si>
  <si>
    <t>If cell T1 has a "4", then the full round robin will be divided in fourths (A-C), (D-F), (G-I) and (J-L).</t>
  </si>
  <si>
    <r>
      <t>There will be</t>
    </r>
    <r>
      <rPr>
        <sz val="10"/>
        <color indexed="10"/>
        <rFont val="Arial"/>
        <family val="2"/>
      </rPr>
      <t xml:space="preserve"> four</t>
    </r>
    <r>
      <rPr>
        <sz val="10"/>
        <rFont val="Arial"/>
        <family val="2"/>
      </rPr>
      <t xml:space="preserve"> teams ranked #1 one for each 3-team round robin.</t>
    </r>
  </si>
  <si>
    <t>If cell T1 has a "3", then the full round robin will be divided in thirds (A-D), (E-H) and (I-L).</t>
  </si>
  <si>
    <t>Note:  This does NOT mean that Team A cannot play Team J, for example.  They certainly can play</t>
  </si>
  <si>
    <t>For the Regional competition, it is expected that 8 schools will be competing in two round robin groups of 4.</t>
  </si>
  <si>
    <t>Then you can take the top 2 teams from (A-D) and the top 2 teams from (E-H) to play single elimination</t>
  </si>
  <si>
    <t>A-B, A-C, A-D, A-E, A-F, B-C, B-D, B-E, B-F, C-D, C-E, C-F, D-E, D-F, E-F.</t>
  </si>
  <si>
    <t>There will be one sheet for each school against every other school.</t>
  </si>
  <si>
    <t>For the Red box #1, you simply have the school's team captain/coach circle the names of the players</t>
  </si>
  <si>
    <t>selected players A1, A2, A5, A8 to represent his school against their opponent.</t>
  </si>
  <si>
    <t>For the Red box #2, the captain needs to identify what player will play doubles with his 1st singles</t>
  </si>
  <si>
    <t>Cut the three match slips shown below and give them to the players.</t>
  </si>
  <si>
    <t>Have the captain transfer the scores from these individual match slips to the single team sheet</t>
  </si>
  <si>
    <t>shown above.</t>
  </si>
  <si>
    <t>Enter the scores for each match into the spreadsheet.</t>
  </si>
  <si>
    <t>The team score is automatically displayed at the bottom of the sheet.</t>
  </si>
  <si>
    <t>This spreadsheet is required to be filled out by Tournament Directors when they are submitting their</t>
  </si>
  <si>
    <t>SUMMARY</t>
  </si>
  <si>
    <t>results from both the Division and Regional team competitions.</t>
  </si>
  <si>
    <t>KEY SECTIONS</t>
  </si>
  <si>
    <t>HISTORY/REVISION LOG</t>
  </si>
  <si>
    <t>Date</t>
  </si>
  <si>
    <t>Version</t>
  </si>
  <si>
    <t>Description</t>
  </si>
  <si>
    <t>Instructions for NCTTA Teams Template</t>
  </si>
  <si>
    <r>
      <t xml:space="preserve">Errors, enhancements, or questions should be submitted to </t>
    </r>
    <r>
      <rPr>
        <b/>
        <sz val="10"/>
        <color indexed="10"/>
        <rFont val="Arial"/>
        <family val="2"/>
      </rPr>
      <t>Randy Kendle</t>
    </r>
    <r>
      <rPr>
        <sz val="10"/>
        <rFont val="Arial"/>
        <family val="2"/>
      </rPr>
      <t>.</t>
    </r>
  </si>
  <si>
    <t>cell: 314-800-5377</t>
  </si>
  <si>
    <r>
      <rPr>
        <b/>
        <sz val="10"/>
        <color indexed="10"/>
        <rFont val="Arial"/>
        <family val="2"/>
      </rPr>
      <t>NOTE</t>
    </r>
    <r>
      <rPr>
        <sz val="10"/>
        <rFont val="Arial"/>
        <family val="2"/>
      </rPr>
      <t xml:space="preserve">:  There are </t>
    </r>
    <r>
      <rPr>
        <sz val="10"/>
        <color indexed="10"/>
        <rFont val="Arial"/>
        <family val="2"/>
      </rPr>
      <t>hidden formulas</t>
    </r>
    <r>
      <rPr>
        <sz val="10"/>
        <rFont val="Arial"/>
        <family val="2"/>
      </rPr>
      <t xml:space="preserve"> throughout this spreadsheet!  No changes (eg., deleting of rows/columns,</t>
    </r>
  </si>
  <si>
    <t>inserting of rows/columns, etc.) should be made without contacting Randy Kendle first.</t>
  </si>
  <si>
    <t>Row</t>
  </si>
  <si>
    <t>FREQUENTLY ASKED QUESTIONS (FAQs)</t>
  </si>
  <si>
    <t>If I need help, who do I turn to?</t>
  </si>
  <si>
    <t>Can I print these pages to have a paper copy?</t>
  </si>
  <si>
    <t>Yes.</t>
  </si>
  <si>
    <t>If I find an error or have a suggestion to make, who do I pass that along to?</t>
  </si>
  <si>
    <t>Does this spreadsheet break ties between teams that have the same win/loss record?</t>
  </si>
  <si>
    <t>No.  The Tournament Director will need to break the ties according to USATT guidelines.</t>
  </si>
  <si>
    <t>What happens when a team is short a player…only has 3 players?</t>
  </si>
  <si>
    <t>You list the fourth player as "Missing Player" without the quotes.  When the spreadsheet sees the name Missing Player, it knows to default the 4th singles and default the doubles also. No results will be uploaded, because no match was actually played.</t>
  </si>
  <si>
    <t>STEP-BY-STEP QUICK GUIDE</t>
  </si>
  <si>
    <t>What happens if I have more than 12 teams including the "unofficial B" teams?</t>
  </si>
  <si>
    <t>Copy this spreadsheet and give it a different name (eg., Unofficial B.xls).  Then follow the same process for each spreadsheet.  Simply enter all the "official" teams into one spreadsheet and enter all the "unofficial" teams in the other spreadsheet.  Then submit both spreadsheets when the competition is complete.</t>
  </si>
  <si>
    <t>List all the competing school teams into Column B.</t>
  </si>
  <si>
    <t>Team_Matches!A1</t>
  </si>
  <si>
    <t>Team_Matches!A52</t>
  </si>
  <si>
    <t>Team_Matches!A103</t>
  </si>
  <si>
    <t>Team_Matches!A154</t>
  </si>
  <si>
    <t>Team_Matches!A205</t>
  </si>
  <si>
    <t>Team_Matches!A256</t>
  </si>
  <si>
    <t>Team_Matches!A307</t>
  </si>
  <si>
    <t>Team_Matches!A358</t>
  </si>
  <si>
    <t>Team_Matches!A409</t>
  </si>
  <si>
    <t>Team_Matches!A460</t>
  </si>
  <si>
    <t>Team_Matches!A511</t>
  </si>
  <si>
    <t>Team_Matches!A562</t>
  </si>
  <si>
    <t>Team_Matches!A613</t>
  </si>
  <si>
    <t>Team_Matches!A664</t>
  </si>
  <si>
    <t>Team_Matches!A715</t>
  </si>
  <si>
    <t>Team_Matches!A766</t>
  </si>
  <si>
    <t>Team_Matches!A817</t>
  </si>
  <si>
    <t>Team_Matches!A868</t>
  </si>
  <si>
    <t>Team_Matches!A919</t>
  </si>
  <si>
    <t>Team_Matches!A970</t>
  </si>
  <si>
    <t>Team_Matches!A1021</t>
  </si>
  <si>
    <t>Team_Matches!A1072</t>
  </si>
  <si>
    <t>Team_Matches!A1123</t>
  </si>
  <si>
    <t>Team_Matches!A1174</t>
  </si>
  <si>
    <t>Team_Matches!A1225</t>
  </si>
  <si>
    <t>Team_Matches!A1276</t>
  </si>
  <si>
    <t>Team_Matches!A1327</t>
  </si>
  <si>
    <t>Team_Matches!A1378</t>
  </si>
  <si>
    <t>Team_Matches!A1429</t>
  </si>
  <si>
    <t>Team_Matches!A1480</t>
  </si>
  <si>
    <t>Team_Matches!A1531</t>
  </si>
  <si>
    <t>Team_Matches!A1582</t>
  </si>
  <si>
    <t>Team_Matches!A1633</t>
  </si>
  <si>
    <t>Team_Matches!A1684</t>
  </si>
  <si>
    <t>Team_Matches!A1735</t>
  </si>
  <si>
    <t>Team_Matches!A1786</t>
  </si>
  <si>
    <t>Team_Matches!A1837</t>
  </si>
  <si>
    <t>Team_Matches!A1888</t>
  </si>
  <si>
    <t>Team_Matches!A1939</t>
  </si>
  <si>
    <t>Team_Matches!A1990</t>
  </si>
  <si>
    <t>Team_Matches!A2041</t>
  </si>
  <si>
    <t>Team_Matches!A2092</t>
  </si>
  <si>
    <t>Team_Matches!A2143</t>
  </si>
  <si>
    <t>Team_Matches!A2194</t>
  </si>
  <si>
    <t>Team_Matches!A2245</t>
  </si>
  <si>
    <t>Team_Matches!A2296</t>
  </si>
  <si>
    <t>Team_Matches!A2347</t>
  </si>
  <si>
    <t>Team_Matches!A2398</t>
  </si>
  <si>
    <t>Team_Matches!A2449</t>
  </si>
  <si>
    <t>Team_Matches!A2500</t>
  </si>
  <si>
    <t>Team_Matches!A2551</t>
  </si>
  <si>
    <t>Team_Matches!A2602</t>
  </si>
  <si>
    <t>Team_Matches!A2653</t>
  </si>
  <si>
    <t>Team_Matches!A2704</t>
  </si>
  <si>
    <t>Team_Matches!A2755</t>
  </si>
  <si>
    <t>Team_Matches!A2806</t>
  </si>
  <si>
    <t>Team_Matches!A2857</t>
  </si>
  <si>
    <t>Team_Matches!A2908</t>
  </si>
  <si>
    <t>Team_Matches!A2959</t>
  </si>
  <si>
    <t>Team_Matches!A3010</t>
  </si>
  <si>
    <t>Team_Matches!A3061</t>
  </si>
  <si>
    <t>Team_Matches!A3112</t>
  </si>
  <si>
    <t>Team_Matches!A3163</t>
  </si>
  <si>
    <t>Team_Matches!A3214</t>
  </si>
  <si>
    <t>Team_Matches!A3265</t>
  </si>
  <si>
    <t>Team_Matches!A3316</t>
  </si>
  <si>
    <t>Match_Rosters!A1</t>
  </si>
  <si>
    <t>Match_Rosters!A1089</t>
  </si>
  <si>
    <t>Match_Rosters!A2177</t>
  </si>
  <si>
    <t>Match_Rosters!A3265</t>
  </si>
  <si>
    <t>Option #2</t>
  </si>
  <si>
    <t>Option #1</t>
  </si>
  <si>
    <t xml:space="preserve">On the DRAW sheet you can click on one of the letter "T"s to take you quickly to the "T"eam_Matches </t>
  </si>
  <si>
    <t>You can also click on one of the letter "M"s to take you quickly to the "M"atch_Rosters sheet.</t>
  </si>
  <si>
    <t>In the example below, you would be taken directly to the the match between H and J.</t>
  </si>
  <si>
    <t>sheet. In the example below, you would be taken directly to the match between C and K.</t>
  </si>
  <si>
    <t>Start Time</t>
  </si>
  <si>
    <t>Interval (Min)</t>
  </si>
  <si>
    <t>Setting Match Times</t>
  </si>
  <si>
    <t>clicking on the dropdown arrow.  The time starts at 8:00 AM and goes in 5 minute increments</t>
  </si>
  <si>
    <t>up until 9:00 PM.</t>
  </si>
  <si>
    <t>Once you have set the start time for Round 1, you then decide how many minutes later will Round 2 start.</t>
  </si>
  <si>
    <t>Q15</t>
  </si>
  <si>
    <t>A15</t>
  </si>
  <si>
    <t>What can I do with the match time if we take a break and are no longer on the original schedule?</t>
  </si>
  <si>
    <t>Simply go back to the DRAW sheet and adjust the start time by the amount of the break time.  For example, if you started at 9:00am, played several rounds, and then took a 30 minute break, just add that 30 minutes to the original start time and the rest of the match times will be accurate again.</t>
  </si>
  <si>
    <r>
      <t xml:space="preserve">Start Time and Interval </t>
    </r>
    <r>
      <rPr>
        <b/>
        <sz val="10"/>
        <rFont val="Arial"/>
        <family val="2"/>
      </rPr>
      <t>MUST</t>
    </r>
    <r>
      <rPr>
        <sz val="10"/>
        <rFont val="Arial"/>
        <family val="2"/>
      </rPr>
      <t xml:space="preserve"> be selected from the dropdown arrow.</t>
    </r>
  </si>
  <si>
    <t>Round 1</t>
  </si>
  <si>
    <t>Round 11</t>
  </si>
  <si>
    <t>Round 3</t>
  </si>
  <si>
    <t>Round 4</t>
  </si>
  <si>
    <t>Round 5</t>
  </si>
  <si>
    <t>Round 6</t>
  </si>
  <si>
    <t>Round 7</t>
  </si>
  <si>
    <t>Round 8</t>
  </si>
  <si>
    <t>Round 9</t>
  </si>
  <si>
    <t>Round 10</t>
  </si>
  <si>
    <t>Round 2</t>
  </si>
  <si>
    <t>Match 1</t>
  </si>
  <si>
    <t>Match 2</t>
  </si>
  <si>
    <t>Match 3</t>
  </si>
  <si>
    <t>Match 4</t>
  </si>
  <si>
    <t>Match 5</t>
  </si>
  <si>
    <t>Match 6</t>
  </si>
  <si>
    <t>Match Times - Two teams advance</t>
  </si>
  <si>
    <t>The PLAYERS sheet shows the start times for the matches based on the input from the DRAW sheet.</t>
  </si>
  <si>
    <t>The number of teams is based upon the value in Cell T1 of the DRAW sheet.</t>
  </si>
  <si>
    <t>The start time and its intervals are also set on the DRAW sheet.</t>
  </si>
  <si>
    <t>The next page shows the sequence of matches for two teams advancing.  It shows round robin formats</t>
  </si>
  <si>
    <t>from three teams to 12 teams.</t>
  </si>
  <si>
    <t>Do the hyperlinks on the DRAW sheet work in OfficeCalc?</t>
  </si>
  <si>
    <t>No.  To move quickly to a particular page in OfficeCalc, you will have to use the FIND button as described in the INSTRUCTIONS sheet for "Moving Quickly to a Contest".</t>
  </si>
  <si>
    <t>Select the Starting Time from the dropdown arrow in Cell AC10.</t>
  </si>
  <si>
    <t>Select the Interval time from the dropdown arrow in cell AC13.</t>
  </si>
  <si>
    <t>Repeat steps 10-17 for every contest.</t>
  </si>
  <si>
    <t>Q16</t>
  </si>
  <si>
    <t>A16</t>
  </si>
  <si>
    <t>I noticed at the top of the spreadsheet it says "[Compatibility Mode]".  How do I get rid of that so it will run in my version of Excel?</t>
  </si>
  <si>
    <t>Click on the Excel logo at the top left-hand corner of your application; Select Save As.  Click on the first choice for Excel Workbook.  Select the location where you want to save the file and enter a filename.  Click on the Save button.  Now exit out of Excel and reopen this new file.</t>
  </si>
  <si>
    <t>Last Negative Number Used</t>
  </si>
  <si>
    <t>The last negative number that you used will be displayed at the top of the Players sheet.  This will allow</t>
  </si>
  <si>
    <t>you to know what negative number you should use next.</t>
  </si>
  <si>
    <t>assign this player a negative number, you need to make sure that this player has the SAME</t>
  </si>
  <si>
    <t>If you have a player playing on multiple teams (eg., Lindenwood A and Lindenwood B) and you</t>
  </si>
  <si>
    <t>negative number for both teams (eg., -8 and -8).</t>
  </si>
  <si>
    <t>Go to Print Preview. Click on Page Setup. Click on the Sheet tab. Click the radio button for "Down, then Over" for Page Order.  Click OK.  Click Print.  Click OK.  The second page number will now be the correct page to print (eg., Page 13, not Pages 25-26).</t>
  </si>
  <si>
    <t>Director's Signature:</t>
  </si>
  <si>
    <t>Pages 1-2</t>
  </si>
  <si>
    <t>Pages 3-4</t>
  </si>
  <si>
    <t>Pages 5-6</t>
  </si>
  <si>
    <t>Pages 7-8</t>
  </si>
  <si>
    <t>Pages 9-10</t>
  </si>
  <si>
    <t>Pages 11-12</t>
  </si>
  <si>
    <t>Pages 13-14</t>
  </si>
  <si>
    <t>Pages 15-16</t>
  </si>
  <si>
    <t>Pages 17-18</t>
  </si>
  <si>
    <t>Pages 19-20</t>
  </si>
  <si>
    <t>Pages 21-22</t>
  </si>
  <si>
    <t>Pages 23-24</t>
  </si>
  <si>
    <t>Pages 25-26</t>
  </si>
  <si>
    <t>Pages 27-28</t>
  </si>
  <si>
    <t>Pages 29-30</t>
  </si>
  <si>
    <t>Pages 31-32</t>
  </si>
  <si>
    <t>Pages 33-34</t>
  </si>
  <si>
    <t>Pages 35-36</t>
  </si>
  <si>
    <t>Pages 37-38</t>
  </si>
  <si>
    <t>Pages 39-40</t>
  </si>
  <si>
    <t>Pages 41-42</t>
  </si>
  <si>
    <t>Pages 43-44</t>
  </si>
  <si>
    <t>Pages 45-46</t>
  </si>
  <si>
    <t>Pages 47-48</t>
  </si>
  <si>
    <t>Pages 49-50</t>
  </si>
  <si>
    <t>Pages 51-52</t>
  </si>
  <si>
    <t>Pages 53-54</t>
  </si>
  <si>
    <t>Pages 55-56</t>
  </si>
  <si>
    <t>Pages 57-58</t>
  </si>
  <si>
    <t>Pages 59-60</t>
  </si>
  <si>
    <t>Pages 61-62</t>
  </si>
  <si>
    <t>Pages 63-64</t>
  </si>
  <si>
    <t>Pages 65-66</t>
  </si>
  <si>
    <t>Pages 67-68</t>
  </si>
  <si>
    <t>Pages 69-70</t>
  </si>
  <si>
    <t>Pages 71-72</t>
  </si>
  <si>
    <t>Pages 73-74</t>
  </si>
  <si>
    <t>Pages 75-76</t>
  </si>
  <si>
    <t>Pages 77-78</t>
  </si>
  <si>
    <t>Pages 79-80</t>
  </si>
  <si>
    <t>Pages 81-82</t>
  </si>
  <si>
    <t>Pages 83-84</t>
  </si>
  <si>
    <t>Pages 85-86</t>
  </si>
  <si>
    <t>Pages 87-88</t>
  </si>
  <si>
    <t>Pages 89-90</t>
  </si>
  <si>
    <t>Pages 91-92</t>
  </si>
  <si>
    <t>Pages 93-94</t>
  </si>
  <si>
    <t>Pages 95-96</t>
  </si>
  <si>
    <t>Pages 97-98</t>
  </si>
  <si>
    <t>Pages 99-100</t>
  </si>
  <si>
    <t>Pages 101-102</t>
  </si>
  <si>
    <t>Pages 103-104</t>
  </si>
  <si>
    <t>Pages 105-106</t>
  </si>
  <si>
    <t>Pages 107-108</t>
  </si>
  <si>
    <t>Pages 109-110</t>
  </si>
  <si>
    <t>Pages 111-112</t>
  </si>
  <si>
    <t>Pages 113-114</t>
  </si>
  <si>
    <t>Pages 115-116</t>
  </si>
  <si>
    <t>Pages 117-118</t>
  </si>
  <si>
    <t>Pages 119-120</t>
  </si>
  <si>
    <t>Pages 121-122</t>
  </si>
  <si>
    <t>Pages 123-124</t>
  </si>
  <si>
    <t>Pages 125-126</t>
  </si>
  <si>
    <t>Pages 127-128</t>
  </si>
  <si>
    <t>Pages 129-130</t>
  </si>
  <si>
    <t>Pages 131-132</t>
  </si>
  <si>
    <t>Page 1</t>
  </si>
  <si>
    <t>Page 132</t>
  </si>
  <si>
    <t>Page 2</t>
  </si>
  <si>
    <t>Page 3</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</si>
  <si>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</si>
  <si>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</si>
  <si>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</si>
  <si>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</si>
  <si>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</si>
  <si>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</si>
  <si>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</si>
  <si>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</si>
  <si>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</si>
  <si>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</si>
  <si>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</si>
  <si>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</si>
  <si>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</si>
  <si>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</si>
  <si>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</si>
  <si>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</si>
  <si>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</si>
  <si>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</si>
  <si>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</si>
  <si>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</si>
  <si>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</si>
  <si>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</si>
  <si>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</si>
  <si>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</si>
  <si>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</si>
  <si>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Page 29</t>
  </si>
  <si>
    <t>Page 30</t>
  </si>
  <si>
    <t>Page 31</t>
  </si>
  <si>
    <t>Page 32</t>
  </si>
  <si>
    <t>Page 33</t>
  </si>
  <si>
    <t>Page 34</t>
  </si>
  <si>
    <t>Page 35</t>
  </si>
  <si>
    <t>Page 36</t>
  </si>
  <si>
    <t>Page 37</t>
  </si>
  <si>
    <t>Page 38</t>
  </si>
  <si>
    <t>Page 39</t>
  </si>
  <si>
    <t>Page 40</t>
  </si>
  <si>
    <t>Page 41</t>
  </si>
  <si>
    <t>Page 42</t>
  </si>
  <si>
    <t>Page 43</t>
  </si>
  <si>
    <t>Page 44</t>
  </si>
  <si>
    <t>Page 45</t>
  </si>
  <si>
    <t>Page 46</t>
  </si>
  <si>
    <t>Page 47</t>
  </si>
  <si>
    <t>Page 48</t>
  </si>
  <si>
    <t>Page 50</t>
  </si>
  <si>
    <t>Page 49</t>
  </si>
  <si>
    <t>Page 51</t>
  </si>
  <si>
    <t>Page 52</t>
  </si>
  <si>
    <t>Page 53</t>
  </si>
  <si>
    <t>Page 54</t>
  </si>
  <si>
    <t>Page 55</t>
  </si>
  <si>
    <t>Page 56</t>
  </si>
  <si>
    <t>Page 57</t>
  </si>
  <si>
    <t>Page 58</t>
  </si>
  <si>
    <t>Page 59</t>
  </si>
  <si>
    <t>Page 60</t>
  </si>
  <si>
    <t>Page 61</t>
  </si>
  <si>
    <t>Page 62</t>
  </si>
  <si>
    <t>Page 63</t>
  </si>
  <si>
    <t>Page 64</t>
  </si>
  <si>
    <t>Page 65</t>
  </si>
  <si>
    <t>Page 66</t>
  </si>
  <si>
    <t>Page 67</t>
  </si>
  <si>
    <t>Page 68</t>
  </si>
  <si>
    <t>Page 70</t>
  </si>
  <si>
    <t>Page 69</t>
  </si>
  <si>
    <t>Page 71</t>
  </si>
  <si>
    <t>Page 72</t>
  </si>
  <si>
    <t>Page 73</t>
  </si>
  <si>
    <t>Page 74</t>
  </si>
  <si>
    <t>Page 75</t>
  </si>
  <si>
    <t>Page 76</t>
  </si>
  <si>
    <t>Page 77</t>
  </si>
  <si>
    <t>Page 78</t>
  </si>
  <si>
    <t>Page 79</t>
  </si>
  <si>
    <t>Page 80</t>
  </si>
  <si>
    <t>Page 81</t>
  </si>
  <si>
    <t>Page 82</t>
  </si>
  <si>
    <t>Page 83</t>
  </si>
  <si>
    <t>Page 84</t>
  </si>
  <si>
    <t>Page 85</t>
  </si>
  <si>
    <t>Page 86</t>
  </si>
  <si>
    <t>Page 87</t>
  </si>
  <si>
    <t>Page 88</t>
  </si>
  <si>
    <t>Page 89</t>
  </si>
  <si>
    <t>Page 90</t>
  </si>
  <si>
    <t>Page 91</t>
  </si>
  <si>
    <t>Page 92</t>
  </si>
  <si>
    <t>Page 93</t>
  </si>
  <si>
    <t>Page 94</t>
  </si>
  <si>
    <t>Page 95</t>
  </si>
  <si>
    <t>Page 96</t>
  </si>
  <si>
    <t>Page 97</t>
  </si>
  <si>
    <t>Page 98</t>
  </si>
  <si>
    <t>Page 99</t>
  </si>
  <si>
    <t>Page 100</t>
  </si>
  <si>
    <t>Page 101</t>
  </si>
  <si>
    <t>Page 102</t>
  </si>
  <si>
    <t>Page 103</t>
  </si>
  <si>
    <t>Page 104</t>
  </si>
  <si>
    <t>Page 105</t>
  </si>
  <si>
    <t>Page 106</t>
  </si>
  <si>
    <t>Page 107</t>
  </si>
  <si>
    <t>Page 108</t>
  </si>
  <si>
    <t>Page 109</t>
  </si>
  <si>
    <t>Page 110</t>
  </si>
  <si>
    <t>Page 111</t>
  </si>
  <si>
    <t>Page 112</t>
  </si>
  <si>
    <t>Page 113</t>
  </si>
  <si>
    <t>Page 114</t>
  </si>
  <si>
    <t>Page 115</t>
  </si>
  <si>
    <t>Page 116</t>
  </si>
  <si>
    <t>Page 117</t>
  </si>
  <si>
    <t>Page 118</t>
  </si>
  <si>
    <t>Page 119</t>
  </si>
  <si>
    <t>Page 120</t>
  </si>
  <si>
    <t>Page 121</t>
  </si>
  <si>
    <t>Page 122</t>
  </si>
  <si>
    <t>Page 123</t>
  </si>
  <si>
    <t>Page 124</t>
  </si>
  <si>
    <t>Page 125</t>
  </si>
  <si>
    <t>Page 126</t>
  </si>
  <si>
    <t>Page 127</t>
  </si>
  <si>
    <t>Page 128</t>
  </si>
  <si>
    <t>Page 129</t>
  </si>
  <si>
    <t>Page 130</t>
  </si>
  <si>
    <t>Page 131</t>
  </si>
  <si>
    <t>5=5-team RR</t>
  </si>
  <si>
    <t>6=6-team RR</t>
  </si>
  <si>
    <t>7=7-team RR</t>
  </si>
  <si>
    <t>8=8-team RR</t>
  </si>
  <si>
    <t>9=9-team RR</t>
  </si>
  <si>
    <t>10=10-team RR</t>
  </si>
  <si>
    <t>11=11-team RR</t>
  </si>
  <si>
    <t>Round</t>
  </si>
  <si>
    <t>Match</t>
  </si>
  <si>
    <t>A-C</t>
  </si>
  <si>
    <t>A-B</t>
  </si>
  <si>
    <t>B-C</t>
  </si>
  <si>
    <t>bye-B</t>
  </si>
  <si>
    <t>C-bye</t>
  </si>
  <si>
    <t>A-bye</t>
  </si>
  <si>
    <t>A-D</t>
  </si>
  <si>
    <t>B-D</t>
  </si>
  <si>
    <t>C-D</t>
  </si>
  <si>
    <r>
      <t>A-</t>
    </r>
    <r>
      <rPr>
        <sz val="8"/>
        <color indexed="8"/>
        <rFont val="Arial"/>
        <family val="2"/>
      </rPr>
      <t>bye</t>
    </r>
  </si>
  <si>
    <t>A-E</t>
  </si>
  <si>
    <t>B-E</t>
  </si>
  <si>
    <t>C-E</t>
  </si>
  <si>
    <r>
      <t>C-</t>
    </r>
    <r>
      <rPr>
        <sz val="8"/>
        <color indexed="8"/>
        <rFont val="Arial"/>
        <family val="2"/>
      </rPr>
      <t>bye</t>
    </r>
  </si>
  <si>
    <t>bye-D</t>
  </si>
  <si>
    <t>E-bye</t>
  </si>
  <si>
    <t>D-E</t>
  </si>
  <si>
    <t>A-F</t>
  </si>
  <si>
    <t>C-F</t>
  </si>
  <si>
    <t>D-F</t>
  </si>
  <si>
    <t>B-F</t>
  </si>
  <si>
    <t>E-F</t>
  </si>
  <si>
    <t>A-G</t>
  </si>
  <si>
    <t>B-G</t>
  </si>
  <si>
    <t>bye-F</t>
  </si>
  <si>
    <t>E-G</t>
  </si>
  <si>
    <t>C-G</t>
  </si>
  <si>
    <t>D-G</t>
  </si>
  <si>
    <r>
      <t>G-</t>
    </r>
    <r>
      <rPr>
        <sz val="8"/>
        <color indexed="8"/>
        <rFont val="Arial"/>
        <family val="2"/>
      </rPr>
      <t>bye</t>
    </r>
  </si>
  <si>
    <t>F-G</t>
  </si>
  <si>
    <t>A-H</t>
  </si>
  <si>
    <t>F-H</t>
  </si>
  <si>
    <t>C-H</t>
  </si>
  <si>
    <t>E-H</t>
  </si>
  <si>
    <t>D-H</t>
  </si>
  <si>
    <t>B-H</t>
  </si>
  <si>
    <t>G-H</t>
  </si>
  <si>
    <t>A-I</t>
  </si>
  <si>
    <t>B-I</t>
  </si>
  <si>
    <t>bye-H</t>
  </si>
  <si>
    <t>G-I</t>
  </si>
  <si>
    <r>
      <t>E-</t>
    </r>
    <r>
      <rPr>
        <sz val="8"/>
        <color indexed="8"/>
        <rFont val="Arial"/>
        <family val="2"/>
      </rPr>
      <t>bye</t>
    </r>
  </si>
  <si>
    <t>D-I</t>
  </si>
  <si>
    <t>E-I</t>
  </si>
  <si>
    <t>B–E</t>
  </si>
  <si>
    <t>C-I</t>
  </si>
  <si>
    <t>F-I</t>
  </si>
  <si>
    <r>
      <t>I-</t>
    </r>
    <r>
      <rPr>
        <sz val="8"/>
        <color indexed="8"/>
        <rFont val="Arial"/>
        <family val="2"/>
      </rPr>
      <t>bye</t>
    </r>
  </si>
  <si>
    <t>H-I</t>
  </si>
  <si>
    <t>A-J</t>
  </si>
  <si>
    <t>H-J</t>
  </si>
  <si>
    <t>C-J</t>
  </si>
  <si>
    <t>F-J</t>
  </si>
  <si>
    <t>E-J</t>
  </si>
  <si>
    <t>G-J</t>
  </si>
  <si>
    <t>D-J</t>
  </si>
  <si>
    <t>B-J</t>
  </si>
  <si>
    <t>I-J</t>
  </si>
  <si>
    <t>A-K</t>
  </si>
  <si>
    <t>B-K</t>
  </si>
  <si>
    <t>J-bye</t>
  </si>
  <si>
    <t>I-K</t>
  </si>
  <si>
    <t>H-bye</t>
  </si>
  <si>
    <t>G-K</t>
  </si>
  <si>
    <t>D-K</t>
  </si>
  <si>
    <t>F-bye</t>
  </si>
  <si>
    <t>G-bye</t>
  </si>
  <si>
    <t>F-K</t>
  </si>
  <si>
    <t>E-K</t>
  </si>
  <si>
    <t>C-K</t>
  </si>
  <si>
    <t>I-bye</t>
  </si>
  <si>
    <t>H-K</t>
  </si>
  <si>
    <t>D-bye</t>
  </si>
  <si>
    <t>B-bye</t>
  </si>
  <si>
    <t>K-bye</t>
  </si>
  <si>
    <t>J-K</t>
  </si>
  <si>
    <t>A-L</t>
  </si>
  <si>
    <t>J-L</t>
  </si>
  <si>
    <t>C-L</t>
  </si>
  <si>
    <t>H-L</t>
  </si>
  <si>
    <t>E-L</t>
  </si>
  <si>
    <t>F-L</t>
  </si>
  <si>
    <t>G-L</t>
  </si>
  <si>
    <t>I-L</t>
  </si>
  <si>
    <t>D-L</t>
  </si>
  <si>
    <t>B-L</t>
  </si>
  <si>
    <t>K-L</t>
  </si>
  <si>
    <t>box #4).  If you are looking for Team "D" vs Team "G", then type D-G in Red box #3.  Then close</t>
  </si>
  <si>
    <t>How to Set the Score Validation to Manual Instead of Calculating After Every Score is Entered</t>
  </si>
  <si>
    <t>For Excel 2007…click on the logo in the top left corner and then click on the "Excel Options" button at</t>
  </si>
  <si>
    <t>the bottom.</t>
  </si>
  <si>
    <t xml:space="preserve">When you have done that, a CALCULATE button will appear in the bottom left corner.  Simply click </t>
  </si>
  <si>
    <t>If cell T1 has a number from 5-11, then that number of teams will be used for the round robin competition.</t>
  </si>
  <si>
    <t>Match Sequence - Two teams advance</t>
  </si>
  <si>
    <t>The sequence of the team matches will be in the order as shown below for that particular number.</t>
  </si>
  <si>
    <t>3-team</t>
  </si>
  <si>
    <t>4-team</t>
  </si>
  <si>
    <t>5-team</t>
  </si>
  <si>
    <t>6-team</t>
  </si>
  <si>
    <t>7-team</t>
  </si>
  <si>
    <t>8-team</t>
  </si>
  <si>
    <t>9-team</t>
  </si>
  <si>
    <t>10-team</t>
  </si>
  <si>
    <t>11-team</t>
  </si>
  <si>
    <t>12-team</t>
  </si>
  <si>
    <t>4 players' names as they cannot have any other lineup with just 4 players.  Only the doubles</t>
  </si>
  <si>
    <t>partner will need to be entered.</t>
  </si>
  <si>
    <r>
      <t xml:space="preserve">Go to the </t>
    </r>
    <r>
      <rPr>
        <b/>
        <sz val="10"/>
        <rFont val="Arial"/>
        <family val="2"/>
      </rPr>
      <t>DRAW</t>
    </r>
    <r>
      <rPr>
        <sz val="10"/>
        <rFont val="Arial"/>
        <family val="2"/>
      </rPr>
      <t xml:space="preserve"> sheet circled in </t>
    </r>
    <r>
      <rPr>
        <sz val="10"/>
        <color indexed="10"/>
        <rFont val="Arial"/>
        <family val="2"/>
      </rPr>
      <t>red</t>
    </r>
    <r>
      <rPr>
        <sz val="10"/>
        <rFont val="Arial"/>
        <family val="2"/>
      </rPr>
      <t xml:space="preserve">.  </t>
    </r>
  </si>
  <si>
    <r>
      <t xml:space="preserve">Go to the </t>
    </r>
    <r>
      <rPr>
        <b/>
        <sz val="10"/>
        <rFont val="Arial"/>
        <family val="2"/>
      </rPr>
      <t>PLAYERS</t>
    </r>
    <r>
      <rPr>
        <sz val="10"/>
        <rFont val="Arial"/>
        <family val="2"/>
      </rPr>
      <t xml:space="preserve"> sheet circled in </t>
    </r>
    <r>
      <rPr>
        <sz val="10"/>
        <color indexed="10"/>
        <rFont val="Arial"/>
        <family val="2"/>
      </rPr>
      <t>red</t>
    </r>
    <r>
      <rPr>
        <sz val="10"/>
        <rFont val="Arial"/>
        <family val="2"/>
      </rPr>
      <t xml:space="preserve">.  </t>
    </r>
  </si>
  <si>
    <t>If this player cannot be found in the Sheet labeled "RatingList", then "#N/A" will be displayed.</t>
  </si>
  <si>
    <r>
      <t xml:space="preserve">If "#N/A" appears, the Tournament Director </t>
    </r>
    <r>
      <rPr>
        <b/>
        <sz val="10"/>
        <rFont val="Arial"/>
        <family val="2"/>
      </rPr>
      <t>must</t>
    </r>
    <r>
      <rPr>
        <sz val="10"/>
        <rFont val="Arial"/>
        <family val="2"/>
      </rPr>
      <t xml:space="preserve"> manually peruse the list of players in the RatingList sheet</t>
    </r>
  </si>
  <si>
    <t>the RatingList sheet, then you need to replace the Excel formula you just overwrote with your</t>
  </si>
  <si>
    <r>
      <t xml:space="preserve">Go to the </t>
    </r>
    <r>
      <rPr>
        <b/>
        <sz val="10"/>
        <rFont val="Arial"/>
        <family val="2"/>
      </rPr>
      <t>MATCH_ROSTERS</t>
    </r>
    <r>
      <rPr>
        <sz val="10"/>
        <rFont val="Arial"/>
        <family val="2"/>
      </rPr>
      <t xml:space="preserve"> sheet circled in </t>
    </r>
    <r>
      <rPr>
        <sz val="10"/>
        <color indexed="10"/>
        <rFont val="Arial"/>
        <family val="2"/>
      </rPr>
      <t>red</t>
    </r>
    <r>
      <rPr>
        <sz val="10"/>
        <rFont val="Arial"/>
        <family val="2"/>
      </rPr>
      <t xml:space="preserve">.  </t>
    </r>
  </si>
  <si>
    <t>The names will appear here according to what you entered on the PLAYERS sheet.</t>
  </si>
  <si>
    <r>
      <t xml:space="preserve">Go to the </t>
    </r>
    <r>
      <rPr>
        <b/>
        <sz val="10"/>
        <rFont val="Arial"/>
        <family val="2"/>
      </rPr>
      <t>TEAM_MATCHES</t>
    </r>
    <r>
      <rPr>
        <sz val="10"/>
        <rFont val="Arial"/>
        <family val="2"/>
      </rPr>
      <t xml:space="preserve"> sheet circled in </t>
    </r>
    <r>
      <rPr>
        <sz val="10"/>
        <color indexed="10"/>
        <rFont val="Arial"/>
        <family val="2"/>
      </rPr>
      <t>red</t>
    </r>
    <r>
      <rPr>
        <sz val="10"/>
        <rFont val="Arial"/>
        <family val="2"/>
      </rPr>
      <t xml:space="preserve">.  </t>
    </r>
  </si>
  <si>
    <t>If a team only has 4 players, then the Team_Matches sheet will automatically be pre-populated with those</t>
  </si>
  <si>
    <t>The players' names will automatically be populated from the Match_Rosters sheet.</t>
  </si>
  <si>
    <t>2=Two 6-team RRs</t>
  </si>
  <si>
    <t>3=Three 4-team RRs</t>
  </si>
  <si>
    <t>4=Four 3-team RRs</t>
  </si>
  <si>
    <t>The winner, represented by "W", shows "Error" because the winning player "L" did not win exactly 3 games.</t>
  </si>
  <si>
    <t>Team "A" has put their 3rd position player ahead of their 2nd position player which is against the rules.</t>
  </si>
  <si>
    <t>The Doubles partner for Team "A" has to be someone other than the 1st Singles player.</t>
  </si>
  <si>
    <t>Gender</t>
  </si>
  <si>
    <t>displayed if it can be found in the RatingList sheet.</t>
  </si>
  <si>
    <t>Enter "M" or "F" in Column (E) if the gender shows "#N/A".</t>
  </si>
  <si>
    <t>For Red box #5, enter "C" for a Coed team, "W" for a women's team, or "JV" for a junior varsity team.</t>
  </si>
  <si>
    <t>For Red box #6, enter the e-mail addresses for each player.</t>
  </si>
  <si>
    <t>List the players' names and e-mails on the PLAYERS sheet in the given lineup order.</t>
  </si>
  <si>
    <t>The completed spreadsheet should be sent in its entirety to results@nctta.org</t>
  </si>
  <si>
    <t>Added e-mail addresses to RESULTS sheet.  Updated version number.</t>
  </si>
  <si>
    <t>Added placeholders (xx) to title line of RESULTS sheet.  Updated version number.</t>
  </si>
  <si>
    <t>Refreshed RATINGLIST sheet after cleaning up JV overwrites.  Updated version number.</t>
  </si>
  <si>
    <t>Changed all club IDs to 98 in RESULTS sheet.  Removed duplicates from RATINGLIST sheet.  Updated version number.</t>
  </si>
  <si>
    <t>Bolded/Red the Round-Matches and the school names on the TEAM_MATCHES sheet.  Added text about entering defaults.  Updated version number.</t>
  </si>
  <si>
    <t>Enter defaults by</t>
  </si>
  <si>
    <t>displaying 11-0 in</t>
  </si>
  <si>
    <t>the 5th game only.</t>
  </si>
  <si>
    <t>Match_Rosters!A69</t>
  </si>
  <si>
    <t>Match_Rosters!A137</t>
  </si>
  <si>
    <t>Match_Rosters!A205</t>
  </si>
  <si>
    <t>Match_Rosters!A273</t>
  </si>
  <si>
    <t>Match_Rosters!A341</t>
  </si>
  <si>
    <t>Match_Rosters!A409</t>
  </si>
  <si>
    <t>Match_Rosters!A477</t>
  </si>
  <si>
    <t>Match_Rosters!A545</t>
  </si>
  <si>
    <t>Match_Rosters!A613</t>
  </si>
  <si>
    <t>Match_Rosters!A681</t>
  </si>
  <si>
    <t>Match_Rosters!A749</t>
  </si>
  <si>
    <t>Match_Rosters!A817</t>
  </si>
  <si>
    <t>Match_Rosters!A885</t>
  </si>
  <si>
    <t>Match_Rosters!A953</t>
  </si>
  <si>
    <t>Match_Rosters!A1021</t>
  </si>
  <si>
    <t>Match_Rosters!A1157</t>
  </si>
  <si>
    <t>Match_Rosters!A1225</t>
  </si>
  <si>
    <t>Match_Rosters!A1293</t>
  </si>
  <si>
    <t>Match_Rosters!A1361</t>
  </si>
  <si>
    <t>Match_Rosters!A1429</t>
  </si>
  <si>
    <t>Match_Rosters!A1497</t>
  </si>
  <si>
    <t>Match_Rosters!A1565</t>
  </si>
  <si>
    <t>Match_Rosters!A1633</t>
  </si>
  <si>
    <t>Match_Rosters!A1701</t>
  </si>
  <si>
    <t>Match_Rosters!A1769</t>
  </si>
  <si>
    <t>Match_Rosters!A1837</t>
  </si>
  <si>
    <t>Match_Rosters!A1905</t>
  </si>
  <si>
    <t>Match_Rosters!A1973</t>
  </si>
  <si>
    <t>Match_Rosters!A2041</t>
  </si>
  <si>
    <t>Match_Rosters!A2109</t>
  </si>
  <si>
    <t>Match_Rosters!A2245</t>
  </si>
  <si>
    <t>Match_Rosters!A2313</t>
  </si>
  <si>
    <t>Match_Rosters!A2381</t>
  </si>
  <si>
    <t>Match_Rosters!A2449</t>
  </si>
  <si>
    <t>Match_Rosters!A2517</t>
  </si>
  <si>
    <t>Match_Rosters!A2585</t>
  </si>
  <si>
    <t>Match_Rosters!A2653</t>
  </si>
  <si>
    <t>Match_Rosters!A2721</t>
  </si>
  <si>
    <t>Match_Rosters!A2789</t>
  </si>
  <si>
    <t>Match_Rosters!A2857</t>
  </si>
  <si>
    <t>Match_Rosters!A2925</t>
  </si>
  <si>
    <t>Match_Rosters!A2993</t>
  </si>
  <si>
    <t>Match_Rosters!A3061</t>
  </si>
  <si>
    <t>Match_Rosters!A3129</t>
  </si>
  <si>
    <t>Match_Rosters!A3197</t>
  </si>
  <si>
    <t>Match_Rosters!A3333</t>
  </si>
  <si>
    <t>Match_Rosters!A3401</t>
  </si>
  <si>
    <t>Match_Rosters!A3469</t>
  </si>
  <si>
    <t>Match_Rosters!A3537</t>
  </si>
  <si>
    <t>Match_Rosters!A3605</t>
  </si>
  <si>
    <t>Match_Rosters!A3673</t>
  </si>
  <si>
    <t>Match_Rosters!A3741</t>
  </si>
  <si>
    <t>Match_Rosters!A3809</t>
  </si>
  <si>
    <t>Match_Rosters!A3877</t>
  </si>
  <si>
    <t>Match_Rosters!A3945</t>
  </si>
  <si>
    <t>Match_Rosters!A4013</t>
  </si>
  <si>
    <t>Match_Rosters!A4081</t>
  </si>
  <si>
    <t>Match_Rosters!A4149</t>
  </si>
  <si>
    <t>Match_Rosters!A4217</t>
  </si>
  <si>
    <t>Match_Rosters!A4285</t>
  </si>
  <si>
    <t>Match_Rosters!A4353</t>
  </si>
  <si>
    <t>Match_Rosters!A4421</t>
  </si>
  <si>
    <t>The Rating Column (D) is unlocked and can be modified with a temporary estimated rating.</t>
  </si>
  <si>
    <t>For Red box #7, the team strength will be displayed using the formula (A+B)*1.5 + C + D.</t>
  </si>
  <si>
    <t>Regional Competition</t>
  </si>
  <si>
    <t>For the regional competition, you need to divide the 8 teams into two groups of 4.  For example, let's say</t>
  </si>
  <si>
    <t>Div 1, School 1 (9600)</t>
  </si>
  <si>
    <t>Div 2, School 1 (9400)</t>
  </si>
  <si>
    <t>Div 3, School 1 (9300)</t>
  </si>
  <si>
    <t>Div 2, School 2 (9200)</t>
  </si>
  <si>
    <t>Div 4, School 1 (9100)</t>
  </si>
  <si>
    <t>Div 2, School 3 (9000)</t>
  </si>
  <si>
    <t>Div 3, School 2 (8900)</t>
  </si>
  <si>
    <t>Div 1, School 2 (8800)</t>
  </si>
  <si>
    <t>that the top 8 teams look like what is shown below.  The number in parentheses is the team strength.</t>
  </si>
  <si>
    <t>That is calculated using the formula (A + B)*1.5 + C + D.</t>
  </si>
  <si>
    <t>You will notice that the 4th highest rated team is not the</t>
  </si>
  <si>
    <t>winner of Div 4, but rather the 2nd place finisher from Div 2.</t>
  </si>
  <si>
    <t>You will also notice that Division 2 was so strong that three</t>
  </si>
  <si>
    <t>teams made it to the regional competition and only one</t>
  </si>
  <si>
    <t>team made it from Division 4.</t>
  </si>
  <si>
    <t>You divide these 8 teams into two groups of 4 by using the snake method.</t>
  </si>
  <si>
    <t>Then you look at the two groups for geographic separation which means making sure teams from the same</t>
  </si>
  <si>
    <t>Division are not in the same round robin group, when possible.</t>
  </si>
  <si>
    <t>You will notice that in Group A both the winner and runner-up from Division 1 are in the same group.</t>
  </si>
  <si>
    <t>Group B has a similar problem with schools from the same Division in the same group.</t>
  </si>
  <si>
    <t>To fix this problem, you move schools to the other group that are on the same row starting at the bottom.</t>
  </si>
  <si>
    <t>Switching #8 with #7 fixes the problem for Div 1 and also solves the problem with Div 3 at the same time.</t>
  </si>
  <si>
    <t xml:space="preserve">The only problem left to resolve is that Div 2 has three schools so two of the schools will end up in the </t>
  </si>
  <si>
    <t>same group.  The rules state that the highest rated school is to be in a group of its own which means</t>
  </si>
  <si>
    <t>Div 2, School 2 and Div 2, School 3 need to be in the same group.  Switch #6 with #5.</t>
  </si>
  <si>
    <t>Now all the schools from the same Division have been separated and won't compete against each other</t>
  </si>
  <si>
    <t>unless they make it to the single elimination crossover play.</t>
  </si>
  <si>
    <t>Finally, the winner of Group A plays the 2nd place team in Group B; winner of Group B plays the 2nd place</t>
  </si>
  <si>
    <t>team in Group A.  The winners of these matches play for 1st and 2nd.  The losers play for 3rd-4th.</t>
  </si>
  <si>
    <t>The third place teams from each group play each other for 5th-6th and the fourth place teams from</t>
  </si>
  <si>
    <t>each group play each other for 7th-8th place.</t>
  </si>
  <si>
    <t>Adjusted the DRAW sheet to lock cells R4 and R6.  Widened the date field in column D of the TEAM_MATCHES sheet.  Unlocked the ratings column in the PLAYERS sheet.  Modified the help text to indicate temporary estimated ratings can be entered.  Added team strength rating to PLAYERS sheet.  Added the instructions for regional competition.  Updated the INSTRUCTIONS sheet.  Updated the version number.</t>
  </si>
  <si>
    <t>You may need to scroll down to see the top of the page.</t>
  </si>
  <si>
    <t>Changed "N" to a "Y" for the Player Info field for all players.  Added text to the INSTRUCTIONS sheet on scrolling down a bit when using the grid on the DRAW sheet.  Updated the version number.</t>
  </si>
  <si>
    <t>Refreshed RATINGLIST sheet with results from Fall 2011 meets.  Adjusted formula for reporting 4th singles missing player 11-0 to only appear if other scores are reported.</t>
  </si>
  <si>
    <t/>
  </si>
  <si>
    <t>Corrected truncated RatingList sheet brought to my attention by David Livings (South RD).</t>
  </si>
  <si>
    <t>Changed Fall 2011 to Spring 2012 in RESULTS sheet.  Made Cell O1 on the DRAW sheet visible and editable.</t>
  </si>
  <si>
    <t>Changed cell entry colors to light yellow to give more contrast when writing in pencil. Made Cell T1 on the DRAW sheet equal 3 for Regional competitions.  Added automatically displaying e-mails addresses, when known.  Refreshed with SP12 ratings, except SoCal teams.</t>
  </si>
  <si>
    <t>Corrected error in team strength calculation for Cells K71-K78 on PLAYER sheet.</t>
  </si>
  <si>
    <t>Added ISERROR for non-existent email addresses in Column F.</t>
  </si>
  <si>
    <t>Highlighted team name on MATCH_ROSTERS sheet for easier identification.</t>
  </si>
  <si>
    <t>Corrected formula error on the right side of the MATCH_ROSTERS sheet that displays the team on the left.  To fix the error, I highlighted Columns G-J and changed $D to $I.</t>
  </si>
  <si>
    <t>treasurer@nctta.org</t>
  </si>
  <si>
    <t>Randy Kendle (cell: 314-800-5377) treasurer@nctta.org</t>
  </si>
  <si>
    <t>2.00</t>
  </si>
  <si>
    <t>Adjusted formulas in Columns E &amp; F of the PLAYERS sheet to match the reduced columns in the RATINGLIST sheet.  Reduced RATINGLIST columns to Name, ID, Rating, Gender, and E-mail.  Created new upload format for results in Column A of the RESULTS sheet.  Deleted everything above the score results in the RESULTS sheet.  Updated RATINGLIST with Dan's latest info.</t>
  </si>
  <si>
    <t>2.01</t>
  </si>
  <si>
    <t>Removed NULL from RATINGLIST.</t>
  </si>
  <si>
    <t>2.02</t>
  </si>
  <si>
    <t>Moved location of "Official/Scrimmage" to print on page 1 only.  Refreshed the RATINGLIST with ratings from the FA12 semester.</t>
  </si>
  <si>
    <t>2.03</t>
  </si>
  <si>
    <t>Updated INSTRUCTIONS to remove references to RatingsCentral.com.  Added opponent's roster to MATCH_ROSTERS.</t>
  </si>
  <si>
    <t>For the Red box #2, the player's NCTTA Player ID will automatically be displayed in Column B if</t>
  </si>
  <si>
    <t>so that the NCTTA can assign them an unique ID number in which to track their</t>
  </si>
  <si>
    <t>negative number.  To do that, simply copy and paste a cell that displays a NCTTA Player ID</t>
  </si>
  <si>
    <t>For Red boxes #3 and #4, a NCTTA collegiate rating and player gender will automatically be</t>
  </si>
  <si>
    <t>E-mail a copy of this spreadsheet(s) to results@nctta.org when you are done and be available for questions as a review of the data is conducted before being uploaded to the NCTTA website.</t>
  </si>
  <si>
    <t>Opponent's Roster</t>
  </si>
  <si>
    <t>2.04</t>
  </si>
  <si>
    <t>Updated RATINGLIST.</t>
  </si>
  <si>
    <t>2.05</t>
  </si>
  <si>
    <t>Adjusted RESULTS Column A formula to replace "#N/A" with zero (0).</t>
  </si>
  <si>
    <t>2.06</t>
  </si>
  <si>
    <t>Updated RATINGLIST after completion of Division competition.</t>
  </si>
  <si>
    <t>3.00</t>
  </si>
  <si>
    <t>Updated RATINGLIST after 2013 Nationals.</t>
  </si>
  <si>
    <t>3.01</t>
  </si>
  <si>
    <t>Updated RATINGLIST after FA13 semester.</t>
  </si>
  <si>
    <t>3.02</t>
  </si>
  <si>
    <t>Updated RATINGLIST after SP14 semester. Added (Division Name) after School on PLAYERS tab.  Added TMS logo and TMS name to sheets.</t>
  </si>
  <si>
    <t>3.03</t>
  </si>
  <si>
    <t>Updated RATINGLIST after 2014 Regionals.</t>
  </si>
  <si>
    <t>3.04</t>
  </si>
  <si>
    <t>and their scores will be recorded accurately.  Note: The match result between A and J will NOT affect</t>
  </si>
  <si>
    <t>their ranking (Place column "R"), because that match is outside of the colored round robin.</t>
  </si>
  <si>
    <t>previously filled in score, then simply copy the team name to an empty row below and then copy</t>
  </si>
  <si>
    <t>crossover semifinals to determine the best team in the Region. If a match is a "repeat" of a</t>
  </si>
  <si>
    <t>the roster of players on the PLAYERS tab below to the same location.</t>
  </si>
  <si>
    <t>Yellow cells are an indication where a Tournament Director needs to enter data.</t>
  </si>
  <si>
    <t>On the DRAW sheet, you can set the start time of Round 1 by clicking on the yellow box and then</t>
  </si>
  <si>
    <t>Simply click on the yellow box for Interval and select the number of minutes between each round.</t>
  </si>
  <si>
    <t>To enter a player's name, you simply click on the yellow box and then click on the downarrow.</t>
  </si>
  <si>
    <t>Simply click on the yellow box and then click on the downarrow.  Select any player but the 1st</t>
  </si>
  <si>
    <t>Enter the circled players from the school captain onto the TEAM_MATCHES sheet in the highlighted yellow cells using the dropdown list.  Enter the doubles player name into the yellow cell for doubles near the bottom of the match sheet.</t>
  </si>
  <si>
    <t>Lightened the yellow boxes.  Adjusted the DRAW sheet to make non-RR matches not affect the results.  Updated the version number.</t>
  </si>
  <si>
    <t>Up to 4 additional schools will be given byes out of the round robin competition.  These byes will be</t>
  </si>
  <si>
    <t>given to the highest rated teams.  Cell T1 should be set to "3".</t>
  </si>
  <si>
    <t>Updated RATINGLIST after 2014 Championships.  Updated the screenshots and text in the INSTRUCTIONS tab.  Changed 8 to 12 Regional Coed teams.</t>
  </si>
  <si>
    <t>Top Seeded Team</t>
  </si>
  <si>
    <t>2nd Seeded Team</t>
  </si>
  <si>
    <t>3.05</t>
  </si>
  <si>
    <t>Removed Butterfly logo.</t>
  </si>
  <si>
    <t>3.06</t>
  </si>
  <si>
    <t>2nd Place Group</t>
  </si>
  <si>
    <t>3rd/4th Seeded Team</t>
  </si>
  <si>
    <t>1st Place Group</t>
  </si>
  <si>
    <t>Updated RATINGLIST after FA14 semester.  Adjusted placement of SE draw.  Adjusted PLAYERS formulas for USATT fields.</t>
  </si>
  <si>
    <t>3.07</t>
  </si>
  <si>
    <t>Updated RATINGLIST after SP15 semester.</t>
  </si>
  <si>
    <t>3.08</t>
  </si>
  <si>
    <t>Updated RATINGLIST after Regionals.  Added text about any player on the roster can play doubles even if they don't play singles.</t>
  </si>
  <si>
    <t>player if the singles are tied 2-2.  It can be any of the other 7 players on the roster.</t>
  </si>
  <si>
    <t>with the teammate in the number one position.  This player was chosen from any one of the other</t>
  </si>
  <si>
    <t>players listed on this roster (even if they are not selected for singles).</t>
  </si>
  <si>
    <t>3.09</t>
  </si>
  <si>
    <t>Updated RATINGLIST after 2015 Nationals.</t>
  </si>
  <si>
    <t>3.10</t>
  </si>
  <si>
    <t>Updated RATINGLIST after USATT Ratings update.</t>
  </si>
  <si>
    <t>Updated RATINGLIST after FA15 semester.</t>
  </si>
  <si>
    <t>3.11</t>
  </si>
  <si>
    <t>3.12</t>
  </si>
  <si>
    <t>Updated RATINGLIST after SP16 semester.</t>
  </si>
  <si>
    <t>Updated RATINGLIST after 2016 Nationals.</t>
  </si>
  <si>
    <t>3.20</t>
  </si>
  <si>
    <t>3.21</t>
  </si>
  <si>
    <t>3.22</t>
  </si>
  <si>
    <t>Updated RATINGLIST after FA16 semester and changed red color to blue for school names and round and match.</t>
  </si>
  <si>
    <t>3.23</t>
  </si>
  <si>
    <t>Updated RATINGLIST after SP17 semester.</t>
  </si>
  <si>
    <t>3.24</t>
  </si>
  <si>
    <t>Updated RATINGLIST after 2017 Nationals and USATT ratings update.</t>
  </si>
  <si>
    <t>3.25</t>
  </si>
  <si>
    <t>Unmerged Columns P and Q on Team_Matches tab.</t>
  </si>
  <si>
    <t>3.26</t>
  </si>
  <si>
    <t>Updated RATINGLIST after FA17 semester and USATT Ratings update.</t>
  </si>
  <si>
    <t>3.27</t>
  </si>
  <si>
    <t>Updated RATINGLIST after SP18 semester.</t>
  </si>
  <si>
    <t>3.28</t>
  </si>
  <si>
    <t>Updated RATINGLIST after 2018 Nationals and USATT Ratings update.</t>
  </si>
  <si>
    <t>3.29</t>
  </si>
  <si>
    <t>Updated RATINGLIST after FA18 semester.</t>
  </si>
  <si>
    <t>3.30</t>
  </si>
  <si>
    <t>3.31</t>
  </si>
  <si>
    <t>Updated RATINGLIST after FA19 semester.</t>
  </si>
  <si>
    <t>Updated RATINGLIST after 2019 Nationals and USATT Ratings update.</t>
  </si>
  <si>
    <t>3.32</t>
  </si>
  <si>
    <t>Updated RATINGLIST before FA21.</t>
  </si>
  <si>
    <t>3.33</t>
  </si>
  <si>
    <t>Updated INSTRUCTIONS for SchoolRegistry copy/paste</t>
  </si>
  <si>
    <t>Starting with Red box #2 in cell B4, you copy and paste the entire school lineup from</t>
  </si>
  <si>
    <t>http://danserver.com/nctta/Admin/SchoolRegistry.asp</t>
  </si>
  <si>
    <t>You put a checkmark in the box to the left of the school whose roster you want to copy/paste.</t>
  </si>
  <si>
    <t>Then you click the View Roster button in the upper right-hand corner.</t>
  </si>
  <si>
    <t>You use your mouse to highlight the ENTIRE contents and paste it into cell B4.</t>
  </si>
  <si>
    <t>This will overwrite the cell formulas.</t>
  </si>
  <si>
    <t>The next school lineup is copied/pasted into the next team letter (eg., "B")…etc.</t>
  </si>
  <si>
    <t>A Tournament Director should request all the lineups from the school team's a minimum of 72 hours in</t>
  </si>
  <si>
    <t>3.34</t>
  </si>
  <si>
    <t>Updated INSTRUCTIONS by removing RatingList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</si>
</sst>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h:mm\ AM/PM;@"/>
  </numFmts>
  <fonts count="36" x14ac:knownFonts="1">
    <font>
      <sz val="10"/>
      <name val="Arial"/>
    </font>
    <font>
      <sz val="8"/>
      <name val="Arial"/>
      <family val="2"/>
    </font>
    <font>
      <b/>
      <sz val="10"/>
      <name val="Arial"/>
      <family val="2"/>
    </font>
    <font>
      <b/>
      <sz val="12"/>
      <name val="Arial"/>
      <family val="2"/>
    </font>
    <font>
      <sz val="10"/>
      <name val="Arial"/>
      <family val="2"/>
    </font>
    <font>
      <sz val="16"/>
      <name val="Arial"/>
      <family val="2"/>
    </font>
    <font>
      <i/>
      <sz val="10"/>
      <name val="Arial"/>
      <family val="2"/>
    </font>
    <font>
      <sz val="18"/>
      <name val="Arial"/>
      <family val="2"/>
    </font>
    <font>
      <sz val="10"/>
      <color indexed="10"/>
      <name val="Arial"/>
      <family val="2"/>
    </font>
    <font>
      <b/>
      <sz val="14"/>
      <name val="Arial"/>
      <family val="2"/>
    </font>
    <font>
      <b/>
      <sz val="10"/>
      <color indexed="10"/>
      <name val="Arial"/>
      <family val="2"/>
    </font>
    <font>
      <u/>
      <sz val="10"/>
      <name val="Arial"/>
      <family val="2"/>
    </font>
    <font>
      <sz val="24"/>
      <name val="Arial"/>
      <family val="2"/>
    </font>
    <font>
      <sz val="8"/>
      <color indexed="8"/>
      <name val="Arial"/>
      <family val="2"/>
    </font>
    <font>
      <sz val="10"/>
      <color indexed="8"/>
      <name val="Arial"/>
      <family val="2"/>
    </font>
    <font>
      <sz val="10"/>
      <color indexed="9"/>
      <name val="Arial"/>
      <family val="2"/>
    </font>
    <font>
      <b/>
      <sz val="10"/>
      <color indexed="9"/>
      <name val="Arial"/>
      <family val="2"/>
    </font>
    <font>
      <sz val="11"/>
      <color indexed="8"/>
      <name val="Calibri"/>
      <family val="2"/>
    </font>
    <font>
      <sz val="12"/>
      <color indexed="8"/>
      <name val="Arial"/>
      <family val="2"/>
    </font>
    <font>
      <sz val="8"/>
      <name val="Arial"/>
      <family val="2"/>
    </font>
    <font>
      <b/>
      <sz val="9"/>
      <color indexed="81"/>
      <name val="Tahoma"/>
      <family val="2"/>
    </font>
    <font>
      <sz val="10"/>
      <name val="Courier New"/>
      <family val="3"/>
    </font>
    <font>
      <b/>
      <sz val="10"/>
      <color indexed="10"/>
      <name val="Arial"/>
      <family val="2"/>
    </font>
    <font>
      <sz val="10"/>
      <color indexed="9"/>
      <name val="Arial"/>
      <family val="2"/>
    </font>
    <font>
      <b/>
      <sz val="10"/>
      <color indexed="9"/>
      <name val="Arial"/>
      <family val="2"/>
    </font>
    <font>
      <sz val="10"/>
      <color indexed="8"/>
      <name val="Arial"/>
      <family val="2"/>
    </font>
    <font>
      <sz val="10"/>
      <color indexed="10"/>
      <name val="Arial"/>
      <family val="2"/>
    </font>
    <font>
      <sz val="16"/>
      <color indexed="10"/>
      <name val="Arial"/>
      <family val="2"/>
    </font>
    <font>
      <u/>
      <sz val="10"/>
      <color theme="10"/>
      <name val="Arial"/>
      <family val="2"/>
    </font>
    <font>
      <sz val="11"/>
      <color theme="1"/>
      <name val="Calibri"/>
      <family val="2"/>
      <scheme val="minor"/>
    </font>
    <font>
      <sz val="10"/>
      <color rgb="FFFF0000"/>
      <name val="Arial"/>
      <family val="2"/>
    </font>
    <font>
      <b/>
      <sz val="10"/>
      <color theme="1"/>
      <name val="Arial"/>
      <family val="2"/>
    </font>
    <font>
      <sz val="10"/>
      <color theme="0"/>
      <name val="Arial"/>
      <family val="2"/>
    </font>
    <font>
      <sz val="10"/>
      <color theme="1"/>
      <name val="Arial"/>
      <family val="2"/>
    </font>
    <font>
      <b/>
      <sz val="10"/>
      <color theme="0"/>
      <name val="Arial"/>
      <family val="2"/>
    </font>
    <font>
      <b/>
      <sz val="10"/>
      <color rgb="FF00B0F0"/>
      <name val="Arial"/>
      <family val="2"/>
    </font>
  </fonts>
  <fills count="1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1"/>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FFFF66"/>
        <bgColor indexed="64"/>
      </patternFill>
    </fill>
    <fill>
      <patternFill patternType="solid">
        <fgColor rgb="FF99FF66"/>
        <bgColor indexed="64"/>
      </patternFill>
    </fill>
    <fill>
      <patternFill patternType="solid">
        <fgColor rgb="FFFFFF0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medium">
        <color indexed="64"/>
      </top>
      <bottom style="thin">
        <color indexed="64"/>
      </bottom>
      <diagonal/>
    </border>
    <border>
      <left style="medium">
        <color indexed="64"/>
      </left>
      <right style="thin">
        <color indexed="64"/>
      </right>
      <top style="thick">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top style="thin">
        <color indexed="64"/>
      </top>
      <bottom style="thick">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thick">
        <color indexed="64"/>
      </left>
      <right style="medium">
        <color indexed="64"/>
      </right>
      <top style="thick">
        <color indexed="64"/>
      </top>
      <bottom style="thin">
        <color indexed="64"/>
      </bottom>
      <diagonal/>
    </border>
    <border>
      <left style="thin">
        <color indexed="64"/>
      </left>
      <right style="thick">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ck">
        <color auto="1"/>
      </left>
      <right/>
      <top/>
      <bottom/>
      <diagonal/>
    </border>
    <border>
      <left style="thick">
        <color auto="1"/>
      </left>
      <right/>
      <top/>
      <bottom style="thick">
        <color indexed="64"/>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right style="thick">
        <color indexed="64"/>
      </right>
      <top/>
      <bottom style="thick">
        <color indexed="64"/>
      </bottom>
      <diagonal/>
    </border>
    <border>
      <left style="thick">
        <color auto="1"/>
      </left>
      <right/>
      <top style="thick">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s>
  <cellStyleXfs count="4">
    <xf numFmtId="0" fontId="0" fillId="0" borderId="0"/>
    <xf numFmtId="0" fontId="28" fillId="0" borderId="0" applyNumberFormat="0" applyFill="0" applyBorder="0" applyAlignment="0" applyProtection="0">
      <alignment vertical="top"/>
      <protection locked="0"/>
    </xf>
    <xf numFmtId="0" fontId="4" fillId="0" borderId="0"/>
    <xf numFmtId="0" fontId="29" fillId="0" borderId="0"/>
  </cellStyleXfs>
  <cellXfs count="356">
    <xf numFmtId="0" fontId="0" fillId="0" borderId="0" xfId="0"/>
    <xf numFmtId="0" fontId="2" fillId="0" borderId="0" xfId="0" applyFont="1" applyAlignment="1" applyProtection="1">
      <alignment horizontal="center"/>
      <protection locked="0"/>
    </xf>
    <xf numFmtId="0" fontId="2" fillId="0" borderId="0" xfId="0" applyFont="1" applyProtection="1">
      <protection locked="0"/>
    </xf>
    <xf numFmtId="0" fontId="0" fillId="0" borderId="0" xfId="0" applyProtection="1">
      <protection locked="0"/>
    </xf>
    <xf numFmtId="14" fontId="2" fillId="0" borderId="0" xfId="0" applyNumberFormat="1" applyFont="1" applyAlignment="1" applyProtection="1">
      <alignment horizontal="center"/>
      <protection locked="0"/>
    </xf>
    <xf numFmtId="0" fontId="2" fillId="0" borderId="1" xfId="0" applyFont="1"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horizontal="center"/>
    </xf>
    <xf numFmtId="0" fontId="0" fillId="0" borderId="2" xfId="0" applyBorder="1" applyAlignment="1" applyProtection="1">
      <alignment horizontal="center"/>
      <protection locked="0"/>
    </xf>
    <xf numFmtId="0" fontId="2" fillId="0" borderId="0" xfId="0" applyFont="1"/>
    <xf numFmtId="0" fontId="0" fillId="0" borderId="3" xfId="0" applyBorder="1"/>
    <xf numFmtId="0" fontId="0" fillId="0" borderId="0" xfId="0" applyAlignment="1" applyProtection="1">
      <alignment horizontal="left"/>
      <protection locked="0"/>
    </xf>
    <xf numFmtId="0" fontId="2" fillId="0" borderId="4" xfId="0" applyFont="1" applyBorder="1" applyAlignment="1" applyProtection="1">
      <alignment horizontal="left"/>
      <protection locked="0"/>
    </xf>
    <xf numFmtId="0" fontId="0" fillId="0" borderId="2" xfId="0" applyBorder="1"/>
    <xf numFmtId="0" fontId="0" fillId="0" borderId="0" xfId="0" applyAlignment="1">
      <alignment horizontal="left"/>
    </xf>
    <xf numFmtId="0" fontId="6" fillId="0" borderId="0" xfId="0" applyFont="1" applyProtection="1">
      <protection locked="0"/>
    </xf>
    <xf numFmtId="0" fontId="0" fillId="0" borderId="5" xfId="0" applyBorder="1" applyProtection="1">
      <protection locked="0"/>
    </xf>
    <xf numFmtId="0" fontId="5" fillId="0" borderId="6" xfId="0" applyFont="1" applyBorder="1"/>
    <xf numFmtId="0" fontId="0" fillId="0" borderId="0" xfId="0" applyAlignment="1" applyProtection="1">
      <alignment horizontal="right"/>
      <protection locked="0"/>
    </xf>
    <xf numFmtId="0" fontId="0" fillId="2" borderId="7" xfId="0" applyFill="1" applyBorder="1" applyAlignment="1">
      <alignment horizontal="center"/>
    </xf>
    <xf numFmtId="49" fontId="0" fillId="2" borderId="8" xfId="0" applyNumberFormat="1" applyFill="1" applyBorder="1" applyAlignment="1">
      <alignment horizontal="center"/>
    </xf>
    <xf numFmtId="0" fontId="0" fillId="3" borderId="9" xfId="0" applyFill="1" applyBorder="1" applyAlignment="1">
      <alignment horizontal="center"/>
    </xf>
    <xf numFmtId="0" fontId="0" fillId="2" borderId="10" xfId="0" applyFill="1" applyBorder="1" applyAlignment="1">
      <alignment horizontal="center"/>
    </xf>
    <xf numFmtId="0" fontId="0" fillId="3" borderId="11" xfId="0" applyFill="1" applyBorder="1" applyAlignment="1">
      <alignment horizontal="center"/>
    </xf>
    <xf numFmtId="49" fontId="0" fillId="2" borderId="12" xfId="0" applyNumberFormat="1" applyFill="1" applyBorder="1" applyAlignment="1">
      <alignment horizontal="center"/>
    </xf>
    <xf numFmtId="0" fontId="0" fillId="3" borderId="13" xfId="0" applyFill="1" applyBorder="1" applyAlignment="1">
      <alignment horizontal="center"/>
    </xf>
    <xf numFmtId="0" fontId="0" fillId="3" borderId="10" xfId="0" applyFill="1" applyBorder="1" applyAlignment="1">
      <alignment horizontal="center"/>
    </xf>
    <xf numFmtId="0" fontId="0" fillId="3" borderId="8" xfId="0" applyFill="1" applyBorder="1" applyAlignment="1">
      <alignment horizontal="center"/>
    </xf>
    <xf numFmtId="0" fontId="0" fillId="3" borderId="12" xfId="0" applyFill="1" applyBorder="1" applyAlignment="1">
      <alignment horizontal="center"/>
    </xf>
    <xf numFmtId="0" fontId="0" fillId="2" borderId="14" xfId="0" applyFill="1" applyBorder="1" applyAlignment="1">
      <alignment horizontal="center"/>
    </xf>
    <xf numFmtId="0" fontId="0" fillId="3" borderId="15" xfId="0" applyFill="1" applyBorder="1" applyAlignment="1">
      <alignment horizontal="center"/>
    </xf>
    <xf numFmtId="0" fontId="0" fillId="3" borderId="16" xfId="0" applyFill="1" applyBorder="1" applyAlignment="1">
      <alignment horizontal="center"/>
    </xf>
    <xf numFmtId="49" fontId="0" fillId="2" borderId="17" xfId="0" applyNumberFormat="1" applyFill="1" applyBorder="1" applyAlignment="1">
      <alignment horizontal="center"/>
    </xf>
    <xf numFmtId="0" fontId="3" fillId="0" borderId="0" xfId="0" applyFont="1"/>
    <xf numFmtId="0" fontId="2" fillId="0" borderId="4" xfId="0" applyFont="1" applyBorder="1" applyAlignment="1">
      <alignment horizontal="center" vertical="center" wrapText="1"/>
    </xf>
    <xf numFmtId="0" fontId="2" fillId="0" borderId="4" xfId="0" applyFont="1" applyBorder="1" applyAlignment="1">
      <alignment vertical="center"/>
    </xf>
    <xf numFmtId="0" fontId="0" fillId="0" borderId="5" xfId="0" applyBorder="1"/>
    <xf numFmtId="0" fontId="2" fillId="0" borderId="0" xfId="0" applyFont="1" applyAlignment="1">
      <alignment horizontal="center" vertical="center"/>
    </xf>
    <xf numFmtId="0" fontId="0" fillId="0" borderId="1" xfId="0" applyBorder="1"/>
    <xf numFmtId="0" fontId="4" fillId="0" borderId="0" xfId="0" applyFont="1" applyProtection="1">
      <protection locked="0"/>
    </xf>
    <xf numFmtId="0" fontId="2" fillId="0" borderId="0" xfId="0" applyFont="1" applyAlignment="1">
      <alignment horizontal="center"/>
    </xf>
    <xf numFmtId="0" fontId="0" fillId="3" borderId="18" xfId="0" applyFill="1" applyBorder="1" applyAlignment="1">
      <alignment horizontal="center"/>
    </xf>
    <xf numFmtId="0" fontId="0" fillId="3" borderId="19" xfId="0" applyFill="1" applyBorder="1" applyAlignment="1">
      <alignment horizontal="center"/>
    </xf>
    <xf numFmtId="0" fontId="0" fillId="3" borderId="20" xfId="0" applyFill="1" applyBorder="1" applyAlignment="1">
      <alignment horizontal="center"/>
    </xf>
    <xf numFmtId="0" fontId="0" fillId="3" borderId="14" xfId="0" applyFill="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1" xfId="0" applyFont="1" applyBorder="1" applyAlignment="1">
      <alignment horizontal="center"/>
    </xf>
    <xf numFmtId="0" fontId="2" fillId="0" borderId="23" xfId="0" applyFont="1" applyBorder="1" applyAlignment="1">
      <alignment horizontal="center"/>
    </xf>
    <xf numFmtId="0" fontId="2" fillId="0" borderId="22" xfId="0" applyFont="1" applyBorder="1" applyAlignment="1">
      <alignment vertical="center"/>
    </xf>
    <xf numFmtId="0" fontId="2" fillId="0" borderId="24" xfId="0" applyFont="1" applyBorder="1" applyAlignment="1">
      <alignment vertical="center"/>
    </xf>
    <xf numFmtId="0" fontId="2" fillId="0" borderId="24" xfId="0" applyFont="1" applyBorder="1" applyAlignment="1">
      <alignment horizontal="center" vertical="center"/>
    </xf>
    <xf numFmtId="0" fontId="14" fillId="0" borderId="0" xfId="0" applyFont="1" applyProtection="1">
      <protection locked="0"/>
    </xf>
    <xf numFmtId="0" fontId="15" fillId="0" borderId="0" xfId="0" applyFont="1"/>
    <xf numFmtId="49" fontId="16" fillId="0" borderId="0" xfId="0" applyNumberFormat="1" applyFont="1" applyAlignment="1">
      <alignment horizontal="center"/>
    </xf>
    <xf numFmtId="0" fontId="4" fillId="0" borderId="0" xfId="0" applyFont="1"/>
    <xf numFmtId="0" fontId="4" fillId="0" borderId="1" xfId="0" applyFont="1" applyBorder="1" applyAlignment="1" applyProtection="1">
      <alignment horizontal="center"/>
      <protection locked="0"/>
    </xf>
    <xf numFmtId="0" fontId="4" fillId="0" borderId="25" xfId="0" applyFont="1" applyBorder="1" applyAlignment="1" applyProtection="1">
      <alignment horizontal="center"/>
      <protection locked="0"/>
    </xf>
    <xf numFmtId="0" fontId="2" fillId="3" borderId="0" xfId="0" applyFont="1" applyFill="1"/>
    <xf numFmtId="0" fontId="0" fillId="3" borderId="0" xfId="0" applyFill="1"/>
    <xf numFmtId="0" fontId="4" fillId="3" borderId="0" xfId="0" applyFont="1" applyFill="1"/>
    <xf numFmtId="0" fontId="28" fillId="3" borderId="0" xfId="1" applyFill="1" applyAlignment="1" applyProtection="1"/>
    <xf numFmtId="0" fontId="4" fillId="3" borderId="3" xfId="0" applyFont="1" applyFill="1" applyBorder="1" applyAlignment="1">
      <alignment wrapText="1"/>
    </xf>
    <xf numFmtId="0" fontId="0" fillId="3" borderId="3" xfId="0" applyFill="1" applyBorder="1" applyAlignment="1">
      <alignment wrapText="1"/>
    </xf>
    <xf numFmtId="0" fontId="0" fillId="3" borderId="1" xfId="0" applyFill="1" applyBorder="1" applyAlignment="1">
      <alignment horizontal="center" vertical="center"/>
    </xf>
    <xf numFmtId="0" fontId="4" fillId="3" borderId="0" xfId="0" applyFont="1" applyFill="1" applyAlignment="1">
      <alignment wrapText="1"/>
    </xf>
    <xf numFmtId="0" fontId="0" fillId="3" borderId="0" xfId="0" applyFill="1" applyAlignment="1">
      <alignment wrapText="1"/>
    </xf>
    <xf numFmtId="0" fontId="4" fillId="4" borderId="1" xfId="0" applyFont="1" applyFill="1" applyBorder="1" applyAlignment="1">
      <alignment horizontal="center" vertical="center"/>
    </xf>
    <xf numFmtId="0" fontId="4" fillId="5" borderId="26" xfId="0" applyFont="1" applyFill="1" applyBorder="1"/>
    <xf numFmtId="0" fontId="28" fillId="5" borderId="27" xfId="1" applyFill="1" applyBorder="1" applyAlignment="1" applyProtection="1"/>
    <xf numFmtId="0" fontId="0" fillId="5" borderId="27" xfId="0" applyFill="1" applyBorder="1"/>
    <xf numFmtId="0" fontId="4" fillId="5" borderId="27" xfId="0" applyFont="1" applyFill="1" applyBorder="1"/>
    <xf numFmtId="0" fontId="0" fillId="5" borderId="28" xfId="0" applyFill="1" applyBorder="1"/>
    <xf numFmtId="0" fontId="4" fillId="5" borderId="29" xfId="0" applyFont="1" applyFill="1" applyBorder="1"/>
    <xf numFmtId="0" fontId="4" fillId="5" borderId="5" xfId="0" applyFont="1" applyFill="1" applyBorder="1"/>
    <xf numFmtId="0" fontId="0" fillId="5" borderId="5" xfId="0" applyFill="1" applyBorder="1"/>
    <xf numFmtId="0" fontId="0" fillId="5" borderId="30" xfId="0" applyFill="1" applyBorder="1"/>
    <xf numFmtId="0" fontId="4" fillId="6" borderId="1"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0" xfId="0" applyFont="1" applyFill="1" applyAlignment="1">
      <alignment horizontal="center" vertical="center"/>
    </xf>
    <xf numFmtId="0" fontId="2" fillId="0" borderId="3" xfId="0" applyFont="1" applyBorder="1" applyProtection="1">
      <protection locked="0"/>
    </xf>
    <xf numFmtId="0" fontId="12" fillId="0" borderId="0" xfId="0" applyFont="1" applyAlignment="1">
      <alignment horizontal="center" vertical="center"/>
    </xf>
    <xf numFmtId="0" fontId="4" fillId="4" borderId="0" xfId="0" applyFont="1" applyFill="1"/>
    <xf numFmtId="0" fontId="15" fillId="0" borderId="0" xfId="0" applyFont="1" applyAlignment="1">
      <alignment horizontal="center"/>
    </xf>
    <xf numFmtId="0" fontId="0" fillId="0" borderId="27" xfId="0" applyBorder="1" applyAlignment="1">
      <alignment horizontal="left" vertical="center"/>
    </xf>
    <xf numFmtId="0" fontId="0" fillId="0" borderId="0" xfId="0" applyAlignment="1">
      <alignment horizontal="center" vertical="center"/>
    </xf>
    <xf numFmtId="0" fontId="2" fillId="0" borderId="4" xfId="0" applyFont="1" applyBorder="1" applyAlignment="1">
      <alignment horizontal="left"/>
    </xf>
    <xf numFmtId="0" fontId="2" fillId="0" borderId="3" xfId="0" applyFont="1" applyBorder="1" applyAlignment="1">
      <alignment horizontal="left"/>
    </xf>
    <xf numFmtId="0" fontId="2" fillId="0" borderId="2" xfId="0" applyFont="1" applyBorder="1" applyAlignment="1">
      <alignment horizontal="left"/>
    </xf>
    <xf numFmtId="0" fontId="0" fillId="0" borderId="4"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5" fillId="0" borderId="27" xfId="0" applyFont="1" applyBorder="1" applyAlignment="1">
      <alignment horizontal="center" vertical="center"/>
    </xf>
    <xf numFmtId="0" fontId="0" fillId="0" borderId="27" xfId="0" applyBorder="1" applyAlignment="1">
      <alignment horizontal="center" vertical="center"/>
    </xf>
    <xf numFmtId="0" fontId="2" fillId="0" borderId="27" xfId="0" applyFont="1" applyBorder="1" applyAlignment="1">
      <alignment horizontal="center" vertical="center"/>
    </xf>
    <xf numFmtId="0" fontId="0" fillId="0" borderId="0" xfId="0" applyAlignment="1">
      <alignment horizontal="left" vertical="center"/>
    </xf>
    <xf numFmtId="0" fontId="5" fillId="0" borderId="0" xfId="0" applyFont="1" applyAlignment="1">
      <alignment horizontal="center" vertical="center"/>
    </xf>
    <xf numFmtId="0" fontId="6" fillId="0" borderId="0" xfId="0" applyFont="1" applyAlignment="1">
      <alignment horizontal="center" vertical="center"/>
    </xf>
    <xf numFmtId="0" fontId="2" fillId="0" borderId="3" xfId="0" applyFont="1" applyBorder="1" applyAlignment="1" applyProtection="1">
      <alignment horizontal="center"/>
      <protection locked="0"/>
    </xf>
    <xf numFmtId="0" fontId="0" fillId="3" borderId="0" xfId="0" applyFill="1" applyAlignment="1">
      <alignment horizontal="center"/>
    </xf>
    <xf numFmtId="0" fontId="4" fillId="3" borderId="5" xfId="0" applyFont="1" applyFill="1" applyBorder="1"/>
    <xf numFmtId="0" fontId="15" fillId="0" borderId="0" xfId="0" applyFont="1" applyProtection="1">
      <protection locked="0"/>
    </xf>
    <xf numFmtId="0" fontId="4" fillId="0" borderId="0" xfId="0" applyFont="1" applyAlignment="1">
      <alignment horizontal="center"/>
    </xf>
    <xf numFmtId="0" fontId="14" fillId="0" borderId="0" xfId="0" applyFont="1"/>
    <xf numFmtId="0" fontId="17" fillId="0" borderId="0" xfId="0" applyFont="1"/>
    <xf numFmtId="0" fontId="18" fillId="0" borderId="0" xfId="0" applyFont="1"/>
    <xf numFmtId="0" fontId="4" fillId="0" borderId="0" xfId="0" applyFont="1" applyAlignment="1">
      <alignment horizontal="left" vertical="center"/>
    </xf>
    <xf numFmtId="0" fontId="4" fillId="3" borderId="0" xfId="0" applyFont="1" applyFill="1" applyAlignment="1">
      <alignment horizontal="center"/>
    </xf>
    <xf numFmtId="0" fontId="0" fillId="3" borderId="0" xfId="0" applyFill="1" applyAlignment="1">
      <alignment horizontal="left"/>
    </xf>
    <xf numFmtId="0" fontId="15" fillId="0" borderId="3" xfId="0" applyFont="1" applyBorder="1" applyAlignment="1">
      <alignment horizontal="center"/>
    </xf>
    <xf numFmtId="0" fontId="22" fillId="0" borderId="0" xfId="0" applyFont="1" applyAlignment="1">
      <alignment horizontal="center"/>
    </xf>
    <xf numFmtId="0" fontId="23" fillId="0" borderId="0" xfId="0" applyFont="1" applyAlignment="1">
      <alignment horizontal="center"/>
    </xf>
    <xf numFmtId="0" fontId="23" fillId="0" borderId="0" xfId="0" applyFont="1"/>
    <xf numFmtId="49" fontId="24" fillId="0" borderId="0" xfId="0" applyNumberFormat="1" applyFont="1" applyAlignment="1">
      <alignment horizontal="center"/>
    </xf>
    <xf numFmtId="0" fontId="4" fillId="0" borderId="0" xfId="0" applyFont="1" applyAlignment="1">
      <alignment horizontal="left"/>
    </xf>
    <xf numFmtId="0" fontId="4" fillId="0" borderId="0" xfId="0" applyFont="1" applyAlignment="1" applyProtection="1">
      <alignment horizontal="center"/>
      <protection locked="0"/>
    </xf>
    <xf numFmtId="0" fontId="25" fillId="0" borderId="0" xfId="0" applyFont="1" applyProtection="1">
      <protection locked="0"/>
    </xf>
    <xf numFmtId="0" fontId="0" fillId="2" borderId="4" xfId="0" applyFill="1" applyBorder="1" applyAlignment="1">
      <alignment horizontal="center"/>
    </xf>
    <xf numFmtId="0" fontId="0" fillId="2" borderId="1" xfId="0" applyFill="1" applyBorder="1" applyAlignment="1">
      <alignment horizontal="center"/>
    </xf>
    <xf numFmtId="0" fontId="28" fillId="0" borderId="1" xfId="1" applyNumberFormat="1" applyFill="1" applyBorder="1" applyAlignment="1" applyProtection="1">
      <alignment horizontal="center" vertical="center"/>
    </xf>
    <xf numFmtId="0" fontId="23" fillId="0" borderId="0" xfId="0" applyFont="1" applyProtection="1">
      <protection locked="0"/>
    </xf>
    <xf numFmtId="0" fontId="23" fillId="0" borderId="0" xfId="0" applyFont="1" applyAlignment="1" applyProtection="1">
      <alignment horizontal="center"/>
      <protection locked="0"/>
    </xf>
    <xf numFmtId="14" fontId="2" fillId="0" borderId="0" xfId="0" applyNumberFormat="1" applyFont="1" applyAlignment="1">
      <alignment horizontal="center"/>
    </xf>
    <xf numFmtId="165" fontId="0" fillId="0" borderId="0" xfId="0" applyNumberFormat="1"/>
    <xf numFmtId="0" fontId="2" fillId="0" borderId="0" xfId="0" applyFont="1" applyAlignment="1">
      <alignment horizontal="left"/>
    </xf>
    <xf numFmtId="20" fontId="23" fillId="0" borderId="0" xfId="0" applyNumberFormat="1" applyFont="1" applyAlignment="1">
      <alignment horizontal="center"/>
    </xf>
    <xf numFmtId="0" fontId="21" fillId="0" borderId="1" xfId="0" applyFont="1" applyBorder="1" applyAlignment="1">
      <alignment horizontal="center"/>
    </xf>
    <xf numFmtId="165" fontId="0" fillId="0" borderId="0" xfId="0" applyNumberFormat="1" applyAlignment="1">
      <alignment horizontal="left"/>
    </xf>
    <xf numFmtId="0" fontId="30" fillId="3" borderId="0" xfId="0" applyFont="1" applyFill="1"/>
    <xf numFmtId="0" fontId="2" fillId="0" borderId="4" xfId="0" applyFont="1" applyBorder="1" applyAlignment="1">
      <alignment horizontal="center"/>
    </xf>
    <xf numFmtId="49" fontId="31" fillId="0" borderId="0" xfId="0" applyNumberFormat="1" applyFont="1" applyAlignment="1" applyProtection="1">
      <alignment horizontal="center"/>
      <protection locked="0"/>
    </xf>
    <xf numFmtId="0" fontId="32" fillId="0" borderId="0" xfId="0" applyFont="1" applyAlignment="1">
      <alignment horizontal="center"/>
    </xf>
    <xf numFmtId="0" fontId="4" fillId="0" borderId="4" xfId="0" applyFont="1" applyBorder="1" applyAlignment="1" applyProtection="1">
      <alignment horizontal="center"/>
      <protection locked="0"/>
    </xf>
    <xf numFmtId="0" fontId="4" fillId="0" borderId="31" xfId="0" applyFont="1" applyBorder="1" applyAlignment="1" applyProtection="1">
      <alignment horizontal="center"/>
      <protection locked="0"/>
    </xf>
    <xf numFmtId="0" fontId="2" fillId="0" borderId="32" xfId="0" applyFont="1" applyBorder="1" applyAlignment="1" applyProtection="1">
      <alignment horizontal="center"/>
      <protection locked="0"/>
    </xf>
    <xf numFmtId="0" fontId="33" fillId="0" borderId="0" xfId="0" applyFont="1" applyProtection="1">
      <protection locked="0"/>
    </xf>
    <xf numFmtId="18" fontId="33" fillId="0" borderId="0" xfId="0" applyNumberFormat="1" applyFont="1"/>
    <xf numFmtId="0" fontId="33" fillId="0" borderId="0" xfId="0" applyFont="1"/>
    <xf numFmtId="18" fontId="32" fillId="0" borderId="0" xfId="0" applyNumberFormat="1" applyFont="1"/>
    <xf numFmtId="0" fontId="32" fillId="0" borderId="0" xfId="0" applyFont="1" applyAlignment="1" applyProtection="1">
      <alignment horizontal="center"/>
      <protection locked="0"/>
    </xf>
    <xf numFmtId="0" fontId="32" fillId="0" borderId="0" xfId="0" applyFont="1" applyProtection="1">
      <protection locked="0"/>
    </xf>
    <xf numFmtId="0" fontId="32" fillId="0" borderId="0" xfId="0" applyFont="1" applyAlignment="1">
      <alignment horizontal="right"/>
    </xf>
    <xf numFmtId="0" fontId="32" fillId="0" borderId="0" xfId="0" applyFont="1" applyAlignment="1">
      <alignment horizontal="left"/>
    </xf>
    <xf numFmtId="0" fontId="32" fillId="0" borderId="0" xfId="0" applyFont="1"/>
    <xf numFmtId="0" fontId="0" fillId="0" borderId="33" xfId="0" applyBorder="1" applyAlignment="1">
      <alignment horizontal="right"/>
    </xf>
    <xf numFmtId="0" fontId="34" fillId="0" borderId="0" xfId="0" applyFont="1" applyAlignment="1">
      <alignment horizontal="center"/>
    </xf>
    <xf numFmtId="0" fontId="0" fillId="7" borderId="0" xfId="0" applyFill="1" applyProtection="1">
      <protection locked="0"/>
    </xf>
    <xf numFmtId="0" fontId="32" fillId="0" borderId="1" xfId="0" applyFont="1" applyBorder="1"/>
    <xf numFmtId="0" fontId="4" fillId="3" borderId="0" xfId="0" applyFont="1" applyFill="1" applyAlignment="1">
      <alignment horizontal="right"/>
    </xf>
    <xf numFmtId="0" fontId="0" fillId="8" borderId="0" xfId="0" applyFill="1" applyProtection="1">
      <protection locked="0"/>
    </xf>
    <xf numFmtId="0" fontId="0" fillId="9" borderId="0" xfId="0" applyFill="1" applyProtection="1">
      <protection locked="0"/>
    </xf>
    <xf numFmtId="0" fontId="0" fillId="7" borderId="0" xfId="0" applyFill="1" applyAlignment="1" applyProtection="1">
      <alignment horizontal="center"/>
      <protection locked="0"/>
    </xf>
    <xf numFmtId="0" fontId="0" fillId="10" borderId="0" xfId="0" applyFill="1" applyProtection="1">
      <protection locked="0"/>
    </xf>
    <xf numFmtId="0" fontId="0" fillId="3" borderId="34" xfId="0" applyFill="1" applyBorder="1" applyAlignment="1">
      <alignment horizontal="center"/>
    </xf>
    <xf numFmtId="0" fontId="28" fillId="3" borderId="0" xfId="1" applyFill="1" applyBorder="1" applyAlignment="1" applyProtection="1">
      <alignment horizontal="left"/>
    </xf>
    <xf numFmtId="0" fontId="0" fillId="7" borderId="0" xfId="0" applyFill="1"/>
    <xf numFmtId="0" fontId="4" fillId="7" borderId="0" xfId="0" applyFont="1" applyFill="1"/>
    <xf numFmtId="0" fontId="2" fillId="7" borderId="0" xfId="0" applyFont="1" applyFill="1"/>
    <xf numFmtId="49" fontId="33" fillId="0" borderId="0" xfId="0" applyNumberFormat="1" applyFont="1" applyAlignment="1" applyProtection="1">
      <alignment horizontal="center"/>
      <protection locked="0"/>
    </xf>
    <xf numFmtId="0" fontId="2" fillId="11" borderId="0" xfId="0" applyFont="1" applyFill="1" applyProtection="1">
      <protection locked="0"/>
    </xf>
    <xf numFmtId="0" fontId="2" fillId="11" borderId="35" xfId="0" applyFont="1" applyFill="1" applyBorder="1" applyAlignment="1" applyProtection="1">
      <alignment horizontal="center" vertical="center"/>
      <protection locked="0"/>
    </xf>
    <xf numFmtId="0" fontId="4" fillId="11" borderId="1" xfId="0" applyFont="1" applyFill="1" applyBorder="1" applyAlignment="1" applyProtection="1">
      <alignment horizontal="left"/>
      <protection locked="0"/>
    </xf>
    <xf numFmtId="0" fontId="4" fillId="11" borderId="36" xfId="0" applyFont="1" applyFill="1" applyBorder="1" applyAlignment="1" applyProtection="1">
      <alignment horizontal="left"/>
      <protection locked="0"/>
    </xf>
    <xf numFmtId="0" fontId="4" fillId="11" borderId="25" xfId="0" applyFont="1" applyFill="1" applyBorder="1" applyAlignment="1" applyProtection="1">
      <alignment horizontal="left"/>
      <protection locked="0"/>
    </xf>
    <xf numFmtId="0" fontId="4" fillId="11" borderId="37" xfId="0" applyFont="1" applyFill="1" applyBorder="1" applyAlignment="1" applyProtection="1">
      <alignment horizontal="left"/>
      <protection locked="0"/>
    </xf>
    <xf numFmtId="49" fontId="0" fillId="3" borderId="0" xfId="0" applyNumberFormat="1" applyFill="1"/>
    <xf numFmtId="0" fontId="0" fillId="0" borderId="34" xfId="0" applyBorder="1" applyAlignment="1">
      <alignment horizontal="center"/>
    </xf>
    <xf numFmtId="0" fontId="0" fillId="0" borderId="0" xfId="0" applyAlignment="1">
      <alignment horizontal="right"/>
    </xf>
    <xf numFmtId="0" fontId="4" fillId="0" borderId="0" xfId="0" applyFont="1" applyAlignment="1">
      <alignment vertical="center"/>
    </xf>
    <xf numFmtId="0" fontId="0" fillId="7" borderId="0" xfId="0" applyFill="1" applyAlignment="1" applyProtection="1">
      <alignment horizontal="left"/>
      <protection locked="0"/>
    </xf>
    <xf numFmtId="0" fontId="0" fillId="7" borderId="65" xfId="0" applyFill="1" applyBorder="1" applyAlignment="1" applyProtection="1">
      <alignment horizontal="left"/>
      <protection locked="0"/>
    </xf>
    <xf numFmtId="0" fontId="0" fillId="7" borderId="61" xfId="0" applyFill="1" applyBorder="1" applyAlignment="1" applyProtection="1">
      <alignment horizontal="left"/>
      <protection locked="0"/>
    </xf>
    <xf numFmtId="0" fontId="0" fillId="7" borderId="62" xfId="0" applyFill="1" applyBorder="1" applyAlignment="1" applyProtection="1">
      <alignment horizontal="left"/>
      <protection locked="0"/>
    </xf>
    <xf numFmtId="0" fontId="0" fillId="7" borderId="63" xfId="0" applyFill="1" applyBorder="1" applyAlignment="1" applyProtection="1">
      <alignment horizontal="left"/>
      <protection locked="0"/>
    </xf>
    <xf numFmtId="0" fontId="0" fillId="7" borderId="59" xfId="0" applyFill="1" applyBorder="1" applyAlignment="1" applyProtection="1">
      <alignment horizontal="left"/>
      <protection locked="0"/>
    </xf>
    <xf numFmtId="0" fontId="0" fillId="7" borderId="15" xfId="0" applyFill="1" applyBorder="1" applyAlignment="1" applyProtection="1">
      <alignment horizontal="left"/>
      <protection locked="0"/>
    </xf>
    <xf numFmtId="0" fontId="0" fillId="7" borderId="64" xfId="0" applyFill="1" applyBorder="1" applyAlignment="1" applyProtection="1">
      <alignment horizontal="left"/>
      <protection locked="0"/>
    </xf>
    <xf numFmtId="0" fontId="0" fillId="7" borderId="60" xfId="0" applyFill="1" applyBorder="1" applyAlignment="1" applyProtection="1">
      <alignment horizontal="left"/>
      <protection locked="0"/>
    </xf>
    <xf numFmtId="0" fontId="3" fillId="8" borderId="44" xfId="0" applyFont="1" applyFill="1" applyBorder="1" applyAlignment="1">
      <alignment horizontal="center" vertical="center"/>
    </xf>
    <xf numFmtId="0" fontId="3" fillId="8" borderId="22" xfId="0" applyFont="1" applyFill="1" applyBorder="1" applyAlignment="1">
      <alignment horizontal="center" vertical="center"/>
    </xf>
    <xf numFmtId="0" fontId="3" fillId="8" borderId="43" xfId="0" applyFont="1" applyFill="1" applyBorder="1" applyAlignment="1">
      <alignment horizontal="center" vertical="center"/>
    </xf>
    <xf numFmtId="0" fontId="3" fillId="8" borderId="38" xfId="0" applyFont="1" applyFill="1" applyBorder="1" applyAlignment="1">
      <alignment horizontal="center" vertical="center"/>
    </xf>
    <xf numFmtId="0" fontId="3" fillId="8" borderId="1" xfId="0" applyFont="1" applyFill="1" applyBorder="1" applyAlignment="1">
      <alignment horizontal="center" vertical="center"/>
    </xf>
    <xf numFmtId="0" fontId="3" fillId="8" borderId="42" xfId="0" applyFont="1" applyFill="1" applyBorder="1" applyAlignment="1">
      <alignment horizontal="center" vertical="center"/>
    </xf>
    <xf numFmtId="0" fontId="3" fillId="8" borderId="52" xfId="0" applyFont="1" applyFill="1" applyBorder="1" applyAlignment="1">
      <alignment horizontal="center" vertical="center"/>
    </xf>
    <xf numFmtId="0" fontId="3" fillId="8" borderId="45" xfId="0" applyFont="1" applyFill="1" applyBorder="1" applyAlignment="1">
      <alignment horizontal="center" vertical="center"/>
    </xf>
    <xf numFmtId="0" fontId="3" fillId="8" borderId="46" xfId="0" applyFont="1" applyFill="1" applyBorder="1" applyAlignment="1">
      <alignment horizontal="center" vertical="center"/>
    </xf>
    <xf numFmtId="49" fontId="4" fillId="11" borderId="47" xfId="0" applyNumberFormat="1" applyFont="1" applyFill="1" applyBorder="1" applyAlignment="1" applyProtection="1">
      <alignment vertical="center"/>
      <protection locked="0"/>
    </xf>
    <xf numFmtId="49" fontId="0" fillId="12" borderId="47" xfId="0" applyNumberFormat="1" applyFill="1" applyBorder="1" applyAlignment="1" applyProtection="1">
      <alignment vertical="center"/>
      <protection locked="0"/>
    </xf>
    <xf numFmtId="0" fontId="3" fillId="8" borderId="48" xfId="0" applyFont="1" applyFill="1" applyBorder="1" applyAlignment="1">
      <alignment horizontal="center" vertical="center"/>
    </xf>
    <xf numFmtId="0" fontId="2" fillId="0" borderId="0" xfId="0" applyFont="1" applyAlignment="1">
      <alignment horizontal="center" vertical="center"/>
    </xf>
    <xf numFmtId="0" fontId="3" fillId="8" borderId="18" xfId="0" applyFont="1" applyFill="1" applyBorder="1" applyAlignment="1">
      <alignment horizontal="center" vertical="center"/>
    </xf>
    <xf numFmtId="0" fontId="3" fillId="8" borderId="40" xfId="0" applyFont="1" applyFill="1" applyBorder="1" applyAlignment="1">
      <alignment horizontal="center" vertical="center"/>
    </xf>
    <xf numFmtId="49" fontId="4" fillId="11" borderId="51" xfId="0" applyNumberFormat="1" applyFont="1" applyFill="1" applyBorder="1" applyAlignment="1" applyProtection="1">
      <alignment vertical="center"/>
      <protection locked="0"/>
    </xf>
    <xf numFmtId="49" fontId="4" fillId="11" borderId="49" xfId="0" applyNumberFormat="1" applyFont="1" applyFill="1" applyBorder="1" applyAlignment="1" applyProtection="1">
      <alignment vertical="center"/>
      <protection locked="0"/>
    </xf>
    <xf numFmtId="49" fontId="0" fillId="12" borderId="50" xfId="0" applyNumberFormat="1" applyFill="1" applyBorder="1" applyAlignment="1" applyProtection="1">
      <alignment vertical="center"/>
      <protection locked="0"/>
    </xf>
    <xf numFmtId="0" fontId="2" fillId="11" borderId="0" xfId="0" applyFont="1" applyFill="1" applyAlignment="1" applyProtection="1">
      <alignment horizontal="center" vertical="center"/>
      <protection locked="0"/>
    </xf>
    <xf numFmtId="0" fontId="2" fillId="12" borderId="0" xfId="0" applyFont="1" applyFill="1" applyAlignment="1" applyProtection="1">
      <alignment horizontal="center" vertical="center"/>
      <protection locked="0"/>
    </xf>
    <xf numFmtId="0" fontId="4" fillId="0" borderId="0" xfId="0" applyFont="1" applyProtection="1">
      <protection locked="0"/>
    </xf>
    <xf numFmtId="0" fontId="0" fillId="0" borderId="0" xfId="0"/>
    <xf numFmtId="0" fontId="26" fillId="0" borderId="0" xfId="0" applyFont="1" applyProtection="1">
      <protection locked="0"/>
    </xf>
    <xf numFmtId="0" fontId="2" fillId="11" borderId="0" xfId="0" applyFont="1" applyFill="1" applyAlignment="1" applyProtection="1">
      <alignment horizontal="center"/>
      <protection locked="0"/>
    </xf>
    <xf numFmtId="0" fontId="2" fillId="12" borderId="0" xfId="0" applyFont="1" applyFill="1" applyAlignment="1" applyProtection="1">
      <alignment horizontal="center"/>
      <protection locked="0"/>
    </xf>
    <xf numFmtId="0" fontId="3" fillId="8" borderId="39" xfId="0" applyFont="1" applyFill="1" applyBorder="1" applyAlignment="1">
      <alignment horizontal="center" vertical="center"/>
    </xf>
    <xf numFmtId="14" fontId="2" fillId="11" borderId="0" xfId="0" applyNumberFormat="1" applyFont="1" applyFill="1" applyAlignment="1" applyProtection="1">
      <alignment horizontal="center"/>
      <protection locked="0"/>
    </xf>
    <xf numFmtId="0" fontId="3" fillId="8" borderId="41" xfId="0" applyFont="1" applyFill="1" applyBorder="1" applyAlignment="1">
      <alignment horizontal="center" vertical="center"/>
    </xf>
    <xf numFmtId="1" fontId="4" fillId="11" borderId="0" xfId="0" applyNumberFormat="1" applyFont="1" applyFill="1" applyAlignment="1" applyProtection="1">
      <alignment horizontal="center" vertical="center"/>
      <protection locked="0"/>
    </xf>
    <xf numFmtId="1" fontId="4" fillId="12" borderId="0" xfId="0" applyNumberFormat="1" applyFont="1" applyFill="1" applyAlignment="1" applyProtection="1">
      <alignment horizontal="center" vertical="center"/>
      <protection locked="0"/>
    </xf>
    <xf numFmtId="0" fontId="4" fillId="0" borderId="0" xfId="0" applyFont="1" applyAlignment="1" applyProtection="1">
      <alignment horizontal="center"/>
      <protection locked="0"/>
    </xf>
    <xf numFmtId="165" fontId="4" fillId="11" borderId="0" xfId="0" applyNumberFormat="1" applyFont="1" applyFill="1" applyAlignment="1" applyProtection="1">
      <alignment horizontal="center" vertical="center"/>
      <protection locked="0"/>
    </xf>
    <xf numFmtId="165" fontId="4" fillId="12" borderId="0" xfId="0" applyNumberFormat="1" applyFont="1" applyFill="1" applyAlignment="1" applyProtection="1">
      <alignment horizontal="center" vertical="center"/>
      <protection locked="0"/>
    </xf>
    <xf numFmtId="0" fontId="2" fillId="0" borderId="6" xfId="0" applyFont="1" applyBorder="1" applyAlignment="1">
      <alignment horizontal="left" vertical="center"/>
    </xf>
    <xf numFmtId="0" fontId="2" fillId="0" borderId="0" xfId="0" applyFont="1" applyAlignment="1" applyProtection="1">
      <alignment horizontal="center"/>
      <protection locked="0"/>
    </xf>
    <xf numFmtId="0" fontId="0" fillId="0" borderId="67" xfId="0" applyBorder="1" applyAlignment="1">
      <alignment horizontal="center"/>
    </xf>
    <xf numFmtId="0" fontId="0" fillId="0" borderId="66" xfId="0" applyBorder="1" applyAlignment="1">
      <alignment horizontal="center"/>
    </xf>
    <xf numFmtId="0" fontId="0" fillId="0" borderId="68" xfId="0" applyBorder="1" applyAlignment="1">
      <alignment horizontal="center"/>
    </xf>
    <xf numFmtId="0" fontId="0" fillId="0" borderId="24" xfId="0" applyBorder="1" applyAlignment="1">
      <alignment horizontal="center"/>
    </xf>
    <xf numFmtId="0" fontId="0" fillId="0" borderId="32" xfId="0" applyBorder="1" applyAlignment="1">
      <alignment horizontal="center"/>
    </xf>
    <xf numFmtId="0" fontId="0" fillId="0" borderId="69" xfId="0" applyBorder="1" applyAlignment="1">
      <alignment horizontal="center"/>
    </xf>
    <xf numFmtId="0" fontId="0" fillId="0" borderId="0" xfId="0" applyAlignment="1">
      <alignment horizontal="center"/>
    </xf>
    <xf numFmtId="0" fontId="0" fillId="13" borderId="3" xfId="0" applyFill="1" applyBorder="1" applyAlignment="1">
      <alignment horizontal="center" vertical="center"/>
    </xf>
    <xf numFmtId="0" fontId="0" fillId="13" borderId="2" xfId="0" applyFill="1" applyBorder="1" applyAlignment="1">
      <alignment horizontal="center" vertical="center"/>
    </xf>
    <xf numFmtId="0" fontId="7" fillId="0" borderId="0" xfId="0" applyFont="1" applyAlignment="1">
      <alignment horizontal="left"/>
    </xf>
    <xf numFmtId="0" fontId="0" fillId="0" borderId="3" xfId="0" applyBorder="1" applyAlignment="1">
      <alignment horizontal="center" vertical="center"/>
    </xf>
    <xf numFmtId="0" fontId="0" fillId="0" borderId="2" xfId="0" applyBorder="1" applyAlignment="1">
      <alignment horizontal="center" vertical="center"/>
    </xf>
    <xf numFmtId="0" fontId="4" fillId="0" borderId="0" xfId="0" applyFont="1" applyAlignment="1">
      <alignment horizontal="left" vertical="center"/>
    </xf>
    <xf numFmtId="0" fontId="4" fillId="0" borderId="5" xfId="0" applyFont="1" applyBorder="1" applyAlignment="1">
      <alignment horizontal="center"/>
    </xf>
    <xf numFmtId="0" fontId="0" fillId="0" borderId="34" xfId="0" applyBorder="1" applyAlignment="1">
      <alignment horizontal="center" wrapText="1"/>
    </xf>
    <xf numFmtId="0" fontId="0" fillId="0" borderId="0" xfId="0" applyAlignment="1">
      <alignment horizontal="center" wrapText="1"/>
    </xf>
    <xf numFmtId="0" fontId="0" fillId="0" borderId="0" xfId="0" applyAlignment="1">
      <alignment horizontal="left"/>
    </xf>
    <xf numFmtId="0" fontId="0" fillId="0" borderId="4" xfId="0"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center"/>
    </xf>
    <xf numFmtId="0" fontId="5" fillId="11" borderId="10" xfId="0" applyFont="1" applyFill="1" applyBorder="1" applyAlignment="1" applyProtection="1">
      <alignment horizontal="center" vertical="center"/>
      <protection locked="0"/>
    </xf>
    <xf numFmtId="0" fontId="5" fillId="12" borderId="12" xfId="0" applyFont="1" applyFill="1" applyBorder="1" applyAlignment="1" applyProtection="1">
      <alignment horizontal="center" vertical="center"/>
      <protection locked="0"/>
    </xf>
    <xf numFmtId="0" fontId="0" fillId="12" borderId="12" xfId="0" applyFill="1" applyBorder="1" applyAlignment="1" applyProtection="1">
      <alignment horizontal="center" vertical="center"/>
      <protection locked="0"/>
    </xf>
    <xf numFmtId="0" fontId="0" fillId="11" borderId="26" xfId="0" applyFill="1" applyBorder="1" applyAlignment="1" applyProtection="1">
      <alignment vertical="center"/>
      <protection locked="0"/>
    </xf>
    <xf numFmtId="0" fontId="0" fillId="12" borderId="27" xfId="0" applyFill="1" applyBorder="1" applyAlignment="1" applyProtection="1">
      <alignment vertical="center"/>
      <protection locked="0"/>
    </xf>
    <xf numFmtId="0" fontId="0" fillId="12" borderId="29" xfId="0" applyFill="1" applyBorder="1" applyAlignment="1" applyProtection="1">
      <alignment vertical="center"/>
      <protection locked="0"/>
    </xf>
    <xf numFmtId="0" fontId="0" fillId="12" borderId="5" xfId="0" applyFill="1" applyBorder="1" applyAlignment="1" applyProtection="1">
      <alignment vertical="center"/>
      <protection locked="0"/>
    </xf>
    <xf numFmtId="0" fontId="2" fillId="0" borderId="53" xfId="0" applyFont="1" applyBorder="1" applyAlignment="1">
      <alignment horizontal="center"/>
    </xf>
    <xf numFmtId="0" fontId="2" fillId="0" borderId="54" xfId="0" applyFont="1" applyBorder="1" applyAlignment="1">
      <alignment horizontal="center"/>
    </xf>
    <xf numFmtId="0" fontId="2" fillId="0" borderId="31" xfId="0" applyFont="1" applyBorder="1" applyAlignment="1">
      <alignment horizontal="center"/>
    </xf>
    <xf numFmtId="0" fontId="2" fillId="0" borderId="55" xfId="0" applyFont="1" applyBorder="1" applyAlignment="1">
      <alignment horizontal="center"/>
    </xf>
    <xf numFmtId="0" fontId="35" fillId="0" borderId="0" xfId="0" applyFont="1" applyAlignment="1">
      <alignment horizontal="left"/>
    </xf>
    <xf numFmtId="0" fontId="27" fillId="0" borderId="4" xfId="0" applyFont="1" applyBorder="1" applyAlignment="1">
      <alignment horizontal="center" vertical="center"/>
    </xf>
    <xf numFmtId="0" fontId="27" fillId="0" borderId="3" xfId="0" applyFont="1" applyBorder="1" applyAlignment="1">
      <alignment horizontal="center" vertical="center"/>
    </xf>
    <xf numFmtId="0" fontId="27" fillId="0" borderId="2" xfId="0" applyFont="1" applyBorder="1" applyAlignment="1">
      <alignment horizontal="center" vertical="center"/>
    </xf>
    <xf numFmtId="0" fontId="4" fillId="4" borderId="0" xfId="0" applyFont="1" applyFill="1" applyAlignment="1">
      <alignment horizontal="center"/>
    </xf>
    <xf numFmtId="0" fontId="0" fillId="4" borderId="0" xfId="0" applyFill="1" applyAlignment="1">
      <alignment horizontal="center"/>
    </xf>
    <xf numFmtId="0" fontId="6" fillId="0" borderId="4"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6" fillId="0" borderId="2" xfId="0" applyFont="1" applyBorder="1" applyAlignment="1" applyProtection="1">
      <alignment horizontal="left" vertical="center"/>
      <protection locked="0"/>
    </xf>
    <xf numFmtId="0" fontId="35" fillId="0" borderId="4" xfId="0" applyFont="1" applyBorder="1" applyAlignment="1">
      <alignment horizontal="left"/>
    </xf>
    <xf numFmtId="0" fontId="35" fillId="0" borderId="3" xfId="0" applyFont="1" applyBorder="1" applyAlignment="1">
      <alignment horizontal="left"/>
    </xf>
    <xf numFmtId="0" fontId="35" fillId="0" borderId="2" xfId="0" applyFont="1" applyBorder="1" applyAlignment="1">
      <alignment horizontal="left"/>
    </xf>
    <xf numFmtId="0" fontId="2" fillId="0" borderId="4" xfId="0" applyFont="1" applyBorder="1" applyAlignment="1" applyProtection="1">
      <alignment horizontal="left"/>
      <protection locked="0"/>
    </xf>
    <xf numFmtId="0" fontId="2" fillId="0" borderId="3" xfId="0" applyFont="1" applyBorder="1" applyAlignment="1" applyProtection="1">
      <alignment horizontal="left"/>
      <protection locked="0"/>
    </xf>
    <xf numFmtId="0" fontId="2" fillId="0" borderId="2" xfId="0" applyFont="1" applyBorder="1" applyAlignment="1" applyProtection="1">
      <alignment horizontal="left"/>
      <protection locked="0"/>
    </xf>
    <xf numFmtId="0" fontId="2" fillId="0" borderId="10" xfId="0" applyFont="1" applyBorder="1" applyAlignment="1">
      <alignment horizontal="center" vertical="center"/>
    </xf>
    <xf numFmtId="0" fontId="2" fillId="0" borderId="12" xfId="0" applyFont="1" applyBorder="1" applyAlignment="1">
      <alignment horizontal="center" vertical="center"/>
    </xf>
    <xf numFmtId="0" fontId="2" fillId="0" borderId="21" xfId="0" applyFont="1" applyBorder="1" applyAlignment="1">
      <alignment horizontal="center"/>
    </xf>
    <xf numFmtId="0" fontId="2" fillId="0" borderId="56" xfId="0" applyFont="1" applyBorder="1" applyAlignment="1">
      <alignment horizontal="center"/>
    </xf>
    <xf numFmtId="0" fontId="2" fillId="0" borderId="35" xfId="0" applyFont="1" applyBorder="1" applyAlignment="1">
      <alignment horizontal="center"/>
    </xf>
    <xf numFmtId="0" fontId="2" fillId="0" borderId="57" xfId="0" applyFont="1" applyBorder="1" applyAlignment="1">
      <alignment horizontal="center"/>
    </xf>
    <xf numFmtId="0" fontId="2" fillId="0" borderId="40" xfId="0" applyFont="1" applyBorder="1" applyAlignment="1">
      <alignment horizontal="center" vertical="center"/>
    </xf>
    <xf numFmtId="0" fontId="0" fillId="11" borderId="4" xfId="0" applyFill="1" applyBorder="1" applyAlignment="1" applyProtection="1">
      <alignment horizontal="left" vertical="center"/>
      <protection locked="0"/>
    </xf>
    <xf numFmtId="0" fontId="0" fillId="12" borderId="3" xfId="0" applyFill="1" applyBorder="1" applyAlignment="1" applyProtection="1">
      <alignment horizontal="left" vertical="center"/>
      <protection locked="0"/>
    </xf>
    <xf numFmtId="0" fontId="0" fillId="12" borderId="2" xfId="0" applyFill="1" applyBorder="1" applyAlignment="1" applyProtection="1">
      <alignment horizontal="left" vertical="center"/>
      <protection locked="0"/>
    </xf>
    <xf numFmtId="0" fontId="0" fillId="0" borderId="0" xfId="0" applyAlignment="1">
      <alignment horizontal="right"/>
    </xf>
    <xf numFmtId="0" fontId="0" fillId="0" borderId="4" xfId="0" applyBorder="1" applyAlignment="1" applyProtection="1">
      <alignment horizontal="center"/>
      <protection locked="0"/>
    </xf>
    <xf numFmtId="0" fontId="0" fillId="0" borderId="3" xfId="0" applyBorder="1" applyAlignment="1" applyProtection="1">
      <alignment horizontal="center"/>
      <protection locked="0"/>
    </xf>
    <xf numFmtId="0" fontId="0" fillId="0" borderId="2" xfId="0" applyBorder="1" applyAlignment="1" applyProtection="1">
      <alignment horizontal="center"/>
      <protection locked="0"/>
    </xf>
    <xf numFmtId="0" fontId="4" fillId="4" borderId="34" xfId="0" applyFont="1" applyFill="1" applyBorder="1" applyAlignment="1">
      <alignment horizontal="center"/>
    </xf>
    <xf numFmtId="0" fontId="0" fillId="4" borderId="58" xfId="0" applyFill="1" applyBorder="1" applyAlignment="1">
      <alignment horizontal="center"/>
    </xf>
    <xf numFmtId="164" fontId="0" fillId="0" borderId="0" xfId="0" applyNumberFormat="1" applyAlignment="1">
      <alignment horizontal="left"/>
    </xf>
    <xf numFmtId="0" fontId="6" fillId="0" borderId="0" xfId="0" applyFont="1" applyAlignment="1" applyProtection="1">
      <alignment horizontal="center"/>
      <protection locked="0"/>
    </xf>
    <xf numFmtId="165" fontId="0" fillId="0" borderId="0" xfId="0" applyNumberFormat="1" applyAlignment="1">
      <alignment horizontal="center"/>
    </xf>
    <xf numFmtId="0" fontId="0" fillId="11" borderId="4" xfId="0" applyFill="1" applyBorder="1" applyAlignment="1">
      <alignment horizontal="left" vertical="center"/>
    </xf>
    <xf numFmtId="0" fontId="0" fillId="12" borderId="3" xfId="0" applyFill="1" applyBorder="1" applyAlignment="1">
      <alignment horizontal="left" vertical="center"/>
    </xf>
    <xf numFmtId="0" fontId="0" fillId="12" borderId="2" xfId="0" applyFill="1" applyBorder="1" applyAlignment="1">
      <alignment horizontal="left" vertical="center"/>
    </xf>
    <xf numFmtId="0" fontId="5" fillId="0" borderId="4" xfId="0" applyFont="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5" fillId="0" borderId="2" xfId="0" applyFont="1" applyBorder="1" applyAlignment="1" applyProtection="1">
      <alignment horizontal="center" vertical="center"/>
      <protection locked="0"/>
    </xf>
    <xf numFmtId="0" fontId="0" fillId="0" borderId="10" xfId="0" applyBorder="1" applyAlignment="1">
      <alignment horizontal="center" vertical="center"/>
    </xf>
    <xf numFmtId="0" fontId="0" fillId="0" borderId="12" xfId="0" applyBorder="1" applyAlignment="1">
      <alignment horizontal="center" vertical="center"/>
    </xf>
    <xf numFmtId="0" fontId="0" fillId="0" borderId="4"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6" fillId="0" borderId="26" xfId="0" applyFont="1"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5" xfId="0" applyBorder="1" applyAlignment="1">
      <alignment horizontal="center" vertical="center"/>
    </xf>
    <xf numFmtId="0" fontId="0" fillId="0" borderId="30" xfId="0" applyBorder="1" applyAlignment="1">
      <alignment horizontal="center" vertical="center"/>
    </xf>
    <xf numFmtId="0" fontId="0" fillId="0" borderId="5" xfId="0" applyBorder="1" applyAlignment="1">
      <alignment horizontal="left"/>
    </xf>
    <xf numFmtId="0" fontId="5" fillId="0" borderId="26" xfId="0" applyFont="1" applyBorder="1" applyAlignment="1">
      <alignment horizontal="center" vertical="center"/>
    </xf>
    <xf numFmtId="0" fontId="5" fillId="0" borderId="10"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5" xfId="0" applyFont="1" applyBorder="1" applyAlignment="1">
      <alignment horizontal="center" vertical="center"/>
    </xf>
    <xf numFmtId="0" fontId="5" fillId="0" borderId="30" xfId="0" applyFont="1" applyBorder="1" applyAlignment="1">
      <alignment horizontal="center" vertical="center"/>
    </xf>
    <xf numFmtId="0" fontId="5" fillId="0" borderId="12" xfId="0" applyFont="1" applyBorder="1" applyAlignment="1">
      <alignment horizontal="center" vertical="center"/>
    </xf>
    <xf numFmtId="0" fontId="2" fillId="0" borderId="4" xfId="0" applyFont="1" applyBorder="1" applyAlignment="1">
      <alignment horizontal="left"/>
    </xf>
    <xf numFmtId="0" fontId="2" fillId="0" borderId="3" xfId="0" applyFont="1" applyBorder="1" applyAlignment="1">
      <alignment horizontal="left"/>
    </xf>
    <xf numFmtId="0" fontId="2" fillId="0" borderId="2" xfId="0" applyFont="1" applyBorder="1" applyAlignment="1">
      <alignment horizontal="left"/>
    </xf>
    <xf numFmtId="0" fontId="0" fillId="0" borderId="26"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5" xfId="0" applyBorder="1" applyAlignment="1">
      <alignment horizontal="left" vertical="center"/>
    </xf>
    <xf numFmtId="0" fontId="0" fillId="0" borderId="30" xfId="0" applyBorder="1" applyAlignment="1">
      <alignment horizontal="left" vertical="center"/>
    </xf>
    <xf numFmtId="0" fontId="35" fillId="0" borderId="0" xfId="0" applyFont="1" applyAlignment="1" applyProtection="1">
      <alignment horizontal="left"/>
      <protection locked="0"/>
    </xf>
    <xf numFmtId="0" fontId="4" fillId="4" borderId="58" xfId="0" applyFont="1" applyFill="1" applyBorder="1" applyAlignment="1">
      <alignment horizontal="center"/>
    </xf>
    <xf numFmtId="0" fontId="6" fillId="0" borderId="26" xfId="0" applyFont="1" applyBorder="1" applyAlignment="1" applyProtection="1">
      <alignment horizontal="left" vertical="center"/>
      <protection locked="0"/>
    </xf>
    <xf numFmtId="0" fontId="6" fillId="0" borderId="27" xfId="0" applyFont="1" applyBorder="1" applyAlignment="1" applyProtection="1">
      <alignment horizontal="left" vertical="center"/>
      <protection locked="0"/>
    </xf>
    <xf numFmtId="0" fontId="6" fillId="0" borderId="28" xfId="0" applyFont="1" applyBorder="1" applyAlignment="1" applyProtection="1">
      <alignment horizontal="left" vertical="center"/>
      <protection locked="0"/>
    </xf>
    <xf numFmtId="0" fontId="6" fillId="0" borderId="29" xfId="0" applyFont="1" applyBorder="1" applyAlignment="1" applyProtection="1">
      <alignment horizontal="left" vertical="center"/>
      <protection locked="0"/>
    </xf>
    <xf numFmtId="0" fontId="6" fillId="0" borderId="5" xfId="0" applyFont="1" applyBorder="1" applyAlignment="1" applyProtection="1">
      <alignment horizontal="left" vertical="center"/>
      <protection locked="0"/>
    </xf>
    <xf numFmtId="0" fontId="6" fillId="0" borderId="30" xfId="0" applyFont="1" applyBorder="1" applyAlignment="1" applyProtection="1">
      <alignment horizontal="left" vertical="center"/>
      <protection locked="0"/>
    </xf>
    <xf numFmtId="0" fontId="5" fillId="0" borderId="26" xfId="0" applyFont="1" applyBorder="1" applyAlignment="1" applyProtection="1">
      <alignment horizontal="center" vertical="center"/>
      <protection locked="0"/>
    </xf>
    <xf numFmtId="0" fontId="5" fillId="0" borderId="27"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5" fillId="0" borderId="29"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14" fontId="0" fillId="3" borderId="1" xfId="0" applyNumberFormat="1" applyFill="1" applyBorder="1" applyAlignment="1">
      <alignment horizontal="center"/>
    </xf>
    <xf numFmtId="0" fontId="0" fillId="3" borderId="1" xfId="0" applyFill="1" applyBorder="1" applyAlignment="1">
      <alignment horizontal="center"/>
    </xf>
    <xf numFmtId="49" fontId="4" fillId="3" borderId="1" xfId="0" applyNumberFormat="1" applyFont="1" applyFill="1" applyBorder="1" applyAlignment="1">
      <alignment horizontal="center"/>
    </xf>
    <xf numFmtId="49" fontId="0" fillId="3" borderId="1" xfId="0" applyNumberFormat="1" applyFill="1" applyBorder="1" applyAlignment="1">
      <alignment horizontal="center"/>
    </xf>
    <xf numFmtId="0" fontId="4" fillId="3" borderId="1" xfId="0" applyFont="1" applyFill="1" applyBorder="1" applyAlignment="1">
      <alignment horizontal="left" wrapText="1"/>
    </xf>
    <xf numFmtId="0" fontId="0" fillId="3" borderId="1" xfId="0" applyFill="1" applyBorder="1" applyAlignment="1">
      <alignment horizontal="left" wrapText="1"/>
    </xf>
    <xf numFmtId="0" fontId="4" fillId="4" borderId="1" xfId="0" applyFont="1" applyFill="1" applyBorder="1" applyAlignment="1">
      <alignment wrapText="1"/>
    </xf>
    <xf numFmtId="0" fontId="0" fillId="4" borderId="1" xfId="0" applyFill="1" applyBorder="1" applyAlignment="1">
      <alignment wrapText="1"/>
    </xf>
    <xf numFmtId="0" fontId="4" fillId="3" borderId="1" xfId="0" applyFont="1" applyFill="1" applyBorder="1" applyAlignment="1">
      <alignment wrapText="1"/>
    </xf>
    <xf numFmtId="0" fontId="0" fillId="3" borderId="1" xfId="0" applyFill="1" applyBorder="1" applyAlignment="1">
      <alignment wrapText="1"/>
    </xf>
    <xf numFmtId="0" fontId="0" fillId="6" borderId="1" xfId="0" applyFill="1" applyBorder="1" applyAlignment="1">
      <alignment horizontal="center"/>
    </xf>
    <xf numFmtId="0" fontId="4" fillId="6" borderId="1" xfId="0" applyFont="1" applyFill="1" applyBorder="1" applyAlignment="1">
      <alignment wrapText="1"/>
    </xf>
    <xf numFmtId="0" fontId="0" fillId="6" borderId="1" xfId="0" applyFill="1" applyBorder="1" applyAlignment="1">
      <alignment wrapText="1"/>
    </xf>
    <xf numFmtId="0" fontId="28" fillId="3" borderId="4" xfId="1" applyFill="1" applyBorder="1" applyAlignment="1" applyProtection="1">
      <alignment horizontal="left"/>
    </xf>
    <xf numFmtId="0" fontId="28" fillId="3" borderId="3" xfId="1" applyFill="1" applyBorder="1" applyAlignment="1" applyProtection="1">
      <alignment horizontal="left"/>
    </xf>
    <xf numFmtId="0" fontId="28" fillId="3" borderId="2" xfId="1" applyFill="1" applyBorder="1" applyAlignment="1" applyProtection="1">
      <alignment horizontal="left"/>
    </xf>
    <xf numFmtId="0" fontId="4" fillId="3" borderId="4" xfId="0" applyFont="1" applyFill="1" applyBorder="1" applyAlignment="1">
      <alignment horizontal="center"/>
    </xf>
    <xf numFmtId="0" fontId="4" fillId="3" borderId="2" xfId="0" applyFont="1" applyFill="1" applyBorder="1" applyAlignment="1">
      <alignment horizontal="center"/>
    </xf>
    <xf numFmtId="0" fontId="0" fillId="3" borderId="4" xfId="0" applyFill="1" applyBorder="1" applyAlignment="1">
      <alignment horizontal="center"/>
    </xf>
    <xf numFmtId="0" fontId="0" fillId="3" borderId="2" xfId="0" applyFill="1" applyBorder="1" applyAlignment="1">
      <alignment horizontal="center"/>
    </xf>
    <xf numFmtId="0" fontId="4" fillId="4" borderId="1" xfId="0" applyFont="1" applyFill="1" applyBorder="1" applyAlignment="1">
      <alignment horizontal="left"/>
    </xf>
    <xf numFmtId="0" fontId="0" fillId="4" borderId="1" xfId="0" applyFill="1" applyBorder="1" applyAlignment="1">
      <alignment horizontal="left"/>
    </xf>
    <xf numFmtId="0" fontId="28" fillId="3" borderId="1" xfId="1" applyFill="1" applyBorder="1" applyAlignment="1" applyProtection="1">
      <alignment horizontal="left"/>
    </xf>
    <xf numFmtId="0" fontId="0" fillId="3" borderId="1" xfId="0" applyFill="1" applyBorder="1" applyAlignment="1">
      <alignment horizontal="left"/>
    </xf>
    <xf numFmtId="0" fontId="4" fillId="3" borderId="5" xfId="0" applyFont="1" applyFill="1" applyBorder="1" applyAlignment="1">
      <alignment horizontal="center"/>
    </xf>
    <xf numFmtId="0" fontId="9" fillId="3" borderId="0" xfId="0" applyFont="1" applyFill="1" applyAlignment="1">
      <alignment horizontal="center"/>
    </xf>
    <xf numFmtId="0" fontId="28" fillId="0" borderId="0" xfId="1" applyAlignment="1" applyProtection="1"/>
    <xf numFmtId="0" fontId="2" fillId="6" borderId="1" xfId="0" applyFont="1" applyFill="1" applyBorder="1" applyAlignment="1">
      <alignment horizontal="center"/>
    </xf>
    <xf numFmtId="0" fontId="2" fillId="4" borderId="1" xfId="0" applyFont="1" applyFill="1" applyBorder="1" applyAlignment="1">
      <alignment horizontal="left"/>
    </xf>
  </cellXfs>
  <cellStyles count="4">
    <cellStyle name="Hyperlink" xfId="1" builtinId="8"/>
    <cellStyle name="Normal" xfId="0" builtinId="0"/>
    <cellStyle name="Normal 2" xfId="2" xr:uid="{00000000-0005-0000-0000-000002000000}"/>
    <cellStyle name="Normal 3" xfId="3" xr:uid="{00000000-0005-0000-0000-000003000000}"/>
  </cellStyles>
  <dxfs count="59">
    <dxf>
      <fill>
        <patternFill>
          <bgColor rgb="FFFFFF00"/>
        </patternFill>
      </fill>
    </dxf>
    <dxf>
      <fill>
        <patternFill>
          <bgColor rgb="FF7030A0"/>
        </patternFill>
      </fill>
    </dxf>
    <dxf>
      <fill>
        <patternFill>
          <bgColor rgb="FFFF0000"/>
        </patternFill>
      </fill>
    </dxf>
    <dxf>
      <fill>
        <patternFill>
          <bgColor rgb="FFFF0000"/>
        </patternFill>
      </fill>
    </dxf>
    <dxf>
      <fill>
        <patternFill>
          <bgColor rgb="FF0070C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22"/>
        </patternFill>
      </fill>
    </dxf>
    <dxf>
      <fill>
        <patternFill>
          <bgColor indexed="13"/>
        </patternFill>
      </fill>
    </dxf>
    <dxf>
      <fill>
        <patternFill>
          <bgColor indexed="22"/>
        </patternFill>
      </fill>
    </dxf>
    <dxf>
      <fill>
        <patternFill>
          <bgColor indexed="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2"/>
        </patternFill>
      </fill>
    </dxf>
    <dxf>
      <fill>
        <patternFill>
          <bgColor indexed="13"/>
        </patternFill>
      </fill>
    </dxf>
    <dxf>
      <fill>
        <patternFill>
          <bgColor rgb="FF7030A0"/>
        </patternFill>
      </fill>
    </dxf>
    <dxf>
      <fill>
        <patternFill>
          <bgColor rgb="FFFFFF00"/>
        </patternFill>
      </fill>
    </dxf>
    <dxf>
      <fill>
        <patternFill>
          <bgColor rgb="FF0070C0"/>
        </patternFill>
      </fill>
    </dxf>
    <dxf>
      <fill>
        <patternFill>
          <bgColor rgb="FF7030A0"/>
        </patternFill>
      </fill>
    </dxf>
    <dxf>
      <fill>
        <patternFill>
          <bgColor indexed="22"/>
        </patternFill>
      </fill>
    </dxf>
    <dxf>
      <fill>
        <patternFill>
          <bgColor indexed="22"/>
        </patternFill>
      </fill>
    </dxf>
    <dxf>
      <fill>
        <patternFill>
          <bgColor indexed="22"/>
        </patternFill>
      </fill>
    </dxf>
    <dxf>
      <fill>
        <patternFill>
          <bgColor indexed="30"/>
        </patternFill>
      </fill>
    </dxf>
    <dxf>
      <fill>
        <patternFill>
          <bgColor indexed="22"/>
        </patternFill>
      </fill>
    </dxf>
    <dxf>
      <fill>
        <patternFill>
          <bgColor rgb="FFFFFF00"/>
        </patternFill>
      </fill>
    </dxf>
    <dxf>
      <fill>
        <patternFill>
          <bgColor rgb="FF7030A0"/>
        </patternFill>
      </fill>
    </dxf>
    <dxf>
      <fill>
        <patternFill>
          <bgColor rgb="FF0070C0"/>
        </patternFill>
      </fill>
    </dxf>
    <dxf>
      <fill>
        <patternFill>
          <bgColor rgb="FFFF0000"/>
        </patternFill>
      </fill>
    </dxf>
    <dxf>
      <fill>
        <patternFill>
          <bgColor rgb="FF0070C0"/>
        </patternFill>
      </fill>
    </dxf>
    <dxf>
      <fill>
        <patternFill>
          <bgColor rgb="FF0070C0"/>
        </patternFill>
      </fill>
    </dxf>
    <dxf>
      <fill>
        <patternFill>
          <bgColor indexed="22"/>
        </patternFill>
      </fill>
    </dxf>
    <dxf>
      <fill>
        <patternFill>
          <bgColor indexed="10"/>
        </patternFill>
      </fill>
    </dxf>
    <dxf>
      <fill>
        <patternFill>
          <bgColor indexed="30"/>
        </patternFill>
      </fill>
    </dxf>
    <dxf>
      <fill>
        <patternFill>
          <bgColor indexed="22"/>
        </patternFill>
      </fill>
    </dxf>
    <dxf>
      <fill>
        <patternFill>
          <bgColor indexed="22"/>
        </patternFill>
      </fill>
    </dxf>
    <dxf>
      <fill>
        <patternFill>
          <bgColor rgb="FF0070C0"/>
        </patternFill>
      </fill>
    </dxf>
    <dxf>
      <fill>
        <patternFill>
          <bgColor rgb="FF0070C0"/>
        </patternFill>
      </fill>
    </dxf>
    <dxf>
      <fill>
        <patternFill>
          <bgColor rgb="FFFF0000"/>
        </patternFill>
      </fill>
    </dxf>
    <dxf>
      <fill>
        <patternFill>
          <bgColor indexed="10"/>
        </patternFill>
      </fill>
    </dxf>
    <dxf>
      <fill>
        <patternFill>
          <bgColor indexed="10"/>
        </patternFill>
      </fill>
    </dxf>
    <dxf>
      <fill>
        <patternFill>
          <bgColor indexed="2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22"/>
        </patternFill>
      </fill>
    </dxf>
    <dxf>
      <fill>
        <patternFill>
          <bgColor indexed="22"/>
        </patternFill>
      </fill>
    </dxf>
    <dxf>
      <fill>
        <patternFill>
          <bgColor indexed="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28</xdr:col>
      <xdr:colOff>0</xdr:colOff>
      <xdr:row>1</xdr:row>
      <xdr:rowOff>0</xdr:rowOff>
    </xdr:from>
    <xdr:to>
      <xdr:col>31</xdr:col>
      <xdr:colOff>115742</xdr:colOff>
      <xdr:row>4</xdr:row>
      <xdr:rowOff>49844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48925" y="161925"/>
          <a:ext cx="658667" cy="535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85725</xdr:colOff>
      <xdr:row>2</xdr:row>
      <xdr:rowOff>47625</xdr:rowOff>
    </xdr:from>
    <xdr:to>
      <xdr:col>8</xdr:col>
      <xdr:colOff>363392</xdr:colOff>
      <xdr:row>5</xdr:row>
      <xdr:rowOff>97469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81850" y="381000"/>
          <a:ext cx="658667" cy="535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257175</xdr:colOff>
      <xdr:row>7</xdr:row>
      <xdr:rowOff>0</xdr:rowOff>
    </xdr:from>
    <xdr:to>
      <xdr:col>8</xdr:col>
      <xdr:colOff>334817</xdr:colOff>
      <xdr:row>8</xdr:row>
      <xdr:rowOff>211769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5325" y="1533525"/>
          <a:ext cx="658667" cy="535619"/>
        </a:xfrm>
        <a:prstGeom prst="rect">
          <a:avLst/>
        </a:prstGeom>
      </xdr:spPr>
    </xdr:pic>
    <xdr:clientData/>
  </xdr:twoCellAnchor>
  <xdr:twoCellAnchor editAs="oneCell">
    <xdr:from>
      <xdr:col>7</xdr:col>
      <xdr:colOff>257175</xdr:colOff>
      <xdr:row>41</xdr:row>
      <xdr:rowOff>0</xdr:rowOff>
    </xdr:from>
    <xdr:to>
      <xdr:col>8</xdr:col>
      <xdr:colOff>334817</xdr:colOff>
      <xdr:row>42</xdr:row>
      <xdr:rowOff>211769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5325" y="9658350"/>
          <a:ext cx="658667" cy="535619"/>
        </a:xfrm>
        <a:prstGeom prst="rect">
          <a:avLst/>
        </a:prstGeom>
      </xdr:spPr>
    </xdr:pic>
    <xdr:clientData/>
  </xdr:twoCellAnchor>
  <xdr:twoCellAnchor editAs="oneCell">
    <xdr:from>
      <xdr:col>7</xdr:col>
      <xdr:colOff>257175</xdr:colOff>
      <xdr:row>75</xdr:row>
      <xdr:rowOff>9525</xdr:rowOff>
    </xdr:from>
    <xdr:to>
      <xdr:col>8</xdr:col>
      <xdr:colOff>334817</xdr:colOff>
      <xdr:row>76</xdr:row>
      <xdr:rowOff>221294</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5325" y="17792700"/>
          <a:ext cx="658667" cy="535619"/>
        </a:xfrm>
        <a:prstGeom prst="rect">
          <a:avLst/>
        </a:prstGeom>
      </xdr:spPr>
    </xdr:pic>
    <xdr:clientData/>
  </xdr:twoCellAnchor>
  <xdr:twoCellAnchor editAs="oneCell">
    <xdr:from>
      <xdr:col>7</xdr:col>
      <xdr:colOff>276225</xdr:colOff>
      <xdr:row>109</xdr:row>
      <xdr:rowOff>57150</xdr:rowOff>
    </xdr:from>
    <xdr:to>
      <xdr:col>8</xdr:col>
      <xdr:colOff>353867</xdr:colOff>
      <xdr:row>110</xdr:row>
      <xdr:rowOff>268919</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25965150"/>
          <a:ext cx="658667" cy="535619"/>
        </a:xfrm>
        <a:prstGeom prst="rect">
          <a:avLst/>
        </a:prstGeom>
      </xdr:spPr>
    </xdr:pic>
    <xdr:clientData/>
  </xdr:twoCellAnchor>
  <xdr:twoCellAnchor editAs="oneCell">
    <xdr:from>
      <xdr:col>7</xdr:col>
      <xdr:colOff>276225</xdr:colOff>
      <xdr:row>177</xdr:row>
      <xdr:rowOff>66675</xdr:rowOff>
    </xdr:from>
    <xdr:to>
      <xdr:col>8</xdr:col>
      <xdr:colOff>353867</xdr:colOff>
      <xdr:row>178</xdr:row>
      <xdr:rowOff>278444</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42224325"/>
          <a:ext cx="658667" cy="535619"/>
        </a:xfrm>
        <a:prstGeom prst="rect">
          <a:avLst/>
        </a:prstGeom>
      </xdr:spPr>
    </xdr:pic>
    <xdr:clientData/>
  </xdr:twoCellAnchor>
  <xdr:twoCellAnchor editAs="oneCell">
    <xdr:from>
      <xdr:col>7</xdr:col>
      <xdr:colOff>276225</xdr:colOff>
      <xdr:row>143</xdr:row>
      <xdr:rowOff>28575</xdr:rowOff>
    </xdr:from>
    <xdr:to>
      <xdr:col>8</xdr:col>
      <xdr:colOff>353867</xdr:colOff>
      <xdr:row>144</xdr:row>
      <xdr:rowOff>240344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34061400"/>
          <a:ext cx="658667" cy="535619"/>
        </a:xfrm>
        <a:prstGeom prst="rect">
          <a:avLst/>
        </a:prstGeom>
      </xdr:spPr>
    </xdr:pic>
    <xdr:clientData/>
  </xdr:twoCellAnchor>
  <xdr:twoCellAnchor editAs="oneCell">
    <xdr:from>
      <xdr:col>7</xdr:col>
      <xdr:colOff>276225</xdr:colOff>
      <xdr:row>211</xdr:row>
      <xdr:rowOff>38100</xdr:rowOff>
    </xdr:from>
    <xdr:to>
      <xdr:col>8</xdr:col>
      <xdr:colOff>353867</xdr:colOff>
      <xdr:row>212</xdr:row>
      <xdr:rowOff>249869</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50320575"/>
          <a:ext cx="658667" cy="535619"/>
        </a:xfrm>
        <a:prstGeom prst="rect">
          <a:avLst/>
        </a:prstGeom>
      </xdr:spPr>
    </xdr:pic>
    <xdr:clientData/>
  </xdr:twoCellAnchor>
  <xdr:twoCellAnchor editAs="oneCell">
    <xdr:from>
      <xdr:col>7</xdr:col>
      <xdr:colOff>295275</xdr:colOff>
      <xdr:row>245</xdr:row>
      <xdr:rowOff>85725</xdr:rowOff>
    </xdr:from>
    <xdr:to>
      <xdr:col>8</xdr:col>
      <xdr:colOff>372917</xdr:colOff>
      <xdr:row>246</xdr:row>
      <xdr:rowOff>297494</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58493025"/>
          <a:ext cx="658667" cy="535619"/>
        </a:xfrm>
        <a:prstGeom prst="rect">
          <a:avLst/>
        </a:prstGeom>
      </xdr:spPr>
    </xdr:pic>
    <xdr:clientData/>
  </xdr:twoCellAnchor>
  <xdr:twoCellAnchor editAs="oneCell">
    <xdr:from>
      <xdr:col>7</xdr:col>
      <xdr:colOff>266700</xdr:colOff>
      <xdr:row>279</xdr:row>
      <xdr:rowOff>38100</xdr:rowOff>
    </xdr:from>
    <xdr:to>
      <xdr:col>8</xdr:col>
      <xdr:colOff>344342</xdr:colOff>
      <xdr:row>280</xdr:row>
      <xdr:rowOff>249869</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4850" y="66570225"/>
          <a:ext cx="658667" cy="535619"/>
        </a:xfrm>
        <a:prstGeom prst="rect">
          <a:avLst/>
        </a:prstGeom>
      </xdr:spPr>
    </xdr:pic>
    <xdr:clientData/>
  </xdr:twoCellAnchor>
  <xdr:twoCellAnchor editAs="oneCell">
    <xdr:from>
      <xdr:col>7</xdr:col>
      <xdr:colOff>266700</xdr:colOff>
      <xdr:row>313</xdr:row>
      <xdr:rowOff>38100</xdr:rowOff>
    </xdr:from>
    <xdr:to>
      <xdr:col>8</xdr:col>
      <xdr:colOff>344342</xdr:colOff>
      <xdr:row>314</xdr:row>
      <xdr:rowOff>249869</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4850" y="74695050"/>
          <a:ext cx="658667" cy="535619"/>
        </a:xfrm>
        <a:prstGeom prst="rect">
          <a:avLst/>
        </a:prstGeom>
      </xdr:spPr>
    </xdr:pic>
    <xdr:clientData/>
  </xdr:twoCellAnchor>
  <xdr:twoCellAnchor editAs="oneCell">
    <xdr:from>
      <xdr:col>7</xdr:col>
      <xdr:colOff>266700</xdr:colOff>
      <xdr:row>347</xdr:row>
      <xdr:rowOff>47625</xdr:rowOff>
    </xdr:from>
    <xdr:to>
      <xdr:col>8</xdr:col>
      <xdr:colOff>344342</xdr:colOff>
      <xdr:row>348</xdr:row>
      <xdr:rowOff>259394</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4850" y="82829400"/>
          <a:ext cx="658667" cy="535619"/>
        </a:xfrm>
        <a:prstGeom prst="rect">
          <a:avLst/>
        </a:prstGeom>
      </xdr:spPr>
    </xdr:pic>
    <xdr:clientData/>
  </xdr:twoCellAnchor>
  <xdr:twoCellAnchor editAs="oneCell">
    <xdr:from>
      <xdr:col>7</xdr:col>
      <xdr:colOff>285750</xdr:colOff>
      <xdr:row>381</xdr:row>
      <xdr:rowOff>95250</xdr:rowOff>
    </xdr:from>
    <xdr:to>
      <xdr:col>8</xdr:col>
      <xdr:colOff>363392</xdr:colOff>
      <xdr:row>383</xdr:row>
      <xdr:rowOff>2219</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91001850"/>
          <a:ext cx="658667" cy="535619"/>
        </a:xfrm>
        <a:prstGeom prst="rect">
          <a:avLst/>
        </a:prstGeom>
      </xdr:spPr>
    </xdr:pic>
    <xdr:clientData/>
  </xdr:twoCellAnchor>
  <xdr:twoCellAnchor editAs="oneCell">
    <xdr:from>
      <xdr:col>7</xdr:col>
      <xdr:colOff>285750</xdr:colOff>
      <xdr:row>449</xdr:row>
      <xdr:rowOff>104775</xdr:rowOff>
    </xdr:from>
    <xdr:to>
      <xdr:col>8</xdr:col>
      <xdr:colOff>363392</xdr:colOff>
      <xdr:row>451</xdr:row>
      <xdr:rowOff>11744</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107261025"/>
          <a:ext cx="658667" cy="535619"/>
        </a:xfrm>
        <a:prstGeom prst="rect">
          <a:avLst/>
        </a:prstGeom>
      </xdr:spPr>
    </xdr:pic>
    <xdr:clientData/>
  </xdr:twoCellAnchor>
  <xdr:twoCellAnchor editAs="oneCell">
    <xdr:from>
      <xdr:col>7</xdr:col>
      <xdr:colOff>285750</xdr:colOff>
      <xdr:row>415</xdr:row>
      <xdr:rowOff>66675</xdr:rowOff>
    </xdr:from>
    <xdr:to>
      <xdr:col>8</xdr:col>
      <xdr:colOff>363392</xdr:colOff>
      <xdr:row>416</xdr:row>
      <xdr:rowOff>278444</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99098100"/>
          <a:ext cx="658667" cy="535619"/>
        </a:xfrm>
        <a:prstGeom prst="rect">
          <a:avLst/>
        </a:prstGeom>
      </xdr:spPr>
    </xdr:pic>
    <xdr:clientData/>
  </xdr:twoCellAnchor>
  <xdr:twoCellAnchor editAs="oneCell">
    <xdr:from>
      <xdr:col>7</xdr:col>
      <xdr:colOff>285750</xdr:colOff>
      <xdr:row>483</xdr:row>
      <xdr:rowOff>76200</xdr:rowOff>
    </xdr:from>
    <xdr:to>
      <xdr:col>8</xdr:col>
      <xdr:colOff>363392</xdr:colOff>
      <xdr:row>484</xdr:row>
      <xdr:rowOff>287969</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115357275"/>
          <a:ext cx="658667" cy="535619"/>
        </a:xfrm>
        <a:prstGeom prst="rect">
          <a:avLst/>
        </a:prstGeom>
      </xdr:spPr>
    </xdr:pic>
    <xdr:clientData/>
  </xdr:twoCellAnchor>
  <xdr:twoCellAnchor editAs="oneCell">
    <xdr:from>
      <xdr:col>7</xdr:col>
      <xdr:colOff>304800</xdr:colOff>
      <xdr:row>517</xdr:row>
      <xdr:rowOff>123825</xdr:rowOff>
    </xdr:from>
    <xdr:to>
      <xdr:col>8</xdr:col>
      <xdr:colOff>382442</xdr:colOff>
      <xdr:row>519</xdr:row>
      <xdr:rowOff>30794</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123529725"/>
          <a:ext cx="658667" cy="535619"/>
        </a:xfrm>
        <a:prstGeom prst="rect">
          <a:avLst/>
        </a:prstGeom>
      </xdr:spPr>
    </xdr:pic>
    <xdr:clientData/>
  </xdr:twoCellAnchor>
  <xdr:twoCellAnchor editAs="oneCell">
    <xdr:from>
      <xdr:col>7</xdr:col>
      <xdr:colOff>285750</xdr:colOff>
      <xdr:row>551</xdr:row>
      <xdr:rowOff>47625</xdr:rowOff>
    </xdr:from>
    <xdr:to>
      <xdr:col>8</xdr:col>
      <xdr:colOff>363392</xdr:colOff>
      <xdr:row>552</xdr:row>
      <xdr:rowOff>259394</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131578350"/>
          <a:ext cx="658667" cy="535619"/>
        </a:xfrm>
        <a:prstGeom prst="rect">
          <a:avLst/>
        </a:prstGeom>
      </xdr:spPr>
    </xdr:pic>
    <xdr:clientData/>
  </xdr:twoCellAnchor>
  <xdr:twoCellAnchor editAs="oneCell">
    <xdr:from>
      <xdr:col>7</xdr:col>
      <xdr:colOff>285750</xdr:colOff>
      <xdr:row>585</xdr:row>
      <xdr:rowOff>47625</xdr:rowOff>
    </xdr:from>
    <xdr:to>
      <xdr:col>8</xdr:col>
      <xdr:colOff>363392</xdr:colOff>
      <xdr:row>586</xdr:row>
      <xdr:rowOff>259394</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139703175"/>
          <a:ext cx="658667" cy="535619"/>
        </a:xfrm>
        <a:prstGeom prst="rect">
          <a:avLst/>
        </a:prstGeom>
      </xdr:spPr>
    </xdr:pic>
    <xdr:clientData/>
  </xdr:twoCellAnchor>
  <xdr:twoCellAnchor editAs="oneCell">
    <xdr:from>
      <xdr:col>7</xdr:col>
      <xdr:colOff>285750</xdr:colOff>
      <xdr:row>619</xdr:row>
      <xdr:rowOff>57150</xdr:rowOff>
    </xdr:from>
    <xdr:to>
      <xdr:col>8</xdr:col>
      <xdr:colOff>363392</xdr:colOff>
      <xdr:row>620</xdr:row>
      <xdr:rowOff>268919</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147837525"/>
          <a:ext cx="658667" cy="535619"/>
        </a:xfrm>
        <a:prstGeom prst="rect">
          <a:avLst/>
        </a:prstGeom>
      </xdr:spPr>
    </xdr:pic>
    <xdr:clientData/>
  </xdr:twoCellAnchor>
  <xdr:twoCellAnchor editAs="oneCell">
    <xdr:from>
      <xdr:col>7</xdr:col>
      <xdr:colOff>304800</xdr:colOff>
      <xdr:row>653</xdr:row>
      <xdr:rowOff>104775</xdr:rowOff>
    </xdr:from>
    <xdr:to>
      <xdr:col>8</xdr:col>
      <xdr:colOff>382442</xdr:colOff>
      <xdr:row>655</xdr:row>
      <xdr:rowOff>11744</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156009975"/>
          <a:ext cx="658667" cy="535619"/>
        </a:xfrm>
        <a:prstGeom prst="rect">
          <a:avLst/>
        </a:prstGeom>
      </xdr:spPr>
    </xdr:pic>
    <xdr:clientData/>
  </xdr:twoCellAnchor>
  <xdr:twoCellAnchor editAs="oneCell">
    <xdr:from>
      <xdr:col>7</xdr:col>
      <xdr:colOff>304800</xdr:colOff>
      <xdr:row>721</xdr:row>
      <xdr:rowOff>114300</xdr:rowOff>
    </xdr:from>
    <xdr:to>
      <xdr:col>8</xdr:col>
      <xdr:colOff>382442</xdr:colOff>
      <xdr:row>723</xdr:row>
      <xdr:rowOff>21269</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172269150"/>
          <a:ext cx="658667" cy="535619"/>
        </a:xfrm>
        <a:prstGeom prst="rect">
          <a:avLst/>
        </a:prstGeom>
      </xdr:spPr>
    </xdr:pic>
    <xdr:clientData/>
  </xdr:twoCellAnchor>
  <xdr:twoCellAnchor editAs="oneCell">
    <xdr:from>
      <xdr:col>7</xdr:col>
      <xdr:colOff>304800</xdr:colOff>
      <xdr:row>687</xdr:row>
      <xdr:rowOff>76200</xdr:rowOff>
    </xdr:from>
    <xdr:to>
      <xdr:col>8</xdr:col>
      <xdr:colOff>382442</xdr:colOff>
      <xdr:row>688</xdr:row>
      <xdr:rowOff>287969</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164106225"/>
          <a:ext cx="658667" cy="535619"/>
        </a:xfrm>
        <a:prstGeom prst="rect">
          <a:avLst/>
        </a:prstGeom>
      </xdr:spPr>
    </xdr:pic>
    <xdr:clientData/>
  </xdr:twoCellAnchor>
  <xdr:twoCellAnchor editAs="oneCell">
    <xdr:from>
      <xdr:col>7</xdr:col>
      <xdr:colOff>304800</xdr:colOff>
      <xdr:row>755</xdr:row>
      <xdr:rowOff>85725</xdr:rowOff>
    </xdr:from>
    <xdr:to>
      <xdr:col>8</xdr:col>
      <xdr:colOff>382442</xdr:colOff>
      <xdr:row>756</xdr:row>
      <xdr:rowOff>297494</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180365400"/>
          <a:ext cx="658667" cy="535619"/>
        </a:xfrm>
        <a:prstGeom prst="rect">
          <a:avLst/>
        </a:prstGeom>
      </xdr:spPr>
    </xdr:pic>
    <xdr:clientData/>
  </xdr:twoCellAnchor>
  <xdr:twoCellAnchor editAs="oneCell">
    <xdr:from>
      <xdr:col>7</xdr:col>
      <xdr:colOff>323850</xdr:colOff>
      <xdr:row>789</xdr:row>
      <xdr:rowOff>133350</xdr:rowOff>
    </xdr:from>
    <xdr:to>
      <xdr:col>8</xdr:col>
      <xdr:colOff>401492</xdr:colOff>
      <xdr:row>791</xdr:row>
      <xdr:rowOff>40319</xdr:rowOff>
    </xdr:to>
    <xdr:pic>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188537850"/>
          <a:ext cx="658667" cy="535619"/>
        </a:xfrm>
        <a:prstGeom prst="rect">
          <a:avLst/>
        </a:prstGeom>
      </xdr:spPr>
    </xdr:pic>
    <xdr:clientData/>
  </xdr:twoCellAnchor>
  <xdr:twoCellAnchor editAs="oneCell">
    <xdr:from>
      <xdr:col>7</xdr:col>
      <xdr:colOff>295275</xdr:colOff>
      <xdr:row>823</xdr:row>
      <xdr:rowOff>85725</xdr:rowOff>
    </xdr:from>
    <xdr:to>
      <xdr:col>8</xdr:col>
      <xdr:colOff>372917</xdr:colOff>
      <xdr:row>824</xdr:row>
      <xdr:rowOff>297494</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196615050"/>
          <a:ext cx="658667" cy="535619"/>
        </a:xfrm>
        <a:prstGeom prst="rect">
          <a:avLst/>
        </a:prstGeom>
      </xdr:spPr>
    </xdr:pic>
    <xdr:clientData/>
  </xdr:twoCellAnchor>
  <xdr:twoCellAnchor editAs="oneCell">
    <xdr:from>
      <xdr:col>7</xdr:col>
      <xdr:colOff>295275</xdr:colOff>
      <xdr:row>857</xdr:row>
      <xdr:rowOff>85725</xdr:rowOff>
    </xdr:from>
    <xdr:to>
      <xdr:col>8</xdr:col>
      <xdr:colOff>372917</xdr:colOff>
      <xdr:row>858</xdr:row>
      <xdr:rowOff>297494</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204739875"/>
          <a:ext cx="658667" cy="535619"/>
        </a:xfrm>
        <a:prstGeom prst="rect">
          <a:avLst/>
        </a:prstGeom>
      </xdr:spPr>
    </xdr:pic>
    <xdr:clientData/>
  </xdr:twoCellAnchor>
  <xdr:twoCellAnchor editAs="oneCell">
    <xdr:from>
      <xdr:col>7</xdr:col>
      <xdr:colOff>295275</xdr:colOff>
      <xdr:row>891</xdr:row>
      <xdr:rowOff>95250</xdr:rowOff>
    </xdr:from>
    <xdr:to>
      <xdr:col>8</xdr:col>
      <xdr:colOff>372917</xdr:colOff>
      <xdr:row>893</xdr:row>
      <xdr:rowOff>2219</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212874225"/>
          <a:ext cx="658667" cy="535619"/>
        </a:xfrm>
        <a:prstGeom prst="rect">
          <a:avLst/>
        </a:prstGeom>
      </xdr:spPr>
    </xdr:pic>
    <xdr:clientData/>
  </xdr:twoCellAnchor>
  <xdr:twoCellAnchor editAs="oneCell">
    <xdr:from>
      <xdr:col>7</xdr:col>
      <xdr:colOff>314325</xdr:colOff>
      <xdr:row>925</xdr:row>
      <xdr:rowOff>142875</xdr:rowOff>
    </xdr:from>
    <xdr:to>
      <xdr:col>8</xdr:col>
      <xdr:colOff>391967</xdr:colOff>
      <xdr:row>927</xdr:row>
      <xdr:rowOff>49844</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221046675"/>
          <a:ext cx="658667" cy="535619"/>
        </a:xfrm>
        <a:prstGeom prst="rect">
          <a:avLst/>
        </a:prstGeom>
      </xdr:spPr>
    </xdr:pic>
    <xdr:clientData/>
  </xdr:twoCellAnchor>
  <xdr:twoCellAnchor editAs="oneCell">
    <xdr:from>
      <xdr:col>7</xdr:col>
      <xdr:colOff>314325</xdr:colOff>
      <xdr:row>993</xdr:row>
      <xdr:rowOff>152400</xdr:rowOff>
    </xdr:from>
    <xdr:to>
      <xdr:col>8</xdr:col>
      <xdr:colOff>391967</xdr:colOff>
      <xdr:row>995</xdr:row>
      <xdr:rowOff>59369</xdr:rowOff>
    </xdr:to>
    <xdr:pic>
      <xdr:nvPicPr>
        <xdr:cNvPr id="31" name="Picture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237305850"/>
          <a:ext cx="658667" cy="535619"/>
        </a:xfrm>
        <a:prstGeom prst="rect">
          <a:avLst/>
        </a:prstGeom>
      </xdr:spPr>
    </xdr:pic>
    <xdr:clientData/>
  </xdr:twoCellAnchor>
  <xdr:twoCellAnchor editAs="oneCell">
    <xdr:from>
      <xdr:col>7</xdr:col>
      <xdr:colOff>314325</xdr:colOff>
      <xdr:row>959</xdr:row>
      <xdr:rowOff>114300</xdr:rowOff>
    </xdr:from>
    <xdr:to>
      <xdr:col>8</xdr:col>
      <xdr:colOff>391967</xdr:colOff>
      <xdr:row>961</xdr:row>
      <xdr:rowOff>21269</xdr:rowOff>
    </xdr:to>
    <xdr:pic>
      <xdr:nvPicPr>
        <xdr:cNvPr id="32" name="Picture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229142925"/>
          <a:ext cx="658667" cy="535619"/>
        </a:xfrm>
        <a:prstGeom prst="rect">
          <a:avLst/>
        </a:prstGeom>
      </xdr:spPr>
    </xdr:pic>
    <xdr:clientData/>
  </xdr:twoCellAnchor>
  <xdr:twoCellAnchor editAs="oneCell">
    <xdr:from>
      <xdr:col>7</xdr:col>
      <xdr:colOff>314325</xdr:colOff>
      <xdr:row>1027</xdr:row>
      <xdr:rowOff>123825</xdr:rowOff>
    </xdr:from>
    <xdr:to>
      <xdr:col>8</xdr:col>
      <xdr:colOff>391967</xdr:colOff>
      <xdr:row>1029</xdr:row>
      <xdr:rowOff>30794</xdr:rowOff>
    </xdr:to>
    <xdr:pic>
      <xdr:nvPicPr>
        <xdr:cNvPr id="33" name="Picture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245402100"/>
          <a:ext cx="658667" cy="535619"/>
        </a:xfrm>
        <a:prstGeom prst="rect">
          <a:avLst/>
        </a:prstGeom>
      </xdr:spPr>
    </xdr:pic>
    <xdr:clientData/>
  </xdr:twoCellAnchor>
  <xdr:twoCellAnchor editAs="oneCell">
    <xdr:from>
      <xdr:col>7</xdr:col>
      <xdr:colOff>333375</xdr:colOff>
      <xdr:row>1061</xdr:row>
      <xdr:rowOff>171450</xdr:rowOff>
    </xdr:from>
    <xdr:to>
      <xdr:col>8</xdr:col>
      <xdr:colOff>411017</xdr:colOff>
      <xdr:row>1063</xdr:row>
      <xdr:rowOff>78419</xdr:rowOff>
    </xdr:to>
    <xdr:pic>
      <xdr:nvPicPr>
        <xdr:cNvPr id="34" name="Picture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253574550"/>
          <a:ext cx="658667" cy="535619"/>
        </a:xfrm>
        <a:prstGeom prst="rect">
          <a:avLst/>
        </a:prstGeom>
      </xdr:spPr>
    </xdr:pic>
    <xdr:clientData/>
  </xdr:twoCellAnchor>
  <xdr:twoCellAnchor editAs="oneCell">
    <xdr:from>
      <xdr:col>7</xdr:col>
      <xdr:colOff>304800</xdr:colOff>
      <xdr:row>1095</xdr:row>
      <xdr:rowOff>28575</xdr:rowOff>
    </xdr:from>
    <xdr:to>
      <xdr:col>8</xdr:col>
      <xdr:colOff>382442</xdr:colOff>
      <xdr:row>1096</xdr:row>
      <xdr:rowOff>240344</xdr:rowOff>
    </xdr:to>
    <xdr:pic>
      <xdr:nvPicPr>
        <xdr:cNvPr id="35" name="Pictur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261556500"/>
          <a:ext cx="658667" cy="535619"/>
        </a:xfrm>
        <a:prstGeom prst="rect">
          <a:avLst/>
        </a:prstGeom>
      </xdr:spPr>
    </xdr:pic>
    <xdr:clientData/>
  </xdr:twoCellAnchor>
  <xdr:twoCellAnchor editAs="oneCell">
    <xdr:from>
      <xdr:col>7</xdr:col>
      <xdr:colOff>304800</xdr:colOff>
      <xdr:row>1129</xdr:row>
      <xdr:rowOff>28575</xdr:rowOff>
    </xdr:from>
    <xdr:to>
      <xdr:col>8</xdr:col>
      <xdr:colOff>382442</xdr:colOff>
      <xdr:row>1130</xdr:row>
      <xdr:rowOff>240344</xdr:rowOff>
    </xdr:to>
    <xdr:pic>
      <xdr:nvPicPr>
        <xdr:cNvPr id="36" name="Picture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269681325"/>
          <a:ext cx="658667" cy="535619"/>
        </a:xfrm>
        <a:prstGeom prst="rect">
          <a:avLst/>
        </a:prstGeom>
      </xdr:spPr>
    </xdr:pic>
    <xdr:clientData/>
  </xdr:twoCellAnchor>
  <xdr:twoCellAnchor editAs="oneCell">
    <xdr:from>
      <xdr:col>7</xdr:col>
      <xdr:colOff>304800</xdr:colOff>
      <xdr:row>1163</xdr:row>
      <xdr:rowOff>38100</xdr:rowOff>
    </xdr:from>
    <xdr:to>
      <xdr:col>8</xdr:col>
      <xdr:colOff>382442</xdr:colOff>
      <xdr:row>1164</xdr:row>
      <xdr:rowOff>249869</xdr:rowOff>
    </xdr:to>
    <xdr:pic>
      <xdr:nvPicPr>
        <xdr:cNvPr id="37" name="Pictur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277815675"/>
          <a:ext cx="658667" cy="535619"/>
        </a:xfrm>
        <a:prstGeom prst="rect">
          <a:avLst/>
        </a:prstGeom>
      </xdr:spPr>
    </xdr:pic>
    <xdr:clientData/>
  </xdr:twoCellAnchor>
  <xdr:twoCellAnchor editAs="oneCell">
    <xdr:from>
      <xdr:col>7</xdr:col>
      <xdr:colOff>323850</xdr:colOff>
      <xdr:row>1197</xdr:row>
      <xdr:rowOff>85725</xdr:rowOff>
    </xdr:from>
    <xdr:to>
      <xdr:col>8</xdr:col>
      <xdr:colOff>401492</xdr:colOff>
      <xdr:row>1198</xdr:row>
      <xdr:rowOff>297494</xdr:rowOff>
    </xdr:to>
    <xdr:pic>
      <xdr:nvPicPr>
        <xdr:cNvPr id="38" name="Picture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285988125"/>
          <a:ext cx="658667" cy="535619"/>
        </a:xfrm>
        <a:prstGeom prst="rect">
          <a:avLst/>
        </a:prstGeom>
      </xdr:spPr>
    </xdr:pic>
    <xdr:clientData/>
  </xdr:twoCellAnchor>
  <xdr:twoCellAnchor editAs="oneCell">
    <xdr:from>
      <xdr:col>7</xdr:col>
      <xdr:colOff>323850</xdr:colOff>
      <xdr:row>1265</xdr:row>
      <xdr:rowOff>95250</xdr:rowOff>
    </xdr:from>
    <xdr:to>
      <xdr:col>8</xdr:col>
      <xdr:colOff>401492</xdr:colOff>
      <xdr:row>1267</xdr:row>
      <xdr:rowOff>2219</xdr:rowOff>
    </xdr:to>
    <xdr:pic>
      <xdr:nvPicPr>
        <xdr:cNvPr id="39" name="Picture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302247300"/>
          <a:ext cx="658667" cy="535619"/>
        </a:xfrm>
        <a:prstGeom prst="rect">
          <a:avLst/>
        </a:prstGeom>
      </xdr:spPr>
    </xdr:pic>
    <xdr:clientData/>
  </xdr:twoCellAnchor>
  <xdr:twoCellAnchor editAs="oneCell">
    <xdr:from>
      <xdr:col>7</xdr:col>
      <xdr:colOff>323850</xdr:colOff>
      <xdr:row>1231</xdr:row>
      <xdr:rowOff>57150</xdr:rowOff>
    </xdr:from>
    <xdr:to>
      <xdr:col>8</xdr:col>
      <xdr:colOff>401492</xdr:colOff>
      <xdr:row>1232</xdr:row>
      <xdr:rowOff>268919</xdr:rowOff>
    </xdr:to>
    <xdr:pic>
      <xdr:nvPicPr>
        <xdr:cNvPr id="40" name="Picture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294084375"/>
          <a:ext cx="658667" cy="535619"/>
        </a:xfrm>
        <a:prstGeom prst="rect">
          <a:avLst/>
        </a:prstGeom>
      </xdr:spPr>
    </xdr:pic>
    <xdr:clientData/>
  </xdr:twoCellAnchor>
  <xdr:twoCellAnchor editAs="oneCell">
    <xdr:from>
      <xdr:col>7</xdr:col>
      <xdr:colOff>323850</xdr:colOff>
      <xdr:row>1299</xdr:row>
      <xdr:rowOff>66675</xdr:rowOff>
    </xdr:from>
    <xdr:to>
      <xdr:col>8</xdr:col>
      <xdr:colOff>401492</xdr:colOff>
      <xdr:row>1300</xdr:row>
      <xdr:rowOff>278444</xdr:rowOff>
    </xdr:to>
    <xdr:pic>
      <xdr:nvPicPr>
        <xdr:cNvPr id="41" name="Picture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310343550"/>
          <a:ext cx="658667" cy="535619"/>
        </a:xfrm>
        <a:prstGeom prst="rect">
          <a:avLst/>
        </a:prstGeom>
      </xdr:spPr>
    </xdr:pic>
    <xdr:clientData/>
  </xdr:twoCellAnchor>
  <xdr:twoCellAnchor editAs="oneCell">
    <xdr:from>
      <xdr:col>7</xdr:col>
      <xdr:colOff>342900</xdr:colOff>
      <xdr:row>1333</xdr:row>
      <xdr:rowOff>114300</xdr:rowOff>
    </xdr:from>
    <xdr:to>
      <xdr:col>8</xdr:col>
      <xdr:colOff>420542</xdr:colOff>
      <xdr:row>1335</xdr:row>
      <xdr:rowOff>21269</xdr:rowOff>
    </xdr:to>
    <xdr:pic>
      <xdr:nvPicPr>
        <xdr:cNvPr id="42" name="Picture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318516000"/>
          <a:ext cx="658667" cy="535619"/>
        </a:xfrm>
        <a:prstGeom prst="rect">
          <a:avLst/>
        </a:prstGeom>
      </xdr:spPr>
    </xdr:pic>
    <xdr:clientData/>
  </xdr:twoCellAnchor>
  <xdr:twoCellAnchor editAs="oneCell">
    <xdr:from>
      <xdr:col>7</xdr:col>
      <xdr:colOff>314325</xdr:colOff>
      <xdr:row>1367</xdr:row>
      <xdr:rowOff>66675</xdr:rowOff>
    </xdr:from>
    <xdr:to>
      <xdr:col>8</xdr:col>
      <xdr:colOff>391967</xdr:colOff>
      <xdr:row>1368</xdr:row>
      <xdr:rowOff>278444</xdr:rowOff>
    </xdr:to>
    <xdr:pic>
      <xdr:nvPicPr>
        <xdr:cNvPr id="43" name="Picture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326593200"/>
          <a:ext cx="658667" cy="535619"/>
        </a:xfrm>
        <a:prstGeom prst="rect">
          <a:avLst/>
        </a:prstGeom>
      </xdr:spPr>
    </xdr:pic>
    <xdr:clientData/>
  </xdr:twoCellAnchor>
  <xdr:twoCellAnchor editAs="oneCell">
    <xdr:from>
      <xdr:col>7</xdr:col>
      <xdr:colOff>314325</xdr:colOff>
      <xdr:row>1401</xdr:row>
      <xdr:rowOff>66675</xdr:rowOff>
    </xdr:from>
    <xdr:to>
      <xdr:col>8</xdr:col>
      <xdr:colOff>391967</xdr:colOff>
      <xdr:row>1402</xdr:row>
      <xdr:rowOff>278444</xdr:rowOff>
    </xdr:to>
    <xdr:pic>
      <xdr:nvPicPr>
        <xdr:cNvPr id="44" name="Picture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334718025"/>
          <a:ext cx="658667" cy="535619"/>
        </a:xfrm>
        <a:prstGeom prst="rect">
          <a:avLst/>
        </a:prstGeom>
      </xdr:spPr>
    </xdr:pic>
    <xdr:clientData/>
  </xdr:twoCellAnchor>
  <xdr:twoCellAnchor editAs="oneCell">
    <xdr:from>
      <xdr:col>7</xdr:col>
      <xdr:colOff>314325</xdr:colOff>
      <xdr:row>1435</xdr:row>
      <xdr:rowOff>76200</xdr:rowOff>
    </xdr:from>
    <xdr:to>
      <xdr:col>8</xdr:col>
      <xdr:colOff>391967</xdr:colOff>
      <xdr:row>1436</xdr:row>
      <xdr:rowOff>287969</xdr:rowOff>
    </xdr:to>
    <xdr:pic>
      <xdr:nvPicPr>
        <xdr:cNvPr id="45" name="Picture 4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342852375"/>
          <a:ext cx="658667" cy="535619"/>
        </a:xfrm>
        <a:prstGeom prst="rect">
          <a:avLst/>
        </a:prstGeom>
      </xdr:spPr>
    </xdr:pic>
    <xdr:clientData/>
  </xdr:twoCellAnchor>
  <xdr:twoCellAnchor editAs="oneCell">
    <xdr:from>
      <xdr:col>7</xdr:col>
      <xdr:colOff>333375</xdr:colOff>
      <xdr:row>1469</xdr:row>
      <xdr:rowOff>123825</xdr:rowOff>
    </xdr:from>
    <xdr:to>
      <xdr:col>8</xdr:col>
      <xdr:colOff>411017</xdr:colOff>
      <xdr:row>1471</xdr:row>
      <xdr:rowOff>30794</xdr:rowOff>
    </xdr:to>
    <xdr:pic>
      <xdr:nvPicPr>
        <xdr:cNvPr id="46" name="Picture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351024825"/>
          <a:ext cx="658667" cy="535619"/>
        </a:xfrm>
        <a:prstGeom prst="rect">
          <a:avLst/>
        </a:prstGeom>
      </xdr:spPr>
    </xdr:pic>
    <xdr:clientData/>
  </xdr:twoCellAnchor>
  <xdr:twoCellAnchor editAs="oneCell">
    <xdr:from>
      <xdr:col>7</xdr:col>
      <xdr:colOff>333375</xdr:colOff>
      <xdr:row>1537</xdr:row>
      <xdr:rowOff>133350</xdr:rowOff>
    </xdr:from>
    <xdr:to>
      <xdr:col>8</xdr:col>
      <xdr:colOff>411017</xdr:colOff>
      <xdr:row>1539</xdr:row>
      <xdr:rowOff>40319</xdr:rowOff>
    </xdr:to>
    <xdr:pic>
      <xdr:nvPicPr>
        <xdr:cNvPr id="47" name="Picture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367284000"/>
          <a:ext cx="658667" cy="535619"/>
        </a:xfrm>
        <a:prstGeom prst="rect">
          <a:avLst/>
        </a:prstGeom>
      </xdr:spPr>
    </xdr:pic>
    <xdr:clientData/>
  </xdr:twoCellAnchor>
  <xdr:twoCellAnchor editAs="oneCell">
    <xdr:from>
      <xdr:col>7</xdr:col>
      <xdr:colOff>333375</xdr:colOff>
      <xdr:row>1503</xdr:row>
      <xdr:rowOff>95250</xdr:rowOff>
    </xdr:from>
    <xdr:to>
      <xdr:col>8</xdr:col>
      <xdr:colOff>411017</xdr:colOff>
      <xdr:row>1505</xdr:row>
      <xdr:rowOff>2219</xdr:rowOff>
    </xdr:to>
    <xdr:pic>
      <xdr:nvPicPr>
        <xdr:cNvPr id="48" name="Picture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359121075"/>
          <a:ext cx="658667" cy="535619"/>
        </a:xfrm>
        <a:prstGeom prst="rect">
          <a:avLst/>
        </a:prstGeom>
      </xdr:spPr>
    </xdr:pic>
    <xdr:clientData/>
  </xdr:twoCellAnchor>
  <xdr:twoCellAnchor editAs="oneCell">
    <xdr:from>
      <xdr:col>7</xdr:col>
      <xdr:colOff>333375</xdr:colOff>
      <xdr:row>1571</xdr:row>
      <xdr:rowOff>104775</xdr:rowOff>
    </xdr:from>
    <xdr:to>
      <xdr:col>8</xdr:col>
      <xdr:colOff>411017</xdr:colOff>
      <xdr:row>1573</xdr:row>
      <xdr:rowOff>11744</xdr:rowOff>
    </xdr:to>
    <xdr:pic>
      <xdr:nvPicPr>
        <xdr:cNvPr id="49" name="Picture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375380250"/>
          <a:ext cx="658667" cy="535619"/>
        </a:xfrm>
        <a:prstGeom prst="rect">
          <a:avLst/>
        </a:prstGeom>
      </xdr:spPr>
    </xdr:pic>
    <xdr:clientData/>
  </xdr:twoCellAnchor>
  <xdr:twoCellAnchor editAs="oneCell">
    <xdr:from>
      <xdr:col>7</xdr:col>
      <xdr:colOff>352425</xdr:colOff>
      <xdr:row>1605</xdr:row>
      <xdr:rowOff>152400</xdr:rowOff>
    </xdr:from>
    <xdr:to>
      <xdr:col>8</xdr:col>
      <xdr:colOff>430067</xdr:colOff>
      <xdr:row>1607</xdr:row>
      <xdr:rowOff>59369</xdr:rowOff>
    </xdr:to>
    <xdr:pic>
      <xdr:nvPicPr>
        <xdr:cNvPr id="50" name="Picture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383552700"/>
          <a:ext cx="658667" cy="535619"/>
        </a:xfrm>
        <a:prstGeom prst="rect">
          <a:avLst/>
        </a:prstGeom>
      </xdr:spPr>
    </xdr:pic>
    <xdr:clientData/>
  </xdr:twoCellAnchor>
  <xdr:twoCellAnchor editAs="oneCell">
    <xdr:from>
      <xdr:col>7</xdr:col>
      <xdr:colOff>333375</xdr:colOff>
      <xdr:row>1639</xdr:row>
      <xdr:rowOff>76200</xdr:rowOff>
    </xdr:from>
    <xdr:to>
      <xdr:col>8</xdr:col>
      <xdr:colOff>411017</xdr:colOff>
      <xdr:row>1640</xdr:row>
      <xdr:rowOff>287969</xdr:rowOff>
    </xdr:to>
    <xdr:pic>
      <xdr:nvPicPr>
        <xdr:cNvPr id="51" name="Picture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391601325"/>
          <a:ext cx="658667" cy="535619"/>
        </a:xfrm>
        <a:prstGeom prst="rect">
          <a:avLst/>
        </a:prstGeom>
      </xdr:spPr>
    </xdr:pic>
    <xdr:clientData/>
  </xdr:twoCellAnchor>
  <xdr:twoCellAnchor editAs="oneCell">
    <xdr:from>
      <xdr:col>7</xdr:col>
      <xdr:colOff>333375</xdr:colOff>
      <xdr:row>1673</xdr:row>
      <xdr:rowOff>76200</xdr:rowOff>
    </xdr:from>
    <xdr:to>
      <xdr:col>8</xdr:col>
      <xdr:colOff>411017</xdr:colOff>
      <xdr:row>1674</xdr:row>
      <xdr:rowOff>287969</xdr:rowOff>
    </xdr:to>
    <xdr:pic>
      <xdr:nvPicPr>
        <xdr:cNvPr id="52" name="Picture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399726150"/>
          <a:ext cx="658667" cy="535619"/>
        </a:xfrm>
        <a:prstGeom prst="rect">
          <a:avLst/>
        </a:prstGeom>
      </xdr:spPr>
    </xdr:pic>
    <xdr:clientData/>
  </xdr:twoCellAnchor>
  <xdr:twoCellAnchor editAs="oneCell">
    <xdr:from>
      <xdr:col>7</xdr:col>
      <xdr:colOff>333375</xdr:colOff>
      <xdr:row>1707</xdr:row>
      <xdr:rowOff>85725</xdr:rowOff>
    </xdr:from>
    <xdr:to>
      <xdr:col>8</xdr:col>
      <xdr:colOff>411017</xdr:colOff>
      <xdr:row>1708</xdr:row>
      <xdr:rowOff>297494</xdr:rowOff>
    </xdr:to>
    <xdr:pic>
      <xdr:nvPicPr>
        <xdr:cNvPr id="53" name="Picture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407860500"/>
          <a:ext cx="658667" cy="535619"/>
        </a:xfrm>
        <a:prstGeom prst="rect">
          <a:avLst/>
        </a:prstGeom>
      </xdr:spPr>
    </xdr:pic>
    <xdr:clientData/>
  </xdr:twoCellAnchor>
  <xdr:twoCellAnchor editAs="oneCell">
    <xdr:from>
      <xdr:col>7</xdr:col>
      <xdr:colOff>352425</xdr:colOff>
      <xdr:row>1741</xdr:row>
      <xdr:rowOff>133350</xdr:rowOff>
    </xdr:from>
    <xdr:to>
      <xdr:col>8</xdr:col>
      <xdr:colOff>430067</xdr:colOff>
      <xdr:row>1743</xdr:row>
      <xdr:rowOff>40319</xdr:rowOff>
    </xdr:to>
    <xdr:pic>
      <xdr:nvPicPr>
        <xdr:cNvPr id="54" name="Picture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416032950"/>
          <a:ext cx="658667" cy="535619"/>
        </a:xfrm>
        <a:prstGeom prst="rect">
          <a:avLst/>
        </a:prstGeom>
      </xdr:spPr>
    </xdr:pic>
    <xdr:clientData/>
  </xdr:twoCellAnchor>
  <xdr:twoCellAnchor editAs="oneCell">
    <xdr:from>
      <xdr:col>7</xdr:col>
      <xdr:colOff>352425</xdr:colOff>
      <xdr:row>1809</xdr:row>
      <xdr:rowOff>142875</xdr:rowOff>
    </xdr:from>
    <xdr:to>
      <xdr:col>8</xdr:col>
      <xdr:colOff>430067</xdr:colOff>
      <xdr:row>1811</xdr:row>
      <xdr:rowOff>49844</xdr:rowOff>
    </xdr:to>
    <xdr:pic>
      <xdr:nvPicPr>
        <xdr:cNvPr id="55" name="Picture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432292125"/>
          <a:ext cx="658667" cy="535619"/>
        </a:xfrm>
        <a:prstGeom prst="rect">
          <a:avLst/>
        </a:prstGeom>
      </xdr:spPr>
    </xdr:pic>
    <xdr:clientData/>
  </xdr:twoCellAnchor>
  <xdr:twoCellAnchor editAs="oneCell">
    <xdr:from>
      <xdr:col>7</xdr:col>
      <xdr:colOff>352425</xdr:colOff>
      <xdr:row>1775</xdr:row>
      <xdr:rowOff>104775</xdr:rowOff>
    </xdr:from>
    <xdr:to>
      <xdr:col>8</xdr:col>
      <xdr:colOff>430067</xdr:colOff>
      <xdr:row>1777</xdr:row>
      <xdr:rowOff>11744</xdr:rowOff>
    </xdr:to>
    <xdr:pic>
      <xdr:nvPicPr>
        <xdr:cNvPr id="56" name="Picture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424129200"/>
          <a:ext cx="658667" cy="535619"/>
        </a:xfrm>
        <a:prstGeom prst="rect">
          <a:avLst/>
        </a:prstGeom>
      </xdr:spPr>
    </xdr:pic>
    <xdr:clientData/>
  </xdr:twoCellAnchor>
  <xdr:twoCellAnchor editAs="oneCell">
    <xdr:from>
      <xdr:col>7</xdr:col>
      <xdr:colOff>352425</xdr:colOff>
      <xdr:row>1843</xdr:row>
      <xdr:rowOff>114300</xdr:rowOff>
    </xdr:from>
    <xdr:to>
      <xdr:col>8</xdr:col>
      <xdr:colOff>430067</xdr:colOff>
      <xdr:row>1845</xdr:row>
      <xdr:rowOff>21269</xdr:rowOff>
    </xdr:to>
    <xdr:pic>
      <xdr:nvPicPr>
        <xdr:cNvPr id="57" name="Picture 56">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440388375"/>
          <a:ext cx="658667" cy="535619"/>
        </a:xfrm>
        <a:prstGeom prst="rect">
          <a:avLst/>
        </a:prstGeom>
      </xdr:spPr>
    </xdr:pic>
    <xdr:clientData/>
  </xdr:twoCellAnchor>
  <xdr:twoCellAnchor editAs="oneCell">
    <xdr:from>
      <xdr:col>7</xdr:col>
      <xdr:colOff>371475</xdr:colOff>
      <xdr:row>1877</xdr:row>
      <xdr:rowOff>161925</xdr:rowOff>
    </xdr:from>
    <xdr:to>
      <xdr:col>8</xdr:col>
      <xdr:colOff>449117</xdr:colOff>
      <xdr:row>1879</xdr:row>
      <xdr:rowOff>68894</xdr:rowOff>
    </xdr:to>
    <xdr:pic>
      <xdr:nvPicPr>
        <xdr:cNvPr id="58" name="Picture 57">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9625" y="448560825"/>
          <a:ext cx="658667" cy="535619"/>
        </a:xfrm>
        <a:prstGeom prst="rect">
          <a:avLst/>
        </a:prstGeom>
      </xdr:spPr>
    </xdr:pic>
    <xdr:clientData/>
  </xdr:twoCellAnchor>
  <xdr:twoCellAnchor editAs="oneCell">
    <xdr:from>
      <xdr:col>7</xdr:col>
      <xdr:colOff>342900</xdr:colOff>
      <xdr:row>1911</xdr:row>
      <xdr:rowOff>114300</xdr:rowOff>
    </xdr:from>
    <xdr:to>
      <xdr:col>8</xdr:col>
      <xdr:colOff>420542</xdr:colOff>
      <xdr:row>1913</xdr:row>
      <xdr:rowOff>21269</xdr:rowOff>
    </xdr:to>
    <xdr:pic>
      <xdr:nvPicPr>
        <xdr:cNvPr id="59" name="Picture 58">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456638025"/>
          <a:ext cx="658667" cy="535619"/>
        </a:xfrm>
        <a:prstGeom prst="rect">
          <a:avLst/>
        </a:prstGeom>
      </xdr:spPr>
    </xdr:pic>
    <xdr:clientData/>
  </xdr:twoCellAnchor>
  <xdr:twoCellAnchor editAs="oneCell">
    <xdr:from>
      <xdr:col>7</xdr:col>
      <xdr:colOff>342900</xdr:colOff>
      <xdr:row>1945</xdr:row>
      <xdr:rowOff>114300</xdr:rowOff>
    </xdr:from>
    <xdr:to>
      <xdr:col>8</xdr:col>
      <xdr:colOff>420542</xdr:colOff>
      <xdr:row>1947</xdr:row>
      <xdr:rowOff>21269</xdr:rowOff>
    </xdr:to>
    <xdr:pic>
      <xdr:nvPicPr>
        <xdr:cNvPr id="60" name="Picture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464762850"/>
          <a:ext cx="658667" cy="535619"/>
        </a:xfrm>
        <a:prstGeom prst="rect">
          <a:avLst/>
        </a:prstGeom>
      </xdr:spPr>
    </xdr:pic>
    <xdr:clientData/>
  </xdr:twoCellAnchor>
  <xdr:twoCellAnchor editAs="oneCell">
    <xdr:from>
      <xdr:col>7</xdr:col>
      <xdr:colOff>342900</xdr:colOff>
      <xdr:row>1979</xdr:row>
      <xdr:rowOff>123825</xdr:rowOff>
    </xdr:from>
    <xdr:to>
      <xdr:col>8</xdr:col>
      <xdr:colOff>420542</xdr:colOff>
      <xdr:row>1981</xdr:row>
      <xdr:rowOff>30794</xdr:rowOff>
    </xdr:to>
    <xdr:pic>
      <xdr:nvPicPr>
        <xdr:cNvPr id="61" name="Picture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472897200"/>
          <a:ext cx="658667" cy="535619"/>
        </a:xfrm>
        <a:prstGeom prst="rect">
          <a:avLst/>
        </a:prstGeom>
      </xdr:spPr>
    </xdr:pic>
    <xdr:clientData/>
  </xdr:twoCellAnchor>
  <xdr:twoCellAnchor editAs="oneCell">
    <xdr:from>
      <xdr:col>7</xdr:col>
      <xdr:colOff>361950</xdr:colOff>
      <xdr:row>2013</xdr:row>
      <xdr:rowOff>171450</xdr:rowOff>
    </xdr:from>
    <xdr:to>
      <xdr:col>8</xdr:col>
      <xdr:colOff>439592</xdr:colOff>
      <xdr:row>2015</xdr:row>
      <xdr:rowOff>78419</xdr:rowOff>
    </xdr:to>
    <xdr:pic>
      <xdr:nvPicPr>
        <xdr:cNvPr id="62" name="Picture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481069650"/>
          <a:ext cx="658667" cy="535619"/>
        </a:xfrm>
        <a:prstGeom prst="rect">
          <a:avLst/>
        </a:prstGeom>
      </xdr:spPr>
    </xdr:pic>
    <xdr:clientData/>
  </xdr:twoCellAnchor>
  <xdr:twoCellAnchor editAs="oneCell">
    <xdr:from>
      <xdr:col>7</xdr:col>
      <xdr:colOff>361950</xdr:colOff>
      <xdr:row>2081</xdr:row>
      <xdr:rowOff>180975</xdr:rowOff>
    </xdr:from>
    <xdr:to>
      <xdr:col>8</xdr:col>
      <xdr:colOff>439592</xdr:colOff>
      <xdr:row>2083</xdr:row>
      <xdr:rowOff>87944</xdr:rowOff>
    </xdr:to>
    <xdr:pic>
      <xdr:nvPicPr>
        <xdr:cNvPr id="63" name="Picture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497328825"/>
          <a:ext cx="658667" cy="535619"/>
        </a:xfrm>
        <a:prstGeom prst="rect">
          <a:avLst/>
        </a:prstGeom>
      </xdr:spPr>
    </xdr:pic>
    <xdr:clientData/>
  </xdr:twoCellAnchor>
  <xdr:twoCellAnchor editAs="oneCell">
    <xdr:from>
      <xdr:col>7</xdr:col>
      <xdr:colOff>361950</xdr:colOff>
      <xdr:row>2047</xdr:row>
      <xdr:rowOff>142875</xdr:rowOff>
    </xdr:from>
    <xdr:to>
      <xdr:col>8</xdr:col>
      <xdr:colOff>439592</xdr:colOff>
      <xdr:row>2049</xdr:row>
      <xdr:rowOff>49844</xdr:rowOff>
    </xdr:to>
    <xdr:pic>
      <xdr:nvPicPr>
        <xdr:cNvPr id="64" name="Picture 63">
          <a:extLst>
            <a:ext uri="{FF2B5EF4-FFF2-40B4-BE49-F238E27FC236}">
              <a16:creationId xmlns:a16="http://schemas.microsoft.com/office/drawing/2014/main" id="{00000000-0008-0000-02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489165900"/>
          <a:ext cx="658667" cy="535619"/>
        </a:xfrm>
        <a:prstGeom prst="rect">
          <a:avLst/>
        </a:prstGeom>
      </xdr:spPr>
    </xdr:pic>
    <xdr:clientData/>
  </xdr:twoCellAnchor>
  <xdr:twoCellAnchor editAs="oneCell">
    <xdr:from>
      <xdr:col>7</xdr:col>
      <xdr:colOff>361950</xdr:colOff>
      <xdr:row>2115</xdr:row>
      <xdr:rowOff>152400</xdr:rowOff>
    </xdr:from>
    <xdr:to>
      <xdr:col>8</xdr:col>
      <xdr:colOff>439592</xdr:colOff>
      <xdr:row>2117</xdr:row>
      <xdr:rowOff>59369</xdr:rowOff>
    </xdr:to>
    <xdr:pic>
      <xdr:nvPicPr>
        <xdr:cNvPr id="65" name="Picture 64">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505425075"/>
          <a:ext cx="658667" cy="535619"/>
        </a:xfrm>
        <a:prstGeom prst="rect">
          <a:avLst/>
        </a:prstGeom>
      </xdr:spPr>
    </xdr:pic>
    <xdr:clientData/>
  </xdr:twoCellAnchor>
  <xdr:twoCellAnchor editAs="oneCell">
    <xdr:from>
      <xdr:col>7</xdr:col>
      <xdr:colOff>381000</xdr:colOff>
      <xdr:row>2149</xdr:row>
      <xdr:rowOff>200025</xdr:rowOff>
    </xdr:from>
    <xdr:to>
      <xdr:col>8</xdr:col>
      <xdr:colOff>458642</xdr:colOff>
      <xdr:row>2151</xdr:row>
      <xdr:rowOff>106994</xdr:rowOff>
    </xdr:to>
    <xdr:pic>
      <xdr:nvPicPr>
        <xdr:cNvPr id="66" name="Picture 65">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9150" y="513597525"/>
          <a:ext cx="658667" cy="535619"/>
        </a:xfrm>
        <a:prstGeom prst="rect">
          <a:avLst/>
        </a:prstGeom>
      </xdr:spPr>
    </xdr:pic>
    <xdr:clientData/>
  </xdr:twoCellAnchor>
  <xdr:twoCellAnchor editAs="oneCell">
    <xdr:from>
      <xdr:col>7</xdr:col>
      <xdr:colOff>276225</xdr:colOff>
      <xdr:row>2183</xdr:row>
      <xdr:rowOff>19050</xdr:rowOff>
    </xdr:from>
    <xdr:to>
      <xdr:col>8</xdr:col>
      <xdr:colOff>353867</xdr:colOff>
      <xdr:row>2184</xdr:row>
      <xdr:rowOff>230819</xdr:rowOff>
    </xdr:to>
    <xdr:pic>
      <xdr:nvPicPr>
        <xdr:cNvPr id="67" name="Picture 66">
          <a:extLst>
            <a:ext uri="{FF2B5EF4-FFF2-40B4-BE49-F238E27FC236}">
              <a16:creationId xmlns:a16="http://schemas.microsoft.com/office/drawing/2014/main" id="{00000000-0008-0000-02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521541375"/>
          <a:ext cx="658667" cy="535619"/>
        </a:xfrm>
        <a:prstGeom prst="rect">
          <a:avLst/>
        </a:prstGeom>
      </xdr:spPr>
    </xdr:pic>
    <xdr:clientData/>
  </xdr:twoCellAnchor>
  <xdr:twoCellAnchor editAs="oneCell">
    <xdr:from>
      <xdr:col>7</xdr:col>
      <xdr:colOff>276225</xdr:colOff>
      <xdr:row>2217</xdr:row>
      <xdr:rowOff>19050</xdr:rowOff>
    </xdr:from>
    <xdr:to>
      <xdr:col>8</xdr:col>
      <xdr:colOff>353867</xdr:colOff>
      <xdr:row>2218</xdr:row>
      <xdr:rowOff>230819</xdr:rowOff>
    </xdr:to>
    <xdr:pic>
      <xdr:nvPicPr>
        <xdr:cNvPr id="68" name="Picture 67">
          <a:extLst>
            <a:ext uri="{FF2B5EF4-FFF2-40B4-BE49-F238E27FC236}">
              <a16:creationId xmlns:a16="http://schemas.microsoft.com/office/drawing/2014/main" id="{00000000-0008-0000-02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529666200"/>
          <a:ext cx="658667" cy="535619"/>
        </a:xfrm>
        <a:prstGeom prst="rect">
          <a:avLst/>
        </a:prstGeom>
      </xdr:spPr>
    </xdr:pic>
    <xdr:clientData/>
  </xdr:twoCellAnchor>
  <xdr:twoCellAnchor editAs="oneCell">
    <xdr:from>
      <xdr:col>7</xdr:col>
      <xdr:colOff>276225</xdr:colOff>
      <xdr:row>2251</xdr:row>
      <xdr:rowOff>28575</xdr:rowOff>
    </xdr:from>
    <xdr:to>
      <xdr:col>8</xdr:col>
      <xdr:colOff>353867</xdr:colOff>
      <xdr:row>2252</xdr:row>
      <xdr:rowOff>240344</xdr:rowOff>
    </xdr:to>
    <xdr:pic>
      <xdr:nvPicPr>
        <xdr:cNvPr id="69" name="Picture 68">
          <a:extLst>
            <a:ext uri="{FF2B5EF4-FFF2-40B4-BE49-F238E27FC236}">
              <a16:creationId xmlns:a16="http://schemas.microsoft.com/office/drawing/2014/main" id="{00000000-0008-0000-02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537800550"/>
          <a:ext cx="658667" cy="535619"/>
        </a:xfrm>
        <a:prstGeom prst="rect">
          <a:avLst/>
        </a:prstGeom>
      </xdr:spPr>
    </xdr:pic>
    <xdr:clientData/>
  </xdr:twoCellAnchor>
  <xdr:twoCellAnchor editAs="oneCell">
    <xdr:from>
      <xdr:col>7</xdr:col>
      <xdr:colOff>295275</xdr:colOff>
      <xdr:row>2285</xdr:row>
      <xdr:rowOff>76200</xdr:rowOff>
    </xdr:from>
    <xdr:to>
      <xdr:col>8</xdr:col>
      <xdr:colOff>372917</xdr:colOff>
      <xdr:row>2286</xdr:row>
      <xdr:rowOff>287969</xdr:rowOff>
    </xdr:to>
    <xdr:pic>
      <xdr:nvPicPr>
        <xdr:cNvPr id="70" name="Picture 69">
          <a:extLst>
            <a:ext uri="{FF2B5EF4-FFF2-40B4-BE49-F238E27FC236}">
              <a16:creationId xmlns:a16="http://schemas.microsoft.com/office/drawing/2014/main" id="{00000000-0008-0000-02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545973000"/>
          <a:ext cx="658667" cy="535619"/>
        </a:xfrm>
        <a:prstGeom prst="rect">
          <a:avLst/>
        </a:prstGeom>
      </xdr:spPr>
    </xdr:pic>
    <xdr:clientData/>
  </xdr:twoCellAnchor>
  <xdr:twoCellAnchor editAs="oneCell">
    <xdr:from>
      <xdr:col>7</xdr:col>
      <xdr:colOff>295275</xdr:colOff>
      <xdr:row>2353</xdr:row>
      <xdr:rowOff>85725</xdr:rowOff>
    </xdr:from>
    <xdr:to>
      <xdr:col>8</xdr:col>
      <xdr:colOff>372917</xdr:colOff>
      <xdr:row>2354</xdr:row>
      <xdr:rowOff>297494</xdr:rowOff>
    </xdr:to>
    <xdr:pic>
      <xdr:nvPicPr>
        <xdr:cNvPr id="71" name="Picture 70">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562232175"/>
          <a:ext cx="658667" cy="535619"/>
        </a:xfrm>
        <a:prstGeom prst="rect">
          <a:avLst/>
        </a:prstGeom>
      </xdr:spPr>
    </xdr:pic>
    <xdr:clientData/>
  </xdr:twoCellAnchor>
  <xdr:twoCellAnchor editAs="oneCell">
    <xdr:from>
      <xdr:col>7</xdr:col>
      <xdr:colOff>295275</xdr:colOff>
      <xdr:row>2319</xdr:row>
      <xdr:rowOff>47625</xdr:rowOff>
    </xdr:from>
    <xdr:to>
      <xdr:col>8</xdr:col>
      <xdr:colOff>372917</xdr:colOff>
      <xdr:row>2320</xdr:row>
      <xdr:rowOff>259394</xdr:rowOff>
    </xdr:to>
    <xdr:pic>
      <xdr:nvPicPr>
        <xdr:cNvPr id="72" name="Picture 71">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554069250"/>
          <a:ext cx="658667" cy="535619"/>
        </a:xfrm>
        <a:prstGeom prst="rect">
          <a:avLst/>
        </a:prstGeom>
      </xdr:spPr>
    </xdr:pic>
    <xdr:clientData/>
  </xdr:twoCellAnchor>
  <xdr:twoCellAnchor editAs="oneCell">
    <xdr:from>
      <xdr:col>7</xdr:col>
      <xdr:colOff>295275</xdr:colOff>
      <xdr:row>2387</xdr:row>
      <xdr:rowOff>57150</xdr:rowOff>
    </xdr:from>
    <xdr:to>
      <xdr:col>8</xdr:col>
      <xdr:colOff>372917</xdr:colOff>
      <xdr:row>2388</xdr:row>
      <xdr:rowOff>268919</xdr:rowOff>
    </xdr:to>
    <xdr:pic>
      <xdr:nvPicPr>
        <xdr:cNvPr id="73" name="Picture 72">
          <a:extLst>
            <a:ext uri="{FF2B5EF4-FFF2-40B4-BE49-F238E27FC236}">
              <a16:creationId xmlns:a16="http://schemas.microsoft.com/office/drawing/2014/main" id="{00000000-0008-0000-02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570328425"/>
          <a:ext cx="658667" cy="535619"/>
        </a:xfrm>
        <a:prstGeom prst="rect">
          <a:avLst/>
        </a:prstGeom>
      </xdr:spPr>
    </xdr:pic>
    <xdr:clientData/>
  </xdr:twoCellAnchor>
  <xdr:twoCellAnchor editAs="oneCell">
    <xdr:from>
      <xdr:col>7</xdr:col>
      <xdr:colOff>314325</xdr:colOff>
      <xdr:row>2421</xdr:row>
      <xdr:rowOff>104775</xdr:rowOff>
    </xdr:from>
    <xdr:to>
      <xdr:col>8</xdr:col>
      <xdr:colOff>391967</xdr:colOff>
      <xdr:row>2423</xdr:row>
      <xdr:rowOff>11744</xdr:rowOff>
    </xdr:to>
    <xdr:pic>
      <xdr:nvPicPr>
        <xdr:cNvPr id="74" name="Picture 73">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578500875"/>
          <a:ext cx="658667" cy="535619"/>
        </a:xfrm>
        <a:prstGeom prst="rect">
          <a:avLst/>
        </a:prstGeom>
      </xdr:spPr>
    </xdr:pic>
    <xdr:clientData/>
  </xdr:twoCellAnchor>
  <xdr:twoCellAnchor editAs="oneCell">
    <xdr:from>
      <xdr:col>7</xdr:col>
      <xdr:colOff>285750</xdr:colOff>
      <xdr:row>2455</xdr:row>
      <xdr:rowOff>57150</xdr:rowOff>
    </xdr:from>
    <xdr:to>
      <xdr:col>8</xdr:col>
      <xdr:colOff>363392</xdr:colOff>
      <xdr:row>2456</xdr:row>
      <xdr:rowOff>268919</xdr:rowOff>
    </xdr:to>
    <xdr:pic>
      <xdr:nvPicPr>
        <xdr:cNvPr id="75" name="Picture 74">
          <a:extLst>
            <a:ext uri="{FF2B5EF4-FFF2-40B4-BE49-F238E27FC236}">
              <a16:creationId xmlns:a16="http://schemas.microsoft.com/office/drawing/2014/main" id="{00000000-0008-0000-02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586578075"/>
          <a:ext cx="658667" cy="535619"/>
        </a:xfrm>
        <a:prstGeom prst="rect">
          <a:avLst/>
        </a:prstGeom>
      </xdr:spPr>
    </xdr:pic>
    <xdr:clientData/>
  </xdr:twoCellAnchor>
  <xdr:twoCellAnchor editAs="oneCell">
    <xdr:from>
      <xdr:col>7</xdr:col>
      <xdr:colOff>285750</xdr:colOff>
      <xdr:row>2489</xdr:row>
      <xdr:rowOff>57150</xdr:rowOff>
    </xdr:from>
    <xdr:to>
      <xdr:col>8</xdr:col>
      <xdr:colOff>363392</xdr:colOff>
      <xdr:row>2490</xdr:row>
      <xdr:rowOff>268919</xdr:rowOff>
    </xdr:to>
    <xdr:pic>
      <xdr:nvPicPr>
        <xdr:cNvPr id="76" name="Picture 75">
          <a:extLst>
            <a:ext uri="{FF2B5EF4-FFF2-40B4-BE49-F238E27FC236}">
              <a16:creationId xmlns:a16="http://schemas.microsoft.com/office/drawing/2014/main" id="{00000000-0008-0000-02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594702900"/>
          <a:ext cx="658667" cy="535619"/>
        </a:xfrm>
        <a:prstGeom prst="rect">
          <a:avLst/>
        </a:prstGeom>
      </xdr:spPr>
    </xdr:pic>
    <xdr:clientData/>
  </xdr:twoCellAnchor>
  <xdr:twoCellAnchor editAs="oneCell">
    <xdr:from>
      <xdr:col>7</xdr:col>
      <xdr:colOff>285750</xdr:colOff>
      <xdr:row>2523</xdr:row>
      <xdr:rowOff>66675</xdr:rowOff>
    </xdr:from>
    <xdr:to>
      <xdr:col>8</xdr:col>
      <xdr:colOff>363392</xdr:colOff>
      <xdr:row>2524</xdr:row>
      <xdr:rowOff>278444</xdr:rowOff>
    </xdr:to>
    <xdr:pic>
      <xdr:nvPicPr>
        <xdr:cNvPr id="77" name="Picture 76">
          <a:extLst>
            <a:ext uri="{FF2B5EF4-FFF2-40B4-BE49-F238E27FC236}">
              <a16:creationId xmlns:a16="http://schemas.microsoft.com/office/drawing/2014/main" id="{00000000-0008-0000-02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33900" y="602837250"/>
          <a:ext cx="658667" cy="535619"/>
        </a:xfrm>
        <a:prstGeom prst="rect">
          <a:avLst/>
        </a:prstGeom>
      </xdr:spPr>
    </xdr:pic>
    <xdr:clientData/>
  </xdr:twoCellAnchor>
  <xdr:twoCellAnchor editAs="oneCell">
    <xdr:from>
      <xdr:col>7</xdr:col>
      <xdr:colOff>304800</xdr:colOff>
      <xdr:row>2557</xdr:row>
      <xdr:rowOff>114300</xdr:rowOff>
    </xdr:from>
    <xdr:to>
      <xdr:col>8</xdr:col>
      <xdr:colOff>382442</xdr:colOff>
      <xdr:row>2559</xdr:row>
      <xdr:rowOff>21269</xdr:rowOff>
    </xdr:to>
    <xdr:pic>
      <xdr:nvPicPr>
        <xdr:cNvPr id="78" name="Picture 77">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611009700"/>
          <a:ext cx="658667" cy="535619"/>
        </a:xfrm>
        <a:prstGeom prst="rect">
          <a:avLst/>
        </a:prstGeom>
      </xdr:spPr>
    </xdr:pic>
    <xdr:clientData/>
  </xdr:twoCellAnchor>
  <xdr:twoCellAnchor editAs="oneCell">
    <xdr:from>
      <xdr:col>7</xdr:col>
      <xdr:colOff>304800</xdr:colOff>
      <xdr:row>2625</xdr:row>
      <xdr:rowOff>123825</xdr:rowOff>
    </xdr:from>
    <xdr:to>
      <xdr:col>8</xdr:col>
      <xdr:colOff>382442</xdr:colOff>
      <xdr:row>2627</xdr:row>
      <xdr:rowOff>30794</xdr:rowOff>
    </xdr:to>
    <xdr:pic>
      <xdr:nvPicPr>
        <xdr:cNvPr id="79" name="Picture 78">
          <a:extLst>
            <a:ext uri="{FF2B5EF4-FFF2-40B4-BE49-F238E27FC236}">
              <a16:creationId xmlns:a16="http://schemas.microsoft.com/office/drawing/2014/main" id="{00000000-0008-0000-02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627268875"/>
          <a:ext cx="658667" cy="535619"/>
        </a:xfrm>
        <a:prstGeom prst="rect">
          <a:avLst/>
        </a:prstGeom>
      </xdr:spPr>
    </xdr:pic>
    <xdr:clientData/>
  </xdr:twoCellAnchor>
  <xdr:twoCellAnchor editAs="oneCell">
    <xdr:from>
      <xdr:col>7</xdr:col>
      <xdr:colOff>304800</xdr:colOff>
      <xdr:row>2591</xdr:row>
      <xdr:rowOff>85725</xdr:rowOff>
    </xdr:from>
    <xdr:to>
      <xdr:col>8</xdr:col>
      <xdr:colOff>382442</xdr:colOff>
      <xdr:row>2592</xdr:row>
      <xdr:rowOff>297494</xdr:rowOff>
    </xdr:to>
    <xdr:pic>
      <xdr:nvPicPr>
        <xdr:cNvPr id="80" name="Picture 79">
          <a:extLst>
            <a:ext uri="{FF2B5EF4-FFF2-40B4-BE49-F238E27FC236}">
              <a16:creationId xmlns:a16="http://schemas.microsoft.com/office/drawing/2014/main" id="{00000000-0008-0000-02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619105950"/>
          <a:ext cx="658667" cy="535619"/>
        </a:xfrm>
        <a:prstGeom prst="rect">
          <a:avLst/>
        </a:prstGeom>
      </xdr:spPr>
    </xdr:pic>
    <xdr:clientData/>
  </xdr:twoCellAnchor>
  <xdr:twoCellAnchor editAs="oneCell">
    <xdr:from>
      <xdr:col>7</xdr:col>
      <xdr:colOff>304800</xdr:colOff>
      <xdr:row>2659</xdr:row>
      <xdr:rowOff>95250</xdr:rowOff>
    </xdr:from>
    <xdr:to>
      <xdr:col>8</xdr:col>
      <xdr:colOff>382442</xdr:colOff>
      <xdr:row>2661</xdr:row>
      <xdr:rowOff>2219</xdr:rowOff>
    </xdr:to>
    <xdr:pic>
      <xdr:nvPicPr>
        <xdr:cNvPr id="81" name="Picture 80">
          <a:extLst>
            <a:ext uri="{FF2B5EF4-FFF2-40B4-BE49-F238E27FC236}">
              <a16:creationId xmlns:a16="http://schemas.microsoft.com/office/drawing/2014/main" id="{00000000-0008-0000-02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635365125"/>
          <a:ext cx="658667" cy="535619"/>
        </a:xfrm>
        <a:prstGeom prst="rect">
          <a:avLst/>
        </a:prstGeom>
      </xdr:spPr>
    </xdr:pic>
    <xdr:clientData/>
  </xdr:twoCellAnchor>
  <xdr:twoCellAnchor editAs="oneCell">
    <xdr:from>
      <xdr:col>7</xdr:col>
      <xdr:colOff>323850</xdr:colOff>
      <xdr:row>2693</xdr:row>
      <xdr:rowOff>142875</xdr:rowOff>
    </xdr:from>
    <xdr:to>
      <xdr:col>8</xdr:col>
      <xdr:colOff>401492</xdr:colOff>
      <xdr:row>2695</xdr:row>
      <xdr:rowOff>49844</xdr:rowOff>
    </xdr:to>
    <xdr:pic>
      <xdr:nvPicPr>
        <xdr:cNvPr id="82" name="Picture 81">
          <a:extLst>
            <a:ext uri="{FF2B5EF4-FFF2-40B4-BE49-F238E27FC236}">
              <a16:creationId xmlns:a16="http://schemas.microsoft.com/office/drawing/2014/main" id="{00000000-0008-0000-02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643537575"/>
          <a:ext cx="658667" cy="535619"/>
        </a:xfrm>
        <a:prstGeom prst="rect">
          <a:avLst/>
        </a:prstGeom>
      </xdr:spPr>
    </xdr:pic>
    <xdr:clientData/>
  </xdr:twoCellAnchor>
  <xdr:twoCellAnchor editAs="oneCell">
    <xdr:from>
      <xdr:col>7</xdr:col>
      <xdr:colOff>304800</xdr:colOff>
      <xdr:row>2727</xdr:row>
      <xdr:rowOff>66675</xdr:rowOff>
    </xdr:from>
    <xdr:to>
      <xdr:col>8</xdr:col>
      <xdr:colOff>382442</xdr:colOff>
      <xdr:row>2728</xdr:row>
      <xdr:rowOff>278444</xdr:rowOff>
    </xdr:to>
    <xdr:pic>
      <xdr:nvPicPr>
        <xdr:cNvPr id="83" name="Picture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651586200"/>
          <a:ext cx="658667" cy="535619"/>
        </a:xfrm>
        <a:prstGeom prst="rect">
          <a:avLst/>
        </a:prstGeom>
      </xdr:spPr>
    </xdr:pic>
    <xdr:clientData/>
  </xdr:twoCellAnchor>
  <xdr:twoCellAnchor editAs="oneCell">
    <xdr:from>
      <xdr:col>7</xdr:col>
      <xdr:colOff>304800</xdr:colOff>
      <xdr:row>2761</xdr:row>
      <xdr:rowOff>66675</xdr:rowOff>
    </xdr:from>
    <xdr:to>
      <xdr:col>8</xdr:col>
      <xdr:colOff>382442</xdr:colOff>
      <xdr:row>2762</xdr:row>
      <xdr:rowOff>278444</xdr:rowOff>
    </xdr:to>
    <xdr:pic>
      <xdr:nvPicPr>
        <xdr:cNvPr id="84" name="Picture 83">
          <a:extLst>
            <a:ext uri="{FF2B5EF4-FFF2-40B4-BE49-F238E27FC236}">
              <a16:creationId xmlns:a16="http://schemas.microsoft.com/office/drawing/2014/main" id="{00000000-0008-0000-02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659711025"/>
          <a:ext cx="658667" cy="535619"/>
        </a:xfrm>
        <a:prstGeom prst="rect">
          <a:avLst/>
        </a:prstGeom>
      </xdr:spPr>
    </xdr:pic>
    <xdr:clientData/>
  </xdr:twoCellAnchor>
  <xdr:twoCellAnchor editAs="oneCell">
    <xdr:from>
      <xdr:col>7</xdr:col>
      <xdr:colOff>304800</xdr:colOff>
      <xdr:row>2795</xdr:row>
      <xdr:rowOff>76200</xdr:rowOff>
    </xdr:from>
    <xdr:to>
      <xdr:col>8</xdr:col>
      <xdr:colOff>382442</xdr:colOff>
      <xdr:row>2796</xdr:row>
      <xdr:rowOff>287969</xdr:rowOff>
    </xdr:to>
    <xdr:pic>
      <xdr:nvPicPr>
        <xdr:cNvPr id="85" name="Picture 84">
          <a:extLst>
            <a:ext uri="{FF2B5EF4-FFF2-40B4-BE49-F238E27FC236}">
              <a16:creationId xmlns:a16="http://schemas.microsoft.com/office/drawing/2014/main" id="{00000000-0008-0000-02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2950" y="667845375"/>
          <a:ext cx="658667" cy="535619"/>
        </a:xfrm>
        <a:prstGeom prst="rect">
          <a:avLst/>
        </a:prstGeom>
      </xdr:spPr>
    </xdr:pic>
    <xdr:clientData/>
  </xdr:twoCellAnchor>
  <xdr:twoCellAnchor editAs="oneCell">
    <xdr:from>
      <xdr:col>7</xdr:col>
      <xdr:colOff>323850</xdr:colOff>
      <xdr:row>2829</xdr:row>
      <xdr:rowOff>123825</xdr:rowOff>
    </xdr:from>
    <xdr:to>
      <xdr:col>8</xdr:col>
      <xdr:colOff>401492</xdr:colOff>
      <xdr:row>2831</xdr:row>
      <xdr:rowOff>30794</xdr:rowOff>
    </xdr:to>
    <xdr:pic>
      <xdr:nvPicPr>
        <xdr:cNvPr id="86" name="Picture 85">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676017825"/>
          <a:ext cx="658667" cy="535619"/>
        </a:xfrm>
        <a:prstGeom prst="rect">
          <a:avLst/>
        </a:prstGeom>
      </xdr:spPr>
    </xdr:pic>
    <xdr:clientData/>
  </xdr:twoCellAnchor>
  <xdr:twoCellAnchor editAs="oneCell">
    <xdr:from>
      <xdr:col>7</xdr:col>
      <xdr:colOff>323850</xdr:colOff>
      <xdr:row>2897</xdr:row>
      <xdr:rowOff>133350</xdr:rowOff>
    </xdr:from>
    <xdr:to>
      <xdr:col>8</xdr:col>
      <xdr:colOff>401492</xdr:colOff>
      <xdr:row>2899</xdr:row>
      <xdr:rowOff>40319</xdr:rowOff>
    </xdr:to>
    <xdr:pic>
      <xdr:nvPicPr>
        <xdr:cNvPr id="87" name="Picture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692277000"/>
          <a:ext cx="658667" cy="535619"/>
        </a:xfrm>
        <a:prstGeom prst="rect">
          <a:avLst/>
        </a:prstGeom>
      </xdr:spPr>
    </xdr:pic>
    <xdr:clientData/>
  </xdr:twoCellAnchor>
  <xdr:twoCellAnchor editAs="oneCell">
    <xdr:from>
      <xdr:col>7</xdr:col>
      <xdr:colOff>323850</xdr:colOff>
      <xdr:row>2863</xdr:row>
      <xdr:rowOff>95250</xdr:rowOff>
    </xdr:from>
    <xdr:to>
      <xdr:col>8</xdr:col>
      <xdr:colOff>401492</xdr:colOff>
      <xdr:row>2865</xdr:row>
      <xdr:rowOff>2219</xdr:rowOff>
    </xdr:to>
    <xdr:pic>
      <xdr:nvPicPr>
        <xdr:cNvPr id="88" name="Picture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684114075"/>
          <a:ext cx="658667" cy="535619"/>
        </a:xfrm>
        <a:prstGeom prst="rect">
          <a:avLst/>
        </a:prstGeom>
      </xdr:spPr>
    </xdr:pic>
    <xdr:clientData/>
  </xdr:twoCellAnchor>
  <xdr:twoCellAnchor editAs="oneCell">
    <xdr:from>
      <xdr:col>7</xdr:col>
      <xdr:colOff>323850</xdr:colOff>
      <xdr:row>2931</xdr:row>
      <xdr:rowOff>104775</xdr:rowOff>
    </xdr:from>
    <xdr:to>
      <xdr:col>8</xdr:col>
      <xdr:colOff>401492</xdr:colOff>
      <xdr:row>2933</xdr:row>
      <xdr:rowOff>11744</xdr:rowOff>
    </xdr:to>
    <xdr:pic>
      <xdr:nvPicPr>
        <xdr:cNvPr id="89" name="Picture 88">
          <a:extLst>
            <a:ext uri="{FF2B5EF4-FFF2-40B4-BE49-F238E27FC236}">
              <a16:creationId xmlns:a16="http://schemas.microsoft.com/office/drawing/2014/main" id="{00000000-0008-0000-02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700373250"/>
          <a:ext cx="658667" cy="535619"/>
        </a:xfrm>
        <a:prstGeom prst="rect">
          <a:avLst/>
        </a:prstGeom>
      </xdr:spPr>
    </xdr:pic>
    <xdr:clientData/>
  </xdr:twoCellAnchor>
  <xdr:twoCellAnchor editAs="oneCell">
    <xdr:from>
      <xdr:col>7</xdr:col>
      <xdr:colOff>342900</xdr:colOff>
      <xdr:row>2965</xdr:row>
      <xdr:rowOff>152400</xdr:rowOff>
    </xdr:from>
    <xdr:to>
      <xdr:col>8</xdr:col>
      <xdr:colOff>420542</xdr:colOff>
      <xdr:row>2967</xdr:row>
      <xdr:rowOff>59369</xdr:rowOff>
    </xdr:to>
    <xdr:pic>
      <xdr:nvPicPr>
        <xdr:cNvPr id="90" name="Picture 89">
          <a:extLst>
            <a:ext uri="{FF2B5EF4-FFF2-40B4-BE49-F238E27FC236}">
              <a16:creationId xmlns:a16="http://schemas.microsoft.com/office/drawing/2014/main" id="{00000000-0008-0000-02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708545700"/>
          <a:ext cx="658667" cy="535619"/>
        </a:xfrm>
        <a:prstGeom prst="rect">
          <a:avLst/>
        </a:prstGeom>
      </xdr:spPr>
    </xdr:pic>
    <xdr:clientData/>
  </xdr:twoCellAnchor>
  <xdr:twoCellAnchor editAs="oneCell">
    <xdr:from>
      <xdr:col>7</xdr:col>
      <xdr:colOff>314325</xdr:colOff>
      <xdr:row>2999</xdr:row>
      <xdr:rowOff>104775</xdr:rowOff>
    </xdr:from>
    <xdr:to>
      <xdr:col>8</xdr:col>
      <xdr:colOff>391967</xdr:colOff>
      <xdr:row>3001</xdr:row>
      <xdr:rowOff>11744</xdr:rowOff>
    </xdr:to>
    <xdr:pic>
      <xdr:nvPicPr>
        <xdr:cNvPr id="91" name="Picture 90">
          <a:extLst>
            <a:ext uri="{FF2B5EF4-FFF2-40B4-BE49-F238E27FC236}">
              <a16:creationId xmlns:a16="http://schemas.microsoft.com/office/drawing/2014/main" id="{00000000-0008-0000-02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716622900"/>
          <a:ext cx="658667" cy="535619"/>
        </a:xfrm>
        <a:prstGeom prst="rect">
          <a:avLst/>
        </a:prstGeom>
      </xdr:spPr>
    </xdr:pic>
    <xdr:clientData/>
  </xdr:twoCellAnchor>
  <xdr:twoCellAnchor editAs="oneCell">
    <xdr:from>
      <xdr:col>7</xdr:col>
      <xdr:colOff>314325</xdr:colOff>
      <xdr:row>3033</xdr:row>
      <xdr:rowOff>104775</xdr:rowOff>
    </xdr:from>
    <xdr:to>
      <xdr:col>8</xdr:col>
      <xdr:colOff>391967</xdr:colOff>
      <xdr:row>3035</xdr:row>
      <xdr:rowOff>11744</xdr:rowOff>
    </xdr:to>
    <xdr:pic>
      <xdr:nvPicPr>
        <xdr:cNvPr id="92" name="Picture 91">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724747725"/>
          <a:ext cx="658667" cy="535619"/>
        </a:xfrm>
        <a:prstGeom prst="rect">
          <a:avLst/>
        </a:prstGeom>
      </xdr:spPr>
    </xdr:pic>
    <xdr:clientData/>
  </xdr:twoCellAnchor>
  <xdr:twoCellAnchor editAs="oneCell">
    <xdr:from>
      <xdr:col>7</xdr:col>
      <xdr:colOff>314325</xdr:colOff>
      <xdr:row>3067</xdr:row>
      <xdr:rowOff>114300</xdr:rowOff>
    </xdr:from>
    <xdr:to>
      <xdr:col>8</xdr:col>
      <xdr:colOff>391967</xdr:colOff>
      <xdr:row>3069</xdr:row>
      <xdr:rowOff>21269</xdr:rowOff>
    </xdr:to>
    <xdr:pic>
      <xdr:nvPicPr>
        <xdr:cNvPr id="93" name="Picture 92">
          <a:extLst>
            <a:ext uri="{FF2B5EF4-FFF2-40B4-BE49-F238E27FC236}">
              <a16:creationId xmlns:a16="http://schemas.microsoft.com/office/drawing/2014/main" id="{00000000-0008-0000-02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62475" y="732882075"/>
          <a:ext cx="658667" cy="535619"/>
        </a:xfrm>
        <a:prstGeom prst="rect">
          <a:avLst/>
        </a:prstGeom>
      </xdr:spPr>
    </xdr:pic>
    <xdr:clientData/>
  </xdr:twoCellAnchor>
  <xdr:twoCellAnchor editAs="oneCell">
    <xdr:from>
      <xdr:col>7</xdr:col>
      <xdr:colOff>333375</xdr:colOff>
      <xdr:row>3101</xdr:row>
      <xdr:rowOff>161925</xdr:rowOff>
    </xdr:from>
    <xdr:to>
      <xdr:col>8</xdr:col>
      <xdr:colOff>411017</xdr:colOff>
      <xdr:row>3103</xdr:row>
      <xdr:rowOff>68894</xdr:rowOff>
    </xdr:to>
    <xdr:pic>
      <xdr:nvPicPr>
        <xdr:cNvPr id="94" name="Picture 93">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741054525"/>
          <a:ext cx="658667" cy="535619"/>
        </a:xfrm>
        <a:prstGeom prst="rect">
          <a:avLst/>
        </a:prstGeom>
      </xdr:spPr>
    </xdr:pic>
    <xdr:clientData/>
  </xdr:twoCellAnchor>
  <xdr:twoCellAnchor editAs="oneCell">
    <xdr:from>
      <xdr:col>7</xdr:col>
      <xdr:colOff>333375</xdr:colOff>
      <xdr:row>3169</xdr:row>
      <xdr:rowOff>171450</xdr:rowOff>
    </xdr:from>
    <xdr:to>
      <xdr:col>8</xdr:col>
      <xdr:colOff>411017</xdr:colOff>
      <xdr:row>3171</xdr:row>
      <xdr:rowOff>78419</xdr:rowOff>
    </xdr:to>
    <xdr:pic>
      <xdr:nvPicPr>
        <xdr:cNvPr id="95" name="Picture 94">
          <a:extLst>
            <a:ext uri="{FF2B5EF4-FFF2-40B4-BE49-F238E27FC236}">
              <a16:creationId xmlns:a16="http://schemas.microsoft.com/office/drawing/2014/main" id="{00000000-0008-0000-02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757313700"/>
          <a:ext cx="658667" cy="535619"/>
        </a:xfrm>
        <a:prstGeom prst="rect">
          <a:avLst/>
        </a:prstGeom>
      </xdr:spPr>
    </xdr:pic>
    <xdr:clientData/>
  </xdr:twoCellAnchor>
  <xdr:twoCellAnchor editAs="oneCell">
    <xdr:from>
      <xdr:col>7</xdr:col>
      <xdr:colOff>333375</xdr:colOff>
      <xdr:row>3135</xdr:row>
      <xdr:rowOff>133350</xdr:rowOff>
    </xdr:from>
    <xdr:to>
      <xdr:col>8</xdr:col>
      <xdr:colOff>411017</xdr:colOff>
      <xdr:row>3137</xdr:row>
      <xdr:rowOff>40319</xdr:rowOff>
    </xdr:to>
    <xdr:pic>
      <xdr:nvPicPr>
        <xdr:cNvPr id="96" name="Picture 95">
          <a:extLst>
            <a:ext uri="{FF2B5EF4-FFF2-40B4-BE49-F238E27FC236}">
              <a16:creationId xmlns:a16="http://schemas.microsoft.com/office/drawing/2014/main" id="{00000000-0008-0000-02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749150775"/>
          <a:ext cx="658667" cy="535619"/>
        </a:xfrm>
        <a:prstGeom prst="rect">
          <a:avLst/>
        </a:prstGeom>
      </xdr:spPr>
    </xdr:pic>
    <xdr:clientData/>
  </xdr:twoCellAnchor>
  <xdr:twoCellAnchor editAs="oneCell">
    <xdr:from>
      <xdr:col>7</xdr:col>
      <xdr:colOff>333375</xdr:colOff>
      <xdr:row>3203</xdr:row>
      <xdr:rowOff>142875</xdr:rowOff>
    </xdr:from>
    <xdr:to>
      <xdr:col>8</xdr:col>
      <xdr:colOff>411017</xdr:colOff>
      <xdr:row>3205</xdr:row>
      <xdr:rowOff>49844</xdr:rowOff>
    </xdr:to>
    <xdr:pic>
      <xdr:nvPicPr>
        <xdr:cNvPr id="97" name="Picture 96">
          <a:extLst>
            <a:ext uri="{FF2B5EF4-FFF2-40B4-BE49-F238E27FC236}">
              <a16:creationId xmlns:a16="http://schemas.microsoft.com/office/drawing/2014/main" id="{00000000-0008-0000-02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765409950"/>
          <a:ext cx="658667" cy="535619"/>
        </a:xfrm>
        <a:prstGeom prst="rect">
          <a:avLst/>
        </a:prstGeom>
      </xdr:spPr>
    </xdr:pic>
    <xdr:clientData/>
  </xdr:twoCellAnchor>
  <xdr:twoCellAnchor editAs="oneCell">
    <xdr:from>
      <xdr:col>7</xdr:col>
      <xdr:colOff>352425</xdr:colOff>
      <xdr:row>3237</xdr:row>
      <xdr:rowOff>190500</xdr:rowOff>
    </xdr:from>
    <xdr:to>
      <xdr:col>8</xdr:col>
      <xdr:colOff>430067</xdr:colOff>
      <xdr:row>3239</xdr:row>
      <xdr:rowOff>97469</xdr:rowOff>
    </xdr:to>
    <xdr:pic>
      <xdr:nvPicPr>
        <xdr:cNvPr id="98" name="Picture 97">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773582400"/>
          <a:ext cx="658667" cy="535619"/>
        </a:xfrm>
        <a:prstGeom prst="rect">
          <a:avLst/>
        </a:prstGeom>
      </xdr:spPr>
    </xdr:pic>
    <xdr:clientData/>
  </xdr:twoCellAnchor>
  <xdr:twoCellAnchor editAs="oneCell">
    <xdr:from>
      <xdr:col>7</xdr:col>
      <xdr:colOff>323850</xdr:colOff>
      <xdr:row>3271</xdr:row>
      <xdr:rowOff>47625</xdr:rowOff>
    </xdr:from>
    <xdr:to>
      <xdr:col>8</xdr:col>
      <xdr:colOff>401492</xdr:colOff>
      <xdr:row>3272</xdr:row>
      <xdr:rowOff>259394</xdr:rowOff>
    </xdr:to>
    <xdr:pic>
      <xdr:nvPicPr>
        <xdr:cNvPr id="99" name="Picture 98">
          <a:extLst>
            <a:ext uri="{FF2B5EF4-FFF2-40B4-BE49-F238E27FC236}">
              <a16:creationId xmlns:a16="http://schemas.microsoft.com/office/drawing/2014/main" id="{00000000-0008-0000-02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781564350"/>
          <a:ext cx="658667" cy="535619"/>
        </a:xfrm>
        <a:prstGeom prst="rect">
          <a:avLst/>
        </a:prstGeom>
      </xdr:spPr>
    </xdr:pic>
    <xdr:clientData/>
  </xdr:twoCellAnchor>
  <xdr:twoCellAnchor editAs="oneCell">
    <xdr:from>
      <xdr:col>7</xdr:col>
      <xdr:colOff>323850</xdr:colOff>
      <xdr:row>3305</xdr:row>
      <xdr:rowOff>47625</xdr:rowOff>
    </xdr:from>
    <xdr:to>
      <xdr:col>8</xdr:col>
      <xdr:colOff>401492</xdr:colOff>
      <xdr:row>3306</xdr:row>
      <xdr:rowOff>259394</xdr:rowOff>
    </xdr:to>
    <xdr:pic>
      <xdr:nvPicPr>
        <xdr:cNvPr id="100" name="Picture 99">
          <a:extLst>
            <a:ext uri="{FF2B5EF4-FFF2-40B4-BE49-F238E27FC236}">
              <a16:creationId xmlns:a16="http://schemas.microsoft.com/office/drawing/2014/main" id="{00000000-0008-0000-02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789689175"/>
          <a:ext cx="658667" cy="535619"/>
        </a:xfrm>
        <a:prstGeom prst="rect">
          <a:avLst/>
        </a:prstGeom>
      </xdr:spPr>
    </xdr:pic>
    <xdr:clientData/>
  </xdr:twoCellAnchor>
  <xdr:twoCellAnchor editAs="oneCell">
    <xdr:from>
      <xdr:col>7</xdr:col>
      <xdr:colOff>323850</xdr:colOff>
      <xdr:row>3339</xdr:row>
      <xdr:rowOff>57150</xdr:rowOff>
    </xdr:from>
    <xdr:to>
      <xdr:col>8</xdr:col>
      <xdr:colOff>401492</xdr:colOff>
      <xdr:row>3340</xdr:row>
      <xdr:rowOff>268919</xdr:rowOff>
    </xdr:to>
    <xdr:pic>
      <xdr:nvPicPr>
        <xdr:cNvPr id="101" name="Picture 100">
          <a:extLst>
            <a:ext uri="{FF2B5EF4-FFF2-40B4-BE49-F238E27FC236}">
              <a16:creationId xmlns:a16="http://schemas.microsoft.com/office/drawing/2014/main" id="{00000000-0008-0000-02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0" y="797823525"/>
          <a:ext cx="658667" cy="535619"/>
        </a:xfrm>
        <a:prstGeom prst="rect">
          <a:avLst/>
        </a:prstGeom>
      </xdr:spPr>
    </xdr:pic>
    <xdr:clientData/>
  </xdr:twoCellAnchor>
  <xdr:twoCellAnchor editAs="oneCell">
    <xdr:from>
      <xdr:col>7</xdr:col>
      <xdr:colOff>342900</xdr:colOff>
      <xdr:row>3373</xdr:row>
      <xdr:rowOff>104775</xdr:rowOff>
    </xdr:from>
    <xdr:to>
      <xdr:col>8</xdr:col>
      <xdr:colOff>420542</xdr:colOff>
      <xdr:row>3375</xdr:row>
      <xdr:rowOff>11744</xdr:rowOff>
    </xdr:to>
    <xdr:pic>
      <xdr:nvPicPr>
        <xdr:cNvPr id="102" name="Picture 101">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805995975"/>
          <a:ext cx="658667" cy="535619"/>
        </a:xfrm>
        <a:prstGeom prst="rect">
          <a:avLst/>
        </a:prstGeom>
      </xdr:spPr>
    </xdr:pic>
    <xdr:clientData/>
  </xdr:twoCellAnchor>
  <xdr:twoCellAnchor editAs="oneCell">
    <xdr:from>
      <xdr:col>7</xdr:col>
      <xdr:colOff>342900</xdr:colOff>
      <xdr:row>3441</xdr:row>
      <xdr:rowOff>114300</xdr:rowOff>
    </xdr:from>
    <xdr:to>
      <xdr:col>8</xdr:col>
      <xdr:colOff>420542</xdr:colOff>
      <xdr:row>3443</xdr:row>
      <xdr:rowOff>21269</xdr:rowOff>
    </xdr:to>
    <xdr:pic>
      <xdr:nvPicPr>
        <xdr:cNvPr id="103" name="Picture 102">
          <a:extLst>
            <a:ext uri="{FF2B5EF4-FFF2-40B4-BE49-F238E27FC236}">
              <a16:creationId xmlns:a16="http://schemas.microsoft.com/office/drawing/2014/main" id="{00000000-0008-0000-02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822255150"/>
          <a:ext cx="658667" cy="535619"/>
        </a:xfrm>
        <a:prstGeom prst="rect">
          <a:avLst/>
        </a:prstGeom>
      </xdr:spPr>
    </xdr:pic>
    <xdr:clientData/>
  </xdr:twoCellAnchor>
  <xdr:twoCellAnchor editAs="oneCell">
    <xdr:from>
      <xdr:col>7</xdr:col>
      <xdr:colOff>342900</xdr:colOff>
      <xdr:row>3407</xdr:row>
      <xdr:rowOff>76200</xdr:rowOff>
    </xdr:from>
    <xdr:to>
      <xdr:col>8</xdr:col>
      <xdr:colOff>420542</xdr:colOff>
      <xdr:row>3408</xdr:row>
      <xdr:rowOff>287969</xdr:rowOff>
    </xdr:to>
    <xdr:pic>
      <xdr:nvPicPr>
        <xdr:cNvPr id="104" name="Picture 103">
          <a:extLst>
            <a:ext uri="{FF2B5EF4-FFF2-40B4-BE49-F238E27FC236}">
              <a16:creationId xmlns:a16="http://schemas.microsoft.com/office/drawing/2014/main" id="{00000000-0008-0000-02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814092225"/>
          <a:ext cx="658667" cy="535619"/>
        </a:xfrm>
        <a:prstGeom prst="rect">
          <a:avLst/>
        </a:prstGeom>
      </xdr:spPr>
    </xdr:pic>
    <xdr:clientData/>
  </xdr:twoCellAnchor>
  <xdr:twoCellAnchor editAs="oneCell">
    <xdr:from>
      <xdr:col>7</xdr:col>
      <xdr:colOff>342900</xdr:colOff>
      <xdr:row>3475</xdr:row>
      <xdr:rowOff>85725</xdr:rowOff>
    </xdr:from>
    <xdr:to>
      <xdr:col>8</xdr:col>
      <xdr:colOff>420542</xdr:colOff>
      <xdr:row>3476</xdr:row>
      <xdr:rowOff>297494</xdr:rowOff>
    </xdr:to>
    <xdr:pic>
      <xdr:nvPicPr>
        <xdr:cNvPr id="105" name="Picture 104">
          <a:extLst>
            <a:ext uri="{FF2B5EF4-FFF2-40B4-BE49-F238E27FC236}">
              <a16:creationId xmlns:a16="http://schemas.microsoft.com/office/drawing/2014/main" id="{00000000-0008-0000-02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91050" y="830351400"/>
          <a:ext cx="658667" cy="535619"/>
        </a:xfrm>
        <a:prstGeom prst="rect">
          <a:avLst/>
        </a:prstGeom>
      </xdr:spPr>
    </xdr:pic>
    <xdr:clientData/>
  </xdr:twoCellAnchor>
  <xdr:twoCellAnchor editAs="oneCell">
    <xdr:from>
      <xdr:col>7</xdr:col>
      <xdr:colOff>361950</xdr:colOff>
      <xdr:row>3509</xdr:row>
      <xdr:rowOff>133350</xdr:rowOff>
    </xdr:from>
    <xdr:to>
      <xdr:col>8</xdr:col>
      <xdr:colOff>439592</xdr:colOff>
      <xdr:row>3511</xdr:row>
      <xdr:rowOff>40319</xdr:rowOff>
    </xdr:to>
    <xdr:pic>
      <xdr:nvPicPr>
        <xdr:cNvPr id="106" name="Picture 105">
          <a:extLst>
            <a:ext uri="{FF2B5EF4-FFF2-40B4-BE49-F238E27FC236}">
              <a16:creationId xmlns:a16="http://schemas.microsoft.com/office/drawing/2014/main" id="{00000000-0008-0000-02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838523850"/>
          <a:ext cx="658667" cy="535619"/>
        </a:xfrm>
        <a:prstGeom prst="rect">
          <a:avLst/>
        </a:prstGeom>
      </xdr:spPr>
    </xdr:pic>
    <xdr:clientData/>
  </xdr:twoCellAnchor>
  <xdr:twoCellAnchor editAs="oneCell">
    <xdr:from>
      <xdr:col>7</xdr:col>
      <xdr:colOff>333375</xdr:colOff>
      <xdr:row>3543</xdr:row>
      <xdr:rowOff>85725</xdr:rowOff>
    </xdr:from>
    <xdr:to>
      <xdr:col>8</xdr:col>
      <xdr:colOff>411017</xdr:colOff>
      <xdr:row>3544</xdr:row>
      <xdr:rowOff>297494</xdr:rowOff>
    </xdr:to>
    <xdr:pic>
      <xdr:nvPicPr>
        <xdr:cNvPr id="107" name="Picture 106">
          <a:extLst>
            <a:ext uri="{FF2B5EF4-FFF2-40B4-BE49-F238E27FC236}">
              <a16:creationId xmlns:a16="http://schemas.microsoft.com/office/drawing/2014/main" id="{00000000-0008-0000-02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846601050"/>
          <a:ext cx="658667" cy="535619"/>
        </a:xfrm>
        <a:prstGeom prst="rect">
          <a:avLst/>
        </a:prstGeom>
      </xdr:spPr>
    </xdr:pic>
    <xdr:clientData/>
  </xdr:twoCellAnchor>
  <xdr:twoCellAnchor editAs="oneCell">
    <xdr:from>
      <xdr:col>7</xdr:col>
      <xdr:colOff>333375</xdr:colOff>
      <xdr:row>3577</xdr:row>
      <xdr:rowOff>85725</xdr:rowOff>
    </xdr:from>
    <xdr:to>
      <xdr:col>8</xdr:col>
      <xdr:colOff>411017</xdr:colOff>
      <xdr:row>3578</xdr:row>
      <xdr:rowOff>297494</xdr:rowOff>
    </xdr:to>
    <xdr:pic>
      <xdr:nvPicPr>
        <xdr:cNvPr id="108" name="Picture 107">
          <a:extLst>
            <a:ext uri="{FF2B5EF4-FFF2-40B4-BE49-F238E27FC236}">
              <a16:creationId xmlns:a16="http://schemas.microsoft.com/office/drawing/2014/main" id="{00000000-0008-0000-02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854725875"/>
          <a:ext cx="658667" cy="535619"/>
        </a:xfrm>
        <a:prstGeom prst="rect">
          <a:avLst/>
        </a:prstGeom>
      </xdr:spPr>
    </xdr:pic>
    <xdr:clientData/>
  </xdr:twoCellAnchor>
  <xdr:twoCellAnchor editAs="oneCell">
    <xdr:from>
      <xdr:col>7</xdr:col>
      <xdr:colOff>333375</xdr:colOff>
      <xdr:row>3611</xdr:row>
      <xdr:rowOff>95250</xdr:rowOff>
    </xdr:from>
    <xdr:to>
      <xdr:col>8</xdr:col>
      <xdr:colOff>411017</xdr:colOff>
      <xdr:row>3613</xdr:row>
      <xdr:rowOff>2219</xdr:rowOff>
    </xdr:to>
    <xdr:pic>
      <xdr:nvPicPr>
        <xdr:cNvPr id="109" name="Picture 108">
          <a:extLst>
            <a:ext uri="{FF2B5EF4-FFF2-40B4-BE49-F238E27FC236}">
              <a16:creationId xmlns:a16="http://schemas.microsoft.com/office/drawing/2014/main" id="{00000000-0008-0000-02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862860225"/>
          <a:ext cx="658667" cy="535619"/>
        </a:xfrm>
        <a:prstGeom prst="rect">
          <a:avLst/>
        </a:prstGeom>
      </xdr:spPr>
    </xdr:pic>
    <xdr:clientData/>
  </xdr:twoCellAnchor>
  <xdr:twoCellAnchor editAs="oneCell">
    <xdr:from>
      <xdr:col>7</xdr:col>
      <xdr:colOff>352425</xdr:colOff>
      <xdr:row>3645</xdr:row>
      <xdr:rowOff>142875</xdr:rowOff>
    </xdr:from>
    <xdr:to>
      <xdr:col>8</xdr:col>
      <xdr:colOff>430067</xdr:colOff>
      <xdr:row>3647</xdr:row>
      <xdr:rowOff>49844</xdr:rowOff>
    </xdr:to>
    <xdr:pic>
      <xdr:nvPicPr>
        <xdr:cNvPr id="110" name="Picture 109">
          <a:extLst>
            <a:ext uri="{FF2B5EF4-FFF2-40B4-BE49-F238E27FC236}">
              <a16:creationId xmlns:a16="http://schemas.microsoft.com/office/drawing/2014/main" id="{00000000-0008-0000-02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871032675"/>
          <a:ext cx="658667" cy="535619"/>
        </a:xfrm>
        <a:prstGeom prst="rect">
          <a:avLst/>
        </a:prstGeom>
      </xdr:spPr>
    </xdr:pic>
    <xdr:clientData/>
  </xdr:twoCellAnchor>
  <xdr:twoCellAnchor editAs="oneCell">
    <xdr:from>
      <xdr:col>7</xdr:col>
      <xdr:colOff>352425</xdr:colOff>
      <xdr:row>3713</xdr:row>
      <xdr:rowOff>152400</xdr:rowOff>
    </xdr:from>
    <xdr:to>
      <xdr:col>8</xdr:col>
      <xdr:colOff>430067</xdr:colOff>
      <xdr:row>3715</xdr:row>
      <xdr:rowOff>59369</xdr:rowOff>
    </xdr:to>
    <xdr:pic>
      <xdr:nvPicPr>
        <xdr:cNvPr id="111" name="Picture 110">
          <a:extLst>
            <a:ext uri="{FF2B5EF4-FFF2-40B4-BE49-F238E27FC236}">
              <a16:creationId xmlns:a16="http://schemas.microsoft.com/office/drawing/2014/main" id="{00000000-0008-0000-02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887291850"/>
          <a:ext cx="658667" cy="535619"/>
        </a:xfrm>
        <a:prstGeom prst="rect">
          <a:avLst/>
        </a:prstGeom>
      </xdr:spPr>
    </xdr:pic>
    <xdr:clientData/>
  </xdr:twoCellAnchor>
  <xdr:twoCellAnchor editAs="oneCell">
    <xdr:from>
      <xdr:col>7</xdr:col>
      <xdr:colOff>352425</xdr:colOff>
      <xdr:row>3679</xdr:row>
      <xdr:rowOff>114300</xdr:rowOff>
    </xdr:from>
    <xdr:to>
      <xdr:col>8</xdr:col>
      <xdr:colOff>430067</xdr:colOff>
      <xdr:row>3681</xdr:row>
      <xdr:rowOff>21269</xdr:rowOff>
    </xdr:to>
    <xdr:pic>
      <xdr:nvPicPr>
        <xdr:cNvPr id="112" name="Picture 111">
          <a:extLst>
            <a:ext uri="{FF2B5EF4-FFF2-40B4-BE49-F238E27FC236}">
              <a16:creationId xmlns:a16="http://schemas.microsoft.com/office/drawing/2014/main" id="{00000000-0008-0000-02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879128925"/>
          <a:ext cx="658667" cy="535619"/>
        </a:xfrm>
        <a:prstGeom prst="rect">
          <a:avLst/>
        </a:prstGeom>
      </xdr:spPr>
    </xdr:pic>
    <xdr:clientData/>
  </xdr:twoCellAnchor>
  <xdr:twoCellAnchor editAs="oneCell">
    <xdr:from>
      <xdr:col>7</xdr:col>
      <xdr:colOff>352425</xdr:colOff>
      <xdr:row>3747</xdr:row>
      <xdr:rowOff>123825</xdr:rowOff>
    </xdr:from>
    <xdr:to>
      <xdr:col>8</xdr:col>
      <xdr:colOff>430067</xdr:colOff>
      <xdr:row>3749</xdr:row>
      <xdr:rowOff>30794</xdr:rowOff>
    </xdr:to>
    <xdr:pic>
      <xdr:nvPicPr>
        <xdr:cNvPr id="113" name="Picture 112">
          <a:extLst>
            <a:ext uri="{FF2B5EF4-FFF2-40B4-BE49-F238E27FC236}">
              <a16:creationId xmlns:a16="http://schemas.microsoft.com/office/drawing/2014/main" id="{00000000-0008-0000-02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895388100"/>
          <a:ext cx="658667" cy="535619"/>
        </a:xfrm>
        <a:prstGeom prst="rect">
          <a:avLst/>
        </a:prstGeom>
      </xdr:spPr>
    </xdr:pic>
    <xdr:clientData/>
  </xdr:twoCellAnchor>
  <xdr:twoCellAnchor editAs="oneCell">
    <xdr:from>
      <xdr:col>7</xdr:col>
      <xdr:colOff>371475</xdr:colOff>
      <xdr:row>3781</xdr:row>
      <xdr:rowOff>171450</xdr:rowOff>
    </xdr:from>
    <xdr:to>
      <xdr:col>8</xdr:col>
      <xdr:colOff>449117</xdr:colOff>
      <xdr:row>3783</xdr:row>
      <xdr:rowOff>78419</xdr:rowOff>
    </xdr:to>
    <xdr:pic>
      <xdr:nvPicPr>
        <xdr:cNvPr id="114" name="Picture 113">
          <a:extLst>
            <a:ext uri="{FF2B5EF4-FFF2-40B4-BE49-F238E27FC236}">
              <a16:creationId xmlns:a16="http://schemas.microsoft.com/office/drawing/2014/main" id="{00000000-0008-0000-02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9625" y="903560550"/>
          <a:ext cx="658667" cy="535619"/>
        </a:xfrm>
        <a:prstGeom prst="rect">
          <a:avLst/>
        </a:prstGeom>
      </xdr:spPr>
    </xdr:pic>
    <xdr:clientData/>
  </xdr:twoCellAnchor>
  <xdr:twoCellAnchor editAs="oneCell">
    <xdr:from>
      <xdr:col>7</xdr:col>
      <xdr:colOff>352425</xdr:colOff>
      <xdr:row>3815</xdr:row>
      <xdr:rowOff>95250</xdr:rowOff>
    </xdr:from>
    <xdr:to>
      <xdr:col>8</xdr:col>
      <xdr:colOff>430067</xdr:colOff>
      <xdr:row>3817</xdr:row>
      <xdr:rowOff>2219</xdr:rowOff>
    </xdr:to>
    <xdr:pic>
      <xdr:nvPicPr>
        <xdr:cNvPr id="115" name="Picture 114">
          <a:extLst>
            <a:ext uri="{FF2B5EF4-FFF2-40B4-BE49-F238E27FC236}">
              <a16:creationId xmlns:a16="http://schemas.microsoft.com/office/drawing/2014/main" id="{00000000-0008-0000-02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911609175"/>
          <a:ext cx="658667" cy="535619"/>
        </a:xfrm>
        <a:prstGeom prst="rect">
          <a:avLst/>
        </a:prstGeom>
      </xdr:spPr>
    </xdr:pic>
    <xdr:clientData/>
  </xdr:twoCellAnchor>
  <xdr:twoCellAnchor editAs="oneCell">
    <xdr:from>
      <xdr:col>7</xdr:col>
      <xdr:colOff>352425</xdr:colOff>
      <xdr:row>3849</xdr:row>
      <xdr:rowOff>95250</xdr:rowOff>
    </xdr:from>
    <xdr:to>
      <xdr:col>8</xdr:col>
      <xdr:colOff>430067</xdr:colOff>
      <xdr:row>3851</xdr:row>
      <xdr:rowOff>2219</xdr:rowOff>
    </xdr:to>
    <xdr:pic>
      <xdr:nvPicPr>
        <xdr:cNvPr id="116" name="Picture 115">
          <a:extLst>
            <a:ext uri="{FF2B5EF4-FFF2-40B4-BE49-F238E27FC236}">
              <a16:creationId xmlns:a16="http://schemas.microsoft.com/office/drawing/2014/main" id="{00000000-0008-0000-02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919734000"/>
          <a:ext cx="658667" cy="535619"/>
        </a:xfrm>
        <a:prstGeom prst="rect">
          <a:avLst/>
        </a:prstGeom>
      </xdr:spPr>
    </xdr:pic>
    <xdr:clientData/>
  </xdr:twoCellAnchor>
  <xdr:twoCellAnchor editAs="oneCell">
    <xdr:from>
      <xdr:col>7</xdr:col>
      <xdr:colOff>352425</xdr:colOff>
      <xdr:row>3883</xdr:row>
      <xdr:rowOff>104775</xdr:rowOff>
    </xdr:from>
    <xdr:to>
      <xdr:col>8</xdr:col>
      <xdr:colOff>430067</xdr:colOff>
      <xdr:row>3885</xdr:row>
      <xdr:rowOff>11744</xdr:rowOff>
    </xdr:to>
    <xdr:pic>
      <xdr:nvPicPr>
        <xdr:cNvPr id="117" name="Picture 116">
          <a:extLst>
            <a:ext uri="{FF2B5EF4-FFF2-40B4-BE49-F238E27FC236}">
              <a16:creationId xmlns:a16="http://schemas.microsoft.com/office/drawing/2014/main" id="{00000000-0008-0000-02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0575" y="927868350"/>
          <a:ext cx="658667" cy="535619"/>
        </a:xfrm>
        <a:prstGeom prst="rect">
          <a:avLst/>
        </a:prstGeom>
      </xdr:spPr>
    </xdr:pic>
    <xdr:clientData/>
  </xdr:twoCellAnchor>
  <xdr:twoCellAnchor editAs="oneCell">
    <xdr:from>
      <xdr:col>7</xdr:col>
      <xdr:colOff>371475</xdr:colOff>
      <xdr:row>3917</xdr:row>
      <xdr:rowOff>152400</xdr:rowOff>
    </xdr:from>
    <xdr:to>
      <xdr:col>8</xdr:col>
      <xdr:colOff>449117</xdr:colOff>
      <xdr:row>3919</xdr:row>
      <xdr:rowOff>59369</xdr:rowOff>
    </xdr:to>
    <xdr:pic>
      <xdr:nvPicPr>
        <xdr:cNvPr id="118" name="Picture 117">
          <a:extLst>
            <a:ext uri="{FF2B5EF4-FFF2-40B4-BE49-F238E27FC236}">
              <a16:creationId xmlns:a16="http://schemas.microsoft.com/office/drawing/2014/main" id="{00000000-0008-0000-02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9625" y="936040800"/>
          <a:ext cx="658667" cy="535619"/>
        </a:xfrm>
        <a:prstGeom prst="rect">
          <a:avLst/>
        </a:prstGeom>
      </xdr:spPr>
    </xdr:pic>
    <xdr:clientData/>
  </xdr:twoCellAnchor>
  <xdr:twoCellAnchor editAs="oneCell">
    <xdr:from>
      <xdr:col>7</xdr:col>
      <xdr:colOff>371475</xdr:colOff>
      <xdr:row>3985</xdr:row>
      <xdr:rowOff>161925</xdr:rowOff>
    </xdr:from>
    <xdr:to>
      <xdr:col>8</xdr:col>
      <xdr:colOff>449117</xdr:colOff>
      <xdr:row>3987</xdr:row>
      <xdr:rowOff>68894</xdr:rowOff>
    </xdr:to>
    <xdr:pic>
      <xdr:nvPicPr>
        <xdr:cNvPr id="119" name="Picture 118">
          <a:extLst>
            <a:ext uri="{FF2B5EF4-FFF2-40B4-BE49-F238E27FC236}">
              <a16:creationId xmlns:a16="http://schemas.microsoft.com/office/drawing/2014/main" id="{00000000-0008-0000-02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9625" y="952299975"/>
          <a:ext cx="658667" cy="535619"/>
        </a:xfrm>
        <a:prstGeom prst="rect">
          <a:avLst/>
        </a:prstGeom>
      </xdr:spPr>
    </xdr:pic>
    <xdr:clientData/>
  </xdr:twoCellAnchor>
  <xdr:twoCellAnchor editAs="oneCell">
    <xdr:from>
      <xdr:col>7</xdr:col>
      <xdr:colOff>371475</xdr:colOff>
      <xdr:row>3951</xdr:row>
      <xdr:rowOff>123825</xdr:rowOff>
    </xdr:from>
    <xdr:to>
      <xdr:col>8</xdr:col>
      <xdr:colOff>449117</xdr:colOff>
      <xdr:row>3953</xdr:row>
      <xdr:rowOff>30794</xdr:rowOff>
    </xdr:to>
    <xdr:pic>
      <xdr:nvPicPr>
        <xdr:cNvPr id="120" name="Picture 119">
          <a:extLst>
            <a:ext uri="{FF2B5EF4-FFF2-40B4-BE49-F238E27FC236}">
              <a16:creationId xmlns:a16="http://schemas.microsoft.com/office/drawing/2014/main" id="{00000000-0008-0000-02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9625" y="944137050"/>
          <a:ext cx="658667" cy="535619"/>
        </a:xfrm>
        <a:prstGeom prst="rect">
          <a:avLst/>
        </a:prstGeom>
      </xdr:spPr>
    </xdr:pic>
    <xdr:clientData/>
  </xdr:twoCellAnchor>
  <xdr:twoCellAnchor editAs="oneCell">
    <xdr:from>
      <xdr:col>7</xdr:col>
      <xdr:colOff>371475</xdr:colOff>
      <xdr:row>4019</xdr:row>
      <xdr:rowOff>133350</xdr:rowOff>
    </xdr:from>
    <xdr:to>
      <xdr:col>8</xdr:col>
      <xdr:colOff>449117</xdr:colOff>
      <xdr:row>4021</xdr:row>
      <xdr:rowOff>40319</xdr:rowOff>
    </xdr:to>
    <xdr:pic>
      <xdr:nvPicPr>
        <xdr:cNvPr id="121" name="Picture 120">
          <a:extLst>
            <a:ext uri="{FF2B5EF4-FFF2-40B4-BE49-F238E27FC236}">
              <a16:creationId xmlns:a16="http://schemas.microsoft.com/office/drawing/2014/main" id="{00000000-0008-0000-02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9625" y="960396225"/>
          <a:ext cx="658667" cy="535619"/>
        </a:xfrm>
        <a:prstGeom prst="rect">
          <a:avLst/>
        </a:prstGeom>
      </xdr:spPr>
    </xdr:pic>
    <xdr:clientData/>
  </xdr:twoCellAnchor>
  <xdr:twoCellAnchor editAs="oneCell">
    <xdr:from>
      <xdr:col>7</xdr:col>
      <xdr:colOff>390525</xdr:colOff>
      <xdr:row>4053</xdr:row>
      <xdr:rowOff>180975</xdr:rowOff>
    </xdr:from>
    <xdr:to>
      <xdr:col>8</xdr:col>
      <xdr:colOff>468167</xdr:colOff>
      <xdr:row>4055</xdr:row>
      <xdr:rowOff>87944</xdr:rowOff>
    </xdr:to>
    <xdr:pic>
      <xdr:nvPicPr>
        <xdr:cNvPr id="122" name="Picture 121">
          <a:extLst>
            <a:ext uri="{FF2B5EF4-FFF2-40B4-BE49-F238E27FC236}">
              <a16:creationId xmlns:a16="http://schemas.microsoft.com/office/drawing/2014/main" id="{00000000-0008-0000-02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38675" y="968568675"/>
          <a:ext cx="658667" cy="535619"/>
        </a:xfrm>
        <a:prstGeom prst="rect">
          <a:avLst/>
        </a:prstGeom>
      </xdr:spPr>
    </xdr:pic>
    <xdr:clientData/>
  </xdr:twoCellAnchor>
  <xdr:twoCellAnchor editAs="oneCell">
    <xdr:from>
      <xdr:col>7</xdr:col>
      <xdr:colOff>361950</xdr:colOff>
      <xdr:row>4087</xdr:row>
      <xdr:rowOff>133350</xdr:rowOff>
    </xdr:from>
    <xdr:to>
      <xdr:col>8</xdr:col>
      <xdr:colOff>439592</xdr:colOff>
      <xdr:row>4089</xdr:row>
      <xdr:rowOff>40319</xdr:rowOff>
    </xdr:to>
    <xdr:pic>
      <xdr:nvPicPr>
        <xdr:cNvPr id="123" name="Picture 122">
          <a:extLst>
            <a:ext uri="{FF2B5EF4-FFF2-40B4-BE49-F238E27FC236}">
              <a16:creationId xmlns:a16="http://schemas.microsoft.com/office/drawing/2014/main" id="{00000000-0008-0000-02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976645875"/>
          <a:ext cx="658667" cy="535619"/>
        </a:xfrm>
        <a:prstGeom prst="rect">
          <a:avLst/>
        </a:prstGeom>
      </xdr:spPr>
    </xdr:pic>
    <xdr:clientData/>
  </xdr:twoCellAnchor>
  <xdr:twoCellAnchor editAs="oneCell">
    <xdr:from>
      <xdr:col>7</xdr:col>
      <xdr:colOff>361950</xdr:colOff>
      <xdr:row>4121</xdr:row>
      <xdr:rowOff>133350</xdr:rowOff>
    </xdr:from>
    <xdr:to>
      <xdr:col>8</xdr:col>
      <xdr:colOff>439592</xdr:colOff>
      <xdr:row>4123</xdr:row>
      <xdr:rowOff>40319</xdr:rowOff>
    </xdr:to>
    <xdr:pic>
      <xdr:nvPicPr>
        <xdr:cNvPr id="124" name="Picture 123">
          <a:extLst>
            <a:ext uri="{FF2B5EF4-FFF2-40B4-BE49-F238E27FC236}">
              <a16:creationId xmlns:a16="http://schemas.microsoft.com/office/drawing/2014/main" id="{00000000-0008-0000-02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984770700"/>
          <a:ext cx="658667" cy="535619"/>
        </a:xfrm>
        <a:prstGeom prst="rect">
          <a:avLst/>
        </a:prstGeom>
      </xdr:spPr>
    </xdr:pic>
    <xdr:clientData/>
  </xdr:twoCellAnchor>
  <xdr:twoCellAnchor editAs="oneCell">
    <xdr:from>
      <xdr:col>7</xdr:col>
      <xdr:colOff>361950</xdr:colOff>
      <xdr:row>4155</xdr:row>
      <xdr:rowOff>142875</xdr:rowOff>
    </xdr:from>
    <xdr:to>
      <xdr:col>8</xdr:col>
      <xdr:colOff>439592</xdr:colOff>
      <xdr:row>4157</xdr:row>
      <xdr:rowOff>49844</xdr:rowOff>
    </xdr:to>
    <xdr:pic>
      <xdr:nvPicPr>
        <xdr:cNvPr id="125" name="Picture 124">
          <a:extLst>
            <a:ext uri="{FF2B5EF4-FFF2-40B4-BE49-F238E27FC236}">
              <a16:creationId xmlns:a16="http://schemas.microsoft.com/office/drawing/2014/main" id="{00000000-0008-0000-02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10100" y="992905050"/>
          <a:ext cx="658667" cy="535619"/>
        </a:xfrm>
        <a:prstGeom prst="rect">
          <a:avLst/>
        </a:prstGeom>
      </xdr:spPr>
    </xdr:pic>
    <xdr:clientData/>
  </xdr:twoCellAnchor>
  <xdr:twoCellAnchor editAs="oneCell">
    <xdr:from>
      <xdr:col>7</xdr:col>
      <xdr:colOff>381000</xdr:colOff>
      <xdr:row>4189</xdr:row>
      <xdr:rowOff>190500</xdr:rowOff>
    </xdr:from>
    <xdr:to>
      <xdr:col>8</xdr:col>
      <xdr:colOff>458642</xdr:colOff>
      <xdr:row>4191</xdr:row>
      <xdr:rowOff>97469</xdr:rowOff>
    </xdr:to>
    <xdr:pic>
      <xdr:nvPicPr>
        <xdr:cNvPr id="126" name="Picture 125">
          <a:extLst>
            <a:ext uri="{FF2B5EF4-FFF2-40B4-BE49-F238E27FC236}">
              <a16:creationId xmlns:a16="http://schemas.microsoft.com/office/drawing/2014/main" id="{00000000-0008-0000-02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9150" y="1001077500"/>
          <a:ext cx="658667" cy="535619"/>
        </a:xfrm>
        <a:prstGeom prst="rect">
          <a:avLst/>
        </a:prstGeom>
      </xdr:spPr>
    </xdr:pic>
    <xdr:clientData/>
  </xdr:twoCellAnchor>
  <xdr:twoCellAnchor editAs="oneCell">
    <xdr:from>
      <xdr:col>7</xdr:col>
      <xdr:colOff>381000</xdr:colOff>
      <xdr:row>4257</xdr:row>
      <xdr:rowOff>200025</xdr:rowOff>
    </xdr:from>
    <xdr:to>
      <xdr:col>8</xdr:col>
      <xdr:colOff>458642</xdr:colOff>
      <xdr:row>4259</xdr:row>
      <xdr:rowOff>106994</xdr:rowOff>
    </xdr:to>
    <xdr:pic>
      <xdr:nvPicPr>
        <xdr:cNvPr id="127" name="Picture 126">
          <a:extLst>
            <a:ext uri="{FF2B5EF4-FFF2-40B4-BE49-F238E27FC236}">
              <a16:creationId xmlns:a16="http://schemas.microsoft.com/office/drawing/2014/main" id="{00000000-0008-0000-02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9150" y="1017336675"/>
          <a:ext cx="658667" cy="535619"/>
        </a:xfrm>
        <a:prstGeom prst="rect">
          <a:avLst/>
        </a:prstGeom>
      </xdr:spPr>
    </xdr:pic>
    <xdr:clientData/>
  </xdr:twoCellAnchor>
  <xdr:twoCellAnchor editAs="oneCell">
    <xdr:from>
      <xdr:col>7</xdr:col>
      <xdr:colOff>381000</xdr:colOff>
      <xdr:row>4223</xdr:row>
      <xdr:rowOff>161925</xdr:rowOff>
    </xdr:from>
    <xdr:to>
      <xdr:col>8</xdr:col>
      <xdr:colOff>458642</xdr:colOff>
      <xdr:row>4225</xdr:row>
      <xdr:rowOff>68894</xdr:rowOff>
    </xdr:to>
    <xdr:pic>
      <xdr:nvPicPr>
        <xdr:cNvPr id="128" name="Picture 127">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9150" y="1009173750"/>
          <a:ext cx="658667" cy="535619"/>
        </a:xfrm>
        <a:prstGeom prst="rect">
          <a:avLst/>
        </a:prstGeom>
      </xdr:spPr>
    </xdr:pic>
    <xdr:clientData/>
  </xdr:twoCellAnchor>
  <xdr:twoCellAnchor editAs="oneCell">
    <xdr:from>
      <xdr:col>7</xdr:col>
      <xdr:colOff>381000</xdr:colOff>
      <xdr:row>4291</xdr:row>
      <xdr:rowOff>171450</xdr:rowOff>
    </xdr:from>
    <xdr:to>
      <xdr:col>8</xdr:col>
      <xdr:colOff>458642</xdr:colOff>
      <xdr:row>4293</xdr:row>
      <xdr:rowOff>78419</xdr:rowOff>
    </xdr:to>
    <xdr:pic>
      <xdr:nvPicPr>
        <xdr:cNvPr id="129" name="Picture 128">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29150" y="1025432925"/>
          <a:ext cx="658667" cy="535619"/>
        </a:xfrm>
        <a:prstGeom prst="rect">
          <a:avLst/>
        </a:prstGeom>
      </xdr:spPr>
    </xdr:pic>
    <xdr:clientData/>
  </xdr:twoCellAnchor>
  <xdr:twoCellAnchor editAs="oneCell">
    <xdr:from>
      <xdr:col>7</xdr:col>
      <xdr:colOff>400050</xdr:colOff>
      <xdr:row>4325</xdr:row>
      <xdr:rowOff>219075</xdr:rowOff>
    </xdr:from>
    <xdr:to>
      <xdr:col>8</xdr:col>
      <xdr:colOff>477692</xdr:colOff>
      <xdr:row>4327</xdr:row>
      <xdr:rowOff>126044</xdr:rowOff>
    </xdr:to>
    <xdr:pic>
      <xdr:nvPicPr>
        <xdr:cNvPr id="130" name="Picture 129">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48200" y="1033605375"/>
          <a:ext cx="658667" cy="535619"/>
        </a:xfrm>
        <a:prstGeom prst="rect">
          <a:avLst/>
        </a:prstGeom>
      </xdr:spPr>
    </xdr:pic>
    <xdr:clientData/>
  </xdr:twoCellAnchor>
  <xdr:twoCellAnchor editAs="oneCell">
    <xdr:from>
      <xdr:col>7</xdr:col>
      <xdr:colOff>276225</xdr:colOff>
      <xdr:row>4359</xdr:row>
      <xdr:rowOff>57150</xdr:rowOff>
    </xdr:from>
    <xdr:to>
      <xdr:col>8</xdr:col>
      <xdr:colOff>353867</xdr:colOff>
      <xdr:row>4360</xdr:row>
      <xdr:rowOff>268919</xdr:rowOff>
    </xdr:to>
    <xdr:pic>
      <xdr:nvPicPr>
        <xdr:cNvPr id="131" name="Picture 130">
          <a:extLst>
            <a:ext uri="{FF2B5EF4-FFF2-40B4-BE49-F238E27FC236}">
              <a16:creationId xmlns:a16="http://schemas.microsoft.com/office/drawing/2014/main" id="{00000000-0008-0000-0200-00008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1041568275"/>
          <a:ext cx="658667" cy="535619"/>
        </a:xfrm>
        <a:prstGeom prst="rect">
          <a:avLst/>
        </a:prstGeom>
      </xdr:spPr>
    </xdr:pic>
    <xdr:clientData/>
  </xdr:twoCellAnchor>
  <xdr:twoCellAnchor editAs="oneCell">
    <xdr:from>
      <xdr:col>7</xdr:col>
      <xdr:colOff>276225</xdr:colOff>
      <xdr:row>4393</xdr:row>
      <xdr:rowOff>38100</xdr:rowOff>
    </xdr:from>
    <xdr:to>
      <xdr:col>8</xdr:col>
      <xdr:colOff>353867</xdr:colOff>
      <xdr:row>4394</xdr:row>
      <xdr:rowOff>249869</xdr:rowOff>
    </xdr:to>
    <xdr:pic>
      <xdr:nvPicPr>
        <xdr:cNvPr id="132" name="Picture 131">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75" y="1049674050"/>
          <a:ext cx="658667" cy="535619"/>
        </a:xfrm>
        <a:prstGeom prst="rect">
          <a:avLst/>
        </a:prstGeom>
      </xdr:spPr>
    </xdr:pic>
    <xdr:clientData/>
  </xdr:twoCellAnchor>
  <xdr:twoCellAnchor editAs="oneCell">
    <xdr:from>
      <xdr:col>7</xdr:col>
      <xdr:colOff>266700</xdr:colOff>
      <xdr:row>4427</xdr:row>
      <xdr:rowOff>38100</xdr:rowOff>
    </xdr:from>
    <xdr:to>
      <xdr:col>8</xdr:col>
      <xdr:colOff>344342</xdr:colOff>
      <xdr:row>4428</xdr:row>
      <xdr:rowOff>249869</xdr:rowOff>
    </xdr:to>
    <xdr:pic>
      <xdr:nvPicPr>
        <xdr:cNvPr id="133" name="Picture 132">
          <a:extLst>
            <a:ext uri="{FF2B5EF4-FFF2-40B4-BE49-F238E27FC236}">
              <a16:creationId xmlns:a16="http://schemas.microsoft.com/office/drawing/2014/main" id="{00000000-0008-0000-02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4850" y="1057798875"/>
          <a:ext cx="658667" cy="535619"/>
        </a:xfrm>
        <a:prstGeom prst="rect">
          <a:avLst/>
        </a:prstGeom>
      </xdr:spPr>
    </xdr:pic>
    <xdr:clientData/>
  </xdr:twoCellAnchor>
  <xdr:twoCellAnchor editAs="oneCell">
    <xdr:from>
      <xdr:col>7</xdr:col>
      <xdr:colOff>295275</xdr:colOff>
      <xdr:row>4461</xdr:row>
      <xdr:rowOff>28575</xdr:rowOff>
    </xdr:from>
    <xdr:to>
      <xdr:col>8</xdr:col>
      <xdr:colOff>372917</xdr:colOff>
      <xdr:row>4462</xdr:row>
      <xdr:rowOff>240344</xdr:rowOff>
    </xdr:to>
    <xdr:pic>
      <xdr:nvPicPr>
        <xdr:cNvPr id="134" name="Picture 133">
          <a:extLst>
            <a:ext uri="{FF2B5EF4-FFF2-40B4-BE49-F238E27FC236}">
              <a16:creationId xmlns:a16="http://schemas.microsoft.com/office/drawing/2014/main" id="{00000000-0008-0000-02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43425" y="1065914175"/>
          <a:ext cx="658667" cy="535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0</xdr:row>
      <xdr:rowOff>19050</xdr:rowOff>
    </xdr:from>
    <xdr:to>
      <xdr:col>4</xdr:col>
      <xdr:colOff>19050</xdr:colOff>
      <xdr:row>3</xdr:row>
      <xdr:rowOff>104775</xdr:rowOff>
    </xdr:to>
    <xdr:pic>
      <xdr:nvPicPr>
        <xdr:cNvPr id="14337" name="Picture 4198" descr="nctta_banner2_sm">
          <a:extLst>
            <a:ext uri="{FF2B5EF4-FFF2-40B4-BE49-F238E27FC236}">
              <a16:creationId xmlns:a16="http://schemas.microsoft.com/office/drawing/2014/main" id="{00000000-0008-0000-0300-000001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9050"/>
          <a:ext cx="1514475" cy="571500"/>
        </a:xfrm>
        <a:prstGeom prst="rect">
          <a:avLst/>
        </a:prstGeom>
        <a:noFill/>
        <a:ln w="9525">
          <a:noFill/>
          <a:miter lim="800000"/>
          <a:headEnd/>
          <a:tailEnd/>
        </a:ln>
      </xdr:spPr>
    </xdr:pic>
    <xdr:clientData/>
  </xdr:twoCellAnchor>
  <xdr:twoCellAnchor>
    <xdr:from>
      <xdr:col>0</xdr:col>
      <xdr:colOff>28575</xdr:colOff>
      <xdr:row>51</xdr:row>
      <xdr:rowOff>19050</xdr:rowOff>
    </xdr:from>
    <xdr:to>
      <xdr:col>4</xdr:col>
      <xdr:colOff>19050</xdr:colOff>
      <xdr:row>54</xdr:row>
      <xdr:rowOff>104775</xdr:rowOff>
    </xdr:to>
    <xdr:pic>
      <xdr:nvPicPr>
        <xdr:cNvPr id="14338" name="Picture 4219" descr="nctta_banner2_sm">
          <a:extLst>
            <a:ext uri="{FF2B5EF4-FFF2-40B4-BE49-F238E27FC236}">
              <a16:creationId xmlns:a16="http://schemas.microsoft.com/office/drawing/2014/main" id="{00000000-0008-0000-0300-000002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8277225"/>
          <a:ext cx="1514475" cy="571500"/>
        </a:xfrm>
        <a:prstGeom prst="rect">
          <a:avLst/>
        </a:prstGeom>
        <a:noFill/>
        <a:ln w="9525">
          <a:noFill/>
          <a:miter lim="800000"/>
          <a:headEnd/>
          <a:tailEnd/>
        </a:ln>
      </xdr:spPr>
    </xdr:pic>
    <xdr:clientData/>
  </xdr:twoCellAnchor>
  <xdr:twoCellAnchor>
    <xdr:from>
      <xdr:col>0</xdr:col>
      <xdr:colOff>28575</xdr:colOff>
      <xdr:row>102</xdr:row>
      <xdr:rowOff>19050</xdr:rowOff>
    </xdr:from>
    <xdr:to>
      <xdr:col>4</xdr:col>
      <xdr:colOff>19050</xdr:colOff>
      <xdr:row>105</xdr:row>
      <xdr:rowOff>104775</xdr:rowOff>
    </xdr:to>
    <xdr:pic>
      <xdr:nvPicPr>
        <xdr:cNvPr id="14339" name="Picture 4247" descr="nctta_banner2_sm">
          <a:extLst>
            <a:ext uri="{FF2B5EF4-FFF2-40B4-BE49-F238E27FC236}">
              <a16:creationId xmlns:a16="http://schemas.microsoft.com/office/drawing/2014/main" id="{00000000-0008-0000-0300-000003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6535400"/>
          <a:ext cx="1514475" cy="571500"/>
        </a:xfrm>
        <a:prstGeom prst="rect">
          <a:avLst/>
        </a:prstGeom>
        <a:noFill/>
        <a:ln w="9525">
          <a:noFill/>
          <a:miter lim="800000"/>
          <a:headEnd/>
          <a:tailEnd/>
        </a:ln>
      </xdr:spPr>
    </xdr:pic>
    <xdr:clientData/>
  </xdr:twoCellAnchor>
  <xdr:twoCellAnchor>
    <xdr:from>
      <xdr:col>0</xdr:col>
      <xdr:colOff>28575</xdr:colOff>
      <xdr:row>153</xdr:row>
      <xdr:rowOff>19050</xdr:rowOff>
    </xdr:from>
    <xdr:to>
      <xdr:col>4</xdr:col>
      <xdr:colOff>19050</xdr:colOff>
      <xdr:row>156</xdr:row>
      <xdr:rowOff>104775</xdr:rowOff>
    </xdr:to>
    <xdr:pic>
      <xdr:nvPicPr>
        <xdr:cNvPr id="14340" name="Picture 4249" descr="nctta_banner2_sm">
          <a:extLst>
            <a:ext uri="{FF2B5EF4-FFF2-40B4-BE49-F238E27FC236}">
              <a16:creationId xmlns:a16="http://schemas.microsoft.com/office/drawing/2014/main" id="{00000000-0008-0000-0300-000004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4793575"/>
          <a:ext cx="1514475" cy="571500"/>
        </a:xfrm>
        <a:prstGeom prst="rect">
          <a:avLst/>
        </a:prstGeom>
        <a:noFill/>
        <a:ln w="9525">
          <a:noFill/>
          <a:miter lim="800000"/>
          <a:headEnd/>
          <a:tailEnd/>
        </a:ln>
      </xdr:spPr>
    </xdr:pic>
    <xdr:clientData/>
  </xdr:twoCellAnchor>
  <xdr:twoCellAnchor>
    <xdr:from>
      <xdr:col>0</xdr:col>
      <xdr:colOff>28575</xdr:colOff>
      <xdr:row>204</xdr:row>
      <xdr:rowOff>19050</xdr:rowOff>
    </xdr:from>
    <xdr:to>
      <xdr:col>4</xdr:col>
      <xdr:colOff>19050</xdr:colOff>
      <xdr:row>207</xdr:row>
      <xdr:rowOff>104775</xdr:rowOff>
    </xdr:to>
    <xdr:pic>
      <xdr:nvPicPr>
        <xdr:cNvPr id="14341" name="Picture 4303" descr="nctta_banner2_sm">
          <a:extLst>
            <a:ext uri="{FF2B5EF4-FFF2-40B4-BE49-F238E27FC236}">
              <a16:creationId xmlns:a16="http://schemas.microsoft.com/office/drawing/2014/main" id="{00000000-0008-0000-0300-000005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3051750"/>
          <a:ext cx="1514475" cy="571500"/>
        </a:xfrm>
        <a:prstGeom prst="rect">
          <a:avLst/>
        </a:prstGeom>
        <a:noFill/>
        <a:ln w="9525">
          <a:noFill/>
          <a:miter lim="800000"/>
          <a:headEnd/>
          <a:tailEnd/>
        </a:ln>
      </xdr:spPr>
    </xdr:pic>
    <xdr:clientData/>
  </xdr:twoCellAnchor>
  <xdr:twoCellAnchor>
    <xdr:from>
      <xdr:col>0</xdr:col>
      <xdr:colOff>28575</xdr:colOff>
      <xdr:row>255</xdr:row>
      <xdr:rowOff>19050</xdr:rowOff>
    </xdr:from>
    <xdr:to>
      <xdr:col>4</xdr:col>
      <xdr:colOff>19050</xdr:colOff>
      <xdr:row>258</xdr:row>
      <xdr:rowOff>104775</xdr:rowOff>
    </xdr:to>
    <xdr:pic>
      <xdr:nvPicPr>
        <xdr:cNvPr id="14342" name="Picture 4305" descr="nctta_banner2_sm">
          <a:extLst>
            <a:ext uri="{FF2B5EF4-FFF2-40B4-BE49-F238E27FC236}">
              <a16:creationId xmlns:a16="http://schemas.microsoft.com/office/drawing/2014/main" id="{00000000-0008-0000-0300-000006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1309925"/>
          <a:ext cx="1514475" cy="571500"/>
        </a:xfrm>
        <a:prstGeom prst="rect">
          <a:avLst/>
        </a:prstGeom>
        <a:noFill/>
        <a:ln w="9525">
          <a:noFill/>
          <a:miter lim="800000"/>
          <a:headEnd/>
          <a:tailEnd/>
        </a:ln>
      </xdr:spPr>
    </xdr:pic>
    <xdr:clientData/>
  </xdr:twoCellAnchor>
  <xdr:twoCellAnchor>
    <xdr:from>
      <xdr:col>0</xdr:col>
      <xdr:colOff>28575</xdr:colOff>
      <xdr:row>306</xdr:row>
      <xdr:rowOff>19050</xdr:rowOff>
    </xdr:from>
    <xdr:to>
      <xdr:col>4</xdr:col>
      <xdr:colOff>19050</xdr:colOff>
      <xdr:row>309</xdr:row>
      <xdr:rowOff>104775</xdr:rowOff>
    </xdr:to>
    <xdr:pic>
      <xdr:nvPicPr>
        <xdr:cNvPr id="14343" name="Picture 4359" descr="nctta_banner2_sm">
          <a:extLst>
            <a:ext uri="{FF2B5EF4-FFF2-40B4-BE49-F238E27FC236}">
              <a16:creationId xmlns:a16="http://schemas.microsoft.com/office/drawing/2014/main" id="{00000000-0008-0000-0300-000007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9568100"/>
          <a:ext cx="1514475" cy="571500"/>
        </a:xfrm>
        <a:prstGeom prst="rect">
          <a:avLst/>
        </a:prstGeom>
        <a:noFill/>
        <a:ln w="9525">
          <a:noFill/>
          <a:miter lim="800000"/>
          <a:headEnd/>
          <a:tailEnd/>
        </a:ln>
      </xdr:spPr>
    </xdr:pic>
    <xdr:clientData/>
  </xdr:twoCellAnchor>
  <xdr:twoCellAnchor>
    <xdr:from>
      <xdr:col>0</xdr:col>
      <xdr:colOff>28575</xdr:colOff>
      <xdr:row>357</xdr:row>
      <xdr:rowOff>19050</xdr:rowOff>
    </xdr:from>
    <xdr:to>
      <xdr:col>4</xdr:col>
      <xdr:colOff>19050</xdr:colOff>
      <xdr:row>360</xdr:row>
      <xdr:rowOff>104775</xdr:rowOff>
    </xdr:to>
    <xdr:pic>
      <xdr:nvPicPr>
        <xdr:cNvPr id="14344" name="Picture 4361" descr="nctta_banner2_sm">
          <a:extLst>
            <a:ext uri="{FF2B5EF4-FFF2-40B4-BE49-F238E27FC236}">
              <a16:creationId xmlns:a16="http://schemas.microsoft.com/office/drawing/2014/main" id="{00000000-0008-0000-0300-000008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57826275"/>
          <a:ext cx="1514475" cy="571500"/>
        </a:xfrm>
        <a:prstGeom prst="rect">
          <a:avLst/>
        </a:prstGeom>
        <a:noFill/>
        <a:ln w="9525">
          <a:noFill/>
          <a:miter lim="800000"/>
          <a:headEnd/>
          <a:tailEnd/>
        </a:ln>
      </xdr:spPr>
    </xdr:pic>
    <xdr:clientData/>
  </xdr:twoCellAnchor>
  <xdr:twoCellAnchor>
    <xdr:from>
      <xdr:col>0</xdr:col>
      <xdr:colOff>28575</xdr:colOff>
      <xdr:row>408</xdr:row>
      <xdr:rowOff>19050</xdr:rowOff>
    </xdr:from>
    <xdr:to>
      <xdr:col>4</xdr:col>
      <xdr:colOff>19050</xdr:colOff>
      <xdr:row>411</xdr:row>
      <xdr:rowOff>104775</xdr:rowOff>
    </xdr:to>
    <xdr:pic>
      <xdr:nvPicPr>
        <xdr:cNvPr id="14345" name="Picture 4415" descr="nctta_banner2_sm">
          <a:extLst>
            <a:ext uri="{FF2B5EF4-FFF2-40B4-BE49-F238E27FC236}">
              <a16:creationId xmlns:a16="http://schemas.microsoft.com/office/drawing/2014/main" id="{00000000-0008-0000-0300-000009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66084450"/>
          <a:ext cx="1514475" cy="571500"/>
        </a:xfrm>
        <a:prstGeom prst="rect">
          <a:avLst/>
        </a:prstGeom>
        <a:noFill/>
        <a:ln w="9525">
          <a:noFill/>
          <a:miter lim="800000"/>
          <a:headEnd/>
          <a:tailEnd/>
        </a:ln>
      </xdr:spPr>
    </xdr:pic>
    <xdr:clientData/>
  </xdr:twoCellAnchor>
  <xdr:twoCellAnchor>
    <xdr:from>
      <xdr:col>0</xdr:col>
      <xdr:colOff>28575</xdr:colOff>
      <xdr:row>459</xdr:row>
      <xdr:rowOff>19050</xdr:rowOff>
    </xdr:from>
    <xdr:to>
      <xdr:col>4</xdr:col>
      <xdr:colOff>19050</xdr:colOff>
      <xdr:row>462</xdr:row>
      <xdr:rowOff>104775</xdr:rowOff>
    </xdr:to>
    <xdr:pic>
      <xdr:nvPicPr>
        <xdr:cNvPr id="14346" name="Picture 4417" descr="nctta_banner2_sm">
          <a:extLst>
            <a:ext uri="{FF2B5EF4-FFF2-40B4-BE49-F238E27FC236}">
              <a16:creationId xmlns:a16="http://schemas.microsoft.com/office/drawing/2014/main" id="{00000000-0008-0000-0300-00000A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74342625"/>
          <a:ext cx="1514475" cy="571500"/>
        </a:xfrm>
        <a:prstGeom prst="rect">
          <a:avLst/>
        </a:prstGeom>
        <a:noFill/>
        <a:ln w="9525">
          <a:noFill/>
          <a:miter lim="800000"/>
          <a:headEnd/>
          <a:tailEnd/>
        </a:ln>
      </xdr:spPr>
    </xdr:pic>
    <xdr:clientData/>
  </xdr:twoCellAnchor>
  <xdr:twoCellAnchor>
    <xdr:from>
      <xdr:col>0</xdr:col>
      <xdr:colOff>28575</xdr:colOff>
      <xdr:row>510</xdr:row>
      <xdr:rowOff>19050</xdr:rowOff>
    </xdr:from>
    <xdr:to>
      <xdr:col>4</xdr:col>
      <xdr:colOff>19050</xdr:colOff>
      <xdr:row>513</xdr:row>
      <xdr:rowOff>104775</xdr:rowOff>
    </xdr:to>
    <xdr:pic>
      <xdr:nvPicPr>
        <xdr:cNvPr id="14347" name="Picture 4471" descr="nctta_banner2_sm">
          <a:extLst>
            <a:ext uri="{FF2B5EF4-FFF2-40B4-BE49-F238E27FC236}">
              <a16:creationId xmlns:a16="http://schemas.microsoft.com/office/drawing/2014/main" id="{00000000-0008-0000-0300-00000B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82600800"/>
          <a:ext cx="1514475" cy="571500"/>
        </a:xfrm>
        <a:prstGeom prst="rect">
          <a:avLst/>
        </a:prstGeom>
        <a:noFill/>
        <a:ln w="9525">
          <a:noFill/>
          <a:miter lim="800000"/>
          <a:headEnd/>
          <a:tailEnd/>
        </a:ln>
      </xdr:spPr>
    </xdr:pic>
    <xdr:clientData/>
  </xdr:twoCellAnchor>
  <xdr:twoCellAnchor>
    <xdr:from>
      <xdr:col>0</xdr:col>
      <xdr:colOff>28575</xdr:colOff>
      <xdr:row>561</xdr:row>
      <xdr:rowOff>19050</xdr:rowOff>
    </xdr:from>
    <xdr:to>
      <xdr:col>4</xdr:col>
      <xdr:colOff>19050</xdr:colOff>
      <xdr:row>564</xdr:row>
      <xdr:rowOff>104775</xdr:rowOff>
    </xdr:to>
    <xdr:pic>
      <xdr:nvPicPr>
        <xdr:cNvPr id="14348" name="Picture 4473" descr="nctta_banner2_sm">
          <a:extLst>
            <a:ext uri="{FF2B5EF4-FFF2-40B4-BE49-F238E27FC236}">
              <a16:creationId xmlns:a16="http://schemas.microsoft.com/office/drawing/2014/main" id="{00000000-0008-0000-0300-00000C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90858975"/>
          <a:ext cx="1514475" cy="571500"/>
        </a:xfrm>
        <a:prstGeom prst="rect">
          <a:avLst/>
        </a:prstGeom>
        <a:noFill/>
        <a:ln w="9525">
          <a:noFill/>
          <a:miter lim="800000"/>
          <a:headEnd/>
          <a:tailEnd/>
        </a:ln>
      </xdr:spPr>
    </xdr:pic>
    <xdr:clientData/>
  </xdr:twoCellAnchor>
  <xdr:twoCellAnchor>
    <xdr:from>
      <xdr:col>0</xdr:col>
      <xdr:colOff>28575</xdr:colOff>
      <xdr:row>612</xdr:row>
      <xdr:rowOff>19050</xdr:rowOff>
    </xdr:from>
    <xdr:to>
      <xdr:col>4</xdr:col>
      <xdr:colOff>19050</xdr:colOff>
      <xdr:row>615</xdr:row>
      <xdr:rowOff>104775</xdr:rowOff>
    </xdr:to>
    <xdr:pic>
      <xdr:nvPicPr>
        <xdr:cNvPr id="14349" name="Picture 4527" descr="nctta_banner2_sm">
          <a:extLst>
            <a:ext uri="{FF2B5EF4-FFF2-40B4-BE49-F238E27FC236}">
              <a16:creationId xmlns:a16="http://schemas.microsoft.com/office/drawing/2014/main" id="{00000000-0008-0000-0300-00000D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99117150"/>
          <a:ext cx="1514475" cy="571500"/>
        </a:xfrm>
        <a:prstGeom prst="rect">
          <a:avLst/>
        </a:prstGeom>
        <a:noFill/>
        <a:ln w="9525">
          <a:noFill/>
          <a:miter lim="800000"/>
          <a:headEnd/>
          <a:tailEnd/>
        </a:ln>
      </xdr:spPr>
    </xdr:pic>
    <xdr:clientData/>
  </xdr:twoCellAnchor>
  <xdr:twoCellAnchor>
    <xdr:from>
      <xdr:col>0</xdr:col>
      <xdr:colOff>28575</xdr:colOff>
      <xdr:row>663</xdr:row>
      <xdr:rowOff>19050</xdr:rowOff>
    </xdr:from>
    <xdr:to>
      <xdr:col>4</xdr:col>
      <xdr:colOff>19050</xdr:colOff>
      <xdr:row>666</xdr:row>
      <xdr:rowOff>104775</xdr:rowOff>
    </xdr:to>
    <xdr:pic>
      <xdr:nvPicPr>
        <xdr:cNvPr id="14350" name="Picture 4529" descr="nctta_banner2_sm">
          <a:extLst>
            <a:ext uri="{FF2B5EF4-FFF2-40B4-BE49-F238E27FC236}">
              <a16:creationId xmlns:a16="http://schemas.microsoft.com/office/drawing/2014/main" id="{00000000-0008-0000-0300-00000E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07375325"/>
          <a:ext cx="1514475" cy="571500"/>
        </a:xfrm>
        <a:prstGeom prst="rect">
          <a:avLst/>
        </a:prstGeom>
        <a:noFill/>
        <a:ln w="9525">
          <a:noFill/>
          <a:miter lim="800000"/>
          <a:headEnd/>
          <a:tailEnd/>
        </a:ln>
      </xdr:spPr>
    </xdr:pic>
    <xdr:clientData/>
  </xdr:twoCellAnchor>
  <xdr:twoCellAnchor>
    <xdr:from>
      <xdr:col>0</xdr:col>
      <xdr:colOff>28575</xdr:colOff>
      <xdr:row>714</xdr:row>
      <xdr:rowOff>19050</xdr:rowOff>
    </xdr:from>
    <xdr:to>
      <xdr:col>4</xdr:col>
      <xdr:colOff>19050</xdr:colOff>
      <xdr:row>717</xdr:row>
      <xdr:rowOff>104775</xdr:rowOff>
    </xdr:to>
    <xdr:pic>
      <xdr:nvPicPr>
        <xdr:cNvPr id="14351" name="Picture 4583" descr="nctta_banner2_sm">
          <a:extLst>
            <a:ext uri="{FF2B5EF4-FFF2-40B4-BE49-F238E27FC236}">
              <a16:creationId xmlns:a16="http://schemas.microsoft.com/office/drawing/2014/main" id="{00000000-0008-0000-0300-00000F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15633500"/>
          <a:ext cx="1514475" cy="571500"/>
        </a:xfrm>
        <a:prstGeom prst="rect">
          <a:avLst/>
        </a:prstGeom>
        <a:noFill/>
        <a:ln w="9525">
          <a:noFill/>
          <a:miter lim="800000"/>
          <a:headEnd/>
          <a:tailEnd/>
        </a:ln>
      </xdr:spPr>
    </xdr:pic>
    <xdr:clientData/>
  </xdr:twoCellAnchor>
  <xdr:twoCellAnchor>
    <xdr:from>
      <xdr:col>0</xdr:col>
      <xdr:colOff>28575</xdr:colOff>
      <xdr:row>765</xdr:row>
      <xdr:rowOff>19050</xdr:rowOff>
    </xdr:from>
    <xdr:to>
      <xdr:col>4</xdr:col>
      <xdr:colOff>19050</xdr:colOff>
      <xdr:row>768</xdr:row>
      <xdr:rowOff>104775</xdr:rowOff>
    </xdr:to>
    <xdr:pic>
      <xdr:nvPicPr>
        <xdr:cNvPr id="14352" name="Picture 4585" descr="nctta_banner2_sm">
          <a:extLst>
            <a:ext uri="{FF2B5EF4-FFF2-40B4-BE49-F238E27FC236}">
              <a16:creationId xmlns:a16="http://schemas.microsoft.com/office/drawing/2014/main" id="{00000000-0008-0000-0300-000010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23891675"/>
          <a:ext cx="1514475" cy="571500"/>
        </a:xfrm>
        <a:prstGeom prst="rect">
          <a:avLst/>
        </a:prstGeom>
        <a:noFill/>
        <a:ln w="9525">
          <a:noFill/>
          <a:miter lim="800000"/>
          <a:headEnd/>
          <a:tailEnd/>
        </a:ln>
      </xdr:spPr>
    </xdr:pic>
    <xdr:clientData/>
  </xdr:twoCellAnchor>
  <xdr:twoCellAnchor>
    <xdr:from>
      <xdr:col>0</xdr:col>
      <xdr:colOff>28575</xdr:colOff>
      <xdr:row>816</xdr:row>
      <xdr:rowOff>19050</xdr:rowOff>
    </xdr:from>
    <xdr:to>
      <xdr:col>4</xdr:col>
      <xdr:colOff>19050</xdr:colOff>
      <xdr:row>819</xdr:row>
      <xdr:rowOff>104775</xdr:rowOff>
    </xdr:to>
    <xdr:pic>
      <xdr:nvPicPr>
        <xdr:cNvPr id="14353" name="Picture 4639" descr="nctta_banner2_sm">
          <a:extLst>
            <a:ext uri="{FF2B5EF4-FFF2-40B4-BE49-F238E27FC236}">
              <a16:creationId xmlns:a16="http://schemas.microsoft.com/office/drawing/2014/main" id="{00000000-0008-0000-0300-000011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32149850"/>
          <a:ext cx="1514475" cy="571500"/>
        </a:xfrm>
        <a:prstGeom prst="rect">
          <a:avLst/>
        </a:prstGeom>
        <a:noFill/>
        <a:ln w="9525">
          <a:noFill/>
          <a:miter lim="800000"/>
          <a:headEnd/>
          <a:tailEnd/>
        </a:ln>
      </xdr:spPr>
    </xdr:pic>
    <xdr:clientData/>
  </xdr:twoCellAnchor>
  <xdr:twoCellAnchor>
    <xdr:from>
      <xdr:col>0</xdr:col>
      <xdr:colOff>28575</xdr:colOff>
      <xdr:row>867</xdr:row>
      <xdr:rowOff>19050</xdr:rowOff>
    </xdr:from>
    <xdr:to>
      <xdr:col>4</xdr:col>
      <xdr:colOff>19050</xdr:colOff>
      <xdr:row>870</xdr:row>
      <xdr:rowOff>104775</xdr:rowOff>
    </xdr:to>
    <xdr:pic>
      <xdr:nvPicPr>
        <xdr:cNvPr id="14354" name="Picture 4641" descr="nctta_banner2_sm">
          <a:extLst>
            <a:ext uri="{FF2B5EF4-FFF2-40B4-BE49-F238E27FC236}">
              <a16:creationId xmlns:a16="http://schemas.microsoft.com/office/drawing/2014/main" id="{00000000-0008-0000-0300-000012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40408025"/>
          <a:ext cx="1514475" cy="571500"/>
        </a:xfrm>
        <a:prstGeom prst="rect">
          <a:avLst/>
        </a:prstGeom>
        <a:noFill/>
        <a:ln w="9525">
          <a:noFill/>
          <a:miter lim="800000"/>
          <a:headEnd/>
          <a:tailEnd/>
        </a:ln>
      </xdr:spPr>
    </xdr:pic>
    <xdr:clientData/>
  </xdr:twoCellAnchor>
  <xdr:twoCellAnchor>
    <xdr:from>
      <xdr:col>0</xdr:col>
      <xdr:colOff>28575</xdr:colOff>
      <xdr:row>918</xdr:row>
      <xdr:rowOff>19050</xdr:rowOff>
    </xdr:from>
    <xdr:to>
      <xdr:col>4</xdr:col>
      <xdr:colOff>19050</xdr:colOff>
      <xdr:row>921</xdr:row>
      <xdr:rowOff>104775</xdr:rowOff>
    </xdr:to>
    <xdr:pic>
      <xdr:nvPicPr>
        <xdr:cNvPr id="14355" name="Picture 4695" descr="nctta_banner2_sm">
          <a:extLst>
            <a:ext uri="{FF2B5EF4-FFF2-40B4-BE49-F238E27FC236}">
              <a16:creationId xmlns:a16="http://schemas.microsoft.com/office/drawing/2014/main" id="{00000000-0008-0000-0300-000013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48666200"/>
          <a:ext cx="1514475" cy="571500"/>
        </a:xfrm>
        <a:prstGeom prst="rect">
          <a:avLst/>
        </a:prstGeom>
        <a:noFill/>
        <a:ln w="9525">
          <a:noFill/>
          <a:miter lim="800000"/>
          <a:headEnd/>
          <a:tailEnd/>
        </a:ln>
      </xdr:spPr>
    </xdr:pic>
    <xdr:clientData/>
  </xdr:twoCellAnchor>
  <xdr:twoCellAnchor>
    <xdr:from>
      <xdr:col>0</xdr:col>
      <xdr:colOff>28575</xdr:colOff>
      <xdr:row>969</xdr:row>
      <xdr:rowOff>19050</xdr:rowOff>
    </xdr:from>
    <xdr:to>
      <xdr:col>4</xdr:col>
      <xdr:colOff>19050</xdr:colOff>
      <xdr:row>972</xdr:row>
      <xdr:rowOff>104775</xdr:rowOff>
    </xdr:to>
    <xdr:pic>
      <xdr:nvPicPr>
        <xdr:cNvPr id="14356" name="Picture 4697" descr="nctta_banner2_sm">
          <a:extLst>
            <a:ext uri="{FF2B5EF4-FFF2-40B4-BE49-F238E27FC236}">
              <a16:creationId xmlns:a16="http://schemas.microsoft.com/office/drawing/2014/main" id="{00000000-0008-0000-0300-000014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56924375"/>
          <a:ext cx="1514475" cy="571500"/>
        </a:xfrm>
        <a:prstGeom prst="rect">
          <a:avLst/>
        </a:prstGeom>
        <a:noFill/>
        <a:ln w="9525">
          <a:noFill/>
          <a:miter lim="800000"/>
          <a:headEnd/>
          <a:tailEnd/>
        </a:ln>
      </xdr:spPr>
    </xdr:pic>
    <xdr:clientData/>
  </xdr:twoCellAnchor>
  <xdr:twoCellAnchor>
    <xdr:from>
      <xdr:col>0</xdr:col>
      <xdr:colOff>28575</xdr:colOff>
      <xdr:row>1020</xdr:row>
      <xdr:rowOff>19050</xdr:rowOff>
    </xdr:from>
    <xdr:to>
      <xdr:col>4</xdr:col>
      <xdr:colOff>19050</xdr:colOff>
      <xdr:row>1023</xdr:row>
      <xdr:rowOff>104775</xdr:rowOff>
    </xdr:to>
    <xdr:pic>
      <xdr:nvPicPr>
        <xdr:cNvPr id="14357" name="Picture 4751" descr="nctta_banner2_sm">
          <a:extLst>
            <a:ext uri="{FF2B5EF4-FFF2-40B4-BE49-F238E27FC236}">
              <a16:creationId xmlns:a16="http://schemas.microsoft.com/office/drawing/2014/main" id="{00000000-0008-0000-0300-000015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65182550"/>
          <a:ext cx="1514475" cy="571500"/>
        </a:xfrm>
        <a:prstGeom prst="rect">
          <a:avLst/>
        </a:prstGeom>
        <a:noFill/>
        <a:ln w="9525">
          <a:noFill/>
          <a:miter lim="800000"/>
          <a:headEnd/>
          <a:tailEnd/>
        </a:ln>
      </xdr:spPr>
    </xdr:pic>
    <xdr:clientData/>
  </xdr:twoCellAnchor>
  <xdr:twoCellAnchor>
    <xdr:from>
      <xdr:col>0</xdr:col>
      <xdr:colOff>28575</xdr:colOff>
      <xdr:row>1071</xdr:row>
      <xdr:rowOff>19050</xdr:rowOff>
    </xdr:from>
    <xdr:to>
      <xdr:col>4</xdr:col>
      <xdr:colOff>19050</xdr:colOff>
      <xdr:row>1074</xdr:row>
      <xdr:rowOff>104775</xdr:rowOff>
    </xdr:to>
    <xdr:pic>
      <xdr:nvPicPr>
        <xdr:cNvPr id="14358" name="Picture 4753" descr="nctta_banner2_sm">
          <a:extLst>
            <a:ext uri="{FF2B5EF4-FFF2-40B4-BE49-F238E27FC236}">
              <a16:creationId xmlns:a16="http://schemas.microsoft.com/office/drawing/2014/main" id="{00000000-0008-0000-0300-000016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73440725"/>
          <a:ext cx="1514475" cy="571500"/>
        </a:xfrm>
        <a:prstGeom prst="rect">
          <a:avLst/>
        </a:prstGeom>
        <a:noFill/>
        <a:ln w="9525">
          <a:noFill/>
          <a:miter lim="800000"/>
          <a:headEnd/>
          <a:tailEnd/>
        </a:ln>
      </xdr:spPr>
    </xdr:pic>
    <xdr:clientData/>
  </xdr:twoCellAnchor>
  <xdr:twoCellAnchor>
    <xdr:from>
      <xdr:col>0</xdr:col>
      <xdr:colOff>28575</xdr:colOff>
      <xdr:row>1122</xdr:row>
      <xdr:rowOff>19050</xdr:rowOff>
    </xdr:from>
    <xdr:to>
      <xdr:col>4</xdr:col>
      <xdr:colOff>19050</xdr:colOff>
      <xdr:row>1125</xdr:row>
      <xdr:rowOff>104775</xdr:rowOff>
    </xdr:to>
    <xdr:pic>
      <xdr:nvPicPr>
        <xdr:cNvPr id="14359" name="Picture 4807" descr="nctta_banner2_sm">
          <a:extLst>
            <a:ext uri="{FF2B5EF4-FFF2-40B4-BE49-F238E27FC236}">
              <a16:creationId xmlns:a16="http://schemas.microsoft.com/office/drawing/2014/main" id="{00000000-0008-0000-0300-000017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81698900"/>
          <a:ext cx="1514475" cy="571500"/>
        </a:xfrm>
        <a:prstGeom prst="rect">
          <a:avLst/>
        </a:prstGeom>
        <a:noFill/>
        <a:ln w="9525">
          <a:noFill/>
          <a:miter lim="800000"/>
          <a:headEnd/>
          <a:tailEnd/>
        </a:ln>
      </xdr:spPr>
    </xdr:pic>
    <xdr:clientData/>
  </xdr:twoCellAnchor>
  <xdr:twoCellAnchor>
    <xdr:from>
      <xdr:col>0</xdr:col>
      <xdr:colOff>28575</xdr:colOff>
      <xdr:row>1173</xdr:row>
      <xdr:rowOff>19050</xdr:rowOff>
    </xdr:from>
    <xdr:to>
      <xdr:col>4</xdr:col>
      <xdr:colOff>19050</xdr:colOff>
      <xdr:row>1176</xdr:row>
      <xdr:rowOff>104775</xdr:rowOff>
    </xdr:to>
    <xdr:pic>
      <xdr:nvPicPr>
        <xdr:cNvPr id="14360" name="Picture 4809" descr="nctta_banner2_sm">
          <a:extLst>
            <a:ext uri="{FF2B5EF4-FFF2-40B4-BE49-F238E27FC236}">
              <a16:creationId xmlns:a16="http://schemas.microsoft.com/office/drawing/2014/main" id="{00000000-0008-0000-0300-000018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89957075"/>
          <a:ext cx="1514475" cy="571500"/>
        </a:xfrm>
        <a:prstGeom prst="rect">
          <a:avLst/>
        </a:prstGeom>
        <a:noFill/>
        <a:ln w="9525">
          <a:noFill/>
          <a:miter lim="800000"/>
          <a:headEnd/>
          <a:tailEnd/>
        </a:ln>
      </xdr:spPr>
    </xdr:pic>
    <xdr:clientData/>
  </xdr:twoCellAnchor>
  <xdr:twoCellAnchor>
    <xdr:from>
      <xdr:col>0</xdr:col>
      <xdr:colOff>28575</xdr:colOff>
      <xdr:row>1224</xdr:row>
      <xdr:rowOff>19050</xdr:rowOff>
    </xdr:from>
    <xdr:to>
      <xdr:col>4</xdr:col>
      <xdr:colOff>19050</xdr:colOff>
      <xdr:row>1227</xdr:row>
      <xdr:rowOff>104775</xdr:rowOff>
    </xdr:to>
    <xdr:pic>
      <xdr:nvPicPr>
        <xdr:cNvPr id="14361" name="Picture 4863" descr="nctta_banner2_sm">
          <a:extLst>
            <a:ext uri="{FF2B5EF4-FFF2-40B4-BE49-F238E27FC236}">
              <a16:creationId xmlns:a16="http://schemas.microsoft.com/office/drawing/2014/main" id="{00000000-0008-0000-0300-000019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98215250"/>
          <a:ext cx="1514475" cy="571500"/>
        </a:xfrm>
        <a:prstGeom prst="rect">
          <a:avLst/>
        </a:prstGeom>
        <a:noFill/>
        <a:ln w="9525">
          <a:noFill/>
          <a:miter lim="800000"/>
          <a:headEnd/>
          <a:tailEnd/>
        </a:ln>
      </xdr:spPr>
    </xdr:pic>
    <xdr:clientData/>
  </xdr:twoCellAnchor>
  <xdr:twoCellAnchor>
    <xdr:from>
      <xdr:col>0</xdr:col>
      <xdr:colOff>28575</xdr:colOff>
      <xdr:row>1275</xdr:row>
      <xdr:rowOff>19050</xdr:rowOff>
    </xdr:from>
    <xdr:to>
      <xdr:col>4</xdr:col>
      <xdr:colOff>19050</xdr:colOff>
      <xdr:row>1278</xdr:row>
      <xdr:rowOff>104775</xdr:rowOff>
    </xdr:to>
    <xdr:pic>
      <xdr:nvPicPr>
        <xdr:cNvPr id="14362" name="Picture 4865" descr="nctta_banner2_sm">
          <a:extLst>
            <a:ext uri="{FF2B5EF4-FFF2-40B4-BE49-F238E27FC236}">
              <a16:creationId xmlns:a16="http://schemas.microsoft.com/office/drawing/2014/main" id="{00000000-0008-0000-0300-00001A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06473425"/>
          <a:ext cx="1514475" cy="571500"/>
        </a:xfrm>
        <a:prstGeom prst="rect">
          <a:avLst/>
        </a:prstGeom>
        <a:noFill/>
        <a:ln w="9525">
          <a:noFill/>
          <a:miter lim="800000"/>
          <a:headEnd/>
          <a:tailEnd/>
        </a:ln>
      </xdr:spPr>
    </xdr:pic>
    <xdr:clientData/>
  </xdr:twoCellAnchor>
  <xdr:twoCellAnchor>
    <xdr:from>
      <xdr:col>0</xdr:col>
      <xdr:colOff>28575</xdr:colOff>
      <xdr:row>1326</xdr:row>
      <xdr:rowOff>19050</xdr:rowOff>
    </xdr:from>
    <xdr:to>
      <xdr:col>4</xdr:col>
      <xdr:colOff>19050</xdr:colOff>
      <xdr:row>1329</xdr:row>
      <xdr:rowOff>104775</xdr:rowOff>
    </xdr:to>
    <xdr:pic>
      <xdr:nvPicPr>
        <xdr:cNvPr id="14363" name="Picture 4919" descr="nctta_banner2_sm">
          <a:extLst>
            <a:ext uri="{FF2B5EF4-FFF2-40B4-BE49-F238E27FC236}">
              <a16:creationId xmlns:a16="http://schemas.microsoft.com/office/drawing/2014/main" id="{00000000-0008-0000-0300-00001B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14731600"/>
          <a:ext cx="1514475" cy="571500"/>
        </a:xfrm>
        <a:prstGeom prst="rect">
          <a:avLst/>
        </a:prstGeom>
        <a:noFill/>
        <a:ln w="9525">
          <a:noFill/>
          <a:miter lim="800000"/>
          <a:headEnd/>
          <a:tailEnd/>
        </a:ln>
      </xdr:spPr>
    </xdr:pic>
    <xdr:clientData/>
  </xdr:twoCellAnchor>
  <xdr:twoCellAnchor>
    <xdr:from>
      <xdr:col>0</xdr:col>
      <xdr:colOff>28575</xdr:colOff>
      <xdr:row>1377</xdr:row>
      <xdr:rowOff>19050</xdr:rowOff>
    </xdr:from>
    <xdr:to>
      <xdr:col>4</xdr:col>
      <xdr:colOff>19050</xdr:colOff>
      <xdr:row>1380</xdr:row>
      <xdr:rowOff>104775</xdr:rowOff>
    </xdr:to>
    <xdr:pic>
      <xdr:nvPicPr>
        <xdr:cNvPr id="14364" name="Picture 4921" descr="nctta_banner2_sm">
          <a:extLst>
            <a:ext uri="{FF2B5EF4-FFF2-40B4-BE49-F238E27FC236}">
              <a16:creationId xmlns:a16="http://schemas.microsoft.com/office/drawing/2014/main" id="{00000000-0008-0000-0300-00001C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22989775"/>
          <a:ext cx="1514475" cy="571500"/>
        </a:xfrm>
        <a:prstGeom prst="rect">
          <a:avLst/>
        </a:prstGeom>
        <a:noFill/>
        <a:ln w="9525">
          <a:noFill/>
          <a:miter lim="800000"/>
          <a:headEnd/>
          <a:tailEnd/>
        </a:ln>
      </xdr:spPr>
    </xdr:pic>
    <xdr:clientData/>
  </xdr:twoCellAnchor>
  <xdr:twoCellAnchor>
    <xdr:from>
      <xdr:col>0</xdr:col>
      <xdr:colOff>28575</xdr:colOff>
      <xdr:row>1428</xdr:row>
      <xdr:rowOff>19050</xdr:rowOff>
    </xdr:from>
    <xdr:to>
      <xdr:col>4</xdr:col>
      <xdr:colOff>19050</xdr:colOff>
      <xdr:row>1431</xdr:row>
      <xdr:rowOff>104775</xdr:rowOff>
    </xdr:to>
    <xdr:pic>
      <xdr:nvPicPr>
        <xdr:cNvPr id="14365" name="Picture 4975" descr="nctta_banner2_sm">
          <a:extLst>
            <a:ext uri="{FF2B5EF4-FFF2-40B4-BE49-F238E27FC236}">
              <a16:creationId xmlns:a16="http://schemas.microsoft.com/office/drawing/2014/main" id="{00000000-0008-0000-0300-00001D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31247950"/>
          <a:ext cx="1514475" cy="571500"/>
        </a:xfrm>
        <a:prstGeom prst="rect">
          <a:avLst/>
        </a:prstGeom>
        <a:noFill/>
        <a:ln w="9525">
          <a:noFill/>
          <a:miter lim="800000"/>
          <a:headEnd/>
          <a:tailEnd/>
        </a:ln>
      </xdr:spPr>
    </xdr:pic>
    <xdr:clientData/>
  </xdr:twoCellAnchor>
  <xdr:twoCellAnchor>
    <xdr:from>
      <xdr:col>0</xdr:col>
      <xdr:colOff>28575</xdr:colOff>
      <xdr:row>1479</xdr:row>
      <xdr:rowOff>19050</xdr:rowOff>
    </xdr:from>
    <xdr:to>
      <xdr:col>4</xdr:col>
      <xdr:colOff>19050</xdr:colOff>
      <xdr:row>1482</xdr:row>
      <xdr:rowOff>104775</xdr:rowOff>
    </xdr:to>
    <xdr:pic>
      <xdr:nvPicPr>
        <xdr:cNvPr id="14366" name="Picture 4977" descr="nctta_banner2_sm">
          <a:extLst>
            <a:ext uri="{FF2B5EF4-FFF2-40B4-BE49-F238E27FC236}">
              <a16:creationId xmlns:a16="http://schemas.microsoft.com/office/drawing/2014/main" id="{00000000-0008-0000-0300-00001E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39506125"/>
          <a:ext cx="1514475" cy="571500"/>
        </a:xfrm>
        <a:prstGeom prst="rect">
          <a:avLst/>
        </a:prstGeom>
        <a:noFill/>
        <a:ln w="9525">
          <a:noFill/>
          <a:miter lim="800000"/>
          <a:headEnd/>
          <a:tailEnd/>
        </a:ln>
      </xdr:spPr>
    </xdr:pic>
    <xdr:clientData/>
  </xdr:twoCellAnchor>
  <xdr:twoCellAnchor>
    <xdr:from>
      <xdr:col>0</xdr:col>
      <xdr:colOff>28575</xdr:colOff>
      <xdr:row>1530</xdr:row>
      <xdr:rowOff>19050</xdr:rowOff>
    </xdr:from>
    <xdr:to>
      <xdr:col>4</xdr:col>
      <xdr:colOff>19050</xdr:colOff>
      <xdr:row>1533</xdr:row>
      <xdr:rowOff>104775</xdr:rowOff>
    </xdr:to>
    <xdr:pic>
      <xdr:nvPicPr>
        <xdr:cNvPr id="14367" name="Picture 5031" descr="nctta_banner2_sm">
          <a:extLst>
            <a:ext uri="{FF2B5EF4-FFF2-40B4-BE49-F238E27FC236}">
              <a16:creationId xmlns:a16="http://schemas.microsoft.com/office/drawing/2014/main" id="{00000000-0008-0000-0300-00001F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47764300"/>
          <a:ext cx="1514475" cy="571500"/>
        </a:xfrm>
        <a:prstGeom prst="rect">
          <a:avLst/>
        </a:prstGeom>
        <a:noFill/>
        <a:ln w="9525">
          <a:noFill/>
          <a:miter lim="800000"/>
          <a:headEnd/>
          <a:tailEnd/>
        </a:ln>
      </xdr:spPr>
    </xdr:pic>
    <xdr:clientData/>
  </xdr:twoCellAnchor>
  <xdr:twoCellAnchor>
    <xdr:from>
      <xdr:col>0</xdr:col>
      <xdr:colOff>28575</xdr:colOff>
      <xdr:row>1581</xdr:row>
      <xdr:rowOff>19050</xdr:rowOff>
    </xdr:from>
    <xdr:to>
      <xdr:col>4</xdr:col>
      <xdr:colOff>19050</xdr:colOff>
      <xdr:row>1584</xdr:row>
      <xdr:rowOff>104775</xdr:rowOff>
    </xdr:to>
    <xdr:pic>
      <xdr:nvPicPr>
        <xdr:cNvPr id="14368" name="Picture 5033" descr="nctta_banner2_sm">
          <a:extLst>
            <a:ext uri="{FF2B5EF4-FFF2-40B4-BE49-F238E27FC236}">
              <a16:creationId xmlns:a16="http://schemas.microsoft.com/office/drawing/2014/main" id="{00000000-0008-0000-0300-000020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56022475"/>
          <a:ext cx="1514475" cy="571500"/>
        </a:xfrm>
        <a:prstGeom prst="rect">
          <a:avLst/>
        </a:prstGeom>
        <a:noFill/>
        <a:ln w="9525">
          <a:noFill/>
          <a:miter lim="800000"/>
          <a:headEnd/>
          <a:tailEnd/>
        </a:ln>
      </xdr:spPr>
    </xdr:pic>
    <xdr:clientData/>
  </xdr:twoCellAnchor>
  <xdr:twoCellAnchor>
    <xdr:from>
      <xdr:col>0</xdr:col>
      <xdr:colOff>28575</xdr:colOff>
      <xdr:row>1632</xdr:row>
      <xdr:rowOff>19050</xdr:rowOff>
    </xdr:from>
    <xdr:to>
      <xdr:col>4</xdr:col>
      <xdr:colOff>19050</xdr:colOff>
      <xdr:row>1635</xdr:row>
      <xdr:rowOff>104775</xdr:rowOff>
    </xdr:to>
    <xdr:pic>
      <xdr:nvPicPr>
        <xdr:cNvPr id="14369" name="Picture 5087" descr="nctta_banner2_sm">
          <a:extLst>
            <a:ext uri="{FF2B5EF4-FFF2-40B4-BE49-F238E27FC236}">
              <a16:creationId xmlns:a16="http://schemas.microsoft.com/office/drawing/2014/main" id="{00000000-0008-0000-0300-000021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64280650"/>
          <a:ext cx="1514475" cy="571500"/>
        </a:xfrm>
        <a:prstGeom prst="rect">
          <a:avLst/>
        </a:prstGeom>
        <a:noFill/>
        <a:ln w="9525">
          <a:noFill/>
          <a:miter lim="800000"/>
          <a:headEnd/>
          <a:tailEnd/>
        </a:ln>
      </xdr:spPr>
    </xdr:pic>
    <xdr:clientData/>
  </xdr:twoCellAnchor>
  <xdr:twoCellAnchor>
    <xdr:from>
      <xdr:col>0</xdr:col>
      <xdr:colOff>28575</xdr:colOff>
      <xdr:row>1683</xdr:row>
      <xdr:rowOff>19050</xdr:rowOff>
    </xdr:from>
    <xdr:to>
      <xdr:col>4</xdr:col>
      <xdr:colOff>19050</xdr:colOff>
      <xdr:row>1686</xdr:row>
      <xdr:rowOff>104775</xdr:rowOff>
    </xdr:to>
    <xdr:pic>
      <xdr:nvPicPr>
        <xdr:cNvPr id="14370" name="Picture 5089" descr="nctta_banner2_sm">
          <a:extLst>
            <a:ext uri="{FF2B5EF4-FFF2-40B4-BE49-F238E27FC236}">
              <a16:creationId xmlns:a16="http://schemas.microsoft.com/office/drawing/2014/main" id="{00000000-0008-0000-0300-000022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72538825"/>
          <a:ext cx="1514475" cy="571500"/>
        </a:xfrm>
        <a:prstGeom prst="rect">
          <a:avLst/>
        </a:prstGeom>
        <a:noFill/>
        <a:ln w="9525">
          <a:noFill/>
          <a:miter lim="800000"/>
          <a:headEnd/>
          <a:tailEnd/>
        </a:ln>
      </xdr:spPr>
    </xdr:pic>
    <xdr:clientData/>
  </xdr:twoCellAnchor>
  <xdr:twoCellAnchor>
    <xdr:from>
      <xdr:col>0</xdr:col>
      <xdr:colOff>28575</xdr:colOff>
      <xdr:row>1734</xdr:row>
      <xdr:rowOff>19050</xdr:rowOff>
    </xdr:from>
    <xdr:to>
      <xdr:col>4</xdr:col>
      <xdr:colOff>19050</xdr:colOff>
      <xdr:row>1737</xdr:row>
      <xdr:rowOff>104775</xdr:rowOff>
    </xdr:to>
    <xdr:pic>
      <xdr:nvPicPr>
        <xdr:cNvPr id="14371" name="Picture 5143" descr="nctta_banner2_sm">
          <a:extLst>
            <a:ext uri="{FF2B5EF4-FFF2-40B4-BE49-F238E27FC236}">
              <a16:creationId xmlns:a16="http://schemas.microsoft.com/office/drawing/2014/main" id="{00000000-0008-0000-0300-000023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80797000"/>
          <a:ext cx="1514475" cy="571500"/>
        </a:xfrm>
        <a:prstGeom prst="rect">
          <a:avLst/>
        </a:prstGeom>
        <a:noFill/>
        <a:ln w="9525">
          <a:noFill/>
          <a:miter lim="800000"/>
          <a:headEnd/>
          <a:tailEnd/>
        </a:ln>
      </xdr:spPr>
    </xdr:pic>
    <xdr:clientData/>
  </xdr:twoCellAnchor>
  <xdr:twoCellAnchor>
    <xdr:from>
      <xdr:col>0</xdr:col>
      <xdr:colOff>28575</xdr:colOff>
      <xdr:row>1785</xdr:row>
      <xdr:rowOff>19050</xdr:rowOff>
    </xdr:from>
    <xdr:to>
      <xdr:col>4</xdr:col>
      <xdr:colOff>19050</xdr:colOff>
      <xdr:row>1788</xdr:row>
      <xdr:rowOff>104775</xdr:rowOff>
    </xdr:to>
    <xdr:pic>
      <xdr:nvPicPr>
        <xdr:cNvPr id="14372" name="Picture 5145" descr="nctta_banner2_sm">
          <a:extLst>
            <a:ext uri="{FF2B5EF4-FFF2-40B4-BE49-F238E27FC236}">
              <a16:creationId xmlns:a16="http://schemas.microsoft.com/office/drawing/2014/main" id="{00000000-0008-0000-0300-000024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89055175"/>
          <a:ext cx="1514475" cy="571500"/>
        </a:xfrm>
        <a:prstGeom prst="rect">
          <a:avLst/>
        </a:prstGeom>
        <a:noFill/>
        <a:ln w="9525">
          <a:noFill/>
          <a:miter lim="800000"/>
          <a:headEnd/>
          <a:tailEnd/>
        </a:ln>
      </xdr:spPr>
    </xdr:pic>
    <xdr:clientData/>
  </xdr:twoCellAnchor>
  <xdr:twoCellAnchor>
    <xdr:from>
      <xdr:col>0</xdr:col>
      <xdr:colOff>28575</xdr:colOff>
      <xdr:row>1836</xdr:row>
      <xdr:rowOff>19050</xdr:rowOff>
    </xdr:from>
    <xdr:to>
      <xdr:col>4</xdr:col>
      <xdr:colOff>19050</xdr:colOff>
      <xdr:row>1839</xdr:row>
      <xdr:rowOff>104775</xdr:rowOff>
    </xdr:to>
    <xdr:pic>
      <xdr:nvPicPr>
        <xdr:cNvPr id="14373" name="Picture 5199" descr="nctta_banner2_sm">
          <a:extLst>
            <a:ext uri="{FF2B5EF4-FFF2-40B4-BE49-F238E27FC236}">
              <a16:creationId xmlns:a16="http://schemas.microsoft.com/office/drawing/2014/main" id="{00000000-0008-0000-0300-000025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297313350"/>
          <a:ext cx="1514475" cy="571500"/>
        </a:xfrm>
        <a:prstGeom prst="rect">
          <a:avLst/>
        </a:prstGeom>
        <a:noFill/>
        <a:ln w="9525">
          <a:noFill/>
          <a:miter lim="800000"/>
          <a:headEnd/>
          <a:tailEnd/>
        </a:ln>
      </xdr:spPr>
    </xdr:pic>
    <xdr:clientData/>
  </xdr:twoCellAnchor>
  <xdr:twoCellAnchor>
    <xdr:from>
      <xdr:col>0</xdr:col>
      <xdr:colOff>28575</xdr:colOff>
      <xdr:row>1887</xdr:row>
      <xdr:rowOff>19050</xdr:rowOff>
    </xdr:from>
    <xdr:to>
      <xdr:col>4</xdr:col>
      <xdr:colOff>19050</xdr:colOff>
      <xdr:row>1890</xdr:row>
      <xdr:rowOff>104775</xdr:rowOff>
    </xdr:to>
    <xdr:pic>
      <xdr:nvPicPr>
        <xdr:cNvPr id="14374" name="Picture 5201" descr="nctta_banner2_sm">
          <a:extLst>
            <a:ext uri="{FF2B5EF4-FFF2-40B4-BE49-F238E27FC236}">
              <a16:creationId xmlns:a16="http://schemas.microsoft.com/office/drawing/2014/main" id="{00000000-0008-0000-0300-000026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05571525"/>
          <a:ext cx="1514475" cy="571500"/>
        </a:xfrm>
        <a:prstGeom prst="rect">
          <a:avLst/>
        </a:prstGeom>
        <a:noFill/>
        <a:ln w="9525">
          <a:noFill/>
          <a:miter lim="800000"/>
          <a:headEnd/>
          <a:tailEnd/>
        </a:ln>
      </xdr:spPr>
    </xdr:pic>
    <xdr:clientData/>
  </xdr:twoCellAnchor>
  <xdr:twoCellAnchor>
    <xdr:from>
      <xdr:col>0</xdr:col>
      <xdr:colOff>28575</xdr:colOff>
      <xdr:row>1938</xdr:row>
      <xdr:rowOff>19050</xdr:rowOff>
    </xdr:from>
    <xdr:to>
      <xdr:col>4</xdr:col>
      <xdr:colOff>19050</xdr:colOff>
      <xdr:row>1941</xdr:row>
      <xdr:rowOff>104775</xdr:rowOff>
    </xdr:to>
    <xdr:pic>
      <xdr:nvPicPr>
        <xdr:cNvPr id="14375" name="Picture 5255" descr="nctta_banner2_sm">
          <a:extLst>
            <a:ext uri="{FF2B5EF4-FFF2-40B4-BE49-F238E27FC236}">
              <a16:creationId xmlns:a16="http://schemas.microsoft.com/office/drawing/2014/main" id="{00000000-0008-0000-0300-000027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13829700"/>
          <a:ext cx="1514475" cy="571500"/>
        </a:xfrm>
        <a:prstGeom prst="rect">
          <a:avLst/>
        </a:prstGeom>
        <a:noFill/>
        <a:ln w="9525">
          <a:noFill/>
          <a:miter lim="800000"/>
          <a:headEnd/>
          <a:tailEnd/>
        </a:ln>
      </xdr:spPr>
    </xdr:pic>
    <xdr:clientData/>
  </xdr:twoCellAnchor>
  <xdr:twoCellAnchor>
    <xdr:from>
      <xdr:col>0</xdr:col>
      <xdr:colOff>28575</xdr:colOff>
      <xdr:row>1989</xdr:row>
      <xdr:rowOff>19050</xdr:rowOff>
    </xdr:from>
    <xdr:to>
      <xdr:col>4</xdr:col>
      <xdr:colOff>19050</xdr:colOff>
      <xdr:row>1992</xdr:row>
      <xdr:rowOff>104775</xdr:rowOff>
    </xdr:to>
    <xdr:pic>
      <xdr:nvPicPr>
        <xdr:cNvPr id="14376" name="Picture 5257" descr="nctta_banner2_sm">
          <a:extLst>
            <a:ext uri="{FF2B5EF4-FFF2-40B4-BE49-F238E27FC236}">
              <a16:creationId xmlns:a16="http://schemas.microsoft.com/office/drawing/2014/main" id="{00000000-0008-0000-0300-000028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22087875"/>
          <a:ext cx="1514475" cy="571500"/>
        </a:xfrm>
        <a:prstGeom prst="rect">
          <a:avLst/>
        </a:prstGeom>
        <a:noFill/>
        <a:ln w="9525">
          <a:noFill/>
          <a:miter lim="800000"/>
          <a:headEnd/>
          <a:tailEnd/>
        </a:ln>
      </xdr:spPr>
    </xdr:pic>
    <xdr:clientData/>
  </xdr:twoCellAnchor>
  <xdr:twoCellAnchor>
    <xdr:from>
      <xdr:col>0</xdr:col>
      <xdr:colOff>28575</xdr:colOff>
      <xdr:row>2040</xdr:row>
      <xdr:rowOff>19050</xdr:rowOff>
    </xdr:from>
    <xdr:to>
      <xdr:col>4</xdr:col>
      <xdr:colOff>19050</xdr:colOff>
      <xdr:row>2043</xdr:row>
      <xdr:rowOff>104775</xdr:rowOff>
    </xdr:to>
    <xdr:pic>
      <xdr:nvPicPr>
        <xdr:cNvPr id="14377" name="Picture 5311" descr="nctta_banner2_sm">
          <a:extLst>
            <a:ext uri="{FF2B5EF4-FFF2-40B4-BE49-F238E27FC236}">
              <a16:creationId xmlns:a16="http://schemas.microsoft.com/office/drawing/2014/main" id="{00000000-0008-0000-0300-000029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30346050"/>
          <a:ext cx="1514475" cy="571500"/>
        </a:xfrm>
        <a:prstGeom prst="rect">
          <a:avLst/>
        </a:prstGeom>
        <a:noFill/>
        <a:ln w="9525">
          <a:noFill/>
          <a:miter lim="800000"/>
          <a:headEnd/>
          <a:tailEnd/>
        </a:ln>
      </xdr:spPr>
    </xdr:pic>
    <xdr:clientData/>
  </xdr:twoCellAnchor>
  <xdr:twoCellAnchor>
    <xdr:from>
      <xdr:col>0</xdr:col>
      <xdr:colOff>28575</xdr:colOff>
      <xdr:row>2091</xdr:row>
      <xdr:rowOff>19050</xdr:rowOff>
    </xdr:from>
    <xdr:to>
      <xdr:col>4</xdr:col>
      <xdr:colOff>19050</xdr:colOff>
      <xdr:row>2094</xdr:row>
      <xdr:rowOff>104775</xdr:rowOff>
    </xdr:to>
    <xdr:pic>
      <xdr:nvPicPr>
        <xdr:cNvPr id="14378" name="Picture 5313" descr="nctta_banner2_sm">
          <a:extLst>
            <a:ext uri="{FF2B5EF4-FFF2-40B4-BE49-F238E27FC236}">
              <a16:creationId xmlns:a16="http://schemas.microsoft.com/office/drawing/2014/main" id="{00000000-0008-0000-0300-00002A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38604225"/>
          <a:ext cx="1514475" cy="571500"/>
        </a:xfrm>
        <a:prstGeom prst="rect">
          <a:avLst/>
        </a:prstGeom>
        <a:noFill/>
        <a:ln w="9525">
          <a:noFill/>
          <a:miter lim="800000"/>
          <a:headEnd/>
          <a:tailEnd/>
        </a:ln>
      </xdr:spPr>
    </xdr:pic>
    <xdr:clientData/>
  </xdr:twoCellAnchor>
  <xdr:twoCellAnchor>
    <xdr:from>
      <xdr:col>0</xdr:col>
      <xdr:colOff>28575</xdr:colOff>
      <xdr:row>2142</xdr:row>
      <xdr:rowOff>19050</xdr:rowOff>
    </xdr:from>
    <xdr:to>
      <xdr:col>4</xdr:col>
      <xdr:colOff>19050</xdr:colOff>
      <xdr:row>2145</xdr:row>
      <xdr:rowOff>104775</xdr:rowOff>
    </xdr:to>
    <xdr:pic>
      <xdr:nvPicPr>
        <xdr:cNvPr id="14379" name="Picture 5367" descr="nctta_banner2_sm">
          <a:extLst>
            <a:ext uri="{FF2B5EF4-FFF2-40B4-BE49-F238E27FC236}">
              <a16:creationId xmlns:a16="http://schemas.microsoft.com/office/drawing/2014/main" id="{00000000-0008-0000-0300-00002B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46862400"/>
          <a:ext cx="1514475" cy="571500"/>
        </a:xfrm>
        <a:prstGeom prst="rect">
          <a:avLst/>
        </a:prstGeom>
        <a:noFill/>
        <a:ln w="9525">
          <a:noFill/>
          <a:miter lim="800000"/>
          <a:headEnd/>
          <a:tailEnd/>
        </a:ln>
      </xdr:spPr>
    </xdr:pic>
    <xdr:clientData/>
  </xdr:twoCellAnchor>
  <xdr:twoCellAnchor>
    <xdr:from>
      <xdr:col>0</xdr:col>
      <xdr:colOff>28575</xdr:colOff>
      <xdr:row>2193</xdr:row>
      <xdr:rowOff>19050</xdr:rowOff>
    </xdr:from>
    <xdr:to>
      <xdr:col>4</xdr:col>
      <xdr:colOff>19050</xdr:colOff>
      <xdr:row>2196</xdr:row>
      <xdr:rowOff>104775</xdr:rowOff>
    </xdr:to>
    <xdr:pic>
      <xdr:nvPicPr>
        <xdr:cNvPr id="14380" name="Picture 5369" descr="nctta_banner2_sm">
          <a:extLst>
            <a:ext uri="{FF2B5EF4-FFF2-40B4-BE49-F238E27FC236}">
              <a16:creationId xmlns:a16="http://schemas.microsoft.com/office/drawing/2014/main" id="{00000000-0008-0000-0300-00002C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55120575"/>
          <a:ext cx="1514475" cy="571500"/>
        </a:xfrm>
        <a:prstGeom prst="rect">
          <a:avLst/>
        </a:prstGeom>
        <a:noFill/>
        <a:ln w="9525">
          <a:noFill/>
          <a:miter lim="800000"/>
          <a:headEnd/>
          <a:tailEnd/>
        </a:ln>
      </xdr:spPr>
    </xdr:pic>
    <xdr:clientData/>
  </xdr:twoCellAnchor>
  <xdr:twoCellAnchor>
    <xdr:from>
      <xdr:col>0</xdr:col>
      <xdr:colOff>28575</xdr:colOff>
      <xdr:row>2244</xdr:row>
      <xdr:rowOff>19050</xdr:rowOff>
    </xdr:from>
    <xdr:to>
      <xdr:col>4</xdr:col>
      <xdr:colOff>19050</xdr:colOff>
      <xdr:row>2247</xdr:row>
      <xdr:rowOff>104775</xdr:rowOff>
    </xdr:to>
    <xdr:pic>
      <xdr:nvPicPr>
        <xdr:cNvPr id="14381" name="Picture 5423" descr="nctta_banner2_sm">
          <a:extLst>
            <a:ext uri="{FF2B5EF4-FFF2-40B4-BE49-F238E27FC236}">
              <a16:creationId xmlns:a16="http://schemas.microsoft.com/office/drawing/2014/main" id="{00000000-0008-0000-0300-00002D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63378750"/>
          <a:ext cx="1514475" cy="571500"/>
        </a:xfrm>
        <a:prstGeom prst="rect">
          <a:avLst/>
        </a:prstGeom>
        <a:noFill/>
        <a:ln w="9525">
          <a:noFill/>
          <a:miter lim="800000"/>
          <a:headEnd/>
          <a:tailEnd/>
        </a:ln>
      </xdr:spPr>
    </xdr:pic>
    <xdr:clientData/>
  </xdr:twoCellAnchor>
  <xdr:twoCellAnchor>
    <xdr:from>
      <xdr:col>0</xdr:col>
      <xdr:colOff>28575</xdr:colOff>
      <xdr:row>2295</xdr:row>
      <xdr:rowOff>19050</xdr:rowOff>
    </xdr:from>
    <xdr:to>
      <xdr:col>4</xdr:col>
      <xdr:colOff>19050</xdr:colOff>
      <xdr:row>2298</xdr:row>
      <xdr:rowOff>104775</xdr:rowOff>
    </xdr:to>
    <xdr:pic>
      <xdr:nvPicPr>
        <xdr:cNvPr id="14382" name="Picture 5425" descr="nctta_banner2_sm">
          <a:extLst>
            <a:ext uri="{FF2B5EF4-FFF2-40B4-BE49-F238E27FC236}">
              <a16:creationId xmlns:a16="http://schemas.microsoft.com/office/drawing/2014/main" id="{00000000-0008-0000-0300-00002E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71636925"/>
          <a:ext cx="1514475" cy="571500"/>
        </a:xfrm>
        <a:prstGeom prst="rect">
          <a:avLst/>
        </a:prstGeom>
        <a:noFill/>
        <a:ln w="9525">
          <a:noFill/>
          <a:miter lim="800000"/>
          <a:headEnd/>
          <a:tailEnd/>
        </a:ln>
      </xdr:spPr>
    </xdr:pic>
    <xdr:clientData/>
  </xdr:twoCellAnchor>
  <xdr:twoCellAnchor>
    <xdr:from>
      <xdr:col>0</xdr:col>
      <xdr:colOff>28575</xdr:colOff>
      <xdr:row>2346</xdr:row>
      <xdr:rowOff>19050</xdr:rowOff>
    </xdr:from>
    <xdr:to>
      <xdr:col>4</xdr:col>
      <xdr:colOff>19050</xdr:colOff>
      <xdr:row>2349</xdr:row>
      <xdr:rowOff>104775</xdr:rowOff>
    </xdr:to>
    <xdr:pic>
      <xdr:nvPicPr>
        <xdr:cNvPr id="14383" name="Picture 5479" descr="nctta_banner2_sm">
          <a:extLst>
            <a:ext uri="{FF2B5EF4-FFF2-40B4-BE49-F238E27FC236}">
              <a16:creationId xmlns:a16="http://schemas.microsoft.com/office/drawing/2014/main" id="{00000000-0008-0000-0300-00002F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79895100"/>
          <a:ext cx="1514475" cy="571500"/>
        </a:xfrm>
        <a:prstGeom prst="rect">
          <a:avLst/>
        </a:prstGeom>
        <a:noFill/>
        <a:ln w="9525">
          <a:noFill/>
          <a:miter lim="800000"/>
          <a:headEnd/>
          <a:tailEnd/>
        </a:ln>
      </xdr:spPr>
    </xdr:pic>
    <xdr:clientData/>
  </xdr:twoCellAnchor>
  <xdr:twoCellAnchor>
    <xdr:from>
      <xdr:col>0</xdr:col>
      <xdr:colOff>28575</xdr:colOff>
      <xdr:row>2397</xdr:row>
      <xdr:rowOff>19050</xdr:rowOff>
    </xdr:from>
    <xdr:to>
      <xdr:col>4</xdr:col>
      <xdr:colOff>19050</xdr:colOff>
      <xdr:row>2400</xdr:row>
      <xdr:rowOff>104775</xdr:rowOff>
    </xdr:to>
    <xdr:pic>
      <xdr:nvPicPr>
        <xdr:cNvPr id="14384" name="Picture 5481" descr="nctta_banner2_sm">
          <a:extLst>
            <a:ext uri="{FF2B5EF4-FFF2-40B4-BE49-F238E27FC236}">
              <a16:creationId xmlns:a16="http://schemas.microsoft.com/office/drawing/2014/main" id="{00000000-0008-0000-0300-000030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88153275"/>
          <a:ext cx="1514475" cy="571500"/>
        </a:xfrm>
        <a:prstGeom prst="rect">
          <a:avLst/>
        </a:prstGeom>
        <a:noFill/>
        <a:ln w="9525">
          <a:noFill/>
          <a:miter lim="800000"/>
          <a:headEnd/>
          <a:tailEnd/>
        </a:ln>
      </xdr:spPr>
    </xdr:pic>
    <xdr:clientData/>
  </xdr:twoCellAnchor>
  <xdr:twoCellAnchor>
    <xdr:from>
      <xdr:col>0</xdr:col>
      <xdr:colOff>28575</xdr:colOff>
      <xdr:row>2448</xdr:row>
      <xdr:rowOff>19050</xdr:rowOff>
    </xdr:from>
    <xdr:to>
      <xdr:col>4</xdr:col>
      <xdr:colOff>19050</xdr:colOff>
      <xdr:row>2451</xdr:row>
      <xdr:rowOff>104775</xdr:rowOff>
    </xdr:to>
    <xdr:pic>
      <xdr:nvPicPr>
        <xdr:cNvPr id="14385" name="Picture 5535" descr="nctta_banner2_sm">
          <a:extLst>
            <a:ext uri="{FF2B5EF4-FFF2-40B4-BE49-F238E27FC236}">
              <a16:creationId xmlns:a16="http://schemas.microsoft.com/office/drawing/2014/main" id="{00000000-0008-0000-0300-000031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396411450"/>
          <a:ext cx="1514475" cy="571500"/>
        </a:xfrm>
        <a:prstGeom prst="rect">
          <a:avLst/>
        </a:prstGeom>
        <a:noFill/>
        <a:ln w="9525">
          <a:noFill/>
          <a:miter lim="800000"/>
          <a:headEnd/>
          <a:tailEnd/>
        </a:ln>
      </xdr:spPr>
    </xdr:pic>
    <xdr:clientData/>
  </xdr:twoCellAnchor>
  <xdr:twoCellAnchor>
    <xdr:from>
      <xdr:col>0</xdr:col>
      <xdr:colOff>28575</xdr:colOff>
      <xdr:row>2499</xdr:row>
      <xdr:rowOff>19050</xdr:rowOff>
    </xdr:from>
    <xdr:to>
      <xdr:col>4</xdr:col>
      <xdr:colOff>19050</xdr:colOff>
      <xdr:row>2502</xdr:row>
      <xdr:rowOff>104775</xdr:rowOff>
    </xdr:to>
    <xdr:pic>
      <xdr:nvPicPr>
        <xdr:cNvPr id="14386" name="Picture 5537" descr="nctta_banner2_sm">
          <a:extLst>
            <a:ext uri="{FF2B5EF4-FFF2-40B4-BE49-F238E27FC236}">
              <a16:creationId xmlns:a16="http://schemas.microsoft.com/office/drawing/2014/main" id="{00000000-0008-0000-0300-000032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04669625"/>
          <a:ext cx="1514475" cy="571500"/>
        </a:xfrm>
        <a:prstGeom prst="rect">
          <a:avLst/>
        </a:prstGeom>
        <a:noFill/>
        <a:ln w="9525">
          <a:noFill/>
          <a:miter lim="800000"/>
          <a:headEnd/>
          <a:tailEnd/>
        </a:ln>
      </xdr:spPr>
    </xdr:pic>
    <xdr:clientData/>
  </xdr:twoCellAnchor>
  <xdr:twoCellAnchor>
    <xdr:from>
      <xdr:col>0</xdr:col>
      <xdr:colOff>28575</xdr:colOff>
      <xdr:row>2550</xdr:row>
      <xdr:rowOff>19050</xdr:rowOff>
    </xdr:from>
    <xdr:to>
      <xdr:col>4</xdr:col>
      <xdr:colOff>19050</xdr:colOff>
      <xdr:row>2553</xdr:row>
      <xdr:rowOff>104775</xdr:rowOff>
    </xdr:to>
    <xdr:pic>
      <xdr:nvPicPr>
        <xdr:cNvPr id="14387" name="Picture 5591" descr="nctta_banner2_sm">
          <a:extLst>
            <a:ext uri="{FF2B5EF4-FFF2-40B4-BE49-F238E27FC236}">
              <a16:creationId xmlns:a16="http://schemas.microsoft.com/office/drawing/2014/main" id="{00000000-0008-0000-0300-000033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12927800"/>
          <a:ext cx="1514475" cy="571500"/>
        </a:xfrm>
        <a:prstGeom prst="rect">
          <a:avLst/>
        </a:prstGeom>
        <a:noFill/>
        <a:ln w="9525">
          <a:noFill/>
          <a:miter lim="800000"/>
          <a:headEnd/>
          <a:tailEnd/>
        </a:ln>
      </xdr:spPr>
    </xdr:pic>
    <xdr:clientData/>
  </xdr:twoCellAnchor>
  <xdr:twoCellAnchor>
    <xdr:from>
      <xdr:col>0</xdr:col>
      <xdr:colOff>28575</xdr:colOff>
      <xdr:row>2601</xdr:row>
      <xdr:rowOff>19050</xdr:rowOff>
    </xdr:from>
    <xdr:to>
      <xdr:col>4</xdr:col>
      <xdr:colOff>19050</xdr:colOff>
      <xdr:row>2604</xdr:row>
      <xdr:rowOff>104775</xdr:rowOff>
    </xdr:to>
    <xdr:pic>
      <xdr:nvPicPr>
        <xdr:cNvPr id="14388" name="Picture 5593" descr="nctta_banner2_sm">
          <a:extLst>
            <a:ext uri="{FF2B5EF4-FFF2-40B4-BE49-F238E27FC236}">
              <a16:creationId xmlns:a16="http://schemas.microsoft.com/office/drawing/2014/main" id="{00000000-0008-0000-0300-000034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21185975"/>
          <a:ext cx="1514475" cy="571500"/>
        </a:xfrm>
        <a:prstGeom prst="rect">
          <a:avLst/>
        </a:prstGeom>
        <a:noFill/>
        <a:ln w="9525">
          <a:noFill/>
          <a:miter lim="800000"/>
          <a:headEnd/>
          <a:tailEnd/>
        </a:ln>
      </xdr:spPr>
    </xdr:pic>
    <xdr:clientData/>
  </xdr:twoCellAnchor>
  <xdr:twoCellAnchor>
    <xdr:from>
      <xdr:col>0</xdr:col>
      <xdr:colOff>28575</xdr:colOff>
      <xdr:row>2652</xdr:row>
      <xdr:rowOff>19050</xdr:rowOff>
    </xdr:from>
    <xdr:to>
      <xdr:col>4</xdr:col>
      <xdr:colOff>19050</xdr:colOff>
      <xdr:row>2655</xdr:row>
      <xdr:rowOff>104775</xdr:rowOff>
    </xdr:to>
    <xdr:pic>
      <xdr:nvPicPr>
        <xdr:cNvPr id="14389" name="Picture 5647" descr="nctta_banner2_sm">
          <a:extLst>
            <a:ext uri="{FF2B5EF4-FFF2-40B4-BE49-F238E27FC236}">
              <a16:creationId xmlns:a16="http://schemas.microsoft.com/office/drawing/2014/main" id="{00000000-0008-0000-0300-000035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29444150"/>
          <a:ext cx="1514475" cy="571500"/>
        </a:xfrm>
        <a:prstGeom prst="rect">
          <a:avLst/>
        </a:prstGeom>
        <a:noFill/>
        <a:ln w="9525">
          <a:noFill/>
          <a:miter lim="800000"/>
          <a:headEnd/>
          <a:tailEnd/>
        </a:ln>
      </xdr:spPr>
    </xdr:pic>
    <xdr:clientData/>
  </xdr:twoCellAnchor>
  <xdr:twoCellAnchor>
    <xdr:from>
      <xdr:col>0</xdr:col>
      <xdr:colOff>28575</xdr:colOff>
      <xdr:row>2703</xdr:row>
      <xdr:rowOff>19050</xdr:rowOff>
    </xdr:from>
    <xdr:to>
      <xdr:col>4</xdr:col>
      <xdr:colOff>19050</xdr:colOff>
      <xdr:row>2706</xdr:row>
      <xdr:rowOff>104775</xdr:rowOff>
    </xdr:to>
    <xdr:pic>
      <xdr:nvPicPr>
        <xdr:cNvPr id="14390" name="Picture 5649" descr="nctta_banner2_sm">
          <a:extLst>
            <a:ext uri="{FF2B5EF4-FFF2-40B4-BE49-F238E27FC236}">
              <a16:creationId xmlns:a16="http://schemas.microsoft.com/office/drawing/2014/main" id="{00000000-0008-0000-0300-000036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37702325"/>
          <a:ext cx="1514475" cy="571500"/>
        </a:xfrm>
        <a:prstGeom prst="rect">
          <a:avLst/>
        </a:prstGeom>
        <a:noFill/>
        <a:ln w="9525">
          <a:noFill/>
          <a:miter lim="800000"/>
          <a:headEnd/>
          <a:tailEnd/>
        </a:ln>
      </xdr:spPr>
    </xdr:pic>
    <xdr:clientData/>
  </xdr:twoCellAnchor>
  <xdr:twoCellAnchor>
    <xdr:from>
      <xdr:col>0</xdr:col>
      <xdr:colOff>28575</xdr:colOff>
      <xdr:row>2754</xdr:row>
      <xdr:rowOff>19050</xdr:rowOff>
    </xdr:from>
    <xdr:to>
      <xdr:col>4</xdr:col>
      <xdr:colOff>19050</xdr:colOff>
      <xdr:row>2757</xdr:row>
      <xdr:rowOff>104775</xdr:rowOff>
    </xdr:to>
    <xdr:pic>
      <xdr:nvPicPr>
        <xdr:cNvPr id="14391" name="Picture 5703" descr="nctta_banner2_sm">
          <a:extLst>
            <a:ext uri="{FF2B5EF4-FFF2-40B4-BE49-F238E27FC236}">
              <a16:creationId xmlns:a16="http://schemas.microsoft.com/office/drawing/2014/main" id="{00000000-0008-0000-0300-000037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45960500"/>
          <a:ext cx="1514475" cy="571500"/>
        </a:xfrm>
        <a:prstGeom prst="rect">
          <a:avLst/>
        </a:prstGeom>
        <a:noFill/>
        <a:ln w="9525">
          <a:noFill/>
          <a:miter lim="800000"/>
          <a:headEnd/>
          <a:tailEnd/>
        </a:ln>
      </xdr:spPr>
    </xdr:pic>
    <xdr:clientData/>
  </xdr:twoCellAnchor>
  <xdr:twoCellAnchor>
    <xdr:from>
      <xdr:col>0</xdr:col>
      <xdr:colOff>28575</xdr:colOff>
      <xdr:row>2805</xdr:row>
      <xdr:rowOff>19050</xdr:rowOff>
    </xdr:from>
    <xdr:to>
      <xdr:col>4</xdr:col>
      <xdr:colOff>19050</xdr:colOff>
      <xdr:row>2808</xdr:row>
      <xdr:rowOff>104775</xdr:rowOff>
    </xdr:to>
    <xdr:pic>
      <xdr:nvPicPr>
        <xdr:cNvPr id="14392" name="Picture 5705" descr="nctta_banner2_sm">
          <a:extLst>
            <a:ext uri="{FF2B5EF4-FFF2-40B4-BE49-F238E27FC236}">
              <a16:creationId xmlns:a16="http://schemas.microsoft.com/office/drawing/2014/main" id="{00000000-0008-0000-0300-000038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54218675"/>
          <a:ext cx="1514475" cy="571500"/>
        </a:xfrm>
        <a:prstGeom prst="rect">
          <a:avLst/>
        </a:prstGeom>
        <a:noFill/>
        <a:ln w="9525">
          <a:noFill/>
          <a:miter lim="800000"/>
          <a:headEnd/>
          <a:tailEnd/>
        </a:ln>
      </xdr:spPr>
    </xdr:pic>
    <xdr:clientData/>
  </xdr:twoCellAnchor>
  <xdr:twoCellAnchor>
    <xdr:from>
      <xdr:col>0</xdr:col>
      <xdr:colOff>28575</xdr:colOff>
      <xdr:row>2856</xdr:row>
      <xdr:rowOff>19050</xdr:rowOff>
    </xdr:from>
    <xdr:to>
      <xdr:col>4</xdr:col>
      <xdr:colOff>19050</xdr:colOff>
      <xdr:row>2859</xdr:row>
      <xdr:rowOff>104775</xdr:rowOff>
    </xdr:to>
    <xdr:pic>
      <xdr:nvPicPr>
        <xdr:cNvPr id="14393" name="Picture 5759" descr="nctta_banner2_sm">
          <a:extLst>
            <a:ext uri="{FF2B5EF4-FFF2-40B4-BE49-F238E27FC236}">
              <a16:creationId xmlns:a16="http://schemas.microsoft.com/office/drawing/2014/main" id="{00000000-0008-0000-0300-000039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62476850"/>
          <a:ext cx="1514475" cy="571500"/>
        </a:xfrm>
        <a:prstGeom prst="rect">
          <a:avLst/>
        </a:prstGeom>
        <a:noFill/>
        <a:ln w="9525">
          <a:noFill/>
          <a:miter lim="800000"/>
          <a:headEnd/>
          <a:tailEnd/>
        </a:ln>
      </xdr:spPr>
    </xdr:pic>
    <xdr:clientData/>
  </xdr:twoCellAnchor>
  <xdr:twoCellAnchor>
    <xdr:from>
      <xdr:col>0</xdr:col>
      <xdr:colOff>28575</xdr:colOff>
      <xdr:row>2907</xdr:row>
      <xdr:rowOff>19050</xdr:rowOff>
    </xdr:from>
    <xdr:to>
      <xdr:col>4</xdr:col>
      <xdr:colOff>19050</xdr:colOff>
      <xdr:row>2910</xdr:row>
      <xdr:rowOff>104775</xdr:rowOff>
    </xdr:to>
    <xdr:pic>
      <xdr:nvPicPr>
        <xdr:cNvPr id="14394" name="Picture 5761" descr="nctta_banner2_sm">
          <a:extLst>
            <a:ext uri="{FF2B5EF4-FFF2-40B4-BE49-F238E27FC236}">
              <a16:creationId xmlns:a16="http://schemas.microsoft.com/office/drawing/2014/main" id="{00000000-0008-0000-0300-00003A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70735025"/>
          <a:ext cx="1514475" cy="571500"/>
        </a:xfrm>
        <a:prstGeom prst="rect">
          <a:avLst/>
        </a:prstGeom>
        <a:noFill/>
        <a:ln w="9525">
          <a:noFill/>
          <a:miter lim="800000"/>
          <a:headEnd/>
          <a:tailEnd/>
        </a:ln>
      </xdr:spPr>
    </xdr:pic>
    <xdr:clientData/>
  </xdr:twoCellAnchor>
  <xdr:twoCellAnchor>
    <xdr:from>
      <xdr:col>0</xdr:col>
      <xdr:colOff>28575</xdr:colOff>
      <xdr:row>2958</xdr:row>
      <xdr:rowOff>19050</xdr:rowOff>
    </xdr:from>
    <xdr:to>
      <xdr:col>4</xdr:col>
      <xdr:colOff>19050</xdr:colOff>
      <xdr:row>2961</xdr:row>
      <xdr:rowOff>104775</xdr:rowOff>
    </xdr:to>
    <xdr:pic>
      <xdr:nvPicPr>
        <xdr:cNvPr id="14395" name="Picture 5815" descr="nctta_banner2_sm">
          <a:extLst>
            <a:ext uri="{FF2B5EF4-FFF2-40B4-BE49-F238E27FC236}">
              <a16:creationId xmlns:a16="http://schemas.microsoft.com/office/drawing/2014/main" id="{00000000-0008-0000-0300-00003B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78993200"/>
          <a:ext cx="1514475" cy="571500"/>
        </a:xfrm>
        <a:prstGeom prst="rect">
          <a:avLst/>
        </a:prstGeom>
        <a:noFill/>
        <a:ln w="9525">
          <a:noFill/>
          <a:miter lim="800000"/>
          <a:headEnd/>
          <a:tailEnd/>
        </a:ln>
      </xdr:spPr>
    </xdr:pic>
    <xdr:clientData/>
  </xdr:twoCellAnchor>
  <xdr:twoCellAnchor>
    <xdr:from>
      <xdr:col>0</xdr:col>
      <xdr:colOff>28575</xdr:colOff>
      <xdr:row>3009</xdr:row>
      <xdr:rowOff>19050</xdr:rowOff>
    </xdr:from>
    <xdr:to>
      <xdr:col>4</xdr:col>
      <xdr:colOff>19050</xdr:colOff>
      <xdr:row>3012</xdr:row>
      <xdr:rowOff>104775</xdr:rowOff>
    </xdr:to>
    <xdr:pic>
      <xdr:nvPicPr>
        <xdr:cNvPr id="14396" name="Picture 5817" descr="nctta_banner2_sm">
          <a:extLst>
            <a:ext uri="{FF2B5EF4-FFF2-40B4-BE49-F238E27FC236}">
              <a16:creationId xmlns:a16="http://schemas.microsoft.com/office/drawing/2014/main" id="{00000000-0008-0000-0300-00003C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87251375"/>
          <a:ext cx="1514475" cy="571500"/>
        </a:xfrm>
        <a:prstGeom prst="rect">
          <a:avLst/>
        </a:prstGeom>
        <a:noFill/>
        <a:ln w="9525">
          <a:noFill/>
          <a:miter lim="800000"/>
          <a:headEnd/>
          <a:tailEnd/>
        </a:ln>
      </xdr:spPr>
    </xdr:pic>
    <xdr:clientData/>
  </xdr:twoCellAnchor>
  <xdr:twoCellAnchor>
    <xdr:from>
      <xdr:col>0</xdr:col>
      <xdr:colOff>28575</xdr:colOff>
      <xdr:row>3060</xdr:row>
      <xdr:rowOff>19050</xdr:rowOff>
    </xdr:from>
    <xdr:to>
      <xdr:col>4</xdr:col>
      <xdr:colOff>19050</xdr:colOff>
      <xdr:row>3063</xdr:row>
      <xdr:rowOff>104775</xdr:rowOff>
    </xdr:to>
    <xdr:pic>
      <xdr:nvPicPr>
        <xdr:cNvPr id="14397" name="Picture 5871" descr="nctta_banner2_sm">
          <a:extLst>
            <a:ext uri="{FF2B5EF4-FFF2-40B4-BE49-F238E27FC236}">
              <a16:creationId xmlns:a16="http://schemas.microsoft.com/office/drawing/2014/main" id="{00000000-0008-0000-0300-00003D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495509550"/>
          <a:ext cx="1514475" cy="571500"/>
        </a:xfrm>
        <a:prstGeom prst="rect">
          <a:avLst/>
        </a:prstGeom>
        <a:noFill/>
        <a:ln w="9525">
          <a:noFill/>
          <a:miter lim="800000"/>
          <a:headEnd/>
          <a:tailEnd/>
        </a:ln>
      </xdr:spPr>
    </xdr:pic>
    <xdr:clientData/>
  </xdr:twoCellAnchor>
  <xdr:twoCellAnchor>
    <xdr:from>
      <xdr:col>0</xdr:col>
      <xdr:colOff>28575</xdr:colOff>
      <xdr:row>3111</xdr:row>
      <xdr:rowOff>19050</xdr:rowOff>
    </xdr:from>
    <xdr:to>
      <xdr:col>4</xdr:col>
      <xdr:colOff>19050</xdr:colOff>
      <xdr:row>3114</xdr:row>
      <xdr:rowOff>104775</xdr:rowOff>
    </xdr:to>
    <xdr:pic>
      <xdr:nvPicPr>
        <xdr:cNvPr id="14398" name="Picture 5873" descr="nctta_banner2_sm">
          <a:extLst>
            <a:ext uri="{FF2B5EF4-FFF2-40B4-BE49-F238E27FC236}">
              <a16:creationId xmlns:a16="http://schemas.microsoft.com/office/drawing/2014/main" id="{00000000-0008-0000-0300-00003E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503767725"/>
          <a:ext cx="1514475" cy="571500"/>
        </a:xfrm>
        <a:prstGeom prst="rect">
          <a:avLst/>
        </a:prstGeom>
        <a:noFill/>
        <a:ln w="9525">
          <a:noFill/>
          <a:miter lim="800000"/>
          <a:headEnd/>
          <a:tailEnd/>
        </a:ln>
      </xdr:spPr>
    </xdr:pic>
    <xdr:clientData/>
  </xdr:twoCellAnchor>
  <xdr:twoCellAnchor>
    <xdr:from>
      <xdr:col>0</xdr:col>
      <xdr:colOff>28575</xdr:colOff>
      <xdr:row>3162</xdr:row>
      <xdr:rowOff>19050</xdr:rowOff>
    </xdr:from>
    <xdr:to>
      <xdr:col>4</xdr:col>
      <xdr:colOff>19050</xdr:colOff>
      <xdr:row>3165</xdr:row>
      <xdr:rowOff>104775</xdr:rowOff>
    </xdr:to>
    <xdr:pic>
      <xdr:nvPicPr>
        <xdr:cNvPr id="14399" name="Picture 5927" descr="nctta_banner2_sm">
          <a:extLst>
            <a:ext uri="{FF2B5EF4-FFF2-40B4-BE49-F238E27FC236}">
              <a16:creationId xmlns:a16="http://schemas.microsoft.com/office/drawing/2014/main" id="{00000000-0008-0000-0300-00003F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512025900"/>
          <a:ext cx="1514475" cy="571500"/>
        </a:xfrm>
        <a:prstGeom prst="rect">
          <a:avLst/>
        </a:prstGeom>
        <a:noFill/>
        <a:ln w="9525">
          <a:noFill/>
          <a:miter lim="800000"/>
          <a:headEnd/>
          <a:tailEnd/>
        </a:ln>
      </xdr:spPr>
    </xdr:pic>
    <xdr:clientData/>
  </xdr:twoCellAnchor>
  <xdr:twoCellAnchor>
    <xdr:from>
      <xdr:col>0</xdr:col>
      <xdr:colOff>28575</xdr:colOff>
      <xdr:row>3213</xdr:row>
      <xdr:rowOff>19050</xdr:rowOff>
    </xdr:from>
    <xdr:to>
      <xdr:col>4</xdr:col>
      <xdr:colOff>19050</xdr:colOff>
      <xdr:row>3216</xdr:row>
      <xdr:rowOff>104775</xdr:rowOff>
    </xdr:to>
    <xdr:pic>
      <xdr:nvPicPr>
        <xdr:cNvPr id="14400" name="Picture 5929" descr="nctta_banner2_sm">
          <a:extLst>
            <a:ext uri="{FF2B5EF4-FFF2-40B4-BE49-F238E27FC236}">
              <a16:creationId xmlns:a16="http://schemas.microsoft.com/office/drawing/2014/main" id="{00000000-0008-0000-0300-000040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520284075"/>
          <a:ext cx="1514475" cy="571500"/>
        </a:xfrm>
        <a:prstGeom prst="rect">
          <a:avLst/>
        </a:prstGeom>
        <a:noFill/>
        <a:ln w="9525">
          <a:noFill/>
          <a:miter lim="800000"/>
          <a:headEnd/>
          <a:tailEnd/>
        </a:ln>
      </xdr:spPr>
    </xdr:pic>
    <xdr:clientData/>
  </xdr:twoCellAnchor>
  <xdr:twoCellAnchor>
    <xdr:from>
      <xdr:col>0</xdr:col>
      <xdr:colOff>28575</xdr:colOff>
      <xdr:row>3264</xdr:row>
      <xdr:rowOff>19050</xdr:rowOff>
    </xdr:from>
    <xdr:to>
      <xdr:col>4</xdr:col>
      <xdr:colOff>19050</xdr:colOff>
      <xdr:row>3267</xdr:row>
      <xdr:rowOff>104775</xdr:rowOff>
    </xdr:to>
    <xdr:pic>
      <xdr:nvPicPr>
        <xdr:cNvPr id="14401" name="Picture 5983" descr="nctta_banner2_sm">
          <a:extLst>
            <a:ext uri="{FF2B5EF4-FFF2-40B4-BE49-F238E27FC236}">
              <a16:creationId xmlns:a16="http://schemas.microsoft.com/office/drawing/2014/main" id="{00000000-0008-0000-0300-000041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528542250"/>
          <a:ext cx="1514475" cy="571500"/>
        </a:xfrm>
        <a:prstGeom prst="rect">
          <a:avLst/>
        </a:prstGeom>
        <a:noFill/>
        <a:ln w="9525">
          <a:noFill/>
          <a:miter lim="800000"/>
          <a:headEnd/>
          <a:tailEnd/>
        </a:ln>
      </xdr:spPr>
    </xdr:pic>
    <xdr:clientData/>
  </xdr:twoCellAnchor>
  <xdr:twoCellAnchor>
    <xdr:from>
      <xdr:col>0</xdr:col>
      <xdr:colOff>28575</xdr:colOff>
      <xdr:row>3315</xdr:row>
      <xdr:rowOff>19050</xdr:rowOff>
    </xdr:from>
    <xdr:to>
      <xdr:col>4</xdr:col>
      <xdr:colOff>19050</xdr:colOff>
      <xdr:row>3318</xdr:row>
      <xdr:rowOff>104775</xdr:rowOff>
    </xdr:to>
    <xdr:pic>
      <xdr:nvPicPr>
        <xdr:cNvPr id="14402" name="Picture 5985" descr="nctta_banner2_sm">
          <a:extLst>
            <a:ext uri="{FF2B5EF4-FFF2-40B4-BE49-F238E27FC236}">
              <a16:creationId xmlns:a16="http://schemas.microsoft.com/office/drawing/2014/main" id="{00000000-0008-0000-0300-0000423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536800425"/>
          <a:ext cx="1514475" cy="571500"/>
        </a:xfrm>
        <a:prstGeom prst="rect">
          <a:avLst/>
        </a:prstGeom>
        <a:noFill/>
        <a:ln w="9525">
          <a:noFill/>
          <a:miter lim="800000"/>
          <a:headEnd/>
          <a:tailEnd/>
        </a:ln>
      </xdr:spPr>
    </xdr:pic>
    <xdr:clientData/>
  </xdr:twoCellAnchor>
  <xdr:twoCellAnchor editAs="oneCell">
    <xdr:from>
      <xdr:col>6</xdr:col>
      <xdr:colOff>95250</xdr:colOff>
      <xdr:row>0</xdr:row>
      <xdr:rowOff>47625</xdr:rowOff>
    </xdr:from>
    <xdr:to>
      <xdr:col>7</xdr:col>
      <xdr:colOff>372917</xdr:colOff>
      <xdr:row>3</xdr:row>
      <xdr:rowOff>97469</xdr:rowOff>
    </xdr:to>
    <xdr:pic>
      <xdr:nvPicPr>
        <xdr:cNvPr id="134" name="Picture 133">
          <a:extLst>
            <a:ext uri="{FF2B5EF4-FFF2-40B4-BE49-F238E27FC236}">
              <a16:creationId xmlns:a16="http://schemas.microsoft.com/office/drawing/2014/main" id="{00000000-0008-0000-0300-00008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0" y="47625"/>
          <a:ext cx="658667" cy="535619"/>
        </a:xfrm>
        <a:prstGeom prst="rect">
          <a:avLst/>
        </a:prstGeom>
      </xdr:spPr>
    </xdr:pic>
    <xdr:clientData/>
  </xdr:twoCellAnchor>
  <xdr:twoCellAnchor editAs="oneCell">
    <xdr:from>
      <xdr:col>6</xdr:col>
      <xdr:colOff>76200</xdr:colOff>
      <xdr:row>51</xdr:row>
      <xdr:rowOff>85725</xdr:rowOff>
    </xdr:from>
    <xdr:to>
      <xdr:col>7</xdr:col>
      <xdr:colOff>353867</xdr:colOff>
      <xdr:row>54</xdr:row>
      <xdr:rowOff>135569</xdr:rowOff>
    </xdr:to>
    <xdr:pic>
      <xdr:nvPicPr>
        <xdr:cNvPr id="135" name="Picture 134">
          <a:extLst>
            <a:ext uri="{FF2B5EF4-FFF2-40B4-BE49-F238E27FC236}">
              <a16:creationId xmlns:a16="http://schemas.microsoft.com/office/drawing/2014/main" id="{00000000-0008-0000-0300-00008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8343900"/>
          <a:ext cx="658667" cy="535619"/>
        </a:xfrm>
        <a:prstGeom prst="rect">
          <a:avLst/>
        </a:prstGeom>
      </xdr:spPr>
    </xdr:pic>
    <xdr:clientData/>
  </xdr:twoCellAnchor>
  <xdr:twoCellAnchor editAs="oneCell">
    <xdr:from>
      <xdr:col>6</xdr:col>
      <xdr:colOff>66675</xdr:colOff>
      <xdr:row>102</xdr:row>
      <xdr:rowOff>76200</xdr:rowOff>
    </xdr:from>
    <xdr:to>
      <xdr:col>7</xdr:col>
      <xdr:colOff>344342</xdr:colOff>
      <xdr:row>105</xdr:row>
      <xdr:rowOff>126044</xdr:rowOff>
    </xdr:to>
    <xdr:pic>
      <xdr:nvPicPr>
        <xdr:cNvPr id="136" name="Picture 135">
          <a:extLst>
            <a:ext uri="{FF2B5EF4-FFF2-40B4-BE49-F238E27FC236}">
              <a16:creationId xmlns:a16="http://schemas.microsoft.com/office/drawing/2014/main" id="{00000000-0008-0000-0300-00008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16592550"/>
          <a:ext cx="658667" cy="535619"/>
        </a:xfrm>
        <a:prstGeom prst="rect">
          <a:avLst/>
        </a:prstGeom>
      </xdr:spPr>
    </xdr:pic>
    <xdr:clientData/>
  </xdr:twoCellAnchor>
  <xdr:twoCellAnchor editAs="oneCell">
    <xdr:from>
      <xdr:col>6</xdr:col>
      <xdr:colOff>47625</xdr:colOff>
      <xdr:row>153</xdr:row>
      <xdr:rowOff>114300</xdr:rowOff>
    </xdr:from>
    <xdr:to>
      <xdr:col>7</xdr:col>
      <xdr:colOff>325292</xdr:colOff>
      <xdr:row>157</xdr:row>
      <xdr:rowOff>2219</xdr:rowOff>
    </xdr:to>
    <xdr:pic>
      <xdr:nvPicPr>
        <xdr:cNvPr id="137" name="Picture 136">
          <a:extLst>
            <a:ext uri="{FF2B5EF4-FFF2-40B4-BE49-F238E27FC236}">
              <a16:creationId xmlns:a16="http://schemas.microsoft.com/office/drawing/2014/main" id="{00000000-0008-0000-0300-00008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24888825"/>
          <a:ext cx="658667" cy="535619"/>
        </a:xfrm>
        <a:prstGeom prst="rect">
          <a:avLst/>
        </a:prstGeom>
      </xdr:spPr>
    </xdr:pic>
    <xdr:clientData/>
  </xdr:twoCellAnchor>
  <xdr:twoCellAnchor editAs="oneCell">
    <xdr:from>
      <xdr:col>6</xdr:col>
      <xdr:colOff>76200</xdr:colOff>
      <xdr:row>204</xdr:row>
      <xdr:rowOff>66675</xdr:rowOff>
    </xdr:from>
    <xdr:to>
      <xdr:col>7</xdr:col>
      <xdr:colOff>353867</xdr:colOff>
      <xdr:row>207</xdr:row>
      <xdr:rowOff>116519</xdr:rowOff>
    </xdr:to>
    <xdr:pic>
      <xdr:nvPicPr>
        <xdr:cNvPr id="138" name="Picture 137">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33099375"/>
          <a:ext cx="658667" cy="535619"/>
        </a:xfrm>
        <a:prstGeom prst="rect">
          <a:avLst/>
        </a:prstGeom>
      </xdr:spPr>
    </xdr:pic>
    <xdr:clientData/>
  </xdr:twoCellAnchor>
  <xdr:twoCellAnchor editAs="oneCell">
    <xdr:from>
      <xdr:col>6</xdr:col>
      <xdr:colOff>57150</xdr:colOff>
      <xdr:row>255</xdr:row>
      <xdr:rowOff>104775</xdr:rowOff>
    </xdr:from>
    <xdr:to>
      <xdr:col>7</xdr:col>
      <xdr:colOff>334817</xdr:colOff>
      <xdr:row>258</xdr:row>
      <xdr:rowOff>154619</xdr:rowOff>
    </xdr:to>
    <xdr:pic>
      <xdr:nvPicPr>
        <xdr:cNvPr id="139" name="Picture 138">
          <a:extLst>
            <a:ext uri="{FF2B5EF4-FFF2-40B4-BE49-F238E27FC236}">
              <a16:creationId xmlns:a16="http://schemas.microsoft.com/office/drawing/2014/main" id="{00000000-0008-0000-0300-00008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41395650"/>
          <a:ext cx="658667" cy="535619"/>
        </a:xfrm>
        <a:prstGeom prst="rect">
          <a:avLst/>
        </a:prstGeom>
      </xdr:spPr>
    </xdr:pic>
    <xdr:clientData/>
  </xdr:twoCellAnchor>
  <xdr:twoCellAnchor editAs="oneCell">
    <xdr:from>
      <xdr:col>6</xdr:col>
      <xdr:colOff>47625</xdr:colOff>
      <xdr:row>306</xdr:row>
      <xdr:rowOff>95250</xdr:rowOff>
    </xdr:from>
    <xdr:to>
      <xdr:col>7</xdr:col>
      <xdr:colOff>325292</xdr:colOff>
      <xdr:row>309</xdr:row>
      <xdr:rowOff>145094</xdr:rowOff>
    </xdr:to>
    <xdr:pic>
      <xdr:nvPicPr>
        <xdr:cNvPr id="140" name="Picture 139">
          <a:extLst>
            <a:ext uri="{FF2B5EF4-FFF2-40B4-BE49-F238E27FC236}">
              <a16:creationId xmlns:a16="http://schemas.microsoft.com/office/drawing/2014/main" id="{00000000-0008-0000-0300-00008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49644300"/>
          <a:ext cx="658667" cy="535619"/>
        </a:xfrm>
        <a:prstGeom prst="rect">
          <a:avLst/>
        </a:prstGeom>
      </xdr:spPr>
    </xdr:pic>
    <xdr:clientData/>
  </xdr:twoCellAnchor>
  <xdr:twoCellAnchor editAs="oneCell">
    <xdr:from>
      <xdr:col>6</xdr:col>
      <xdr:colOff>28575</xdr:colOff>
      <xdr:row>357</xdr:row>
      <xdr:rowOff>133350</xdr:rowOff>
    </xdr:from>
    <xdr:to>
      <xdr:col>7</xdr:col>
      <xdr:colOff>306242</xdr:colOff>
      <xdr:row>361</xdr:row>
      <xdr:rowOff>21269</xdr:rowOff>
    </xdr:to>
    <xdr:pic>
      <xdr:nvPicPr>
        <xdr:cNvPr id="141" name="Picture 140">
          <a:extLst>
            <a:ext uri="{FF2B5EF4-FFF2-40B4-BE49-F238E27FC236}">
              <a16:creationId xmlns:a16="http://schemas.microsoft.com/office/drawing/2014/main" id="{00000000-0008-0000-0300-00008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4575" y="57940575"/>
          <a:ext cx="658667" cy="535619"/>
        </a:xfrm>
        <a:prstGeom prst="rect">
          <a:avLst/>
        </a:prstGeom>
      </xdr:spPr>
    </xdr:pic>
    <xdr:clientData/>
  </xdr:twoCellAnchor>
  <xdr:twoCellAnchor editAs="oneCell">
    <xdr:from>
      <xdr:col>6</xdr:col>
      <xdr:colOff>85725</xdr:colOff>
      <xdr:row>459</xdr:row>
      <xdr:rowOff>57150</xdr:rowOff>
    </xdr:from>
    <xdr:to>
      <xdr:col>7</xdr:col>
      <xdr:colOff>363392</xdr:colOff>
      <xdr:row>462</xdr:row>
      <xdr:rowOff>106994</xdr:rowOff>
    </xdr:to>
    <xdr:pic>
      <xdr:nvPicPr>
        <xdr:cNvPr id="142" name="Picture 141">
          <a:extLst>
            <a:ext uri="{FF2B5EF4-FFF2-40B4-BE49-F238E27FC236}">
              <a16:creationId xmlns:a16="http://schemas.microsoft.com/office/drawing/2014/main" id="{00000000-0008-0000-0300-00008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71725" y="74380725"/>
          <a:ext cx="658667" cy="535619"/>
        </a:xfrm>
        <a:prstGeom prst="rect">
          <a:avLst/>
        </a:prstGeom>
      </xdr:spPr>
    </xdr:pic>
    <xdr:clientData/>
  </xdr:twoCellAnchor>
  <xdr:twoCellAnchor editAs="oneCell">
    <xdr:from>
      <xdr:col>6</xdr:col>
      <xdr:colOff>66675</xdr:colOff>
      <xdr:row>510</xdr:row>
      <xdr:rowOff>95250</xdr:rowOff>
    </xdr:from>
    <xdr:to>
      <xdr:col>7</xdr:col>
      <xdr:colOff>344342</xdr:colOff>
      <xdr:row>513</xdr:row>
      <xdr:rowOff>145094</xdr:rowOff>
    </xdr:to>
    <xdr:pic>
      <xdr:nvPicPr>
        <xdr:cNvPr id="143" name="Picture 142">
          <a:extLst>
            <a:ext uri="{FF2B5EF4-FFF2-40B4-BE49-F238E27FC236}">
              <a16:creationId xmlns:a16="http://schemas.microsoft.com/office/drawing/2014/main" id="{00000000-0008-0000-0300-00008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82677000"/>
          <a:ext cx="658667" cy="535619"/>
        </a:xfrm>
        <a:prstGeom prst="rect">
          <a:avLst/>
        </a:prstGeom>
      </xdr:spPr>
    </xdr:pic>
    <xdr:clientData/>
  </xdr:twoCellAnchor>
  <xdr:twoCellAnchor editAs="oneCell">
    <xdr:from>
      <xdr:col>6</xdr:col>
      <xdr:colOff>57150</xdr:colOff>
      <xdr:row>561</xdr:row>
      <xdr:rowOff>85725</xdr:rowOff>
    </xdr:from>
    <xdr:to>
      <xdr:col>7</xdr:col>
      <xdr:colOff>334817</xdr:colOff>
      <xdr:row>564</xdr:row>
      <xdr:rowOff>135569</xdr:rowOff>
    </xdr:to>
    <xdr:pic>
      <xdr:nvPicPr>
        <xdr:cNvPr id="144" name="Picture 143">
          <a:extLst>
            <a:ext uri="{FF2B5EF4-FFF2-40B4-BE49-F238E27FC236}">
              <a16:creationId xmlns:a16="http://schemas.microsoft.com/office/drawing/2014/main" id="{00000000-0008-0000-0300-00009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90925650"/>
          <a:ext cx="658667" cy="535619"/>
        </a:xfrm>
        <a:prstGeom prst="rect">
          <a:avLst/>
        </a:prstGeom>
      </xdr:spPr>
    </xdr:pic>
    <xdr:clientData/>
  </xdr:twoCellAnchor>
  <xdr:twoCellAnchor editAs="oneCell">
    <xdr:from>
      <xdr:col>6</xdr:col>
      <xdr:colOff>38100</xdr:colOff>
      <xdr:row>612</xdr:row>
      <xdr:rowOff>123825</xdr:rowOff>
    </xdr:from>
    <xdr:to>
      <xdr:col>7</xdr:col>
      <xdr:colOff>315767</xdr:colOff>
      <xdr:row>616</xdr:row>
      <xdr:rowOff>11744</xdr:rowOff>
    </xdr:to>
    <xdr:pic>
      <xdr:nvPicPr>
        <xdr:cNvPr id="145" name="Picture 144">
          <a:extLst>
            <a:ext uri="{FF2B5EF4-FFF2-40B4-BE49-F238E27FC236}">
              <a16:creationId xmlns:a16="http://schemas.microsoft.com/office/drawing/2014/main" id="{00000000-0008-0000-0300-00009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99221925"/>
          <a:ext cx="658667" cy="535619"/>
        </a:xfrm>
        <a:prstGeom prst="rect">
          <a:avLst/>
        </a:prstGeom>
      </xdr:spPr>
    </xdr:pic>
    <xdr:clientData/>
  </xdr:twoCellAnchor>
  <xdr:twoCellAnchor editAs="oneCell">
    <xdr:from>
      <xdr:col>6</xdr:col>
      <xdr:colOff>66675</xdr:colOff>
      <xdr:row>663</xdr:row>
      <xdr:rowOff>76200</xdr:rowOff>
    </xdr:from>
    <xdr:to>
      <xdr:col>7</xdr:col>
      <xdr:colOff>344342</xdr:colOff>
      <xdr:row>666</xdr:row>
      <xdr:rowOff>126044</xdr:rowOff>
    </xdr:to>
    <xdr:pic>
      <xdr:nvPicPr>
        <xdr:cNvPr id="146" name="Picture 145">
          <a:extLst>
            <a:ext uri="{FF2B5EF4-FFF2-40B4-BE49-F238E27FC236}">
              <a16:creationId xmlns:a16="http://schemas.microsoft.com/office/drawing/2014/main" id="{00000000-0008-0000-0300-00009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107432475"/>
          <a:ext cx="658667" cy="535619"/>
        </a:xfrm>
        <a:prstGeom prst="rect">
          <a:avLst/>
        </a:prstGeom>
      </xdr:spPr>
    </xdr:pic>
    <xdr:clientData/>
  </xdr:twoCellAnchor>
  <xdr:twoCellAnchor editAs="oneCell">
    <xdr:from>
      <xdr:col>6</xdr:col>
      <xdr:colOff>47625</xdr:colOff>
      <xdr:row>714</xdr:row>
      <xdr:rowOff>114300</xdr:rowOff>
    </xdr:from>
    <xdr:to>
      <xdr:col>7</xdr:col>
      <xdr:colOff>325292</xdr:colOff>
      <xdr:row>718</xdr:row>
      <xdr:rowOff>2219</xdr:rowOff>
    </xdr:to>
    <xdr:pic>
      <xdr:nvPicPr>
        <xdr:cNvPr id="147" name="Picture 146">
          <a:extLst>
            <a:ext uri="{FF2B5EF4-FFF2-40B4-BE49-F238E27FC236}">
              <a16:creationId xmlns:a16="http://schemas.microsoft.com/office/drawing/2014/main" id="{00000000-0008-0000-0300-00009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115728750"/>
          <a:ext cx="658667" cy="535619"/>
        </a:xfrm>
        <a:prstGeom prst="rect">
          <a:avLst/>
        </a:prstGeom>
      </xdr:spPr>
    </xdr:pic>
    <xdr:clientData/>
  </xdr:twoCellAnchor>
  <xdr:twoCellAnchor editAs="oneCell">
    <xdr:from>
      <xdr:col>6</xdr:col>
      <xdr:colOff>38100</xdr:colOff>
      <xdr:row>765</xdr:row>
      <xdr:rowOff>104775</xdr:rowOff>
    </xdr:from>
    <xdr:to>
      <xdr:col>7</xdr:col>
      <xdr:colOff>315767</xdr:colOff>
      <xdr:row>768</xdr:row>
      <xdr:rowOff>154619</xdr:rowOff>
    </xdr:to>
    <xdr:pic>
      <xdr:nvPicPr>
        <xdr:cNvPr id="148" name="Picture 147">
          <a:extLst>
            <a:ext uri="{FF2B5EF4-FFF2-40B4-BE49-F238E27FC236}">
              <a16:creationId xmlns:a16="http://schemas.microsoft.com/office/drawing/2014/main" id="{00000000-0008-0000-0300-00009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123977400"/>
          <a:ext cx="658667" cy="535619"/>
        </a:xfrm>
        <a:prstGeom prst="rect">
          <a:avLst/>
        </a:prstGeom>
      </xdr:spPr>
    </xdr:pic>
    <xdr:clientData/>
  </xdr:twoCellAnchor>
  <xdr:twoCellAnchor editAs="oneCell">
    <xdr:from>
      <xdr:col>6</xdr:col>
      <xdr:colOff>19050</xdr:colOff>
      <xdr:row>816</xdr:row>
      <xdr:rowOff>142875</xdr:rowOff>
    </xdr:from>
    <xdr:to>
      <xdr:col>7</xdr:col>
      <xdr:colOff>296717</xdr:colOff>
      <xdr:row>820</xdr:row>
      <xdr:rowOff>30794</xdr:rowOff>
    </xdr:to>
    <xdr:pic>
      <xdr:nvPicPr>
        <xdr:cNvPr id="149" name="Picture 148">
          <a:extLst>
            <a:ext uri="{FF2B5EF4-FFF2-40B4-BE49-F238E27FC236}">
              <a16:creationId xmlns:a16="http://schemas.microsoft.com/office/drawing/2014/main" id="{00000000-0008-0000-0300-00009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5050" y="132273675"/>
          <a:ext cx="658667" cy="535619"/>
        </a:xfrm>
        <a:prstGeom prst="rect">
          <a:avLst/>
        </a:prstGeom>
      </xdr:spPr>
    </xdr:pic>
    <xdr:clientData/>
  </xdr:twoCellAnchor>
  <xdr:twoCellAnchor editAs="oneCell">
    <xdr:from>
      <xdr:col>6</xdr:col>
      <xdr:colOff>66675</xdr:colOff>
      <xdr:row>408</xdr:row>
      <xdr:rowOff>76200</xdr:rowOff>
    </xdr:from>
    <xdr:to>
      <xdr:col>7</xdr:col>
      <xdr:colOff>344342</xdr:colOff>
      <xdr:row>411</xdr:row>
      <xdr:rowOff>126044</xdr:rowOff>
    </xdr:to>
    <xdr:pic>
      <xdr:nvPicPr>
        <xdr:cNvPr id="150" name="Picture 149">
          <a:extLst>
            <a:ext uri="{FF2B5EF4-FFF2-40B4-BE49-F238E27FC236}">
              <a16:creationId xmlns:a16="http://schemas.microsoft.com/office/drawing/2014/main" id="{00000000-0008-0000-0300-00009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66141600"/>
          <a:ext cx="658667" cy="535619"/>
        </a:xfrm>
        <a:prstGeom prst="rect">
          <a:avLst/>
        </a:prstGeom>
      </xdr:spPr>
    </xdr:pic>
    <xdr:clientData/>
  </xdr:twoCellAnchor>
  <xdr:twoCellAnchor editAs="oneCell">
    <xdr:from>
      <xdr:col>6</xdr:col>
      <xdr:colOff>76200</xdr:colOff>
      <xdr:row>867</xdr:row>
      <xdr:rowOff>57150</xdr:rowOff>
    </xdr:from>
    <xdr:to>
      <xdr:col>7</xdr:col>
      <xdr:colOff>353867</xdr:colOff>
      <xdr:row>870</xdr:row>
      <xdr:rowOff>106994</xdr:rowOff>
    </xdr:to>
    <xdr:pic>
      <xdr:nvPicPr>
        <xdr:cNvPr id="151" name="Picture 150">
          <a:extLst>
            <a:ext uri="{FF2B5EF4-FFF2-40B4-BE49-F238E27FC236}">
              <a16:creationId xmlns:a16="http://schemas.microsoft.com/office/drawing/2014/main" id="{00000000-0008-0000-0300-00009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140446125"/>
          <a:ext cx="658667" cy="535619"/>
        </a:xfrm>
        <a:prstGeom prst="rect">
          <a:avLst/>
        </a:prstGeom>
      </xdr:spPr>
    </xdr:pic>
    <xdr:clientData/>
  </xdr:twoCellAnchor>
  <xdr:twoCellAnchor editAs="oneCell">
    <xdr:from>
      <xdr:col>6</xdr:col>
      <xdr:colOff>57150</xdr:colOff>
      <xdr:row>918</xdr:row>
      <xdr:rowOff>95250</xdr:rowOff>
    </xdr:from>
    <xdr:to>
      <xdr:col>7</xdr:col>
      <xdr:colOff>334817</xdr:colOff>
      <xdr:row>921</xdr:row>
      <xdr:rowOff>145094</xdr:rowOff>
    </xdr:to>
    <xdr:pic>
      <xdr:nvPicPr>
        <xdr:cNvPr id="152" name="Picture 151">
          <a:extLst>
            <a:ext uri="{FF2B5EF4-FFF2-40B4-BE49-F238E27FC236}">
              <a16:creationId xmlns:a16="http://schemas.microsoft.com/office/drawing/2014/main" id="{00000000-0008-0000-0300-00009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148742400"/>
          <a:ext cx="658667" cy="535619"/>
        </a:xfrm>
        <a:prstGeom prst="rect">
          <a:avLst/>
        </a:prstGeom>
      </xdr:spPr>
    </xdr:pic>
    <xdr:clientData/>
  </xdr:twoCellAnchor>
  <xdr:twoCellAnchor editAs="oneCell">
    <xdr:from>
      <xdr:col>6</xdr:col>
      <xdr:colOff>47625</xdr:colOff>
      <xdr:row>969</xdr:row>
      <xdr:rowOff>85725</xdr:rowOff>
    </xdr:from>
    <xdr:to>
      <xdr:col>7</xdr:col>
      <xdr:colOff>325292</xdr:colOff>
      <xdr:row>972</xdr:row>
      <xdr:rowOff>135569</xdr:rowOff>
    </xdr:to>
    <xdr:pic>
      <xdr:nvPicPr>
        <xdr:cNvPr id="153" name="Picture 152">
          <a:extLst>
            <a:ext uri="{FF2B5EF4-FFF2-40B4-BE49-F238E27FC236}">
              <a16:creationId xmlns:a16="http://schemas.microsoft.com/office/drawing/2014/main" id="{00000000-0008-0000-0300-00009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156991050"/>
          <a:ext cx="658667" cy="535619"/>
        </a:xfrm>
        <a:prstGeom prst="rect">
          <a:avLst/>
        </a:prstGeom>
      </xdr:spPr>
    </xdr:pic>
    <xdr:clientData/>
  </xdr:twoCellAnchor>
  <xdr:twoCellAnchor editAs="oneCell">
    <xdr:from>
      <xdr:col>6</xdr:col>
      <xdr:colOff>28575</xdr:colOff>
      <xdr:row>1020</xdr:row>
      <xdr:rowOff>123825</xdr:rowOff>
    </xdr:from>
    <xdr:to>
      <xdr:col>7</xdr:col>
      <xdr:colOff>306242</xdr:colOff>
      <xdr:row>1024</xdr:row>
      <xdr:rowOff>11744</xdr:rowOff>
    </xdr:to>
    <xdr:pic>
      <xdr:nvPicPr>
        <xdr:cNvPr id="154" name="Picture 153">
          <a:extLst>
            <a:ext uri="{FF2B5EF4-FFF2-40B4-BE49-F238E27FC236}">
              <a16:creationId xmlns:a16="http://schemas.microsoft.com/office/drawing/2014/main" id="{00000000-0008-0000-0300-00009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4575" y="165287325"/>
          <a:ext cx="658667" cy="535619"/>
        </a:xfrm>
        <a:prstGeom prst="rect">
          <a:avLst/>
        </a:prstGeom>
      </xdr:spPr>
    </xdr:pic>
    <xdr:clientData/>
  </xdr:twoCellAnchor>
  <xdr:twoCellAnchor editAs="oneCell">
    <xdr:from>
      <xdr:col>6</xdr:col>
      <xdr:colOff>57150</xdr:colOff>
      <xdr:row>1071</xdr:row>
      <xdr:rowOff>76200</xdr:rowOff>
    </xdr:from>
    <xdr:to>
      <xdr:col>7</xdr:col>
      <xdr:colOff>334817</xdr:colOff>
      <xdr:row>1074</xdr:row>
      <xdr:rowOff>126044</xdr:rowOff>
    </xdr:to>
    <xdr:pic>
      <xdr:nvPicPr>
        <xdr:cNvPr id="155" name="Picture 154">
          <a:extLst>
            <a:ext uri="{FF2B5EF4-FFF2-40B4-BE49-F238E27FC236}">
              <a16:creationId xmlns:a16="http://schemas.microsoft.com/office/drawing/2014/main" id="{00000000-0008-0000-0300-00009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173497875"/>
          <a:ext cx="658667" cy="535619"/>
        </a:xfrm>
        <a:prstGeom prst="rect">
          <a:avLst/>
        </a:prstGeom>
      </xdr:spPr>
    </xdr:pic>
    <xdr:clientData/>
  </xdr:twoCellAnchor>
  <xdr:twoCellAnchor editAs="oneCell">
    <xdr:from>
      <xdr:col>6</xdr:col>
      <xdr:colOff>38100</xdr:colOff>
      <xdr:row>1122</xdr:row>
      <xdr:rowOff>114300</xdr:rowOff>
    </xdr:from>
    <xdr:to>
      <xdr:col>7</xdr:col>
      <xdr:colOff>315767</xdr:colOff>
      <xdr:row>1126</xdr:row>
      <xdr:rowOff>2219</xdr:rowOff>
    </xdr:to>
    <xdr:pic>
      <xdr:nvPicPr>
        <xdr:cNvPr id="156" name="Picture 155">
          <a:extLst>
            <a:ext uri="{FF2B5EF4-FFF2-40B4-BE49-F238E27FC236}">
              <a16:creationId xmlns:a16="http://schemas.microsoft.com/office/drawing/2014/main" id="{00000000-0008-0000-0300-00009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181794150"/>
          <a:ext cx="658667" cy="535619"/>
        </a:xfrm>
        <a:prstGeom prst="rect">
          <a:avLst/>
        </a:prstGeom>
      </xdr:spPr>
    </xdr:pic>
    <xdr:clientData/>
  </xdr:twoCellAnchor>
  <xdr:twoCellAnchor editAs="oneCell">
    <xdr:from>
      <xdr:col>6</xdr:col>
      <xdr:colOff>28575</xdr:colOff>
      <xdr:row>1173</xdr:row>
      <xdr:rowOff>104775</xdr:rowOff>
    </xdr:from>
    <xdr:to>
      <xdr:col>7</xdr:col>
      <xdr:colOff>306242</xdr:colOff>
      <xdr:row>1176</xdr:row>
      <xdr:rowOff>154619</xdr:rowOff>
    </xdr:to>
    <xdr:pic>
      <xdr:nvPicPr>
        <xdr:cNvPr id="157" name="Picture 156">
          <a:extLst>
            <a:ext uri="{FF2B5EF4-FFF2-40B4-BE49-F238E27FC236}">
              <a16:creationId xmlns:a16="http://schemas.microsoft.com/office/drawing/2014/main" id="{00000000-0008-0000-0300-00009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4575" y="190042800"/>
          <a:ext cx="658667" cy="535619"/>
        </a:xfrm>
        <a:prstGeom prst="rect">
          <a:avLst/>
        </a:prstGeom>
      </xdr:spPr>
    </xdr:pic>
    <xdr:clientData/>
  </xdr:twoCellAnchor>
  <xdr:twoCellAnchor editAs="oneCell">
    <xdr:from>
      <xdr:col>6</xdr:col>
      <xdr:colOff>9525</xdr:colOff>
      <xdr:row>1224</xdr:row>
      <xdr:rowOff>142875</xdr:rowOff>
    </xdr:from>
    <xdr:to>
      <xdr:col>7</xdr:col>
      <xdr:colOff>287192</xdr:colOff>
      <xdr:row>1228</xdr:row>
      <xdr:rowOff>30794</xdr:rowOff>
    </xdr:to>
    <xdr:pic>
      <xdr:nvPicPr>
        <xdr:cNvPr id="158" name="Picture 157">
          <a:extLst>
            <a:ext uri="{FF2B5EF4-FFF2-40B4-BE49-F238E27FC236}">
              <a16:creationId xmlns:a16="http://schemas.microsoft.com/office/drawing/2014/main" id="{00000000-0008-0000-0300-00009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95525" y="198339075"/>
          <a:ext cx="658667" cy="535619"/>
        </a:xfrm>
        <a:prstGeom prst="rect">
          <a:avLst/>
        </a:prstGeom>
      </xdr:spPr>
    </xdr:pic>
    <xdr:clientData/>
  </xdr:twoCellAnchor>
  <xdr:twoCellAnchor editAs="oneCell">
    <xdr:from>
      <xdr:col>6</xdr:col>
      <xdr:colOff>66675</xdr:colOff>
      <xdr:row>1326</xdr:row>
      <xdr:rowOff>66675</xdr:rowOff>
    </xdr:from>
    <xdr:to>
      <xdr:col>7</xdr:col>
      <xdr:colOff>344342</xdr:colOff>
      <xdr:row>1329</xdr:row>
      <xdr:rowOff>116519</xdr:rowOff>
    </xdr:to>
    <xdr:pic>
      <xdr:nvPicPr>
        <xdr:cNvPr id="159" name="Picture 158">
          <a:extLst>
            <a:ext uri="{FF2B5EF4-FFF2-40B4-BE49-F238E27FC236}">
              <a16:creationId xmlns:a16="http://schemas.microsoft.com/office/drawing/2014/main" id="{00000000-0008-0000-0300-00009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214779225"/>
          <a:ext cx="658667" cy="535619"/>
        </a:xfrm>
        <a:prstGeom prst="rect">
          <a:avLst/>
        </a:prstGeom>
      </xdr:spPr>
    </xdr:pic>
    <xdr:clientData/>
  </xdr:twoCellAnchor>
  <xdr:twoCellAnchor editAs="oneCell">
    <xdr:from>
      <xdr:col>6</xdr:col>
      <xdr:colOff>47625</xdr:colOff>
      <xdr:row>1377</xdr:row>
      <xdr:rowOff>104775</xdr:rowOff>
    </xdr:from>
    <xdr:to>
      <xdr:col>7</xdr:col>
      <xdr:colOff>325292</xdr:colOff>
      <xdr:row>1380</xdr:row>
      <xdr:rowOff>154619</xdr:rowOff>
    </xdr:to>
    <xdr:pic>
      <xdr:nvPicPr>
        <xdr:cNvPr id="160" name="Picture 159">
          <a:extLst>
            <a:ext uri="{FF2B5EF4-FFF2-40B4-BE49-F238E27FC236}">
              <a16:creationId xmlns:a16="http://schemas.microsoft.com/office/drawing/2014/main" id="{00000000-0008-0000-0300-0000A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223075500"/>
          <a:ext cx="658667" cy="535619"/>
        </a:xfrm>
        <a:prstGeom prst="rect">
          <a:avLst/>
        </a:prstGeom>
      </xdr:spPr>
    </xdr:pic>
    <xdr:clientData/>
  </xdr:twoCellAnchor>
  <xdr:twoCellAnchor editAs="oneCell">
    <xdr:from>
      <xdr:col>6</xdr:col>
      <xdr:colOff>38100</xdr:colOff>
      <xdr:row>1428</xdr:row>
      <xdr:rowOff>95250</xdr:rowOff>
    </xdr:from>
    <xdr:to>
      <xdr:col>7</xdr:col>
      <xdr:colOff>315767</xdr:colOff>
      <xdr:row>1431</xdr:row>
      <xdr:rowOff>145094</xdr:rowOff>
    </xdr:to>
    <xdr:pic>
      <xdr:nvPicPr>
        <xdr:cNvPr id="161" name="Picture 160">
          <a:extLst>
            <a:ext uri="{FF2B5EF4-FFF2-40B4-BE49-F238E27FC236}">
              <a16:creationId xmlns:a16="http://schemas.microsoft.com/office/drawing/2014/main" id="{00000000-0008-0000-0300-0000A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231324150"/>
          <a:ext cx="658667" cy="535619"/>
        </a:xfrm>
        <a:prstGeom prst="rect">
          <a:avLst/>
        </a:prstGeom>
      </xdr:spPr>
    </xdr:pic>
    <xdr:clientData/>
  </xdr:twoCellAnchor>
  <xdr:twoCellAnchor editAs="oneCell">
    <xdr:from>
      <xdr:col>6</xdr:col>
      <xdr:colOff>19050</xdr:colOff>
      <xdr:row>1479</xdr:row>
      <xdr:rowOff>133350</xdr:rowOff>
    </xdr:from>
    <xdr:to>
      <xdr:col>7</xdr:col>
      <xdr:colOff>296717</xdr:colOff>
      <xdr:row>1483</xdr:row>
      <xdr:rowOff>21269</xdr:rowOff>
    </xdr:to>
    <xdr:pic>
      <xdr:nvPicPr>
        <xdr:cNvPr id="162" name="Picture 161">
          <a:extLst>
            <a:ext uri="{FF2B5EF4-FFF2-40B4-BE49-F238E27FC236}">
              <a16:creationId xmlns:a16="http://schemas.microsoft.com/office/drawing/2014/main" id="{00000000-0008-0000-0300-0000A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5050" y="239620425"/>
          <a:ext cx="658667" cy="535619"/>
        </a:xfrm>
        <a:prstGeom prst="rect">
          <a:avLst/>
        </a:prstGeom>
      </xdr:spPr>
    </xdr:pic>
    <xdr:clientData/>
  </xdr:twoCellAnchor>
  <xdr:twoCellAnchor editAs="oneCell">
    <xdr:from>
      <xdr:col>6</xdr:col>
      <xdr:colOff>47625</xdr:colOff>
      <xdr:row>1530</xdr:row>
      <xdr:rowOff>85725</xdr:rowOff>
    </xdr:from>
    <xdr:to>
      <xdr:col>7</xdr:col>
      <xdr:colOff>325292</xdr:colOff>
      <xdr:row>1533</xdr:row>
      <xdr:rowOff>135569</xdr:rowOff>
    </xdr:to>
    <xdr:pic>
      <xdr:nvPicPr>
        <xdr:cNvPr id="163" name="Picture 162">
          <a:extLst>
            <a:ext uri="{FF2B5EF4-FFF2-40B4-BE49-F238E27FC236}">
              <a16:creationId xmlns:a16="http://schemas.microsoft.com/office/drawing/2014/main" id="{00000000-0008-0000-0300-0000A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247830975"/>
          <a:ext cx="658667" cy="535619"/>
        </a:xfrm>
        <a:prstGeom prst="rect">
          <a:avLst/>
        </a:prstGeom>
      </xdr:spPr>
    </xdr:pic>
    <xdr:clientData/>
  </xdr:twoCellAnchor>
  <xdr:twoCellAnchor editAs="oneCell">
    <xdr:from>
      <xdr:col>6</xdr:col>
      <xdr:colOff>28575</xdr:colOff>
      <xdr:row>1581</xdr:row>
      <xdr:rowOff>123825</xdr:rowOff>
    </xdr:from>
    <xdr:to>
      <xdr:col>7</xdr:col>
      <xdr:colOff>306242</xdr:colOff>
      <xdr:row>1585</xdr:row>
      <xdr:rowOff>11744</xdr:rowOff>
    </xdr:to>
    <xdr:pic>
      <xdr:nvPicPr>
        <xdr:cNvPr id="164" name="Picture 163">
          <a:extLst>
            <a:ext uri="{FF2B5EF4-FFF2-40B4-BE49-F238E27FC236}">
              <a16:creationId xmlns:a16="http://schemas.microsoft.com/office/drawing/2014/main" id="{00000000-0008-0000-0300-0000A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4575" y="256127250"/>
          <a:ext cx="658667" cy="535619"/>
        </a:xfrm>
        <a:prstGeom prst="rect">
          <a:avLst/>
        </a:prstGeom>
      </xdr:spPr>
    </xdr:pic>
    <xdr:clientData/>
  </xdr:twoCellAnchor>
  <xdr:twoCellAnchor editAs="oneCell">
    <xdr:from>
      <xdr:col>6</xdr:col>
      <xdr:colOff>19050</xdr:colOff>
      <xdr:row>1632</xdr:row>
      <xdr:rowOff>114300</xdr:rowOff>
    </xdr:from>
    <xdr:to>
      <xdr:col>7</xdr:col>
      <xdr:colOff>296717</xdr:colOff>
      <xdr:row>1636</xdr:row>
      <xdr:rowOff>2219</xdr:rowOff>
    </xdr:to>
    <xdr:pic>
      <xdr:nvPicPr>
        <xdr:cNvPr id="165" name="Picture 164">
          <a:extLst>
            <a:ext uri="{FF2B5EF4-FFF2-40B4-BE49-F238E27FC236}">
              <a16:creationId xmlns:a16="http://schemas.microsoft.com/office/drawing/2014/main" id="{00000000-0008-0000-0300-0000A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5050" y="264375900"/>
          <a:ext cx="658667" cy="535619"/>
        </a:xfrm>
        <a:prstGeom prst="rect">
          <a:avLst/>
        </a:prstGeom>
      </xdr:spPr>
    </xdr:pic>
    <xdr:clientData/>
  </xdr:twoCellAnchor>
  <xdr:twoCellAnchor editAs="oneCell">
    <xdr:from>
      <xdr:col>6</xdr:col>
      <xdr:colOff>0</xdr:colOff>
      <xdr:row>1683</xdr:row>
      <xdr:rowOff>152400</xdr:rowOff>
    </xdr:from>
    <xdr:to>
      <xdr:col>7</xdr:col>
      <xdr:colOff>277667</xdr:colOff>
      <xdr:row>1687</xdr:row>
      <xdr:rowOff>40319</xdr:rowOff>
    </xdr:to>
    <xdr:pic>
      <xdr:nvPicPr>
        <xdr:cNvPr id="166" name="Picture 165">
          <a:extLst>
            <a:ext uri="{FF2B5EF4-FFF2-40B4-BE49-F238E27FC236}">
              <a16:creationId xmlns:a16="http://schemas.microsoft.com/office/drawing/2014/main" id="{00000000-0008-0000-0300-0000A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0" y="272672175"/>
          <a:ext cx="658667" cy="535619"/>
        </a:xfrm>
        <a:prstGeom prst="rect">
          <a:avLst/>
        </a:prstGeom>
      </xdr:spPr>
    </xdr:pic>
    <xdr:clientData/>
  </xdr:twoCellAnchor>
  <xdr:twoCellAnchor editAs="oneCell">
    <xdr:from>
      <xdr:col>6</xdr:col>
      <xdr:colOff>47625</xdr:colOff>
      <xdr:row>1275</xdr:row>
      <xdr:rowOff>85725</xdr:rowOff>
    </xdr:from>
    <xdr:to>
      <xdr:col>7</xdr:col>
      <xdr:colOff>325292</xdr:colOff>
      <xdr:row>1278</xdr:row>
      <xdr:rowOff>135569</xdr:rowOff>
    </xdr:to>
    <xdr:pic>
      <xdr:nvPicPr>
        <xdr:cNvPr id="167" name="Picture 166">
          <a:extLst>
            <a:ext uri="{FF2B5EF4-FFF2-40B4-BE49-F238E27FC236}">
              <a16:creationId xmlns:a16="http://schemas.microsoft.com/office/drawing/2014/main" id="{00000000-0008-0000-0300-0000A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206540100"/>
          <a:ext cx="658667" cy="535619"/>
        </a:xfrm>
        <a:prstGeom prst="rect">
          <a:avLst/>
        </a:prstGeom>
      </xdr:spPr>
    </xdr:pic>
    <xdr:clientData/>
  </xdr:twoCellAnchor>
  <xdr:twoCellAnchor editAs="oneCell">
    <xdr:from>
      <xdr:col>6</xdr:col>
      <xdr:colOff>66675</xdr:colOff>
      <xdr:row>1734</xdr:row>
      <xdr:rowOff>38100</xdr:rowOff>
    </xdr:from>
    <xdr:to>
      <xdr:col>7</xdr:col>
      <xdr:colOff>344342</xdr:colOff>
      <xdr:row>1737</xdr:row>
      <xdr:rowOff>87944</xdr:rowOff>
    </xdr:to>
    <xdr:pic>
      <xdr:nvPicPr>
        <xdr:cNvPr id="168" name="Picture 167">
          <a:extLst>
            <a:ext uri="{FF2B5EF4-FFF2-40B4-BE49-F238E27FC236}">
              <a16:creationId xmlns:a16="http://schemas.microsoft.com/office/drawing/2014/main" id="{00000000-0008-0000-0300-0000A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280816050"/>
          <a:ext cx="658667" cy="535619"/>
        </a:xfrm>
        <a:prstGeom prst="rect">
          <a:avLst/>
        </a:prstGeom>
      </xdr:spPr>
    </xdr:pic>
    <xdr:clientData/>
  </xdr:twoCellAnchor>
  <xdr:twoCellAnchor editAs="oneCell">
    <xdr:from>
      <xdr:col>6</xdr:col>
      <xdr:colOff>47625</xdr:colOff>
      <xdr:row>1785</xdr:row>
      <xdr:rowOff>76200</xdr:rowOff>
    </xdr:from>
    <xdr:to>
      <xdr:col>7</xdr:col>
      <xdr:colOff>325292</xdr:colOff>
      <xdr:row>1788</xdr:row>
      <xdr:rowOff>126044</xdr:rowOff>
    </xdr:to>
    <xdr:pic>
      <xdr:nvPicPr>
        <xdr:cNvPr id="169" name="Picture 168">
          <a:extLst>
            <a:ext uri="{FF2B5EF4-FFF2-40B4-BE49-F238E27FC236}">
              <a16:creationId xmlns:a16="http://schemas.microsoft.com/office/drawing/2014/main" id="{00000000-0008-0000-0300-0000A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289112325"/>
          <a:ext cx="658667" cy="535619"/>
        </a:xfrm>
        <a:prstGeom prst="rect">
          <a:avLst/>
        </a:prstGeom>
      </xdr:spPr>
    </xdr:pic>
    <xdr:clientData/>
  </xdr:twoCellAnchor>
  <xdr:twoCellAnchor editAs="oneCell">
    <xdr:from>
      <xdr:col>6</xdr:col>
      <xdr:colOff>38100</xdr:colOff>
      <xdr:row>1836</xdr:row>
      <xdr:rowOff>66675</xdr:rowOff>
    </xdr:from>
    <xdr:to>
      <xdr:col>7</xdr:col>
      <xdr:colOff>315767</xdr:colOff>
      <xdr:row>1839</xdr:row>
      <xdr:rowOff>116519</xdr:rowOff>
    </xdr:to>
    <xdr:pic>
      <xdr:nvPicPr>
        <xdr:cNvPr id="170" name="Picture 169">
          <a:extLst>
            <a:ext uri="{FF2B5EF4-FFF2-40B4-BE49-F238E27FC236}">
              <a16:creationId xmlns:a16="http://schemas.microsoft.com/office/drawing/2014/main" id="{00000000-0008-0000-0300-0000A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297360975"/>
          <a:ext cx="658667" cy="535619"/>
        </a:xfrm>
        <a:prstGeom prst="rect">
          <a:avLst/>
        </a:prstGeom>
      </xdr:spPr>
    </xdr:pic>
    <xdr:clientData/>
  </xdr:twoCellAnchor>
  <xdr:twoCellAnchor editAs="oneCell">
    <xdr:from>
      <xdr:col>6</xdr:col>
      <xdr:colOff>19050</xdr:colOff>
      <xdr:row>1887</xdr:row>
      <xdr:rowOff>104775</xdr:rowOff>
    </xdr:from>
    <xdr:to>
      <xdr:col>7</xdr:col>
      <xdr:colOff>296717</xdr:colOff>
      <xdr:row>1890</xdr:row>
      <xdr:rowOff>154619</xdr:rowOff>
    </xdr:to>
    <xdr:pic>
      <xdr:nvPicPr>
        <xdr:cNvPr id="171" name="Picture 170">
          <a:extLst>
            <a:ext uri="{FF2B5EF4-FFF2-40B4-BE49-F238E27FC236}">
              <a16:creationId xmlns:a16="http://schemas.microsoft.com/office/drawing/2014/main" id="{00000000-0008-0000-0300-0000A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5050" y="305657250"/>
          <a:ext cx="658667" cy="535619"/>
        </a:xfrm>
        <a:prstGeom prst="rect">
          <a:avLst/>
        </a:prstGeom>
      </xdr:spPr>
    </xdr:pic>
    <xdr:clientData/>
  </xdr:twoCellAnchor>
  <xdr:twoCellAnchor editAs="oneCell">
    <xdr:from>
      <xdr:col>6</xdr:col>
      <xdr:colOff>47625</xdr:colOff>
      <xdr:row>1938</xdr:row>
      <xdr:rowOff>57150</xdr:rowOff>
    </xdr:from>
    <xdr:to>
      <xdr:col>7</xdr:col>
      <xdr:colOff>325292</xdr:colOff>
      <xdr:row>1941</xdr:row>
      <xdr:rowOff>106994</xdr:rowOff>
    </xdr:to>
    <xdr:pic>
      <xdr:nvPicPr>
        <xdr:cNvPr id="172" name="Picture 171">
          <a:extLst>
            <a:ext uri="{FF2B5EF4-FFF2-40B4-BE49-F238E27FC236}">
              <a16:creationId xmlns:a16="http://schemas.microsoft.com/office/drawing/2014/main" id="{00000000-0008-0000-0300-0000A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313867800"/>
          <a:ext cx="658667" cy="535619"/>
        </a:xfrm>
        <a:prstGeom prst="rect">
          <a:avLst/>
        </a:prstGeom>
      </xdr:spPr>
    </xdr:pic>
    <xdr:clientData/>
  </xdr:twoCellAnchor>
  <xdr:twoCellAnchor editAs="oneCell">
    <xdr:from>
      <xdr:col>6</xdr:col>
      <xdr:colOff>28575</xdr:colOff>
      <xdr:row>1989</xdr:row>
      <xdr:rowOff>95250</xdr:rowOff>
    </xdr:from>
    <xdr:to>
      <xdr:col>7</xdr:col>
      <xdr:colOff>306242</xdr:colOff>
      <xdr:row>1992</xdr:row>
      <xdr:rowOff>145094</xdr:rowOff>
    </xdr:to>
    <xdr:pic>
      <xdr:nvPicPr>
        <xdr:cNvPr id="173" name="Picture 172">
          <a:extLst>
            <a:ext uri="{FF2B5EF4-FFF2-40B4-BE49-F238E27FC236}">
              <a16:creationId xmlns:a16="http://schemas.microsoft.com/office/drawing/2014/main" id="{00000000-0008-0000-0300-0000A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14575" y="322164075"/>
          <a:ext cx="658667" cy="535619"/>
        </a:xfrm>
        <a:prstGeom prst="rect">
          <a:avLst/>
        </a:prstGeom>
      </xdr:spPr>
    </xdr:pic>
    <xdr:clientData/>
  </xdr:twoCellAnchor>
  <xdr:twoCellAnchor editAs="oneCell">
    <xdr:from>
      <xdr:col>6</xdr:col>
      <xdr:colOff>19050</xdr:colOff>
      <xdr:row>2040</xdr:row>
      <xdr:rowOff>85725</xdr:rowOff>
    </xdr:from>
    <xdr:to>
      <xdr:col>7</xdr:col>
      <xdr:colOff>296717</xdr:colOff>
      <xdr:row>2043</xdr:row>
      <xdr:rowOff>135569</xdr:rowOff>
    </xdr:to>
    <xdr:pic>
      <xdr:nvPicPr>
        <xdr:cNvPr id="174" name="Picture 173">
          <a:extLst>
            <a:ext uri="{FF2B5EF4-FFF2-40B4-BE49-F238E27FC236}">
              <a16:creationId xmlns:a16="http://schemas.microsoft.com/office/drawing/2014/main" id="{00000000-0008-0000-0300-0000A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5050" y="330412725"/>
          <a:ext cx="658667" cy="535619"/>
        </a:xfrm>
        <a:prstGeom prst="rect">
          <a:avLst/>
        </a:prstGeom>
      </xdr:spPr>
    </xdr:pic>
    <xdr:clientData/>
  </xdr:twoCellAnchor>
  <xdr:twoCellAnchor editAs="oneCell">
    <xdr:from>
      <xdr:col>6</xdr:col>
      <xdr:colOff>0</xdr:colOff>
      <xdr:row>2091</xdr:row>
      <xdr:rowOff>123825</xdr:rowOff>
    </xdr:from>
    <xdr:to>
      <xdr:col>7</xdr:col>
      <xdr:colOff>277667</xdr:colOff>
      <xdr:row>2095</xdr:row>
      <xdr:rowOff>11744</xdr:rowOff>
    </xdr:to>
    <xdr:pic>
      <xdr:nvPicPr>
        <xdr:cNvPr id="175" name="Picture 174">
          <a:extLst>
            <a:ext uri="{FF2B5EF4-FFF2-40B4-BE49-F238E27FC236}">
              <a16:creationId xmlns:a16="http://schemas.microsoft.com/office/drawing/2014/main" id="{00000000-0008-0000-0300-0000A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0" y="338709000"/>
          <a:ext cx="658667" cy="535619"/>
        </a:xfrm>
        <a:prstGeom prst="rect">
          <a:avLst/>
        </a:prstGeom>
      </xdr:spPr>
    </xdr:pic>
    <xdr:clientData/>
  </xdr:twoCellAnchor>
  <xdr:twoCellAnchor editAs="oneCell">
    <xdr:from>
      <xdr:col>6</xdr:col>
      <xdr:colOff>57150</xdr:colOff>
      <xdr:row>2193</xdr:row>
      <xdr:rowOff>47625</xdr:rowOff>
    </xdr:from>
    <xdr:to>
      <xdr:col>7</xdr:col>
      <xdr:colOff>334817</xdr:colOff>
      <xdr:row>2196</xdr:row>
      <xdr:rowOff>97469</xdr:rowOff>
    </xdr:to>
    <xdr:pic>
      <xdr:nvPicPr>
        <xdr:cNvPr id="176" name="Picture 175">
          <a:extLst>
            <a:ext uri="{FF2B5EF4-FFF2-40B4-BE49-F238E27FC236}">
              <a16:creationId xmlns:a16="http://schemas.microsoft.com/office/drawing/2014/main" id="{00000000-0008-0000-0300-0000B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355149150"/>
          <a:ext cx="658667" cy="535619"/>
        </a:xfrm>
        <a:prstGeom prst="rect">
          <a:avLst/>
        </a:prstGeom>
      </xdr:spPr>
    </xdr:pic>
    <xdr:clientData/>
  </xdr:twoCellAnchor>
  <xdr:twoCellAnchor editAs="oneCell">
    <xdr:from>
      <xdr:col>6</xdr:col>
      <xdr:colOff>66675</xdr:colOff>
      <xdr:row>2244</xdr:row>
      <xdr:rowOff>85725</xdr:rowOff>
    </xdr:from>
    <xdr:to>
      <xdr:col>7</xdr:col>
      <xdr:colOff>344342</xdr:colOff>
      <xdr:row>2247</xdr:row>
      <xdr:rowOff>135569</xdr:rowOff>
    </xdr:to>
    <xdr:pic>
      <xdr:nvPicPr>
        <xdr:cNvPr id="177" name="Picture 176">
          <a:extLst>
            <a:ext uri="{FF2B5EF4-FFF2-40B4-BE49-F238E27FC236}">
              <a16:creationId xmlns:a16="http://schemas.microsoft.com/office/drawing/2014/main" id="{00000000-0008-0000-0300-0000B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363445425"/>
          <a:ext cx="658667" cy="535619"/>
        </a:xfrm>
        <a:prstGeom prst="rect">
          <a:avLst/>
        </a:prstGeom>
      </xdr:spPr>
    </xdr:pic>
    <xdr:clientData/>
  </xdr:twoCellAnchor>
  <xdr:twoCellAnchor editAs="oneCell">
    <xdr:from>
      <xdr:col>6</xdr:col>
      <xdr:colOff>57150</xdr:colOff>
      <xdr:row>2295</xdr:row>
      <xdr:rowOff>76200</xdr:rowOff>
    </xdr:from>
    <xdr:to>
      <xdr:col>7</xdr:col>
      <xdr:colOff>334817</xdr:colOff>
      <xdr:row>2298</xdr:row>
      <xdr:rowOff>126044</xdr:rowOff>
    </xdr:to>
    <xdr:pic>
      <xdr:nvPicPr>
        <xdr:cNvPr id="178" name="Picture 177">
          <a:extLst>
            <a:ext uri="{FF2B5EF4-FFF2-40B4-BE49-F238E27FC236}">
              <a16:creationId xmlns:a16="http://schemas.microsoft.com/office/drawing/2014/main" id="{00000000-0008-0000-0300-0000B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371694075"/>
          <a:ext cx="658667" cy="535619"/>
        </a:xfrm>
        <a:prstGeom prst="rect">
          <a:avLst/>
        </a:prstGeom>
      </xdr:spPr>
    </xdr:pic>
    <xdr:clientData/>
  </xdr:twoCellAnchor>
  <xdr:twoCellAnchor editAs="oneCell">
    <xdr:from>
      <xdr:col>6</xdr:col>
      <xdr:colOff>47625</xdr:colOff>
      <xdr:row>2346</xdr:row>
      <xdr:rowOff>114300</xdr:rowOff>
    </xdr:from>
    <xdr:to>
      <xdr:col>7</xdr:col>
      <xdr:colOff>325292</xdr:colOff>
      <xdr:row>2350</xdr:row>
      <xdr:rowOff>2219</xdr:rowOff>
    </xdr:to>
    <xdr:pic>
      <xdr:nvPicPr>
        <xdr:cNvPr id="179" name="Picture 178">
          <a:extLst>
            <a:ext uri="{FF2B5EF4-FFF2-40B4-BE49-F238E27FC236}">
              <a16:creationId xmlns:a16="http://schemas.microsoft.com/office/drawing/2014/main" id="{00000000-0008-0000-0300-0000B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379990350"/>
          <a:ext cx="658667" cy="535619"/>
        </a:xfrm>
        <a:prstGeom prst="rect">
          <a:avLst/>
        </a:prstGeom>
      </xdr:spPr>
    </xdr:pic>
    <xdr:clientData/>
  </xdr:twoCellAnchor>
  <xdr:twoCellAnchor editAs="oneCell">
    <xdr:from>
      <xdr:col>6</xdr:col>
      <xdr:colOff>76200</xdr:colOff>
      <xdr:row>2397</xdr:row>
      <xdr:rowOff>66675</xdr:rowOff>
    </xdr:from>
    <xdr:to>
      <xdr:col>7</xdr:col>
      <xdr:colOff>353867</xdr:colOff>
      <xdr:row>2400</xdr:row>
      <xdr:rowOff>116519</xdr:rowOff>
    </xdr:to>
    <xdr:pic>
      <xdr:nvPicPr>
        <xdr:cNvPr id="180" name="Picture 179">
          <a:extLst>
            <a:ext uri="{FF2B5EF4-FFF2-40B4-BE49-F238E27FC236}">
              <a16:creationId xmlns:a16="http://schemas.microsoft.com/office/drawing/2014/main" id="{00000000-0008-0000-0300-0000B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388200900"/>
          <a:ext cx="658667" cy="535619"/>
        </a:xfrm>
        <a:prstGeom prst="rect">
          <a:avLst/>
        </a:prstGeom>
      </xdr:spPr>
    </xdr:pic>
    <xdr:clientData/>
  </xdr:twoCellAnchor>
  <xdr:twoCellAnchor editAs="oneCell">
    <xdr:from>
      <xdr:col>6</xdr:col>
      <xdr:colOff>57150</xdr:colOff>
      <xdr:row>2448</xdr:row>
      <xdr:rowOff>95250</xdr:rowOff>
    </xdr:from>
    <xdr:to>
      <xdr:col>7</xdr:col>
      <xdr:colOff>334817</xdr:colOff>
      <xdr:row>2451</xdr:row>
      <xdr:rowOff>145094</xdr:rowOff>
    </xdr:to>
    <xdr:pic>
      <xdr:nvPicPr>
        <xdr:cNvPr id="181" name="Picture 180">
          <a:extLst>
            <a:ext uri="{FF2B5EF4-FFF2-40B4-BE49-F238E27FC236}">
              <a16:creationId xmlns:a16="http://schemas.microsoft.com/office/drawing/2014/main" id="{00000000-0008-0000-0300-0000B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396487650"/>
          <a:ext cx="658667" cy="535619"/>
        </a:xfrm>
        <a:prstGeom prst="rect">
          <a:avLst/>
        </a:prstGeom>
      </xdr:spPr>
    </xdr:pic>
    <xdr:clientData/>
  </xdr:twoCellAnchor>
  <xdr:twoCellAnchor editAs="oneCell">
    <xdr:from>
      <xdr:col>6</xdr:col>
      <xdr:colOff>47625</xdr:colOff>
      <xdr:row>2499</xdr:row>
      <xdr:rowOff>95250</xdr:rowOff>
    </xdr:from>
    <xdr:to>
      <xdr:col>7</xdr:col>
      <xdr:colOff>325292</xdr:colOff>
      <xdr:row>2502</xdr:row>
      <xdr:rowOff>145094</xdr:rowOff>
    </xdr:to>
    <xdr:pic>
      <xdr:nvPicPr>
        <xdr:cNvPr id="182" name="Picture 181">
          <a:extLst>
            <a:ext uri="{FF2B5EF4-FFF2-40B4-BE49-F238E27FC236}">
              <a16:creationId xmlns:a16="http://schemas.microsoft.com/office/drawing/2014/main" id="{00000000-0008-0000-0300-0000B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33625" y="404745825"/>
          <a:ext cx="658667" cy="535619"/>
        </a:xfrm>
        <a:prstGeom prst="rect">
          <a:avLst/>
        </a:prstGeom>
      </xdr:spPr>
    </xdr:pic>
    <xdr:clientData/>
  </xdr:twoCellAnchor>
  <xdr:twoCellAnchor editAs="oneCell">
    <xdr:from>
      <xdr:col>6</xdr:col>
      <xdr:colOff>76200</xdr:colOff>
      <xdr:row>2550</xdr:row>
      <xdr:rowOff>123825</xdr:rowOff>
    </xdr:from>
    <xdr:to>
      <xdr:col>7</xdr:col>
      <xdr:colOff>353867</xdr:colOff>
      <xdr:row>2554</xdr:row>
      <xdr:rowOff>11744</xdr:rowOff>
    </xdr:to>
    <xdr:pic>
      <xdr:nvPicPr>
        <xdr:cNvPr id="183" name="Picture 182">
          <a:extLst>
            <a:ext uri="{FF2B5EF4-FFF2-40B4-BE49-F238E27FC236}">
              <a16:creationId xmlns:a16="http://schemas.microsoft.com/office/drawing/2014/main" id="{00000000-0008-0000-0300-0000B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413032575"/>
          <a:ext cx="658667" cy="535619"/>
        </a:xfrm>
        <a:prstGeom prst="rect">
          <a:avLst/>
        </a:prstGeom>
      </xdr:spPr>
    </xdr:pic>
    <xdr:clientData/>
  </xdr:twoCellAnchor>
  <xdr:twoCellAnchor editAs="oneCell">
    <xdr:from>
      <xdr:col>6</xdr:col>
      <xdr:colOff>38100</xdr:colOff>
      <xdr:row>2142</xdr:row>
      <xdr:rowOff>66675</xdr:rowOff>
    </xdr:from>
    <xdr:to>
      <xdr:col>7</xdr:col>
      <xdr:colOff>315767</xdr:colOff>
      <xdr:row>2145</xdr:row>
      <xdr:rowOff>116519</xdr:rowOff>
    </xdr:to>
    <xdr:pic>
      <xdr:nvPicPr>
        <xdr:cNvPr id="184" name="Picture 183">
          <a:extLst>
            <a:ext uri="{FF2B5EF4-FFF2-40B4-BE49-F238E27FC236}">
              <a16:creationId xmlns:a16="http://schemas.microsoft.com/office/drawing/2014/main" id="{00000000-0008-0000-0300-0000B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0" y="346910025"/>
          <a:ext cx="658667" cy="535619"/>
        </a:xfrm>
        <a:prstGeom prst="rect">
          <a:avLst/>
        </a:prstGeom>
      </xdr:spPr>
    </xdr:pic>
    <xdr:clientData/>
  </xdr:twoCellAnchor>
  <xdr:twoCellAnchor editAs="oneCell">
    <xdr:from>
      <xdr:col>6</xdr:col>
      <xdr:colOff>95250</xdr:colOff>
      <xdr:row>2601</xdr:row>
      <xdr:rowOff>47625</xdr:rowOff>
    </xdr:from>
    <xdr:to>
      <xdr:col>7</xdr:col>
      <xdr:colOff>372917</xdr:colOff>
      <xdr:row>2604</xdr:row>
      <xdr:rowOff>97469</xdr:rowOff>
    </xdr:to>
    <xdr:pic>
      <xdr:nvPicPr>
        <xdr:cNvPr id="185" name="Picture 184">
          <a:extLst>
            <a:ext uri="{FF2B5EF4-FFF2-40B4-BE49-F238E27FC236}">
              <a16:creationId xmlns:a16="http://schemas.microsoft.com/office/drawing/2014/main" id="{00000000-0008-0000-0300-0000B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0" y="421214550"/>
          <a:ext cx="658667" cy="535619"/>
        </a:xfrm>
        <a:prstGeom prst="rect">
          <a:avLst/>
        </a:prstGeom>
      </xdr:spPr>
    </xdr:pic>
    <xdr:clientData/>
  </xdr:twoCellAnchor>
  <xdr:twoCellAnchor editAs="oneCell">
    <xdr:from>
      <xdr:col>6</xdr:col>
      <xdr:colOff>85725</xdr:colOff>
      <xdr:row>2652</xdr:row>
      <xdr:rowOff>85725</xdr:rowOff>
    </xdr:from>
    <xdr:to>
      <xdr:col>7</xdr:col>
      <xdr:colOff>363392</xdr:colOff>
      <xdr:row>2655</xdr:row>
      <xdr:rowOff>135569</xdr:rowOff>
    </xdr:to>
    <xdr:pic>
      <xdr:nvPicPr>
        <xdr:cNvPr id="186" name="Picture 185">
          <a:extLst>
            <a:ext uri="{FF2B5EF4-FFF2-40B4-BE49-F238E27FC236}">
              <a16:creationId xmlns:a16="http://schemas.microsoft.com/office/drawing/2014/main" id="{00000000-0008-0000-0300-0000B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71725" y="429510825"/>
          <a:ext cx="658667" cy="535619"/>
        </a:xfrm>
        <a:prstGeom prst="rect">
          <a:avLst/>
        </a:prstGeom>
      </xdr:spPr>
    </xdr:pic>
    <xdr:clientData/>
  </xdr:twoCellAnchor>
  <xdr:twoCellAnchor editAs="oneCell">
    <xdr:from>
      <xdr:col>6</xdr:col>
      <xdr:colOff>66675</xdr:colOff>
      <xdr:row>2703</xdr:row>
      <xdr:rowOff>76200</xdr:rowOff>
    </xdr:from>
    <xdr:to>
      <xdr:col>7</xdr:col>
      <xdr:colOff>344342</xdr:colOff>
      <xdr:row>2706</xdr:row>
      <xdr:rowOff>126044</xdr:rowOff>
    </xdr:to>
    <xdr:pic>
      <xdr:nvPicPr>
        <xdr:cNvPr id="187" name="Picture 186">
          <a:extLst>
            <a:ext uri="{FF2B5EF4-FFF2-40B4-BE49-F238E27FC236}">
              <a16:creationId xmlns:a16="http://schemas.microsoft.com/office/drawing/2014/main" id="{00000000-0008-0000-0300-0000B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437759475"/>
          <a:ext cx="658667" cy="535619"/>
        </a:xfrm>
        <a:prstGeom prst="rect">
          <a:avLst/>
        </a:prstGeom>
      </xdr:spPr>
    </xdr:pic>
    <xdr:clientData/>
  </xdr:twoCellAnchor>
  <xdr:twoCellAnchor editAs="oneCell">
    <xdr:from>
      <xdr:col>6</xdr:col>
      <xdr:colOff>85725</xdr:colOff>
      <xdr:row>2754</xdr:row>
      <xdr:rowOff>114300</xdr:rowOff>
    </xdr:from>
    <xdr:to>
      <xdr:col>7</xdr:col>
      <xdr:colOff>363392</xdr:colOff>
      <xdr:row>2758</xdr:row>
      <xdr:rowOff>2219</xdr:rowOff>
    </xdr:to>
    <xdr:pic>
      <xdr:nvPicPr>
        <xdr:cNvPr id="188" name="Picture 187">
          <a:extLst>
            <a:ext uri="{FF2B5EF4-FFF2-40B4-BE49-F238E27FC236}">
              <a16:creationId xmlns:a16="http://schemas.microsoft.com/office/drawing/2014/main" id="{00000000-0008-0000-0300-0000B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71725" y="446055750"/>
          <a:ext cx="658667" cy="535619"/>
        </a:xfrm>
        <a:prstGeom prst="rect">
          <a:avLst/>
        </a:prstGeom>
      </xdr:spPr>
    </xdr:pic>
    <xdr:clientData/>
  </xdr:twoCellAnchor>
  <xdr:twoCellAnchor editAs="oneCell">
    <xdr:from>
      <xdr:col>6</xdr:col>
      <xdr:colOff>76200</xdr:colOff>
      <xdr:row>2805</xdr:row>
      <xdr:rowOff>66675</xdr:rowOff>
    </xdr:from>
    <xdr:to>
      <xdr:col>7</xdr:col>
      <xdr:colOff>353867</xdr:colOff>
      <xdr:row>2808</xdr:row>
      <xdr:rowOff>116519</xdr:rowOff>
    </xdr:to>
    <xdr:pic>
      <xdr:nvPicPr>
        <xdr:cNvPr id="189" name="Picture 188">
          <a:extLst>
            <a:ext uri="{FF2B5EF4-FFF2-40B4-BE49-F238E27FC236}">
              <a16:creationId xmlns:a16="http://schemas.microsoft.com/office/drawing/2014/main" id="{00000000-0008-0000-0300-0000B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454266300"/>
          <a:ext cx="658667" cy="535619"/>
        </a:xfrm>
        <a:prstGeom prst="rect">
          <a:avLst/>
        </a:prstGeom>
      </xdr:spPr>
    </xdr:pic>
    <xdr:clientData/>
  </xdr:twoCellAnchor>
  <xdr:twoCellAnchor editAs="oneCell">
    <xdr:from>
      <xdr:col>6</xdr:col>
      <xdr:colOff>76200</xdr:colOff>
      <xdr:row>2856</xdr:row>
      <xdr:rowOff>104775</xdr:rowOff>
    </xdr:from>
    <xdr:to>
      <xdr:col>7</xdr:col>
      <xdr:colOff>353867</xdr:colOff>
      <xdr:row>2859</xdr:row>
      <xdr:rowOff>154619</xdr:rowOff>
    </xdr:to>
    <xdr:pic>
      <xdr:nvPicPr>
        <xdr:cNvPr id="190" name="Picture 189">
          <a:extLst>
            <a:ext uri="{FF2B5EF4-FFF2-40B4-BE49-F238E27FC236}">
              <a16:creationId xmlns:a16="http://schemas.microsoft.com/office/drawing/2014/main" id="{00000000-0008-0000-0300-0000B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462562575"/>
          <a:ext cx="658667" cy="535619"/>
        </a:xfrm>
        <a:prstGeom prst="rect">
          <a:avLst/>
        </a:prstGeom>
      </xdr:spPr>
    </xdr:pic>
    <xdr:clientData/>
  </xdr:twoCellAnchor>
  <xdr:twoCellAnchor editAs="oneCell">
    <xdr:from>
      <xdr:col>6</xdr:col>
      <xdr:colOff>57150</xdr:colOff>
      <xdr:row>2907</xdr:row>
      <xdr:rowOff>95250</xdr:rowOff>
    </xdr:from>
    <xdr:to>
      <xdr:col>7</xdr:col>
      <xdr:colOff>334817</xdr:colOff>
      <xdr:row>2910</xdr:row>
      <xdr:rowOff>145094</xdr:rowOff>
    </xdr:to>
    <xdr:pic>
      <xdr:nvPicPr>
        <xdr:cNvPr id="191" name="Picture 190">
          <a:extLst>
            <a:ext uri="{FF2B5EF4-FFF2-40B4-BE49-F238E27FC236}">
              <a16:creationId xmlns:a16="http://schemas.microsoft.com/office/drawing/2014/main" id="{00000000-0008-0000-0300-0000B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470811225"/>
          <a:ext cx="658667" cy="535619"/>
        </a:xfrm>
        <a:prstGeom prst="rect">
          <a:avLst/>
        </a:prstGeom>
      </xdr:spPr>
    </xdr:pic>
    <xdr:clientData/>
  </xdr:twoCellAnchor>
  <xdr:twoCellAnchor editAs="oneCell">
    <xdr:from>
      <xdr:col>6</xdr:col>
      <xdr:colOff>85725</xdr:colOff>
      <xdr:row>2958</xdr:row>
      <xdr:rowOff>123825</xdr:rowOff>
    </xdr:from>
    <xdr:to>
      <xdr:col>7</xdr:col>
      <xdr:colOff>363392</xdr:colOff>
      <xdr:row>2962</xdr:row>
      <xdr:rowOff>11744</xdr:rowOff>
    </xdr:to>
    <xdr:pic>
      <xdr:nvPicPr>
        <xdr:cNvPr id="192" name="Picture 191">
          <a:extLst>
            <a:ext uri="{FF2B5EF4-FFF2-40B4-BE49-F238E27FC236}">
              <a16:creationId xmlns:a16="http://schemas.microsoft.com/office/drawing/2014/main" id="{00000000-0008-0000-0300-0000C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71725" y="479097975"/>
          <a:ext cx="658667" cy="535619"/>
        </a:xfrm>
        <a:prstGeom prst="rect">
          <a:avLst/>
        </a:prstGeom>
      </xdr:spPr>
    </xdr:pic>
    <xdr:clientData/>
  </xdr:twoCellAnchor>
  <xdr:twoCellAnchor editAs="oneCell">
    <xdr:from>
      <xdr:col>6</xdr:col>
      <xdr:colOff>66675</xdr:colOff>
      <xdr:row>3060</xdr:row>
      <xdr:rowOff>57150</xdr:rowOff>
    </xdr:from>
    <xdr:to>
      <xdr:col>7</xdr:col>
      <xdr:colOff>344342</xdr:colOff>
      <xdr:row>3063</xdr:row>
      <xdr:rowOff>106994</xdr:rowOff>
    </xdr:to>
    <xdr:pic>
      <xdr:nvPicPr>
        <xdr:cNvPr id="193" name="Picture 192">
          <a:extLst>
            <a:ext uri="{FF2B5EF4-FFF2-40B4-BE49-F238E27FC236}">
              <a16:creationId xmlns:a16="http://schemas.microsoft.com/office/drawing/2014/main" id="{00000000-0008-0000-0300-0000C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495547650"/>
          <a:ext cx="658667" cy="535619"/>
        </a:xfrm>
        <a:prstGeom prst="rect">
          <a:avLst/>
        </a:prstGeom>
      </xdr:spPr>
    </xdr:pic>
    <xdr:clientData/>
  </xdr:twoCellAnchor>
  <xdr:twoCellAnchor editAs="oneCell">
    <xdr:from>
      <xdr:col>6</xdr:col>
      <xdr:colOff>66675</xdr:colOff>
      <xdr:row>3111</xdr:row>
      <xdr:rowOff>95250</xdr:rowOff>
    </xdr:from>
    <xdr:to>
      <xdr:col>7</xdr:col>
      <xdr:colOff>344342</xdr:colOff>
      <xdr:row>3114</xdr:row>
      <xdr:rowOff>145094</xdr:rowOff>
    </xdr:to>
    <xdr:pic>
      <xdr:nvPicPr>
        <xdr:cNvPr id="194" name="Picture 193">
          <a:extLst>
            <a:ext uri="{FF2B5EF4-FFF2-40B4-BE49-F238E27FC236}">
              <a16:creationId xmlns:a16="http://schemas.microsoft.com/office/drawing/2014/main" id="{00000000-0008-0000-0300-0000C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503843925"/>
          <a:ext cx="658667" cy="535619"/>
        </a:xfrm>
        <a:prstGeom prst="rect">
          <a:avLst/>
        </a:prstGeom>
      </xdr:spPr>
    </xdr:pic>
    <xdr:clientData/>
  </xdr:twoCellAnchor>
  <xdr:twoCellAnchor editAs="oneCell">
    <xdr:from>
      <xdr:col>6</xdr:col>
      <xdr:colOff>66675</xdr:colOff>
      <xdr:row>3162</xdr:row>
      <xdr:rowOff>85725</xdr:rowOff>
    </xdr:from>
    <xdr:to>
      <xdr:col>7</xdr:col>
      <xdr:colOff>344342</xdr:colOff>
      <xdr:row>3165</xdr:row>
      <xdr:rowOff>135569</xdr:rowOff>
    </xdr:to>
    <xdr:pic>
      <xdr:nvPicPr>
        <xdr:cNvPr id="195" name="Picture 194">
          <a:extLst>
            <a:ext uri="{FF2B5EF4-FFF2-40B4-BE49-F238E27FC236}">
              <a16:creationId xmlns:a16="http://schemas.microsoft.com/office/drawing/2014/main" id="{00000000-0008-0000-0300-0000C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512092575"/>
          <a:ext cx="658667" cy="535619"/>
        </a:xfrm>
        <a:prstGeom prst="rect">
          <a:avLst/>
        </a:prstGeom>
      </xdr:spPr>
    </xdr:pic>
    <xdr:clientData/>
  </xdr:twoCellAnchor>
  <xdr:twoCellAnchor editAs="oneCell">
    <xdr:from>
      <xdr:col>6</xdr:col>
      <xdr:colOff>76200</xdr:colOff>
      <xdr:row>3213</xdr:row>
      <xdr:rowOff>123825</xdr:rowOff>
    </xdr:from>
    <xdr:to>
      <xdr:col>7</xdr:col>
      <xdr:colOff>353867</xdr:colOff>
      <xdr:row>3217</xdr:row>
      <xdr:rowOff>11744</xdr:rowOff>
    </xdr:to>
    <xdr:pic>
      <xdr:nvPicPr>
        <xdr:cNvPr id="196" name="Picture 195">
          <a:extLst>
            <a:ext uri="{FF2B5EF4-FFF2-40B4-BE49-F238E27FC236}">
              <a16:creationId xmlns:a16="http://schemas.microsoft.com/office/drawing/2014/main" id="{00000000-0008-0000-0300-0000C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520388850"/>
          <a:ext cx="658667" cy="535619"/>
        </a:xfrm>
        <a:prstGeom prst="rect">
          <a:avLst/>
        </a:prstGeom>
      </xdr:spPr>
    </xdr:pic>
    <xdr:clientData/>
  </xdr:twoCellAnchor>
  <xdr:twoCellAnchor editAs="oneCell">
    <xdr:from>
      <xdr:col>6</xdr:col>
      <xdr:colOff>57150</xdr:colOff>
      <xdr:row>3264</xdr:row>
      <xdr:rowOff>76200</xdr:rowOff>
    </xdr:from>
    <xdr:to>
      <xdr:col>7</xdr:col>
      <xdr:colOff>334817</xdr:colOff>
      <xdr:row>3267</xdr:row>
      <xdr:rowOff>126044</xdr:rowOff>
    </xdr:to>
    <xdr:pic>
      <xdr:nvPicPr>
        <xdr:cNvPr id="197" name="Picture 196">
          <a:extLst>
            <a:ext uri="{FF2B5EF4-FFF2-40B4-BE49-F238E27FC236}">
              <a16:creationId xmlns:a16="http://schemas.microsoft.com/office/drawing/2014/main" id="{00000000-0008-0000-0300-0000C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43150" y="528599400"/>
          <a:ext cx="658667" cy="535619"/>
        </a:xfrm>
        <a:prstGeom prst="rect">
          <a:avLst/>
        </a:prstGeom>
      </xdr:spPr>
    </xdr:pic>
    <xdr:clientData/>
  </xdr:twoCellAnchor>
  <xdr:twoCellAnchor editAs="oneCell">
    <xdr:from>
      <xdr:col>6</xdr:col>
      <xdr:colOff>76200</xdr:colOff>
      <xdr:row>3315</xdr:row>
      <xdr:rowOff>114300</xdr:rowOff>
    </xdr:from>
    <xdr:to>
      <xdr:col>7</xdr:col>
      <xdr:colOff>353867</xdr:colOff>
      <xdr:row>3319</xdr:row>
      <xdr:rowOff>2219</xdr:rowOff>
    </xdr:to>
    <xdr:pic>
      <xdr:nvPicPr>
        <xdr:cNvPr id="198" name="Picture 197">
          <a:extLst>
            <a:ext uri="{FF2B5EF4-FFF2-40B4-BE49-F238E27FC236}">
              <a16:creationId xmlns:a16="http://schemas.microsoft.com/office/drawing/2014/main" id="{00000000-0008-0000-0300-0000C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62200" y="536895675"/>
          <a:ext cx="658667" cy="535619"/>
        </a:xfrm>
        <a:prstGeom prst="rect">
          <a:avLst/>
        </a:prstGeom>
      </xdr:spPr>
    </xdr:pic>
    <xdr:clientData/>
  </xdr:twoCellAnchor>
  <xdr:twoCellAnchor editAs="oneCell">
    <xdr:from>
      <xdr:col>6</xdr:col>
      <xdr:colOff>66675</xdr:colOff>
      <xdr:row>3009</xdr:row>
      <xdr:rowOff>76200</xdr:rowOff>
    </xdr:from>
    <xdr:to>
      <xdr:col>7</xdr:col>
      <xdr:colOff>344342</xdr:colOff>
      <xdr:row>3012</xdr:row>
      <xdr:rowOff>126044</xdr:rowOff>
    </xdr:to>
    <xdr:pic>
      <xdr:nvPicPr>
        <xdr:cNvPr id="201" name="Picture 200">
          <a:extLst>
            <a:ext uri="{FF2B5EF4-FFF2-40B4-BE49-F238E27FC236}">
              <a16:creationId xmlns:a16="http://schemas.microsoft.com/office/drawing/2014/main" id="{00000000-0008-0000-0300-0000C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52675" y="487308525"/>
          <a:ext cx="658667" cy="535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389</xdr:row>
      <xdr:rowOff>0</xdr:rowOff>
    </xdr:from>
    <xdr:to>
      <xdr:col>12</xdr:col>
      <xdr:colOff>283845</xdr:colOff>
      <xdr:row>415</xdr:row>
      <xdr:rowOff>129547</xdr:rowOff>
    </xdr:to>
    <xdr:pic>
      <xdr:nvPicPr>
        <xdr:cNvPr id="16396" name="Picture 16395">
          <a:extLst>
            <a:ext uri="{FF2B5EF4-FFF2-40B4-BE49-F238E27FC236}">
              <a16:creationId xmlns:a16="http://schemas.microsoft.com/office/drawing/2014/main" id="{00000000-0008-0000-0600-00000C400000}"/>
            </a:ext>
          </a:extLst>
        </xdr:cNvPr>
        <xdr:cNvPicPr>
          <a:picLocks noChangeAspect="1"/>
        </xdr:cNvPicPr>
      </xdr:nvPicPr>
      <xdr:blipFill>
        <a:blip xmlns:r="http://schemas.openxmlformats.org/officeDocument/2006/relationships" r:embed="rId1"/>
        <a:stretch>
          <a:fillRect/>
        </a:stretch>
      </xdr:blipFill>
      <xdr:spPr>
        <a:xfrm>
          <a:off x="19050" y="63055500"/>
          <a:ext cx="4848225" cy="4347217"/>
        </a:xfrm>
        <a:prstGeom prst="rect">
          <a:avLst/>
        </a:prstGeom>
        <a:ln>
          <a:solidFill>
            <a:srgbClr val="000000"/>
          </a:solidFill>
        </a:ln>
      </xdr:spPr>
    </xdr:pic>
    <xdr:clientData/>
  </xdr:twoCellAnchor>
  <xdr:twoCellAnchor editAs="oneCell">
    <xdr:from>
      <xdr:col>0</xdr:col>
      <xdr:colOff>19051</xdr:colOff>
      <xdr:row>227</xdr:row>
      <xdr:rowOff>19050</xdr:rowOff>
    </xdr:from>
    <xdr:to>
      <xdr:col>13</xdr:col>
      <xdr:colOff>361951</xdr:colOff>
      <xdr:row>252</xdr:row>
      <xdr:rowOff>57330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2"/>
        <a:stretch>
          <a:fillRect/>
        </a:stretch>
      </xdr:blipFill>
      <xdr:spPr>
        <a:xfrm>
          <a:off x="19051" y="36842700"/>
          <a:ext cx="5295900" cy="4078785"/>
        </a:xfrm>
        <a:prstGeom prst="rect">
          <a:avLst/>
        </a:prstGeom>
        <a:ln>
          <a:solidFill>
            <a:srgbClr val="000000"/>
          </a:solidFill>
        </a:ln>
      </xdr:spPr>
    </xdr:pic>
    <xdr:clientData/>
  </xdr:twoCellAnchor>
  <xdr:twoCellAnchor editAs="oneCell">
    <xdr:from>
      <xdr:col>0</xdr:col>
      <xdr:colOff>0</xdr:colOff>
      <xdr:row>635</xdr:row>
      <xdr:rowOff>0</xdr:rowOff>
    </xdr:from>
    <xdr:to>
      <xdr:col>11</xdr:col>
      <xdr:colOff>171450</xdr:colOff>
      <xdr:row>649</xdr:row>
      <xdr:rowOff>95250</xdr:rowOff>
    </xdr:to>
    <xdr:pic>
      <xdr:nvPicPr>
        <xdr:cNvPr id="16393" name="Picture 7942">
          <a:extLst>
            <a:ext uri="{FF2B5EF4-FFF2-40B4-BE49-F238E27FC236}">
              <a16:creationId xmlns:a16="http://schemas.microsoft.com/office/drawing/2014/main" id="{00000000-0008-0000-0600-0000094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02889050"/>
          <a:ext cx="4362450" cy="2362200"/>
        </a:xfrm>
        <a:prstGeom prst="rect">
          <a:avLst/>
        </a:prstGeom>
        <a:noFill/>
        <a:ln w="1">
          <a:solidFill>
            <a:srgbClr val="000000"/>
          </a:solidFill>
          <a:miter lim="800000"/>
          <a:headEnd/>
          <a:tailEnd/>
        </a:ln>
      </xdr:spPr>
    </xdr:pic>
    <xdr:clientData/>
  </xdr:twoCellAnchor>
  <xdr:twoCellAnchor>
    <xdr:from>
      <xdr:col>3</xdr:col>
      <xdr:colOff>9525</xdr:colOff>
      <xdr:row>33</xdr:row>
      <xdr:rowOff>114299</xdr:rowOff>
    </xdr:from>
    <xdr:to>
      <xdr:col>3</xdr:col>
      <xdr:colOff>192405</xdr:colOff>
      <xdr:row>34</xdr:row>
      <xdr:rowOff>152399</xdr:rowOff>
    </xdr:to>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1152525" y="9086849"/>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4</xdr:col>
      <xdr:colOff>95250</xdr:colOff>
      <xdr:row>33</xdr:row>
      <xdr:rowOff>133349</xdr:rowOff>
    </xdr:from>
    <xdr:to>
      <xdr:col>4</xdr:col>
      <xdr:colOff>278130</xdr:colOff>
      <xdr:row>35</xdr:row>
      <xdr:rowOff>9524</xdr:rowOff>
    </xdr:to>
    <xdr:sp macro="" textlink="">
      <xdr:nvSpPr>
        <xdr:cNvPr id="22" name="TextBox 21">
          <a:extLst>
            <a:ext uri="{FF2B5EF4-FFF2-40B4-BE49-F238E27FC236}">
              <a16:creationId xmlns:a16="http://schemas.microsoft.com/office/drawing/2014/main" id="{00000000-0008-0000-0600-000016000000}"/>
            </a:ext>
          </a:extLst>
        </xdr:cNvPr>
        <xdr:cNvSpPr txBox="1"/>
      </xdr:nvSpPr>
      <xdr:spPr>
        <a:xfrm>
          <a:off x="1619250" y="9105899"/>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7</xdr:col>
      <xdr:colOff>57150</xdr:colOff>
      <xdr:row>33</xdr:row>
      <xdr:rowOff>133349</xdr:rowOff>
    </xdr:from>
    <xdr:to>
      <xdr:col>7</xdr:col>
      <xdr:colOff>240030</xdr:colOff>
      <xdr:row>35</xdr:row>
      <xdr:rowOff>9524</xdr:rowOff>
    </xdr:to>
    <xdr:sp macro="" textlink="">
      <xdr:nvSpPr>
        <xdr:cNvPr id="23" name="TextBox 22">
          <a:extLst>
            <a:ext uri="{FF2B5EF4-FFF2-40B4-BE49-F238E27FC236}">
              <a16:creationId xmlns:a16="http://schemas.microsoft.com/office/drawing/2014/main" id="{00000000-0008-0000-0600-000017000000}"/>
            </a:ext>
          </a:extLst>
        </xdr:cNvPr>
        <xdr:cNvSpPr txBox="1"/>
      </xdr:nvSpPr>
      <xdr:spPr>
        <a:xfrm>
          <a:off x="2724150" y="9105899"/>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3</a:t>
          </a:r>
        </a:p>
      </xdr:txBody>
    </xdr:sp>
    <xdr:clientData/>
  </xdr:twoCellAnchor>
  <xdr:twoCellAnchor>
    <xdr:from>
      <xdr:col>11</xdr:col>
      <xdr:colOff>219075</xdr:colOff>
      <xdr:row>33</xdr:row>
      <xdr:rowOff>123824</xdr:rowOff>
    </xdr:from>
    <xdr:to>
      <xdr:col>12</xdr:col>
      <xdr:colOff>20955</xdr:colOff>
      <xdr:row>34</xdr:row>
      <xdr:rowOff>161924</xdr:rowOff>
    </xdr:to>
    <xdr:sp macro="" textlink="">
      <xdr:nvSpPr>
        <xdr:cNvPr id="24" name="TextBox 23">
          <a:extLst>
            <a:ext uri="{FF2B5EF4-FFF2-40B4-BE49-F238E27FC236}">
              <a16:creationId xmlns:a16="http://schemas.microsoft.com/office/drawing/2014/main" id="{00000000-0008-0000-0600-000018000000}"/>
            </a:ext>
          </a:extLst>
        </xdr:cNvPr>
        <xdr:cNvSpPr txBox="1"/>
      </xdr:nvSpPr>
      <xdr:spPr>
        <a:xfrm>
          <a:off x="4410075" y="9096374"/>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4</a:t>
          </a:r>
        </a:p>
      </xdr:txBody>
    </xdr:sp>
    <xdr:clientData/>
  </xdr:twoCellAnchor>
  <xdr:twoCellAnchor>
    <xdr:from>
      <xdr:col>2</xdr:col>
      <xdr:colOff>285751</xdr:colOff>
      <xdr:row>250</xdr:row>
      <xdr:rowOff>95250</xdr:rowOff>
    </xdr:from>
    <xdr:to>
      <xdr:col>4</xdr:col>
      <xdr:colOff>133351</xdr:colOff>
      <xdr:row>252</xdr:row>
      <xdr:rowOff>123825</xdr:rowOff>
    </xdr:to>
    <xdr:sp macro="" textlink="">
      <xdr:nvSpPr>
        <xdr:cNvPr id="25" name="Oval 24">
          <a:extLst>
            <a:ext uri="{FF2B5EF4-FFF2-40B4-BE49-F238E27FC236}">
              <a16:creationId xmlns:a16="http://schemas.microsoft.com/office/drawing/2014/main" id="{00000000-0008-0000-0600-000019000000}"/>
            </a:ext>
          </a:extLst>
        </xdr:cNvPr>
        <xdr:cNvSpPr/>
      </xdr:nvSpPr>
      <xdr:spPr>
        <a:xfrm>
          <a:off x="1047751" y="40643175"/>
          <a:ext cx="609600" cy="3524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161926</xdr:colOff>
      <xdr:row>225</xdr:row>
      <xdr:rowOff>1</xdr:rowOff>
    </xdr:from>
    <xdr:to>
      <xdr:col>2</xdr:col>
      <xdr:colOff>142877</xdr:colOff>
      <xdr:row>231</xdr:row>
      <xdr:rowOff>28578</xdr:rowOff>
    </xdr:to>
    <xdr:cxnSp macro="">
      <xdr:nvCxnSpPr>
        <xdr:cNvPr id="27" name="Straight Arrow Connector 26">
          <a:extLst>
            <a:ext uri="{FF2B5EF4-FFF2-40B4-BE49-F238E27FC236}">
              <a16:creationId xmlns:a16="http://schemas.microsoft.com/office/drawing/2014/main" id="{00000000-0008-0000-0600-00001B000000}"/>
            </a:ext>
          </a:extLst>
        </xdr:cNvPr>
        <xdr:cNvCxnSpPr/>
      </xdr:nvCxnSpPr>
      <xdr:spPr>
        <a:xfrm rot="5400000">
          <a:off x="223838" y="36818889"/>
          <a:ext cx="1000127" cy="361951"/>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180975</xdr:colOff>
      <xdr:row>225</xdr:row>
      <xdr:rowOff>1</xdr:rowOff>
    </xdr:from>
    <xdr:to>
      <xdr:col>4</xdr:col>
      <xdr:colOff>133352</xdr:colOff>
      <xdr:row>231</xdr:row>
      <xdr:rowOff>19051</xdr:rowOff>
    </xdr:to>
    <xdr:cxnSp macro="">
      <xdr:nvCxnSpPr>
        <xdr:cNvPr id="30" name="Straight Arrow Connector 29">
          <a:extLst>
            <a:ext uri="{FF2B5EF4-FFF2-40B4-BE49-F238E27FC236}">
              <a16:creationId xmlns:a16="http://schemas.microsoft.com/office/drawing/2014/main" id="{00000000-0008-0000-0600-00001E000000}"/>
            </a:ext>
          </a:extLst>
        </xdr:cNvPr>
        <xdr:cNvCxnSpPr/>
      </xdr:nvCxnSpPr>
      <xdr:spPr>
        <a:xfrm rot="5400000">
          <a:off x="995364" y="36828412"/>
          <a:ext cx="990600" cy="333377"/>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276227</xdr:colOff>
      <xdr:row>224</xdr:row>
      <xdr:rowOff>142878</xdr:rowOff>
    </xdr:from>
    <xdr:to>
      <xdr:col>7</xdr:col>
      <xdr:colOff>295275</xdr:colOff>
      <xdr:row>231</xdr:row>
      <xdr:rowOff>28575</xdr:rowOff>
    </xdr:to>
    <xdr:cxnSp macro="">
      <xdr:nvCxnSpPr>
        <xdr:cNvPr id="34" name="Straight Arrow Connector 33">
          <a:extLst>
            <a:ext uri="{FF2B5EF4-FFF2-40B4-BE49-F238E27FC236}">
              <a16:creationId xmlns:a16="http://schemas.microsoft.com/office/drawing/2014/main" id="{00000000-0008-0000-0600-000022000000}"/>
            </a:ext>
          </a:extLst>
        </xdr:cNvPr>
        <xdr:cNvCxnSpPr/>
      </xdr:nvCxnSpPr>
      <xdr:spPr>
        <a:xfrm>
          <a:off x="2943227" y="36480753"/>
          <a:ext cx="19048" cy="1019172"/>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47625</xdr:colOff>
      <xdr:row>223</xdr:row>
      <xdr:rowOff>123825</xdr:rowOff>
    </xdr:from>
    <xdr:to>
      <xdr:col>2</xdr:col>
      <xdr:colOff>230505</xdr:colOff>
      <xdr:row>225</xdr:row>
      <xdr:rowOff>0</xdr:rowOff>
    </xdr:to>
    <xdr:sp macro="" textlink="">
      <xdr:nvSpPr>
        <xdr:cNvPr id="37" name="TextBox 36">
          <a:extLst>
            <a:ext uri="{FF2B5EF4-FFF2-40B4-BE49-F238E27FC236}">
              <a16:creationId xmlns:a16="http://schemas.microsoft.com/office/drawing/2014/main" id="{00000000-0008-0000-0600-000025000000}"/>
            </a:ext>
          </a:extLst>
        </xdr:cNvPr>
        <xdr:cNvSpPr txBox="1"/>
      </xdr:nvSpPr>
      <xdr:spPr>
        <a:xfrm>
          <a:off x="809625" y="358140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4</xdr:col>
      <xdr:colOff>28575</xdr:colOff>
      <xdr:row>223</xdr:row>
      <xdr:rowOff>123825</xdr:rowOff>
    </xdr:from>
    <xdr:to>
      <xdr:col>4</xdr:col>
      <xdr:colOff>211455</xdr:colOff>
      <xdr:row>225</xdr:row>
      <xdr:rowOff>0</xdr:rowOff>
    </xdr:to>
    <xdr:sp macro="" textlink="">
      <xdr:nvSpPr>
        <xdr:cNvPr id="38" name="TextBox 37">
          <a:extLst>
            <a:ext uri="{FF2B5EF4-FFF2-40B4-BE49-F238E27FC236}">
              <a16:creationId xmlns:a16="http://schemas.microsoft.com/office/drawing/2014/main" id="{00000000-0008-0000-0600-000026000000}"/>
            </a:ext>
          </a:extLst>
        </xdr:cNvPr>
        <xdr:cNvSpPr txBox="1"/>
      </xdr:nvSpPr>
      <xdr:spPr>
        <a:xfrm>
          <a:off x="1552575" y="358140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7</xdr:col>
      <xdr:colOff>180975</xdr:colOff>
      <xdr:row>223</xdr:row>
      <xdr:rowOff>114300</xdr:rowOff>
    </xdr:from>
    <xdr:to>
      <xdr:col>7</xdr:col>
      <xdr:colOff>363855</xdr:colOff>
      <xdr:row>224</xdr:row>
      <xdr:rowOff>152400</xdr:rowOff>
    </xdr:to>
    <xdr:sp macro="" textlink="">
      <xdr:nvSpPr>
        <xdr:cNvPr id="39" name="TextBox 38">
          <a:extLst>
            <a:ext uri="{FF2B5EF4-FFF2-40B4-BE49-F238E27FC236}">
              <a16:creationId xmlns:a16="http://schemas.microsoft.com/office/drawing/2014/main" id="{00000000-0008-0000-0600-000027000000}"/>
            </a:ext>
          </a:extLst>
        </xdr:cNvPr>
        <xdr:cNvSpPr txBox="1"/>
      </xdr:nvSpPr>
      <xdr:spPr>
        <a:xfrm>
          <a:off x="2847975" y="362902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3</a:t>
          </a:r>
        </a:p>
      </xdr:txBody>
    </xdr:sp>
    <xdr:clientData/>
  </xdr:twoCellAnchor>
  <xdr:twoCellAnchor>
    <xdr:from>
      <xdr:col>4</xdr:col>
      <xdr:colOff>152401</xdr:colOff>
      <xdr:row>413</xdr:row>
      <xdr:rowOff>104775</xdr:rowOff>
    </xdr:from>
    <xdr:to>
      <xdr:col>6</xdr:col>
      <xdr:colOff>266700</xdr:colOff>
      <xdr:row>416</xdr:row>
      <xdr:rowOff>57150</xdr:rowOff>
    </xdr:to>
    <xdr:sp macro="" textlink="">
      <xdr:nvSpPr>
        <xdr:cNvPr id="41" name="Oval 40">
          <a:extLst>
            <a:ext uri="{FF2B5EF4-FFF2-40B4-BE49-F238E27FC236}">
              <a16:creationId xmlns:a16="http://schemas.microsoft.com/office/drawing/2014/main" id="{00000000-0008-0000-0600-000029000000}"/>
            </a:ext>
          </a:extLst>
        </xdr:cNvPr>
        <xdr:cNvSpPr/>
      </xdr:nvSpPr>
      <xdr:spPr>
        <a:xfrm>
          <a:off x="1676401" y="67046475"/>
          <a:ext cx="876299" cy="4381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8</xdr:col>
      <xdr:colOff>228601</xdr:colOff>
      <xdr:row>395</xdr:row>
      <xdr:rowOff>114300</xdr:rowOff>
    </xdr:from>
    <xdr:to>
      <xdr:col>10</xdr:col>
      <xdr:colOff>66676</xdr:colOff>
      <xdr:row>395</xdr:row>
      <xdr:rowOff>115888</xdr:rowOff>
    </xdr:to>
    <xdr:cxnSp macro="">
      <xdr:nvCxnSpPr>
        <xdr:cNvPr id="43" name="Straight Arrow Connector 42">
          <a:extLst>
            <a:ext uri="{FF2B5EF4-FFF2-40B4-BE49-F238E27FC236}">
              <a16:creationId xmlns:a16="http://schemas.microsoft.com/office/drawing/2014/main" id="{00000000-0008-0000-0600-00002B000000}"/>
            </a:ext>
          </a:extLst>
        </xdr:cNvPr>
        <xdr:cNvCxnSpPr/>
      </xdr:nvCxnSpPr>
      <xdr:spPr>
        <a:xfrm rot="10800000">
          <a:off x="3276601" y="64141350"/>
          <a:ext cx="60007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114300</xdr:colOff>
      <xdr:row>395</xdr:row>
      <xdr:rowOff>9525</xdr:rowOff>
    </xdr:from>
    <xdr:to>
      <xdr:col>10</xdr:col>
      <xdr:colOff>297180</xdr:colOff>
      <xdr:row>396</xdr:row>
      <xdr:rowOff>47625</xdr:rowOff>
    </xdr:to>
    <xdr:sp macro="" textlink="">
      <xdr:nvSpPr>
        <xdr:cNvPr id="44" name="TextBox 43">
          <a:extLst>
            <a:ext uri="{FF2B5EF4-FFF2-40B4-BE49-F238E27FC236}">
              <a16:creationId xmlns:a16="http://schemas.microsoft.com/office/drawing/2014/main" id="{00000000-0008-0000-0600-00002C000000}"/>
            </a:ext>
          </a:extLst>
        </xdr:cNvPr>
        <xdr:cNvSpPr txBox="1"/>
      </xdr:nvSpPr>
      <xdr:spPr>
        <a:xfrm>
          <a:off x="3924300" y="6403657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1</xdr:col>
      <xdr:colOff>247650</xdr:colOff>
      <xdr:row>394</xdr:row>
      <xdr:rowOff>76200</xdr:rowOff>
    </xdr:from>
    <xdr:to>
      <xdr:col>7</xdr:col>
      <xdr:colOff>142875</xdr:colOff>
      <xdr:row>396</xdr:row>
      <xdr:rowOff>19050</xdr:rowOff>
    </xdr:to>
    <xdr:sp macro="" textlink="">
      <xdr:nvSpPr>
        <xdr:cNvPr id="45" name="Oval 44">
          <a:extLst>
            <a:ext uri="{FF2B5EF4-FFF2-40B4-BE49-F238E27FC236}">
              <a16:creationId xmlns:a16="http://schemas.microsoft.com/office/drawing/2014/main" id="{00000000-0008-0000-0600-00002D000000}"/>
            </a:ext>
          </a:extLst>
        </xdr:cNvPr>
        <xdr:cNvSpPr/>
      </xdr:nvSpPr>
      <xdr:spPr>
        <a:xfrm>
          <a:off x="628650" y="63941325"/>
          <a:ext cx="2181225" cy="26670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8</xdr:col>
      <xdr:colOff>228600</xdr:colOff>
      <xdr:row>411</xdr:row>
      <xdr:rowOff>133350</xdr:rowOff>
    </xdr:from>
    <xdr:to>
      <xdr:col>10</xdr:col>
      <xdr:colOff>66675</xdr:colOff>
      <xdr:row>411</xdr:row>
      <xdr:rowOff>134938</xdr:rowOff>
    </xdr:to>
    <xdr:cxnSp macro="">
      <xdr:nvCxnSpPr>
        <xdr:cNvPr id="42" name="Straight Arrow Connector 41">
          <a:extLst>
            <a:ext uri="{FF2B5EF4-FFF2-40B4-BE49-F238E27FC236}">
              <a16:creationId xmlns:a16="http://schemas.microsoft.com/office/drawing/2014/main" id="{00000000-0008-0000-0600-00002A000000}"/>
            </a:ext>
          </a:extLst>
        </xdr:cNvPr>
        <xdr:cNvCxnSpPr/>
      </xdr:nvCxnSpPr>
      <xdr:spPr>
        <a:xfrm rot="10800000">
          <a:off x="3276600" y="66751200"/>
          <a:ext cx="60007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123825</xdr:colOff>
      <xdr:row>411</xdr:row>
      <xdr:rowOff>19050</xdr:rowOff>
    </xdr:from>
    <xdr:to>
      <xdr:col>10</xdr:col>
      <xdr:colOff>306705</xdr:colOff>
      <xdr:row>412</xdr:row>
      <xdr:rowOff>57150</xdr:rowOff>
    </xdr:to>
    <xdr:sp macro="" textlink="">
      <xdr:nvSpPr>
        <xdr:cNvPr id="49" name="TextBox 48">
          <a:extLst>
            <a:ext uri="{FF2B5EF4-FFF2-40B4-BE49-F238E27FC236}">
              <a16:creationId xmlns:a16="http://schemas.microsoft.com/office/drawing/2014/main" id="{00000000-0008-0000-0600-000031000000}"/>
            </a:ext>
          </a:extLst>
        </xdr:cNvPr>
        <xdr:cNvSpPr txBox="1"/>
      </xdr:nvSpPr>
      <xdr:spPr>
        <a:xfrm>
          <a:off x="3933825" y="666369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9</xdr:col>
      <xdr:colOff>200025</xdr:colOff>
      <xdr:row>642</xdr:row>
      <xdr:rowOff>76201</xdr:rowOff>
    </xdr:from>
    <xdr:to>
      <xdr:col>10</xdr:col>
      <xdr:colOff>133350</xdr:colOff>
      <xdr:row>645</xdr:row>
      <xdr:rowOff>85726</xdr:rowOff>
    </xdr:to>
    <xdr:cxnSp macro="">
      <xdr:nvCxnSpPr>
        <xdr:cNvPr id="61" name="Straight Arrow Connector 60">
          <a:extLst>
            <a:ext uri="{FF2B5EF4-FFF2-40B4-BE49-F238E27FC236}">
              <a16:creationId xmlns:a16="http://schemas.microsoft.com/office/drawing/2014/main" id="{00000000-0008-0000-0600-00003D000000}"/>
            </a:ext>
          </a:extLst>
        </xdr:cNvPr>
        <xdr:cNvCxnSpPr/>
      </xdr:nvCxnSpPr>
      <xdr:spPr>
        <a:xfrm rot="5400000">
          <a:off x="3538538" y="77633513"/>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180975</xdr:colOff>
      <xdr:row>641</xdr:row>
      <xdr:rowOff>57150</xdr:rowOff>
    </xdr:from>
    <xdr:to>
      <xdr:col>10</xdr:col>
      <xdr:colOff>363855</xdr:colOff>
      <xdr:row>642</xdr:row>
      <xdr:rowOff>95250</xdr:rowOff>
    </xdr:to>
    <xdr:sp macro="" textlink="">
      <xdr:nvSpPr>
        <xdr:cNvPr id="62" name="TextBox 61">
          <a:extLst>
            <a:ext uri="{FF2B5EF4-FFF2-40B4-BE49-F238E27FC236}">
              <a16:creationId xmlns:a16="http://schemas.microsoft.com/office/drawing/2014/main" id="{00000000-0008-0000-0600-00003E000000}"/>
            </a:ext>
          </a:extLst>
        </xdr:cNvPr>
        <xdr:cNvSpPr txBox="1"/>
      </xdr:nvSpPr>
      <xdr:spPr>
        <a:xfrm>
          <a:off x="3990975" y="861060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2</xdr:col>
      <xdr:colOff>276225</xdr:colOff>
      <xdr:row>645</xdr:row>
      <xdr:rowOff>133350</xdr:rowOff>
    </xdr:from>
    <xdr:to>
      <xdr:col>3</xdr:col>
      <xdr:colOff>123825</xdr:colOff>
      <xdr:row>647</xdr:row>
      <xdr:rowOff>95250</xdr:rowOff>
    </xdr:to>
    <xdr:cxnSp macro="">
      <xdr:nvCxnSpPr>
        <xdr:cNvPr id="64" name="Straight Arrow Connector 63">
          <a:extLst>
            <a:ext uri="{FF2B5EF4-FFF2-40B4-BE49-F238E27FC236}">
              <a16:creationId xmlns:a16="http://schemas.microsoft.com/office/drawing/2014/main" id="{00000000-0008-0000-0600-000040000000}"/>
            </a:ext>
          </a:extLst>
        </xdr:cNvPr>
        <xdr:cNvCxnSpPr/>
      </xdr:nvCxnSpPr>
      <xdr:spPr>
        <a:xfrm rot="16200000" flipV="1">
          <a:off x="1009650" y="78114525"/>
          <a:ext cx="285750" cy="22860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180975</xdr:colOff>
      <xdr:row>647</xdr:row>
      <xdr:rowOff>47625</xdr:rowOff>
    </xdr:from>
    <xdr:to>
      <xdr:col>3</xdr:col>
      <xdr:colOff>363855</xdr:colOff>
      <xdr:row>648</xdr:row>
      <xdr:rowOff>85725</xdr:rowOff>
    </xdr:to>
    <xdr:sp macro="" textlink="">
      <xdr:nvSpPr>
        <xdr:cNvPr id="65" name="TextBox 64">
          <a:extLst>
            <a:ext uri="{FF2B5EF4-FFF2-40B4-BE49-F238E27FC236}">
              <a16:creationId xmlns:a16="http://schemas.microsoft.com/office/drawing/2014/main" id="{00000000-0008-0000-0600-000041000000}"/>
            </a:ext>
          </a:extLst>
        </xdr:cNvPr>
        <xdr:cNvSpPr txBox="1"/>
      </xdr:nvSpPr>
      <xdr:spPr>
        <a:xfrm>
          <a:off x="1323975" y="8706802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2</a:t>
          </a:r>
        </a:p>
      </xdr:txBody>
    </xdr:sp>
    <xdr:clientData/>
  </xdr:twoCellAnchor>
  <xdr:twoCellAnchor>
    <xdr:from>
      <xdr:col>3</xdr:col>
      <xdr:colOff>38100</xdr:colOff>
      <xdr:row>636</xdr:row>
      <xdr:rowOff>142876</xdr:rowOff>
    </xdr:from>
    <xdr:to>
      <xdr:col>3</xdr:col>
      <xdr:colOff>352425</xdr:colOff>
      <xdr:row>639</xdr:row>
      <xdr:rowOff>152401</xdr:rowOff>
    </xdr:to>
    <xdr:cxnSp macro="">
      <xdr:nvCxnSpPr>
        <xdr:cNvPr id="66" name="Straight Arrow Connector 65">
          <a:extLst>
            <a:ext uri="{FF2B5EF4-FFF2-40B4-BE49-F238E27FC236}">
              <a16:creationId xmlns:a16="http://schemas.microsoft.com/office/drawing/2014/main" id="{00000000-0008-0000-0600-000042000000}"/>
            </a:ext>
          </a:extLst>
        </xdr:cNvPr>
        <xdr:cNvCxnSpPr/>
      </xdr:nvCxnSpPr>
      <xdr:spPr>
        <a:xfrm rot="5400000">
          <a:off x="1090613" y="76728638"/>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635</xdr:row>
      <xdr:rowOff>76200</xdr:rowOff>
    </xdr:from>
    <xdr:to>
      <xdr:col>4</xdr:col>
      <xdr:colOff>182880</xdr:colOff>
      <xdr:row>636</xdr:row>
      <xdr:rowOff>114300</xdr:rowOff>
    </xdr:to>
    <xdr:sp macro="" textlink="">
      <xdr:nvSpPr>
        <xdr:cNvPr id="67" name="TextBox 66">
          <a:extLst>
            <a:ext uri="{FF2B5EF4-FFF2-40B4-BE49-F238E27FC236}">
              <a16:creationId xmlns:a16="http://schemas.microsoft.com/office/drawing/2014/main" id="{00000000-0008-0000-0600-000043000000}"/>
            </a:ext>
          </a:extLst>
        </xdr:cNvPr>
        <xdr:cNvSpPr txBox="1"/>
      </xdr:nvSpPr>
      <xdr:spPr>
        <a:xfrm>
          <a:off x="1524000" y="8515350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3</a:t>
          </a:r>
        </a:p>
      </xdr:txBody>
    </xdr:sp>
    <xdr:clientData/>
  </xdr:twoCellAnchor>
  <xdr:twoCellAnchor>
    <xdr:from>
      <xdr:col>8</xdr:col>
      <xdr:colOff>57150</xdr:colOff>
      <xdr:row>643</xdr:row>
      <xdr:rowOff>47625</xdr:rowOff>
    </xdr:from>
    <xdr:to>
      <xdr:col>8</xdr:col>
      <xdr:colOff>240030</xdr:colOff>
      <xdr:row>644</xdr:row>
      <xdr:rowOff>85725</xdr:rowOff>
    </xdr:to>
    <xdr:sp macro="" textlink="">
      <xdr:nvSpPr>
        <xdr:cNvPr id="68" name="TextBox 67">
          <a:extLst>
            <a:ext uri="{FF2B5EF4-FFF2-40B4-BE49-F238E27FC236}">
              <a16:creationId xmlns:a16="http://schemas.microsoft.com/office/drawing/2014/main" id="{00000000-0008-0000-0600-000044000000}"/>
            </a:ext>
          </a:extLst>
        </xdr:cNvPr>
        <xdr:cNvSpPr txBox="1"/>
      </xdr:nvSpPr>
      <xdr:spPr>
        <a:xfrm>
          <a:off x="3105150" y="8642032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4</a:t>
          </a:r>
        </a:p>
      </xdr:txBody>
    </xdr:sp>
    <xdr:clientData/>
  </xdr:twoCellAnchor>
  <xdr:twoCellAnchor>
    <xdr:from>
      <xdr:col>7</xdr:col>
      <xdr:colOff>190500</xdr:colOff>
      <xdr:row>644</xdr:row>
      <xdr:rowOff>114301</xdr:rowOff>
    </xdr:from>
    <xdr:to>
      <xdr:col>8</xdr:col>
      <xdr:colOff>123825</xdr:colOff>
      <xdr:row>647</xdr:row>
      <xdr:rowOff>123826</xdr:rowOff>
    </xdr:to>
    <xdr:cxnSp macro="">
      <xdr:nvCxnSpPr>
        <xdr:cNvPr id="69" name="Straight Arrow Connector 68">
          <a:extLst>
            <a:ext uri="{FF2B5EF4-FFF2-40B4-BE49-F238E27FC236}">
              <a16:creationId xmlns:a16="http://schemas.microsoft.com/office/drawing/2014/main" id="{00000000-0008-0000-0600-000045000000}"/>
            </a:ext>
          </a:extLst>
        </xdr:cNvPr>
        <xdr:cNvCxnSpPr/>
      </xdr:nvCxnSpPr>
      <xdr:spPr>
        <a:xfrm rot="5400000">
          <a:off x="2767013" y="77995463"/>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247651</xdr:colOff>
      <xdr:row>644</xdr:row>
      <xdr:rowOff>28578</xdr:rowOff>
    </xdr:from>
    <xdr:to>
      <xdr:col>11</xdr:col>
      <xdr:colOff>371475</xdr:colOff>
      <xdr:row>648</xdr:row>
      <xdr:rowOff>66676</xdr:rowOff>
    </xdr:to>
    <xdr:cxnSp macro="">
      <xdr:nvCxnSpPr>
        <xdr:cNvPr id="70" name="Straight Arrow Connector 69">
          <a:extLst>
            <a:ext uri="{FF2B5EF4-FFF2-40B4-BE49-F238E27FC236}">
              <a16:creationId xmlns:a16="http://schemas.microsoft.com/office/drawing/2014/main" id="{00000000-0008-0000-0600-000046000000}"/>
            </a:ext>
          </a:extLst>
        </xdr:cNvPr>
        <xdr:cNvCxnSpPr/>
      </xdr:nvCxnSpPr>
      <xdr:spPr>
        <a:xfrm rot="5400000">
          <a:off x="3967164" y="77909740"/>
          <a:ext cx="685798" cy="504824"/>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19050</xdr:colOff>
      <xdr:row>643</xdr:row>
      <xdr:rowOff>57150</xdr:rowOff>
    </xdr:from>
    <xdr:to>
      <xdr:col>12</xdr:col>
      <xdr:colOff>201930</xdr:colOff>
      <xdr:row>644</xdr:row>
      <xdr:rowOff>95250</xdr:rowOff>
    </xdr:to>
    <xdr:sp macro="" textlink="">
      <xdr:nvSpPr>
        <xdr:cNvPr id="72" name="TextBox 71">
          <a:extLst>
            <a:ext uri="{FF2B5EF4-FFF2-40B4-BE49-F238E27FC236}">
              <a16:creationId xmlns:a16="http://schemas.microsoft.com/office/drawing/2014/main" id="{00000000-0008-0000-0600-000048000000}"/>
            </a:ext>
          </a:extLst>
        </xdr:cNvPr>
        <xdr:cNvSpPr txBox="1"/>
      </xdr:nvSpPr>
      <xdr:spPr>
        <a:xfrm>
          <a:off x="4591050" y="864298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5</a:t>
          </a:r>
        </a:p>
      </xdr:txBody>
    </xdr:sp>
    <xdr:clientData/>
  </xdr:twoCellAnchor>
  <xdr:twoCellAnchor>
    <xdr:from>
      <xdr:col>5</xdr:col>
      <xdr:colOff>304805</xdr:colOff>
      <xdr:row>656</xdr:row>
      <xdr:rowOff>104774</xdr:rowOff>
    </xdr:from>
    <xdr:to>
      <xdr:col>6</xdr:col>
      <xdr:colOff>314326</xdr:colOff>
      <xdr:row>656</xdr:row>
      <xdr:rowOff>104775</xdr:rowOff>
    </xdr:to>
    <xdr:cxnSp macro="">
      <xdr:nvCxnSpPr>
        <xdr:cNvPr id="73" name="Straight Arrow Connector 72">
          <a:extLst>
            <a:ext uri="{FF2B5EF4-FFF2-40B4-BE49-F238E27FC236}">
              <a16:creationId xmlns:a16="http://schemas.microsoft.com/office/drawing/2014/main" id="{00000000-0008-0000-0600-000049000000}"/>
            </a:ext>
          </a:extLst>
        </xdr:cNvPr>
        <xdr:cNvCxnSpPr/>
      </xdr:nvCxnSpPr>
      <xdr:spPr>
        <a:xfrm rot="10800000" flipV="1">
          <a:off x="2209805" y="79190849"/>
          <a:ext cx="390521" cy="1"/>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660</xdr:row>
      <xdr:rowOff>95250</xdr:rowOff>
    </xdr:from>
    <xdr:to>
      <xdr:col>10</xdr:col>
      <xdr:colOff>320040</xdr:colOff>
      <xdr:row>673</xdr:row>
      <xdr:rowOff>15240</xdr:rowOff>
    </xdr:to>
    <xdr:pic>
      <xdr:nvPicPr>
        <xdr:cNvPr id="16438" name="Picture 6659">
          <a:extLst>
            <a:ext uri="{FF2B5EF4-FFF2-40B4-BE49-F238E27FC236}">
              <a16:creationId xmlns:a16="http://schemas.microsoft.com/office/drawing/2014/main" id="{00000000-0008-0000-0600-0000364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07032425"/>
          <a:ext cx="4124325" cy="2019300"/>
        </a:xfrm>
        <a:prstGeom prst="rect">
          <a:avLst/>
        </a:prstGeom>
        <a:noFill/>
        <a:ln w="1">
          <a:solidFill>
            <a:srgbClr val="000000"/>
          </a:solidFill>
          <a:miter lim="800000"/>
          <a:headEnd/>
          <a:tailEnd/>
        </a:ln>
      </xdr:spPr>
    </xdr:pic>
    <xdr:clientData/>
  </xdr:twoCellAnchor>
  <xdr:twoCellAnchor>
    <xdr:from>
      <xdr:col>3</xdr:col>
      <xdr:colOff>266700</xdr:colOff>
      <xdr:row>671</xdr:row>
      <xdr:rowOff>66675</xdr:rowOff>
    </xdr:from>
    <xdr:to>
      <xdr:col>4</xdr:col>
      <xdr:colOff>190500</xdr:colOff>
      <xdr:row>671</xdr:row>
      <xdr:rowOff>68263</xdr:rowOff>
    </xdr:to>
    <xdr:cxnSp macro="">
      <xdr:nvCxnSpPr>
        <xdr:cNvPr id="77" name="Straight Arrow Connector 76">
          <a:extLst>
            <a:ext uri="{FF2B5EF4-FFF2-40B4-BE49-F238E27FC236}">
              <a16:creationId xmlns:a16="http://schemas.microsoft.com/office/drawing/2014/main" id="{00000000-0008-0000-0600-00004D000000}"/>
            </a:ext>
          </a:extLst>
        </xdr:cNvPr>
        <xdr:cNvCxnSpPr/>
      </xdr:nvCxnSpPr>
      <xdr:spPr>
        <a:xfrm>
          <a:off x="1409700" y="80286225"/>
          <a:ext cx="304800"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247650</xdr:colOff>
      <xdr:row>655</xdr:row>
      <xdr:rowOff>57150</xdr:rowOff>
    </xdr:from>
    <xdr:to>
      <xdr:col>5</xdr:col>
      <xdr:colOff>245745</xdr:colOff>
      <xdr:row>657</xdr:row>
      <xdr:rowOff>129540</xdr:rowOff>
    </xdr:to>
    <xdr:pic>
      <xdr:nvPicPr>
        <xdr:cNvPr id="16440" name="Picture 6728">
          <a:extLst>
            <a:ext uri="{FF2B5EF4-FFF2-40B4-BE49-F238E27FC236}">
              <a16:creationId xmlns:a16="http://schemas.microsoft.com/office/drawing/2014/main" id="{00000000-0008-0000-0600-0000384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771650" y="106184700"/>
          <a:ext cx="390525" cy="390525"/>
        </a:xfrm>
        <a:prstGeom prst="rect">
          <a:avLst/>
        </a:prstGeom>
        <a:noFill/>
        <a:ln w="1">
          <a:solidFill>
            <a:srgbClr val="000000"/>
          </a:solidFill>
          <a:miter lim="800000"/>
          <a:headEnd/>
          <a:tailEnd/>
        </a:ln>
      </xdr:spPr>
    </xdr:pic>
    <xdr:clientData/>
  </xdr:twoCellAnchor>
  <xdr:twoCellAnchor editAs="oneCell">
    <xdr:from>
      <xdr:col>8</xdr:col>
      <xdr:colOff>38100</xdr:colOff>
      <xdr:row>655</xdr:row>
      <xdr:rowOff>104775</xdr:rowOff>
    </xdr:from>
    <xdr:to>
      <xdr:col>12</xdr:col>
      <xdr:colOff>321945</xdr:colOff>
      <xdr:row>657</xdr:row>
      <xdr:rowOff>53340</xdr:rowOff>
    </xdr:to>
    <xdr:pic>
      <xdr:nvPicPr>
        <xdr:cNvPr id="16441" name="Picture 6729">
          <a:extLst>
            <a:ext uri="{FF2B5EF4-FFF2-40B4-BE49-F238E27FC236}">
              <a16:creationId xmlns:a16="http://schemas.microsoft.com/office/drawing/2014/main" id="{00000000-0008-0000-0600-0000394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086100" y="106232325"/>
          <a:ext cx="1819275" cy="266700"/>
        </a:xfrm>
        <a:prstGeom prst="rect">
          <a:avLst/>
        </a:prstGeom>
        <a:noFill/>
        <a:ln w="1">
          <a:solidFill>
            <a:srgbClr val="000000"/>
          </a:solidFill>
          <a:miter lim="800000"/>
          <a:headEnd/>
          <a:tailEnd/>
        </a:ln>
      </xdr:spPr>
    </xdr:pic>
    <xdr:clientData/>
  </xdr:twoCellAnchor>
  <xdr:twoCellAnchor>
    <xdr:from>
      <xdr:col>9</xdr:col>
      <xdr:colOff>171450</xdr:colOff>
      <xdr:row>654</xdr:row>
      <xdr:rowOff>28576</xdr:rowOff>
    </xdr:from>
    <xdr:to>
      <xdr:col>9</xdr:col>
      <xdr:colOff>371475</xdr:colOff>
      <xdr:row>656</xdr:row>
      <xdr:rowOff>9526</xdr:rowOff>
    </xdr:to>
    <xdr:cxnSp macro="">
      <xdr:nvCxnSpPr>
        <xdr:cNvPr id="79" name="Straight Arrow Connector 78">
          <a:extLst>
            <a:ext uri="{FF2B5EF4-FFF2-40B4-BE49-F238E27FC236}">
              <a16:creationId xmlns:a16="http://schemas.microsoft.com/office/drawing/2014/main" id="{00000000-0008-0000-0600-00004F000000}"/>
            </a:ext>
          </a:extLst>
        </xdr:cNvPr>
        <xdr:cNvCxnSpPr/>
      </xdr:nvCxnSpPr>
      <xdr:spPr>
        <a:xfrm rot="5400000">
          <a:off x="3548063" y="79814738"/>
          <a:ext cx="304800" cy="2000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676</xdr:row>
      <xdr:rowOff>66675</xdr:rowOff>
    </xdr:from>
    <xdr:to>
      <xdr:col>3</xdr:col>
      <xdr:colOff>207645</xdr:colOff>
      <xdr:row>678</xdr:row>
      <xdr:rowOff>114300</xdr:rowOff>
    </xdr:to>
    <xdr:pic>
      <xdr:nvPicPr>
        <xdr:cNvPr id="16443" name="Picture 6871">
          <a:extLst>
            <a:ext uri="{FF2B5EF4-FFF2-40B4-BE49-F238E27FC236}">
              <a16:creationId xmlns:a16="http://schemas.microsoft.com/office/drawing/2014/main" id="{00000000-0008-0000-0600-00003B4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0" y="109594650"/>
          <a:ext cx="1362075" cy="371475"/>
        </a:xfrm>
        <a:prstGeom prst="rect">
          <a:avLst/>
        </a:prstGeom>
        <a:noFill/>
        <a:ln w="1">
          <a:solidFill>
            <a:srgbClr val="000000"/>
          </a:solidFill>
          <a:miter lim="800000"/>
          <a:headEnd/>
          <a:tailEnd/>
        </a:ln>
      </xdr:spPr>
    </xdr:pic>
    <xdr:clientData/>
  </xdr:twoCellAnchor>
  <xdr:twoCellAnchor editAs="oneCell">
    <xdr:from>
      <xdr:col>0</xdr:col>
      <xdr:colOff>0</xdr:colOff>
      <xdr:row>487</xdr:row>
      <xdr:rowOff>0</xdr:rowOff>
    </xdr:from>
    <xdr:to>
      <xdr:col>10</xdr:col>
      <xdr:colOff>169545</xdr:colOff>
      <xdr:row>513</xdr:row>
      <xdr:rowOff>38100</xdr:rowOff>
    </xdr:to>
    <xdr:pic>
      <xdr:nvPicPr>
        <xdr:cNvPr id="16445" name="Picture 7730">
          <a:extLst>
            <a:ext uri="{FF2B5EF4-FFF2-40B4-BE49-F238E27FC236}">
              <a16:creationId xmlns:a16="http://schemas.microsoft.com/office/drawing/2014/main" id="{00000000-0008-0000-0600-00003D4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0" y="78924150"/>
          <a:ext cx="3990975" cy="4248150"/>
        </a:xfrm>
        <a:prstGeom prst="rect">
          <a:avLst/>
        </a:prstGeom>
        <a:noFill/>
        <a:ln w="1">
          <a:solidFill>
            <a:srgbClr val="000000"/>
          </a:solidFill>
          <a:miter lim="800000"/>
          <a:headEnd/>
          <a:tailEnd/>
        </a:ln>
      </xdr:spPr>
    </xdr:pic>
    <xdr:clientData/>
  </xdr:twoCellAnchor>
  <xdr:twoCellAnchor>
    <xdr:from>
      <xdr:col>2</xdr:col>
      <xdr:colOff>190501</xdr:colOff>
      <xdr:row>678</xdr:row>
      <xdr:rowOff>19050</xdr:rowOff>
    </xdr:from>
    <xdr:to>
      <xdr:col>4</xdr:col>
      <xdr:colOff>314326</xdr:colOff>
      <xdr:row>678</xdr:row>
      <xdr:rowOff>20638</xdr:rowOff>
    </xdr:to>
    <xdr:cxnSp macro="">
      <xdr:nvCxnSpPr>
        <xdr:cNvPr id="83" name="Straight Arrow Connector 82">
          <a:extLst>
            <a:ext uri="{FF2B5EF4-FFF2-40B4-BE49-F238E27FC236}">
              <a16:creationId xmlns:a16="http://schemas.microsoft.com/office/drawing/2014/main" id="{00000000-0008-0000-0600-000053000000}"/>
            </a:ext>
          </a:extLst>
        </xdr:cNvPr>
        <xdr:cNvCxnSpPr/>
      </xdr:nvCxnSpPr>
      <xdr:spPr>
        <a:xfrm rot="10800000">
          <a:off x="952501" y="83639025"/>
          <a:ext cx="885825" cy="158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611</xdr:row>
      <xdr:rowOff>95250</xdr:rowOff>
    </xdr:from>
    <xdr:to>
      <xdr:col>6</xdr:col>
      <xdr:colOff>76200</xdr:colOff>
      <xdr:row>624</xdr:row>
      <xdr:rowOff>93345</xdr:rowOff>
    </xdr:to>
    <xdr:pic>
      <xdr:nvPicPr>
        <xdr:cNvPr id="16453" name="Picture 2088">
          <a:extLst>
            <a:ext uri="{FF2B5EF4-FFF2-40B4-BE49-F238E27FC236}">
              <a16:creationId xmlns:a16="http://schemas.microsoft.com/office/drawing/2014/main" id="{00000000-0008-0000-0600-0000454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0" y="99098100"/>
          <a:ext cx="2362200" cy="2114550"/>
        </a:xfrm>
        <a:prstGeom prst="rect">
          <a:avLst/>
        </a:prstGeom>
        <a:noFill/>
        <a:ln w="1">
          <a:solidFill>
            <a:srgbClr val="000000"/>
          </a:solidFill>
          <a:miter lim="800000"/>
          <a:headEnd/>
          <a:tailEnd/>
        </a:ln>
      </xdr:spPr>
    </xdr:pic>
    <xdr:clientData/>
  </xdr:twoCellAnchor>
  <xdr:twoCellAnchor>
    <xdr:from>
      <xdr:col>5</xdr:col>
      <xdr:colOff>85725</xdr:colOff>
      <xdr:row>614</xdr:row>
      <xdr:rowOff>47625</xdr:rowOff>
    </xdr:from>
    <xdr:to>
      <xdr:col>5</xdr:col>
      <xdr:colOff>276225</xdr:colOff>
      <xdr:row>615</xdr:row>
      <xdr:rowOff>114300</xdr:rowOff>
    </xdr:to>
    <xdr:sp macro="" textlink="">
      <xdr:nvSpPr>
        <xdr:cNvPr id="80" name="Oval 79">
          <a:extLst>
            <a:ext uri="{FF2B5EF4-FFF2-40B4-BE49-F238E27FC236}">
              <a16:creationId xmlns:a16="http://schemas.microsoft.com/office/drawing/2014/main" id="{00000000-0008-0000-0600-000050000000}"/>
            </a:ext>
          </a:extLst>
        </xdr:cNvPr>
        <xdr:cNvSpPr/>
      </xdr:nvSpPr>
      <xdr:spPr>
        <a:xfrm>
          <a:off x="1990725" y="81076800"/>
          <a:ext cx="190500" cy="228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304800</xdr:colOff>
      <xdr:row>621</xdr:row>
      <xdr:rowOff>57150</xdr:rowOff>
    </xdr:from>
    <xdr:to>
      <xdr:col>4</xdr:col>
      <xdr:colOff>114300</xdr:colOff>
      <xdr:row>622</xdr:row>
      <xdr:rowOff>123825</xdr:rowOff>
    </xdr:to>
    <xdr:sp macro="" textlink="">
      <xdr:nvSpPr>
        <xdr:cNvPr id="81" name="Oval 80">
          <a:extLst>
            <a:ext uri="{FF2B5EF4-FFF2-40B4-BE49-F238E27FC236}">
              <a16:creationId xmlns:a16="http://schemas.microsoft.com/office/drawing/2014/main" id="{00000000-0008-0000-0600-000051000000}"/>
            </a:ext>
          </a:extLst>
        </xdr:cNvPr>
        <xdr:cNvSpPr/>
      </xdr:nvSpPr>
      <xdr:spPr>
        <a:xfrm>
          <a:off x="1447800" y="82219800"/>
          <a:ext cx="190500" cy="228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247650</xdr:colOff>
      <xdr:row>396</xdr:row>
      <xdr:rowOff>19050</xdr:rowOff>
    </xdr:from>
    <xdr:to>
      <xdr:col>7</xdr:col>
      <xdr:colOff>171450</xdr:colOff>
      <xdr:row>397</xdr:row>
      <xdr:rowOff>123825</xdr:rowOff>
    </xdr:to>
    <xdr:sp macro="" textlink="">
      <xdr:nvSpPr>
        <xdr:cNvPr id="82" name="Oval 81">
          <a:extLst>
            <a:ext uri="{FF2B5EF4-FFF2-40B4-BE49-F238E27FC236}">
              <a16:creationId xmlns:a16="http://schemas.microsoft.com/office/drawing/2014/main" id="{00000000-0008-0000-0600-000052000000}"/>
            </a:ext>
          </a:extLst>
        </xdr:cNvPr>
        <xdr:cNvSpPr/>
      </xdr:nvSpPr>
      <xdr:spPr>
        <a:xfrm>
          <a:off x="628650" y="64208025"/>
          <a:ext cx="2209800" cy="26670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247650</xdr:colOff>
      <xdr:row>400</xdr:row>
      <xdr:rowOff>85725</xdr:rowOff>
    </xdr:from>
    <xdr:to>
      <xdr:col>7</xdr:col>
      <xdr:colOff>152400</xdr:colOff>
      <xdr:row>402</xdr:row>
      <xdr:rowOff>28575</xdr:rowOff>
    </xdr:to>
    <xdr:sp macro="" textlink="">
      <xdr:nvSpPr>
        <xdr:cNvPr id="84" name="Oval 83">
          <a:extLst>
            <a:ext uri="{FF2B5EF4-FFF2-40B4-BE49-F238E27FC236}">
              <a16:creationId xmlns:a16="http://schemas.microsoft.com/office/drawing/2014/main" id="{00000000-0008-0000-0600-000054000000}"/>
            </a:ext>
          </a:extLst>
        </xdr:cNvPr>
        <xdr:cNvSpPr/>
      </xdr:nvSpPr>
      <xdr:spPr>
        <a:xfrm>
          <a:off x="628650" y="64922400"/>
          <a:ext cx="2190750" cy="26670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xdr:col>
      <xdr:colOff>247650</xdr:colOff>
      <xdr:row>405</xdr:row>
      <xdr:rowOff>38100</xdr:rowOff>
    </xdr:from>
    <xdr:to>
      <xdr:col>7</xdr:col>
      <xdr:colOff>161925</xdr:colOff>
      <xdr:row>406</xdr:row>
      <xdr:rowOff>142875</xdr:rowOff>
    </xdr:to>
    <xdr:sp macro="" textlink="">
      <xdr:nvSpPr>
        <xdr:cNvPr id="85" name="Oval 84">
          <a:extLst>
            <a:ext uri="{FF2B5EF4-FFF2-40B4-BE49-F238E27FC236}">
              <a16:creationId xmlns:a16="http://schemas.microsoft.com/office/drawing/2014/main" id="{00000000-0008-0000-0600-000055000000}"/>
            </a:ext>
          </a:extLst>
        </xdr:cNvPr>
        <xdr:cNvSpPr/>
      </xdr:nvSpPr>
      <xdr:spPr>
        <a:xfrm>
          <a:off x="628650" y="65684400"/>
          <a:ext cx="2200275" cy="26670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0</xdr:colOff>
      <xdr:row>307</xdr:row>
      <xdr:rowOff>0</xdr:rowOff>
    </xdr:from>
    <xdr:to>
      <xdr:col>13</xdr:col>
      <xdr:colOff>91440</xdr:colOff>
      <xdr:row>321</xdr:row>
      <xdr:rowOff>17145</xdr:rowOff>
    </xdr:to>
    <xdr:pic>
      <xdr:nvPicPr>
        <xdr:cNvPr id="16462" name="Picture 9437">
          <a:extLst>
            <a:ext uri="{FF2B5EF4-FFF2-40B4-BE49-F238E27FC236}">
              <a16:creationId xmlns:a16="http://schemas.microsoft.com/office/drawing/2014/main" id="{00000000-0008-0000-0600-00004E4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0" y="49777650"/>
          <a:ext cx="5038725" cy="2295525"/>
        </a:xfrm>
        <a:prstGeom prst="rect">
          <a:avLst/>
        </a:prstGeom>
        <a:noFill/>
        <a:ln w="1">
          <a:solidFill>
            <a:srgbClr val="000000"/>
          </a:solidFill>
          <a:miter lim="800000"/>
          <a:headEnd/>
          <a:tailEnd/>
        </a:ln>
      </xdr:spPr>
    </xdr:pic>
    <xdr:clientData/>
  </xdr:twoCellAnchor>
  <xdr:twoCellAnchor>
    <xdr:from>
      <xdr:col>8</xdr:col>
      <xdr:colOff>171450</xdr:colOff>
      <xdr:row>224</xdr:row>
      <xdr:rowOff>152406</xdr:rowOff>
    </xdr:from>
    <xdr:to>
      <xdr:col>8</xdr:col>
      <xdr:colOff>266702</xdr:colOff>
      <xdr:row>231</xdr:row>
      <xdr:rowOff>19050</xdr:rowOff>
    </xdr:to>
    <xdr:cxnSp macro="">
      <xdr:nvCxnSpPr>
        <xdr:cNvPr id="89" name="Straight Arrow Connector 88">
          <a:extLst>
            <a:ext uri="{FF2B5EF4-FFF2-40B4-BE49-F238E27FC236}">
              <a16:creationId xmlns:a16="http://schemas.microsoft.com/office/drawing/2014/main" id="{00000000-0008-0000-0600-000059000000}"/>
            </a:ext>
          </a:extLst>
        </xdr:cNvPr>
        <xdr:cNvCxnSpPr/>
      </xdr:nvCxnSpPr>
      <xdr:spPr>
        <a:xfrm flipH="1">
          <a:off x="3219450" y="36490281"/>
          <a:ext cx="95252" cy="1000119"/>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171450</xdr:colOff>
      <xdr:row>223</xdr:row>
      <xdr:rowOff>114303</xdr:rowOff>
    </xdr:from>
    <xdr:to>
      <xdr:col>8</xdr:col>
      <xdr:colOff>354330</xdr:colOff>
      <xdr:row>224</xdr:row>
      <xdr:rowOff>152403</xdr:rowOff>
    </xdr:to>
    <xdr:sp macro="" textlink="">
      <xdr:nvSpPr>
        <xdr:cNvPr id="90" name="TextBox 89">
          <a:extLst>
            <a:ext uri="{FF2B5EF4-FFF2-40B4-BE49-F238E27FC236}">
              <a16:creationId xmlns:a16="http://schemas.microsoft.com/office/drawing/2014/main" id="{00000000-0008-0000-0600-00005A000000}"/>
            </a:ext>
          </a:extLst>
        </xdr:cNvPr>
        <xdr:cNvSpPr txBox="1"/>
      </xdr:nvSpPr>
      <xdr:spPr>
        <a:xfrm>
          <a:off x="3219450" y="36290253"/>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4</a:t>
          </a:r>
        </a:p>
      </xdr:txBody>
    </xdr:sp>
    <xdr:clientData/>
  </xdr:twoCellAnchor>
  <xdr:twoCellAnchor>
    <xdr:from>
      <xdr:col>8</xdr:col>
      <xdr:colOff>323853</xdr:colOff>
      <xdr:row>225</xdr:row>
      <xdr:rowOff>2</xdr:rowOff>
    </xdr:from>
    <xdr:to>
      <xdr:col>9</xdr:col>
      <xdr:colOff>371478</xdr:colOff>
      <xdr:row>229</xdr:row>
      <xdr:rowOff>85728</xdr:rowOff>
    </xdr:to>
    <xdr:cxnSp macro="">
      <xdr:nvCxnSpPr>
        <xdr:cNvPr id="91" name="Straight Arrow Connector 90">
          <a:extLst>
            <a:ext uri="{FF2B5EF4-FFF2-40B4-BE49-F238E27FC236}">
              <a16:creationId xmlns:a16="http://schemas.microsoft.com/office/drawing/2014/main" id="{00000000-0008-0000-0600-00005B000000}"/>
            </a:ext>
          </a:extLst>
        </xdr:cNvPr>
        <xdr:cNvCxnSpPr/>
      </xdr:nvCxnSpPr>
      <xdr:spPr>
        <a:xfrm flipH="1">
          <a:off x="3371853" y="36499802"/>
          <a:ext cx="428625" cy="733426"/>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223</xdr:row>
      <xdr:rowOff>114300</xdr:rowOff>
    </xdr:from>
    <xdr:to>
      <xdr:col>10</xdr:col>
      <xdr:colOff>68580</xdr:colOff>
      <xdr:row>224</xdr:row>
      <xdr:rowOff>152400</xdr:rowOff>
    </xdr:to>
    <xdr:sp macro="" textlink="">
      <xdr:nvSpPr>
        <xdr:cNvPr id="92" name="TextBox 91">
          <a:extLst>
            <a:ext uri="{FF2B5EF4-FFF2-40B4-BE49-F238E27FC236}">
              <a16:creationId xmlns:a16="http://schemas.microsoft.com/office/drawing/2014/main" id="{00000000-0008-0000-0600-00005C000000}"/>
            </a:ext>
          </a:extLst>
        </xdr:cNvPr>
        <xdr:cNvSpPr txBox="1"/>
      </xdr:nvSpPr>
      <xdr:spPr>
        <a:xfrm>
          <a:off x="3695700" y="272224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5</a:t>
          </a:r>
        </a:p>
      </xdr:txBody>
    </xdr:sp>
    <xdr:clientData/>
  </xdr:twoCellAnchor>
  <xdr:twoCellAnchor>
    <xdr:from>
      <xdr:col>10</xdr:col>
      <xdr:colOff>57150</xdr:colOff>
      <xdr:row>224</xdr:row>
      <xdr:rowOff>142878</xdr:rowOff>
    </xdr:from>
    <xdr:to>
      <xdr:col>11</xdr:col>
      <xdr:colOff>161927</xdr:colOff>
      <xdr:row>231</xdr:row>
      <xdr:rowOff>19050</xdr:rowOff>
    </xdr:to>
    <xdr:cxnSp macro="">
      <xdr:nvCxnSpPr>
        <xdr:cNvPr id="94" name="Straight Arrow Connector 93">
          <a:extLst>
            <a:ext uri="{FF2B5EF4-FFF2-40B4-BE49-F238E27FC236}">
              <a16:creationId xmlns:a16="http://schemas.microsoft.com/office/drawing/2014/main" id="{00000000-0008-0000-0600-00005E000000}"/>
            </a:ext>
          </a:extLst>
        </xdr:cNvPr>
        <xdr:cNvCxnSpPr/>
      </xdr:nvCxnSpPr>
      <xdr:spPr>
        <a:xfrm flipH="1">
          <a:off x="3867150" y="36480753"/>
          <a:ext cx="485777" cy="1009647"/>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66675</xdr:colOff>
      <xdr:row>223</xdr:row>
      <xdr:rowOff>114300</xdr:rowOff>
    </xdr:from>
    <xdr:to>
      <xdr:col>11</xdr:col>
      <xdr:colOff>249555</xdr:colOff>
      <xdr:row>224</xdr:row>
      <xdr:rowOff>152400</xdr:rowOff>
    </xdr:to>
    <xdr:sp macro="" textlink="">
      <xdr:nvSpPr>
        <xdr:cNvPr id="95" name="TextBox 94">
          <a:extLst>
            <a:ext uri="{FF2B5EF4-FFF2-40B4-BE49-F238E27FC236}">
              <a16:creationId xmlns:a16="http://schemas.microsoft.com/office/drawing/2014/main" id="{00000000-0008-0000-0600-00005F000000}"/>
            </a:ext>
          </a:extLst>
        </xdr:cNvPr>
        <xdr:cNvSpPr txBox="1"/>
      </xdr:nvSpPr>
      <xdr:spPr>
        <a:xfrm>
          <a:off x="4257675" y="272224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6</a:t>
          </a:r>
        </a:p>
      </xdr:txBody>
    </xdr:sp>
    <xdr:clientData/>
  </xdr:twoCellAnchor>
  <xdr:twoCellAnchor>
    <xdr:from>
      <xdr:col>12</xdr:col>
      <xdr:colOff>333375</xdr:colOff>
      <xdr:row>224</xdr:row>
      <xdr:rowOff>152400</xdr:rowOff>
    </xdr:from>
    <xdr:to>
      <xdr:col>12</xdr:col>
      <xdr:colOff>350520</xdr:colOff>
      <xdr:row>229</xdr:row>
      <xdr:rowOff>68580</xdr:rowOff>
    </xdr:to>
    <xdr:cxnSp macro="">
      <xdr:nvCxnSpPr>
        <xdr:cNvPr id="97" name="Straight Arrow Connector 96">
          <a:extLst>
            <a:ext uri="{FF2B5EF4-FFF2-40B4-BE49-F238E27FC236}">
              <a16:creationId xmlns:a16="http://schemas.microsoft.com/office/drawing/2014/main" id="{00000000-0008-0000-0600-000061000000}"/>
            </a:ext>
          </a:extLst>
        </xdr:cNvPr>
        <xdr:cNvCxnSpPr>
          <a:stCxn id="98" idx="2"/>
        </xdr:cNvCxnSpPr>
      </xdr:nvCxnSpPr>
      <xdr:spPr>
        <a:xfrm>
          <a:off x="4996815" y="37757100"/>
          <a:ext cx="17145" cy="75438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238125</xdr:colOff>
      <xdr:row>223</xdr:row>
      <xdr:rowOff>114300</xdr:rowOff>
    </xdr:from>
    <xdr:to>
      <xdr:col>13</xdr:col>
      <xdr:colOff>40005</xdr:colOff>
      <xdr:row>224</xdr:row>
      <xdr:rowOff>152400</xdr:rowOff>
    </xdr:to>
    <xdr:sp macro="" textlink="">
      <xdr:nvSpPr>
        <xdr:cNvPr id="98" name="TextBox 97">
          <a:extLst>
            <a:ext uri="{FF2B5EF4-FFF2-40B4-BE49-F238E27FC236}">
              <a16:creationId xmlns:a16="http://schemas.microsoft.com/office/drawing/2014/main" id="{00000000-0008-0000-0600-000062000000}"/>
            </a:ext>
          </a:extLst>
        </xdr:cNvPr>
        <xdr:cNvSpPr txBox="1"/>
      </xdr:nvSpPr>
      <xdr:spPr>
        <a:xfrm>
          <a:off x="4810125" y="362902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7</a:t>
          </a:r>
        </a:p>
      </xdr:txBody>
    </xdr:sp>
    <xdr:clientData/>
  </xdr:twoCellAnchor>
  <xdr:twoCellAnchor>
    <xdr:from>
      <xdr:col>13</xdr:col>
      <xdr:colOff>85725</xdr:colOff>
      <xdr:row>180</xdr:row>
      <xdr:rowOff>68262</xdr:rowOff>
    </xdr:from>
    <xdr:to>
      <xdr:col>14</xdr:col>
      <xdr:colOff>257175</xdr:colOff>
      <xdr:row>180</xdr:row>
      <xdr:rowOff>68262</xdr:rowOff>
    </xdr:to>
    <xdr:cxnSp macro="">
      <xdr:nvCxnSpPr>
        <xdr:cNvPr id="122" name="Straight Connector 121">
          <a:extLst>
            <a:ext uri="{FF2B5EF4-FFF2-40B4-BE49-F238E27FC236}">
              <a16:creationId xmlns:a16="http://schemas.microsoft.com/office/drawing/2014/main" id="{00000000-0008-0000-0600-00007A000000}"/>
            </a:ext>
          </a:extLst>
        </xdr:cNvPr>
        <xdr:cNvCxnSpPr/>
      </xdr:nvCxnSpPr>
      <xdr:spPr>
        <a:xfrm>
          <a:off x="6943725" y="28795662"/>
          <a:ext cx="7810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257175</xdr:colOff>
      <xdr:row>180</xdr:row>
      <xdr:rowOff>66675</xdr:rowOff>
    </xdr:from>
    <xdr:to>
      <xdr:col>14</xdr:col>
      <xdr:colOff>257175</xdr:colOff>
      <xdr:row>181</xdr:row>
      <xdr:rowOff>95250</xdr:rowOff>
    </xdr:to>
    <xdr:cxnSp macro="">
      <xdr:nvCxnSpPr>
        <xdr:cNvPr id="123" name="Straight Connector 122">
          <a:extLst>
            <a:ext uri="{FF2B5EF4-FFF2-40B4-BE49-F238E27FC236}">
              <a16:creationId xmlns:a16="http://schemas.microsoft.com/office/drawing/2014/main" id="{00000000-0008-0000-0600-00007B000000}"/>
            </a:ext>
          </a:extLst>
        </xdr:cNvPr>
        <xdr:cNvCxnSpPr/>
      </xdr:nvCxnSpPr>
      <xdr:spPr>
        <a:xfrm>
          <a:off x="7724775" y="28794075"/>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85725</xdr:colOff>
      <xdr:row>181</xdr:row>
      <xdr:rowOff>95250</xdr:rowOff>
    </xdr:from>
    <xdr:to>
      <xdr:col>14</xdr:col>
      <xdr:colOff>257175</xdr:colOff>
      <xdr:row>181</xdr:row>
      <xdr:rowOff>95250</xdr:rowOff>
    </xdr:to>
    <xdr:cxnSp macro="">
      <xdr:nvCxnSpPr>
        <xdr:cNvPr id="124" name="Straight Connector 123">
          <a:extLst>
            <a:ext uri="{FF2B5EF4-FFF2-40B4-BE49-F238E27FC236}">
              <a16:creationId xmlns:a16="http://schemas.microsoft.com/office/drawing/2014/main" id="{00000000-0008-0000-0600-00007C000000}"/>
            </a:ext>
          </a:extLst>
        </xdr:cNvPr>
        <xdr:cNvCxnSpPr/>
      </xdr:nvCxnSpPr>
      <xdr:spPr>
        <a:xfrm>
          <a:off x="6943725" y="28984575"/>
          <a:ext cx="7810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85725</xdr:colOff>
      <xdr:row>181</xdr:row>
      <xdr:rowOff>97088</xdr:rowOff>
    </xdr:from>
    <xdr:to>
      <xdr:col>13</xdr:col>
      <xdr:colOff>85725</xdr:colOff>
      <xdr:row>182</xdr:row>
      <xdr:rowOff>71688</xdr:rowOff>
    </xdr:to>
    <xdr:cxnSp macro="">
      <xdr:nvCxnSpPr>
        <xdr:cNvPr id="125" name="Straight Connector 124">
          <a:extLst>
            <a:ext uri="{FF2B5EF4-FFF2-40B4-BE49-F238E27FC236}">
              <a16:creationId xmlns:a16="http://schemas.microsoft.com/office/drawing/2014/main" id="{00000000-0008-0000-0600-00007D000000}"/>
            </a:ext>
          </a:extLst>
        </xdr:cNvPr>
        <xdr:cNvCxnSpPr/>
      </xdr:nvCxnSpPr>
      <xdr:spPr>
        <a:xfrm>
          <a:off x="6943725" y="28986413"/>
          <a:ext cx="0" cy="136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87312</xdr:colOff>
      <xdr:row>182</xdr:row>
      <xdr:rowOff>68009</xdr:rowOff>
    </xdr:from>
    <xdr:to>
      <xdr:col>14</xdr:col>
      <xdr:colOff>258762</xdr:colOff>
      <xdr:row>182</xdr:row>
      <xdr:rowOff>68009</xdr:rowOff>
    </xdr:to>
    <xdr:cxnSp macro="">
      <xdr:nvCxnSpPr>
        <xdr:cNvPr id="126" name="Straight Connector 125">
          <a:extLst>
            <a:ext uri="{FF2B5EF4-FFF2-40B4-BE49-F238E27FC236}">
              <a16:creationId xmlns:a16="http://schemas.microsoft.com/office/drawing/2014/main" id="{00000000-0008-0000-0600-00007E000000}"/>
            </a:ext>
          </a:extLst>
        </xdr:cNvPr>
        <xdr:cNvCxnSpPr/>
      </xdr:nvCxnSpPr>
      <xdr:spPr>
        <a:xfrm>
          <a:off x="6945312" y="29119259"/>
          <a:ext cx="78105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254000</xdr:colOff>
      <xdr:row>182</xdr:row>
      <xdr:rowOff>63500</xdr:rowOff>
    </xdr:from>
    <xdr:to>
      <xdr:col>14</xdr:col>
      <xdr:colOff>254000</xdr:colOff>
      <xdr:row>183</xdr:row>
      <xdr:rowOff>92075</xdr:rowOff>
    </xdr:to>
    <xdr:cxnSp macro="">
      <xdr:nvCxnSpPr>
        <xdr:cNvPr id="127" name="Straight Connector 126">
          <a:extLst>
            <a:ext uri="{FF2B5EF4-FFF2-40B4-BE49-F238E27FC236}">
              <a16:creationId xmlns:a16="http://schemas.microsoft.com/office/drawing/2014/main" id="{00000000-0008-0000-0600-00007F000000}"/>
            </a:ext>
          </a:extLst>
        </xdr:cNvPr>
        <xdr:cNvCxnSpPr/>
      </xdr:nvCxnSpPr>
      <xdr:spPr>
        <a:xfrm>
          <a:off x="7721600" y="29114750"/>
          <a:ext cx="0" cy="190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88900</xdr:colOff>
      <xdr:row>183</xdr:row>
      <xdr:rowOff>95250</xdr:rowOff>
    </xdr:from>
    <xdr:to>
      <xdr:col>14</xdr:col>
      <xdr:colOff>256540</xdr:colOff>
      <xdr:row>183</xdr:row>
      <xdr:rowOff>95250</xdr:rowOff>
    </xdr:to>
    <xdr:cxnSp macro="">
      <xdr:nvCxnSpPr>
        <xdr:cNvPr id="128" name="Straight Arrow Connector 127">
          <a:extLst>
            <a:ext uri="{FF2B5EF4-FFF2-40B4-BE49-F238E27FC236}">
              <a16:creationId xmlns:a16="http://schemas.microsoft.com/office/drawing/2014/main" id="{00000000-0008-0000-0600-000080000000}"/>
            </a:ext>
          </a:extLst>
        </xdr:cNvPr>
        <xdr:cNvCxnSpPr/>
      </xdr:nvCxnSpPr>
      <xdr:spPr>
        <a:xfrm flipH="1">
          <a:off x="6946900" y="29308425"/>
          <a:ext cx="77724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19050</xdr:colOff>
      <xdr:row>36</xdr:row>
      <xdr:rowOff>142875</xdr:rowOff>
    </xdr:from>
    <xdr:to>
      <xdr:col>15</xdr:col>
      <xdr:colOff>228600</xdr:colOff>
      <xdr:row>54</xdr:row>
      <xdr:rowOff>22357</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1"/>
        <a:stretch>
          <a:fillRect/>
        </a:stretch>
      </xdr:blipFill>
      <xdr:spPr>
        <a:xfrm>
          <a:off x="19050" y="6038850"/>
          <a:ext cx="5924550" cy="2794132"/>
        </a:xfrm>
        <a:prstGeom prst="rect">
          <a:avLst/>
        </a:prstGeom>
        <a:ln>
          <a:solidFill>
            <a:schemeClr val="tx1"/>
          </a:solidFill>
        </a:ln>
      </xdr:spPr>
    </xdr:pic>
    <xdr:clientData/>
  </xdr:twoCellAnchor>
  <xdr:twoCellAnchor>
    <xdr:from>
      <xdr:col>1</xdr:col>
      <xdr:colOff>66675</xdr:colOff>
      <xdr:row>53</xdr:row>
      <xdr:rowOff>0</xdr:rowOff>
    </xdr:from>
    <xdr:to>
      <xdr:col>2</xdr:col>
      <xdr:colOff>19050</xdr:colOff>
      <xdr:row>54</xdr:row>
      <xdr:rowOff>76200</xdr:rowOff>
    </xdr:to>
    <xdr:sp macro="" textlink="">
      <xdr:nvSpPr>
        <xdr:cNvPr id="6" name="Oval 5">
          <a:extLst>
            <a:ext uri="{FF2B5EF4-FFF2-40B4-BE49-F238E27FC236}">
              <a16:creationId xmlns:a16="http://schemas.microsoft.com/office/drawing/2014/main" id="{00000000-0008-0000-0600-000006000000}"/>
            </a:ext>
          </a:extLst>
        </xdr:cNvPr>
        <xdr:cNvSpPr/>
      </xdr:nvSpPr>
      <xdr:spPr>
        <a:xfrm>
          <a:off x="447675" y="8648700"/>
          <a:ext cx="333375" cy="238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xdr:col>
      <xdr:colOff>276227</xdr:colOff>
      <xdr:row>35</xdr:row>
      <xdr:rowOff>0</xdr:rowOff>
    </xdr:from>
    <xdr:to>
      <xdr:col>3</xdr:col>
      <xdr:colOff>123825</xdr:colOff>
      <xdr:row>37</xdr:row>
      <xdr:rowOff>152400</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rot="5400000">
          <a:off x="914401" y="5857876"/>
          <a:ext cx="476250" cy="228598"/>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85726</xdr:colOff>
      <xdr:row>35</xdr:row>
      <xdr:rowOff>9524</xdr:rowOff>
    </xdr:from>
    <xdr:to>
      <xdr:col>4</xdr:col>
      <xdr:colOff>200026</xdr:colOff>
      <xdr:row>40</xdr:row>
      <xdr:rowOff>9524</xdr:rowOff>
    </xdr:to>
    <xdr:cxnSp macro="">
      <xdr:nvCxnSpPr>
        <xdr:cNvPr id="9" name="Straight Arrow Connector 8">
          <a:extLst>
            <a:ext uri="{FF2B5EF4-FFF2-40B4-BE49-F238E27FC236}">
              <a16:creationId xmlns:a16="http://schemas.microsoft.com/office/drawing/2014/main" id="{00000000-0008-0000-0600-000009000000}"/>
            </a:ext>
          </a:extLst>
        </xdr:cNvPr>
        <xdr:cNvCxnSpPr/>
      </xdr:nvCxnSpPr>
      <xdr:spPr>
        <a:xfrm rot="5400000">
          <a:off x="1071563" y="5900737"/>
          <a:ext cx="809625" cy="49530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190500</xdr:colOff>
      <xdr:row>35</xdr:row>
      <xdr:rowOff>9525</xdr:rowOff>
    </xdr:from>
    <xdr:to>
      <xdr:col>7</xdr:col>
      <xdr:colOff>152402</xdr:colOff>
      <xdr:row>38</xdr:row>
      <xdr:rowOff>9525</xdr:rowOff>
    </xdr:to>
    <xdr:cxnSp macro="">
      <xdr:nvCxnSpPr>
        <xdr:cNvPr id="18" name="Straight Arrow Connector 17">
          <a:extLst>
            <a:ext uri="{FF2B5EF4-FFF2-40B4-BE49-F238E27FC236}">
              <a16:creationId xmlns:a16="http://schemas.microsoft.com/office/drawing/2014/main" id="{00000000-0008-0000-0600-000012000000}"/>
            </a:ext>
          </a:extLst>
        </xdr:cNvPr>
        <xdr:cNvCxnSpPr/>
      </xdr:nvCxnSpPr>
      <xdr:spPr>
        <a:xfrm flipH="1">
          <a:off x="2476500" y="5743575"/>
          <a:ext cx="342902" cy="48577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161928</xdr:colOff>
      <xdr:row>35</xdr:row>
      <xdr:rowOff>9527</xdr:rowOff>
    </xdr:from>
    <xdr:to>
      <xdr:col>11</xdr:col>
      <xdr:colOff>323850</xdr:colOff>
      <xdr:row>38</xdr:row>
      <xdr:rowOff>19053</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flipH="1">
          <a:off x="4352928" y="5743577"/>
          <a:ext cx="161922" cy="495301"/>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35</xdr:row>
      <xdr:rowOff>3</xdr:rowOff>
    </xdr:from>
    <xdr:to>
      <xdr:col>13</xdr:col>
      <xdr:colOff>28577</xdr:colOff>
      <xdr:row>38</xdr:row>
      <xdr:rowOff>9525</xdr:rowOff>
    </xdr:to>
    <xdr:cxnSp macro="">
      <xdr:nvCxnSpPr>
        <xdr:cNvPr id="13" name="Straight Arrow Connector 12">
          <a:extLst>
            <a:ext uri="{FF2B5EF4-FFF2-40B4-BE49-F238E27FC236}">
              <a16:creationId xmlns:a16="http://schemas.microsoft.com/office/drawing/2014/main" id="{00000000-0008-0000-0600-00000D000000}"/>
            </a:ext>
          </a:extLst>
        </xdr:cNvPr>
        <xdr:cNvCxnSpPr/>
      </xdr:nvCxnSpPr>
      <xdr:spPr>
        <a:xfrm flipH="1">
          <a:off x="4962525" y="5734053"/>
          <a:ext cx="19052" cy="495297"/>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352425</xdr:colOff>
      <xdr:row>33</xdr:row>
      <xdr:rowOff>123825</xdr:rowOff>
    </xdr:from>
    <xdr:to>
      <xdr:col>13</xdr:col>
      <xdr:colOff>154305</xdr:colOff>
      <xdr:row>35</xdr:row>
      <xdr:rowOff>0</xdr:rowOff>
    </xdr:to>
    <xdr:sp macro="" textlink="">
      <xdr:nvSpPr>
        <xdr:cNvPr id="29" name="TextBox 28">
          <a:extLst>
            <a:ext uri="{FF2B5EF4-FFF2-40B4-BE49-F238E27FC236}">
              <a16:creationId xmlns:a16="http://schemas.microsoft.com/office/drawing/2014/main" id="{00000000-0008-0000-0600-00001D000000}"/>
            </a:ext>
          </a:extLst>
        </xdr:cNvPr>
        <xdr:cNvSpPr txBox="1"/>
      </xdr:nvSpPr>
      <xdr:spPr>
        <a:xfrm>
          <a:off x="4924425" y="5534025"/>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5</a:t>
          </a:r>
        </a:p>
      </xdr:txBody>
    </xdr:sp>
    <xdr:clientData/>
  </xdr:twoCellAnchor>
  <xdr:twoCellAnchor editAs="oneCell">
    <xdr:from>
      <xdr:col>0</xdr:col>
      <xdr:colOff>19049</xdr:colOff>
      <xdr:row>70</xdr:row>
      <xdr:rowOff>161924</xdr:rowOff>
    </xdr:from>
    <xdr:to>
      <xdr:col>15</xdr:col>
      <xdr:colOff>327064</xdr:colOff>
      <xdr:row>88</xdr:row>
      <xdr:rowOff>95249</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2"/>
        <a:stretch>
          <a:fillRect/>
        </a:stretch>
      </xdr:blipFill>
      <xdr:spPr>
        <a:xfrm>
          <a:off x="19049" y="11563349"/>
          <a:ext cx="6023015" cy="2847975"/>
        </a:xfrm>
        <a:prstGeom prst="rect">
          <a:avLst/>
        </a:prstGeom>
        <a:ln>
          <a:solidFill>
            <a:schemeClr val="tx1"/>
          </a:solidFill>
        </a:ln>
      </xdr:spPr>
    </xdr:pic>
    <xdr:clientData/>
  </xdr:twoCellAnchor>
  <xdr:twoCellAnchor>
    <xdr:from>
      <xdr:col>13</xdr:col>
      <xdr:colOff>85725</xdr:colOff>
      <xdr:row>71</xdr:row>
      <xdr:rowOff>76200</xdr:rowOff>
    </xdr:from>
    <xdr:to>
      <xdr:col>13</xdr:col>
      <xdr:colOff>238125</xdr:colOff>
      <xdr:row>72</xdr:row>
      <xdr:rowOff>76200</xdr:rowOff>
    </xdr:to>
    <xdr:sp macro="" textlink="">
      <xdr:nvSpPr>
        <xdr:cNvPr id="31" name="Oval 30">
          <a:extLst>
            <a:ext uri="{FF2B5EF4-FFF2-40B4-BE49-F238E27FC236}">
              <a16:creationId xmlns:a16="http://schemas.microsoft.com/office/drawing/2014/main" id="{00000000-0008-0000-0600-00001F000000}"/>
            </a:ext>
          </a:extLst>
        </xdr:cNvPr>
        <xdr:cNvSpPr/>
      </xdr:nvSpPr>
      <xdr:spPr>
        <a:xfrm>
          <a:off x="5038725" y="11639550"/>
          <a:ext cx="152400" cy="161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19050</xdr:colOff>
      <xdr:row>92</xdr:row>
      <xdr:rowOff>95250</xdr:rowOff>
    </xdr:from>
    <xdr:to>
      <xdr:col>15</xdr:col>
      <xdr:colOff>285750</xdr:colOff>
      <xdr:row>110</xdr:row>
      <xdr:rowOff>11662</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3"/>
        <a:stretch>
          <a:fillRect/>
        </a:stretch>
      </xdr:blipFill>
      <xdr:spPr>
        <a:xfrm>
          <a:off x="19050" y="15059025"/>
          <a:ext cx="5981700" cy="2823442"/>
        </a:xfrm>
        <a:prstGeom prst="rect">
          <a:avLst/>
        </a:prstGeom>
        <a:ln>
          <a:solidFill>
            <a:schemeClr val="tx1"/>
          </a:solidFill>
        </a:ln>
      </xdr:spPr>
    </xdr:pic>
    <xdr:clientData/>
  </xdr:twoCellAnchor>
  <xdr:twoCellAnchor>
    <xdr:from>
      <xdr:col>13</xdr:col>
      <xdr:colOff>47625</xdr:colOff>
      <xdr:row>93</xdr:row>
      <xdr:rowOff>0</xdr:rowOff>
    </xdr:from>
    <xdr:to>
      <xdr:col>13</xdr:col>
      <xdr:colOff>200025</xdr:colOff>
      <xdr:row>94</xdr:row>
      <xdr:rowOff>0</xdr:rowOff>
    </xdr:to>
    <xdr:sp macro="" textlink="">
      <xdr:nvSpPr>
        <xdr:cNvPr id="33" name="Oval 32">
          <a:extLst>
            <a:ext uri="{FF2B5EF4-FFF2-40B4-BE49-F238E27FC236}">
              <a16:creationId xmlns:a16="http://schemas.microsoft.com/office/drawing/2014/main" id="{00000000-0008-0000-0600-000021000000}"/>
            </a:ext>
          </a:extLst>
        </xdr:cNvPr>
        <xdr:cNvSpPr/>
      </xdr:nvSpPr>
      <xdr:spPr>
        <a:xfrm>
          <a:off x="5000625" y="15125700"/>
          <a:ext cx="152400" cy="161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9525</xdr:colOff>
      <xdr:row>115</xdr:row>
      <xdr:rowOff>9525</xdr:rowOff>
    </xdr:from>
    <xdr:to>
      <xdr:col>15</xdr:col>
      <xdr:colOff>152400</xdr:colOff>
      <xdr:row>132</xdr:row>
      <xdr:rowOff>19764</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4"/>
        <a:stretch>
          <a:fillRect/>
        </a:stretch>
      </xdr:blipFill>
      <xdr:spPr>
        <a:xfrm>
          <a:off x="9525" y="18697575"/>
          <a:ext cx="5857875" cy="2762964"/>
        </a:xfrm>
        <a:prstGeom prst="rect">
          <a:avLst/>
        </a:prstGeom>
        <a:ln>
          <a:solidFill>
            <a:schemeClr val="tx1"/>
          </a:solidFill>
        </a:ln>
      </xdr:spPr>
    </xdr:pic>
    <xdr:clientData/>
  </xdr:twoCellAnchor>
  <xdr:twoCellAnchor>
    <xdr:from>
      <xdr:col>12</xdr:col>
      <xdr:colOff>323850</xdr:colOff>
      <xdr:row>115</xdr:row>
      <xdr:rowOff>85725</xdr:rowOff>
    </xdr:from>
    <xdr:to>
      <xdr:col>13</xdr:col>
      <xdr:colOff>95250</xdr:colOff>
      <xdr:row>116</xdr:row>
      <xdr:rowOff>85725</xdr:rowOff>
    </xdr:to>
    <xdr:sp macro="" textlink="">
      <xdr:nvSpPr>
        <xdr:cNvPr id="35" name="Oval 34">
          <a:extLst>
            <a:ext uri="{FF2B5EF4-FFF2-40B4-BE49-F238E27FC236}">
              <a16:creationId xmlns:a16="http://schemas.microsoft.com/office/drawing/2014/main" id="{00000000-0008-0000-0600-000023000000}"/>
            </a:ext>
          </a:extLst>
        </xdr:cNvPr>
        <xdr:cNvSpPr/>
      </xdr:nvSpPr>
      <xdr:spPr>
        <a:xfrm>
          <a:off x="4895850" y="18773775"/>
          <a:ext cx="152400" cy="161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28575</xdr:colOff>
      <xdr:row>158</xdr:row>
      <xdr:rowOff>76200</xdr:rowOff>
    </xdr:from>
    <xdr:to>
      <xdr:col>2</xdr:col>
      <xdr:colOff>18956</xdr:colOff>
      <xdr:row>163</xdr:row>
      <xdr:rowOff>76099</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5"/>
        <a:stretch>
          <a:fillRect/>
        </a:stretch>
      </xdr:blipFill>
      <xdr:spPr>
        <a:xfrm>
          <a:off x="28575" y="25727025"/>
          <a:ext cx="752381" cy="809524"/>
        </a:xfrm>
        <a:prstGeom prst="rect">
          <a:avLst/>
        </a:prstGeom>
        <a:ln>
          <a:solidFill>
            <a:schemeClr val="tx1"/>
          </a:solidFill>
        </a:ln>
      </xdr:spPr>
    </xdr:pic>
    <xdr:clientData/>
  </xdr:twoCellAnchor>
  <xdr:twoCellAnchor editAs="oneCell">
    <xdr:from>
      <xdr:col>2</xdr:col>
      <xdr:colOff>200025</xdr:colOff>
      <xdr:row>158</xdr:row>
      <xdr:rowOff>47625</xdr:rowOff>
    </xdr:from>
    <xdr:to>
      <xdr:col>4</xdr:col>
      <xdr:colOff>342787</xdr:colOff>
      <xdr:row>166</xdr:row>
      <xdr:rowOff>98891</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6"/>
        <a:stretch>
          <a:fillRect/>
        </a:stretch>
      </xdr:blipFill>
      <xdr:spPr>
        <a:xfrm>
          <a:off x="962025" y="25698450"/>
          <a:ext cx="904762" cy="1352381"/>
        </a:xfrm>
        <a:prstGeom prst="rect">
          <a:avLst/>
        </a:prstGeom>
        <a:ln>
          <a:solidFill>
            <a:srgbClr val="000000"/>
          </a:solidFill>
        </a:ln>
      </xdr:spPr>
    </xdr:pic>
    <xdr:clientData/>
  </xdr:twoCellAnchor>
  <xdr:twoCellAnchor editAs="oneCell">
    <xdr:from>
      <xdr:col>5</xdr:col>
      <xdr:colOff>123825</xdr:colOff>
      <xdr:row>158</xdr:row>
      <xdr:rowOff>66675</xdr:rowOff>
    </xdr:from>
    <xdr:to>
      <xdr:col>7</xdr:col>
      <xdr:colOff>287541</xdr:colOff>
      <xdr:row>166</xdr:row>
      <xdr:rowOff>98893</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7"/>
        <a:stretch>
          <a:fillRect/>
        </a:stretch>
      </xdr:blipFill>
      <xdr:spPr>
        <a:xfrm>
          <a:off x="2028825" y="25717500"/>
          <a:ext cx="914286" cy="1333333"/>
        </a:xfrm>
        <a:prstGeom prst="rect">
          <a:avLst/>
        </a:prstGeom>
        <a:ln>
          <a:solidFill>
            <a:srgbClr val="000000"/>
          </a:solidFill>
        </a:ln>
      </xdr:spPr>
    </xdr:pic>
    <xdr:clientData/>
  </xdr:twoCellAnchor>
  <xdr:twoCellAnchor editAs="oneCell">
    <xdr:from>
      <xdr:col>0</xdr:col>
      <xdr:colOff>19050</xdr:colOff>
      <xdr:row>429</xdr:row>
      <xdr:rowOff>57150</xdr:rowOff>
    </xdr:from>
    <xdr:to>
      <xdr:col>14</xdr:col>
      <xdr:colOff>17145</xdr:colOff>
      <xdr:row>457</xdr:row>
      <xdr:rowOff>55189</xdr:rowOff>
    </xdr:to>
    <xdr:pic>
      <xdr:nvPicPr>
        <xdr:cNvPr id="16397" name="Picture 16396">
          <a:extLst>
            <a:ext uri="{FF2B5EF4-FFF2-40B4-BE49-F238E27FC236}">
              <a16:creationId xmlns:a16="http://schemas.microsoft.com/office/drawing/2014/main" id="{00000000-0008-0000-0600-00000D400000}"/>
            </a:ext>
          </a:extLst>
        </xdr:cNvPr>
        <xdr:cNvPicPr>
          <a:picLocks noChangeAspect="1"/>
        </xdr:cNvPicPr>
      </xdr:nvPicPr>
      <xdr:blipFill>
        <a:blip xmlns:r="http://schemas.openxmlformats.org/officeDocument/2006/relationships" r:embed="rId18"/>
        <a:stretch>
          <a:fillRect/>
        </a:stretch>
      </xdr:blipFill>
      <xdr:spPr>
        <a:xfrm>
          <a:off x="19050" y="69589650"/>
          <a:ext cx="5343525" cy="4539559"/>
        </a:xfrm>
        <a:prstGeom prst="rect">
          <a:avLst/>
        </a:prstGeom>
        <a:ln>
          <a:solidFill>
            <a:srgbClr val="000000"/>
          </a:solidFill>
        </a:ln>
      </xdr:spPr>
    </xdr:pic>
    <xdr:clientData/>
  </xdr:twoCellAnchor>
  <xdr:twoCellAnchor>
    <xdr:from>
      <xdr:col>7</xdr:col>
      <xdr:colOff>28575</xdr:colOff>
      <xdr:row>455</xdr:row>
      <xdr:rowOff>38100</xdr:rowOff>
    </xdr:from>
    <xdr:to>
      <xdr:col>9</xdr:col>
      <xdr:colOff>190500</xdr:colOff>
      <xdr:row>457</xdr:row>
      <xdr:rowOff>152400</xdr:rowOff>
    </xdr:to>
    <xdr:sp macro="" textlink="">
      <xdr:nvSpPr>
        <xdr:cNvPr id="40" name="Oval 39">
          <a:extLst>
            <a:ext uri="{FF2B5EF4-FFF2-40B4-BE49-F238E27FC236}">
              <a16:creationId xmlns:a16="http://schemas.microsoft.com/office/drawing/2014/main" id="{00000000-0008-0000-0600-000028000000}"/>
            </a:ext>
          </a:extLst>
        </xdr:cNvPr>
        <xdr:cNvSpPr/>
      </xdr:nvSpPr>
      <xdr:spPr>
        <a:xfrm>
          <a:off x="2695575" y="73780650"/>
          <a:ext cx="923925" cy="4381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19050</xdr:colOff>
      <xdr:row>470</xdr:row>
      <xdr:rowOff>104775</xdr:rowOff>
    </xdr:from>
    <xdr:to>
      <xdr:col>7</xdr:col>
      <xdr:colOff>211099</xdr:colOff>
      <xdr:row>480</xdr:row>
      <xdr:rowOff>133144</xdr:rowOff>
    </xdr:to>
    <xdr:pic>
      <xdr:nvPicPr>
        <xdr:cNvPr id="16398" name="Picture 16397">
          <a:extLst>
            <a:ext uri="{FF2B5EF4-FFF2-40B4-BE49-F238E27FC236}">
              <a16:creationId xmlns:a16="http://schemas.microsoft.com/office/drawing/2014/main" id="{00000000-0008-0000-0600-00000E400000}"/>
            </a:ext>
          </a:extLst>
        </xdr:cNvPr>
        <xdr:cNvPicPr>
          <a:picLocks noChangeAspect="1"/>
        </xdr:cNvPicPr>
      </xdr:nvPicPr>
      <xdr:blipFill>
        <a:blip xmlns:r="http://schemas.openxmlformats.org/officeDocument/2006/relationships" r:embed="rId19"/>
        <a:stretch>
          <a:fillRect/>
        </a:stretch>
      </xdr:blipFill>
      <xdr:spPr>
        <a:xfrm>
          <a:off x="19050" y="76276200"/>
          <a:ext cx="2847619" cy="1647619"/>
        </a:xfrm>
        <a:prstGeom prst="rect">
          <a:avLst/>
        </a:prstGeom>
        <a:ln>
          <a:solidFill>
            <a:srgbClr val="000000"/>
          </a:solidFill>
        </a:ln>
      </xdr:spPr>
    </xdr:pic>
    <xdr:clientData/>
  </xdr:twoCellAnchor>
  <xdr:twoCellAnchor editAs="oneCell">
    <xdr:from>
      <xdr:col>13</xdr:col>
      <xdr:colOff>238125</xdr:colOff>
      <xdr:row>519</xdr:row>
      <xdr:rowOff>104775</xdr:rowOff>
    </xdr:from>
    <xdr:to>
      <xdr:col>14</xdr:col>
      <xdr:colOff>266649</xdr:colOff>
      <xdr:row>524</xdr:row>
      <xdr:rowOff>133245</xdr:rowOff>
    </xdr:to>
    <xdr:pic>
      <xdr:nvPicPr>
        <xdr:cNvPr id="16399" name="Picture 16398">
          <a:extLst>
            <a:ext uri="{FF2B5EF4-FFF2-40B4-BE49-F238E27FC236}">
              <a16:creationId xmlns:a16="http://schemas.microsoft.com/office/drawing/2014/main" id="{00000000-0008-0000-0600-00000F400000}"/>
            </a:ext>
          </a:extLst>
        </xdr:cNvPr>
        <xdr:cNvPicPr>
          <a:picLocks noChangeAspect="1"/>
        </xdr:cNvPicPr>
      </xdr:nvPicPr>
      <xdr:blipFill>
        <a:blip xmlns:r="http://schemas.openxmlformats.org/officeDocument/2006/relationships" r:embed="rId20"/>
        <a:stretch>
          <a:fillRect/>
        </a:stretch>
      </xdr:blipFill>
      <xdr:spPr>
        <a:xfrm>
          <a:off x="5191125" y="84210525"/>
          <a:ext cx="409524" cy="838095"/>
        </a:xfrm>
        <a:prstGeom prst="rect">
          <a:avLst/>
        </a:prstGeom>
        <a:ln>
          <a:solidFill>
            <a:srgbClr val="000000"/>
          </a:solidFill>
        </a:ln>
      </xdr:spPr>
    </xdr:pic>
    <xdr:clientData/>
  </xdr:twoCellAnchor>
  <xdr:twoCellAnchor>
    <xdr:from>
      <xdr:col>13</xdr:col>
      <xdr:colOff>266700</xdr:colOff>
      <xdr:row>520</xdr:row>
      <xdr:rowOff>142875</xdr:rowOff>
    </xdr:from>
    <xdr:to>
      <xdr:col>14</xdr:col>
      <xdr:colOff>238125</xdr:colOff>
      <xdr:row>524</xdr:row>
      <xdr:rowOff>57150</xdr:rowOff>
    </xdr:to>
    <xdr:sp macro="" textlink="">
      <xdr:nvSpPr>
        <xdr:cNvPr id="56" name="Oval 55">
          <a:extLst>
            <a:ext uri="{FF2B5EF4-FFF2-40B4-BE49-F238E27FC236}">
              <a16:creationId xmlns:a16="http://schemas.microsoft.com/office/drawing/2014/main" id="{00000000-0008-0000-0600-000038000000}"/>
            </a:ext>
          </a:extLst>
        </xdr:cNvPr>
        <xdr:cNvSpPr/>
      </xdr:nvSpPr>
      <xdr:spPr>
        <a:xfrm>
          <a:off x="5219700" y="75342750"/>
          <a:ext cx="352425" cy="5619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0</xdr:colOff>
      <xdr:row>518</xdr:row>
      <xdr:rowOff>85725</xdr:rowOff>
    </xdr:from>
    <xdr:to>
      <xdr:col>12</xdr:col>
      <xdr:colOff>22285</xdr:colOff>
      <xdr:row>524</xdr:row>
      <xdr:rowOff>114175</xdr:rowOff>
    </xdr:to>
    <xdr:pic>
      <xdr:nvPicPr>
        <xdr:cNvPr id="16400" name="Picture 16399">
          <a:extLst>
            <a:ext uri="{FF2B5EF4-FFF2-40B4-BE49-F238E27FC236}">
              <a16:creationId xmlns:a16="http://schemas.microsoft.com/office/drawing/2014/main" id="{00000000-0008-0000-0600-000010400000}"/>
            </a:ext>
          </a:extLst>
        </xdr:cNvPr>
        <xdr:cNvPicPr>
          <a:picLocks noChangeAspect="1"/>
        </xdr:cNvPicPr>
      </xdr:nvPicPr>
      <xdr:blipFill>
        <a:blip xmlns:r="http://schemas.openxmlformats.org/officeDocument/2006/relationships" r:embed="rId21"/>
        <a:stretch>
          <a:fillRect/>
        </a:stretch>
      </xdr:blipFill>
      <xdr:spPr>
        <a:xfrm>
          <a:off x="0" y="84029550"/>
          <a:ext cx="4600000" cy="1000000"/>
        </a:xfrm>
        <a:prstGeom prst="rect">
          <a:avLst/>
        </a:prstGeom>
        <a:ln>
          <a:solidFill>
            <a:srgbClr val="000000"/>
          </a:solidFill>
        </a:ln>
      </xdr:spPr>
    </xdr:pic>
    <xdr:clientData/>
  </xdr:twoCellAnchor>
  <xdr:twoCellAnchor>
    <xdr:from>
      <xdr:col>6</xdr:col>
      <xdr:colOff>247650</xdr:colOff>
      <xdr:row>518</xdr:row>
      <xdr:rowOff>123825</xdr:rowOff>
    </xdr:from>
    <xdr:to>
      <xdr:col>10</xdr:col>
      <xdr:colOff>152400</xdr:colOff>
      <xdr:row>526</xdr:row>
      <xdr:rowOff>0</xdr:rowOff>
    </xdr:to>
    <xdr:sp macro="" textlink="">
      <xdr:nvSpPr>
        <xdr:cNvPr id="96" name="Oval 95">
          <a:extLst>
            <a:ext uri="{FF2B5EF4-FFF2-40B4-BE49-F238E27FC236}">
              <a16:creationId xmlns:a16="http://schemas.microsoft.com/office/drawing/2014/main" id="{00000000-0008-0000-0600-000060000000}"/>
            </a:ext>
          </a:extLst>
        </xdr:cNvPr>
        <xdr:cNvSpPr/>
      </xdr:nvSpPr>
      <xdr:spPr>
        <a:xfrm>
          <a:off x="2533650" y="74999850"/>
          <a:ext cx="1428750" cy="11715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9525</xdr:colOff>
      <xdr:row>530</xdr:row>
      <xdr:rowOff>0</xdr:rowOff>
    </xdr:from>
    <xdr:to>
      <xdr:col>15</xdr:col>
      <xdr:colOff>323850</xdr:colOff>
      <xdr:row>535</xdr:row>
      <xdr:rowOff>116593</xdr:rowOff>
    </xdr:to>
    <xdr:pic>
      <xdr:nvPicPr>
        <xdr:cNvPr id="16402" name="Picture 16401">
          <a:extLst>
            <a:ext uri="{FF2B5EF4-FFF2-40B4-BE49-F238E27FC236}">
              <a16:creationId xmlns:a16="http://schemas.microsoft.com/office/drawing/2014/main" id="{00000000-0008-0000-0600-000012400000}"/>
            </a:ext>
          </a:extLst>
        </xdr:cNvPr>
        <xdr:cNvPicPr>
          <a:picLocks noChangeAspect="1"/>
        </xdr:cNvPicPr>
      </xdr:nvPicPr>
      <xdr:blipFill>
        <a:blip xmlns:r="http://schemas.openxmlformats.org/officeDocument/2006/relationships" r:embed="rId22"/>
        <a:stretch>
          <a:fillRect/>
        </a:stretch>
      </xdr:blipFill>
      <xdr:spPr>
        <a:xfrm>
          <a:off x="9525" y="85886925"/>
          <a:ext cx="6029325" cy="926218"/>
        </a:xfrm>
        <a:prstGeom prst="rect">
          <a:avLst/>
        </a:prstGeom>
        <a:ln>
          <a:solidFill>
            <a:srgbClr val="000000"/>
          </a:solidFill>
        </a:ln>
      </xdr:spPr>
    </xdr:pic>
    <xdr:clientData/>
  </xdr:twoCellAnchor>
  <xdr:twoCellAnchor editAs="oneCell">
    <xdr:from>
      <xdr:col>0</xdr:col>
      <xdr:colOff>0</xdr:colOff>
      <xdr:row>545</xdr:row>
      <xdr:rowOff>0</xdr:rowOff>
    </xdr:from>
    <xdr:to>
      <xdr:col>15</xdr:col>
      <xdr:colOff>364999</xdr:colOff>
      <xdr:row>558</xdr:row>
      <xdr:rowOff>18785</xdr:rowOff>
    </xdr:to>
    <xdr:pic>
      <xdr:nvPicPr>
        <xdr:cNvPr id="16403" name="Picture 16402">
          <a:extLst>
            <a:ext uri="{FF2B5EF4-FFF2-40B4-BE49-F238E27FC236}">
              <a16:creationId xmlns:a16="http://schemas.microsoft.com/office/drawing/2014/main" id="{00000000-0008-0000-0600-000013400000}"/>
            </a:ext>
          </a:extLst>
        </xdr:cNvPr>
        <xdr:cNvPicPr>
          <a:picLocks noChangeAspect="1"/>
        </xdr:cNvPicPr>
      </xdr:nvPicPr>
      <xdr:blipFill>
        <a:blip xmlns:r="http://schemas.openxmlformats.org/officeDocument/2006/relationships" r:embed="rId23"/>
        <a:stretch>
          <a:fillRect/>
        </a:stretch>
      </xdr:blipFill>
      <xdr:spPr>
        <a:xfrm>
          <a:off x="0" y="88315800"/>
          <a:ext cx="6085714" cy="2123810"/>
        </a:xfrm>
        <a:prstGeom prst="rect">
          <a:avLst/>
        </a:prstGeom>
        <a:ln>
          <a:solidFill>
            <a:srgbClr val="000000"/>
          </a:solidFill>
        </a:ln>
      </xdr:spPr>
    </xdr:pic>
    <xdr:clientData/>
  </xdr:twoCellAnchor>
  <xdr:twoCellAnchor>
    <xdr:from>
      <xdr:col>0</xdr:col>
      <xdr:colOff>333375</xdr:colOff>
      <xdr:row>546</xdr:row>
      <xdr:rowOff>142875</xdr:rowOff>
    </xdr:from>
    <xdr:to>
      <xdr:col>2</xdr:col>
      <xdr:colOff>257175</xdr:colOff>
      <xdr:row>549</xdr:row>
      <xdr:rowOff>0</xdr:rowOff>
    </xdr:to>
    <xdr:sp macro="" textlink="">
      <xdr:nvSpPr>
        <xdr:cNvPr id="74" name="Oval 73">
          <a:extLst>
            <a:ext uri="{FF2B5EF4-FFF2-40B4-BE49-F238E27FC236}">
              <a16:creationId xmlns:a16="http://schemas.microsoft.com/office/drawing/2014/main" id="{00000000-0008-0000-0600-00004A000000}"/>
            </a:ext>
          </a:extLst>
        </xdr:cNvPr>
        <xdr:cNvSpPr/>
      </xdr:nvSpPr>
      <xdr:spPr>
        <a:xfrm>
          <a:off x="333375" y="70161150"/>
          <a:ext cx="685800" cy="3429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0</xdr:col>
      <xdr:colOff>342900</xdr:colOff>
      <xdr:row>553</xdr:row>
      <xdr:rowOff>133350</xdr:rowOff>
    </xdr:from>
    <xdr:to>
      <xdr:col>2</xdr:col>
      <xdr:colOff>266700</xdr:colOff>
      <xdr:row>555</xdr:row>
      <xdr:rowOff>152400</xdr:rowOff>
    </xdr:to>
    <xdr:sp macro="" textlink="">
      <xdr:nvSpPr>
        <xdr:cNvPr id="75" name="Oval 74">
          <a:extLst>
            <a:ext uri="{FF2B5EF4-FFF2-40B4-BE49-F238E27FC236}">
              <a16:creationId xmlns:a16="http://schemas.microsoft.com/office/drawing/2014/main" id="{00000000-0008-0000-0600-00004B000000}"/>
            </a:ext>
          </a:extLst>
        </xdr:cNvPr>
        <xdr:cNvSpPr/>
      </xdr:nvSpPr>
      <xdr:spPr>
        <a:xfrm>
          <a:off x="342900" y="71285100"/>
          <a:ext cx="685800" cy="3429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9525</xdr:colOff>
      <xdr:row>561</xdr:row>
      <xdr:rowOff>0</xdr:rowOff>
    </xdr:from>
    <xdr:to>
      <xdr:col>15</xdr:col>
      <xdr:colOff>380239</xdr:colOff>
      <xdr:row>567</xdr:row>
      <xdr:rowOff>18926</xdr:rowOff>
    </xdr:to>
    <xdr:pic>
      <xdr:nvPicPr>
        <xdr:cNvPr id="16404" name="Picture 16403">
          <a:extLst>
            <a:ext uri="{FF2B5EF4-FFF2-40B4-BE49-F238E27FC236}">
              <a16:creationId xmlns:a16="http://schemas.microsoft.com/office/drawing/2014/main" id="{00000000-0008-0000-0600-000014400000}"/>
            </a:ext>
          </a:extLst>
        </xdr:cNvPr>
        <xdr:cNvPicPr>
          <a:picLocks noChangeAspect="1"/>
        </xdr:cNvPicPr>
      </xdr:nvPicPr>
      <xdr:blipFill>
        <a:blip xmlns:r="http://schemas.openxmlformats.org/officeDocument/2006/relationships" r:embed="rId24"/>
        <a:stretch>
          <a:fillRect/>
        </a:stretch>
      </xdr:blipFill>
      <xdr:spPr>
        <a:xfrm>
          <a:off x="9525" y="90906600"/>
          <a:ext cx="6085714" cy="990476"/>
        </a:xfrm>
        <a:prstGeom prst="rect">
          <a:avLst/>
        </a:prstGeom>
        <a:ln>
          <a:solidFill>
            <a:srgbClr val="000000"/>
          </a:solidFill>
        </a:ln>
      </xdr:spPr>
    </xdr:pic>
    <xdr:clientData/>
  </xdr:twoCellAnchor>
  <xdr:twoCellAnchor>
    <xdr:from>
      <xdr:col>0</xdr:col>
      <xdr:colOff>276225</xdr:colOff>
      <xdr:row>563</xdr:row>
      <xdr:rowOff>123825</xdr:rowOff>
    </xdr:from>
    <xdr:to>
      <xdr:col>2</xdr:col>
      <xdr:colOff>295275</xdr:colOff>
      <xdr:row>565</xdr:row>
      <xdr:rowOff>28575</xdr:rowOff>
    </xdr:to>
    <xdr:sp macro="" textlink="">
      <xdr:nvSpPr>
        <xdr:cNvPr id="78" name="Oval 77">
          <a:extLst>
            <a:ext uri="{FF2B5EF4-FFF2-40B4-BE49-F238E27FC236}">
              <a16:creationId xmlns:a16="http://schemas.microsoft.com/office/drawing/2014/main" id="{00000000-0008-0000-0600-00004E000000}"/>
            </a:ext>
          </a:extLst>
        </xdr:cNvPr>
        <xdr:cNvSpPr/>
      </xdr:nvSpPr>
      <xdr:spPr>
        <a:xfrm>
          <a:off x="276225" y="72894825"/>
          <a:ext cx="781050" cy="2286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9525</xdr:colOff>
      <xdr:row>578</xdr:row>
      <xdr:rowOff>0</xdr:rowOff>
    </xdr:from>
    <xdr:to>
      <xdr:col>16</xdr:col>
      <xdr:colOff>20193</xdr:colOff>
      <xdr:row>582</xdr:row>
      <xdr:rowOff>20873</xdr:rowOff>
    </xdr:to>
    <xdr:pic>
      <xdr:nvPicPr>
        <xdr:cNvPr id="16405" name="Picture 16404">
          <a:extLst>
            <a:ext uri="{FF2B5EF4-FFF2-40B4-BE49-F238E27FC236}">
              <a16:creationId xmlns:a16="http://schemas.microsoft.com/office/drawing/2014/main" id="{00000000-0008-0000-0600-000015400000}"/>
            </a:ext>
          </a:extLst>
        </xdr:cNvPr>
        <xdr:cNvPicPr>
          <a:picLocks noChangeAspect="1"/>
        </xdr:cNvPicPr>
      </xdr:nvPicPr>
      <xdr:blipFill>
        <a:blip xmlns:r="http://schemas.openxmlformats.org/officeDocument/2006/relationships" r:embed="rId25"/>
        <a:stretch>
          <a:fillRect/>
        </a:stretch>
      </xdr:blipFill>
      <xdr:spPr>
        <a:xfrm>
          <a:off x="9525" y="93659325"/>
          <a:ext cx="6095238" cy="657143"/>
        </a:xfrm>
        <a:prstGeom prst="rect">
          <a:avLst/>
        </a:prstGeom>
        <a:ln>
          <a:solidFill>
            <a:srgbClr val="000000"/>
          </a:solidFill>
        </a:ln>
      </xdr:spPr>
    </xdr:pic>
    <xdr:clientData/>
  </xdr:twoCellAnchor>
  <xdr:twoCellAnchor>
    <xdr:from>
      <xdr:col>14</xdr:col>
      <xdr:colOff>0</xdr:colOff>
      <xdr:row>576</xdr:row>
      <xdr:rowOff>123825</xdr:rowOff>
    </xdr:from>
    <xdr:to>
      <xdr:col>14</xdr:col>
      <xdr:colOff>314325</xdr:colOff>
      <xdr:row>579</xdr:row>
      <xdr:rowOff>133350</xdr:rowOff>
    </xdr:to>
    <xdr:cxnSp macro="">
      <xdr:nvCxnSpPr>
        <xdr:cNvPr id="58" name="Straight Arrow Connector 57">
          <a:extLst>
            <a:ext uri="{FF2B5EF4-FFF2-40B4-BE49-F238E27FC236}">
              <a16:creationId xmlns:a16="http://schemas.microsoft.com/office/drawing/2014/main" id="{00000000-0008-0000-0600-00003A000000}"/>
            </a:ext>
          </a:extLst>
        </xdr:cNvPr>
        <xdr:cNvCxnSpPr/>
      </xdr:nvCxnSpPr>
      <xdr:spPr>
        <a:xfrm rot="5400000">
          <a:off x="5243513" y="70070662"/>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238125</xdr:colOff>
      <xdr:row>575</xdr:row>
      <xdr:rowOff>47625</xdr:rowOff>
    </xdr:from>
    <xdr:to>
      <xdr:col>15</xdr:col>
      <xdr:colOff>40005</xdr:colOff>
      <xdr:row>576</xdr:row>
      <xdr:rowOff>85725</xdr:rowOff>
    </xdr:to>
    <xdr:sp macro="" textlink="">
      <xdr:nvSpPr>
        <xdr:cNvPr id="60" name="TextBox 59">
          <a:extLst>
            <a:ext uri="{FF2B5EF4-FFF2-40B4-BE49-F238E27FC236}">
              <a16:creationId xmlns:a16="http://schemas.microsoft.com/office/drawing/2014/main" id="{00000000-0008-0000-0600-00003C000000}"/>
            </a:ext>
          </a:extLst>
        </xdr:cNvPr>
        <xdr:cNvSpPr txBox="1"/>
      </xdr:nvSpPr>
      <xdr:spPr>
        <a:xfrm>
          <a:off x="5572125" y="697420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xdr:from>
      <xdr:col>5</xdr:col>
      <xdr:colOff>104775</xdr:colOff>
      <xdr:row>576</xdr:row>
      <xdr:rowOff>76200</xdr:rowOff>
    </xdr:from>
    <xdr:to>
      <xdr:col>10</xdr:col>
      <xdr:colOff>257175</xdr:colOff>
      <xdr:row>582</xdr:row>
      <xdr:rowOff>28575</xdr:rowOff>
    </xdr:to>
    <xdr:sp macro="" textlink="">
      <xdr:nvSpPr>
        <xdr:cNvPr id="57" name="Oval 56">
          <a:extLst>
            <a:ext uri="{FF2B5EF4-FFF2-40B4-BE49-F238E27FC236}">
              <a16:creationId xmlns:a16="http://schemas.microsoft.com/office/drawing/2014/main" id="{00000000-0008-0000-0600-000039000000}"/>
            </a:ext>
          </a:extLst>
        </xdr:cNvPr>
        <xdr:cNvSpPr/>
      </xdr:nvSpPr>
      <xdr:spPr>
        <a:xfrm>
          <a:off x="2009775" y="69932550"/>
          <a:ext cx="2057400" cy="9239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xdr:col>
      <xdr:colOff>209550</xdr:colOff>
      <xdr:row>576</xdr:row>
      <xdr:rowOff>123826</xdr:rowOff>
    </xdr:from>
    <xdr:to>
      <xdr:col>3</xdr:col>
      <xdr:colOff>142875</xdr:colOff>
      <xdr:row>579</xdr:row>
      <xdr:rowOff>133351</xdr:rowOff>
    </xdr:to>
    <xdr:cxnSp macro="">
      <xdr:nvCxnSpPr>
        <xdr:cNvPr id="53" name="Straight Arrow Connector 52">
          <a:extLst>
            <a:ext uri="{FF2B5EF4-FFF2-40B4-BE49-F238E27FC236}">
              <a16:creationId xmlns:a16="http://schemas.microsoft.com/office/drawing/2014/main" id="{00000000-0008-0000-0600-000035000000}"/>
            </a:ext>
          </a:extLst>
        </xdr:cNvPr>
        <xdr:cNvCxnSpPr/>
      </xdr:nvCxnSpPr>
      <xdr:spPr>
        <a:xfrm rot="5400000">
          <a:off x="881063" y="70070663"/>
          <a:ext cx="495300" cy="314325"/>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85725</xdr:colOff>
      <xdr:row>575</xdr:row>
      <xdr:rowOff>47625</xdr:rowOff>
    </xdr:from>
    <xdr:to>
      <xdr:col>3</xdr:col>
      <xdr:colOff>268605</xdr:colOff>
      <xdr:row>576</xdr:row>
      <xdr:rowOff>85725</xdr:rowOff>
    </xdr:to>
    <xdr:sp macro="" textlink="">
      <xdr:nvSpPr>
        <xdr:cNvPr id="59" name="TextBox 58">
          <a:extLst>
            <a:ext uri="{FF2B5EF4-FFF2-40B4-BE49-F238E27FC236}">
              <a16:creationId xmlns:a16="http://schemas.microsoft.com/office/drawing/2014/main" id="{00000000-0008-0000-0600-00003B000000}"/>
            </a:ext>
          </a:extLst>
        </xdr:cNvPr>
        <xdr:cNvSpPr txBox="1"/>
      </xdr:nvSpPr>
      <xdr:spPr>
        <a:xfrm>
          <a:off x="1228725" y="69742050"/>
          <a:ext cx="182880" cy="20002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200">
              <a:latin typeface="Arial" pitchFamily="34" charset="0"/>
              <a:cs typeface="Arial" pitchFamily="34" charset="0"/>
            </a:rPr>
            <a:t>1</a:t>
          </a:r>
        </a:p>
      </xdr:txBody>
    </xdr:sp>
    <xdr:clientData/>
  </xdr:twoCellAnchor>
  <xdr:twoCellAnchor editAs="oneCell">
    <xdr:from>
      <xdr:col>0</xdr:col>
      <xdr:colOff>19050</xdr:colOff>
      <xdr:row>583</xdr:row>
      <xdr:rowOff>1</xdr:rowOff>
    </xdr:from>
    <xdr:to>
      <xdr:col>15</xdr:col>
      <xdr:colOff>358140</xdr:colOff>
      <xdr:row>600</xdr:row>
      <xdr:rowOff>79612</xdr:rowOff>
    </xdr:to>
    <xdr:pic>
      <xdr:nvPicPr>
        <xdr:cNvPr id="16406" name="Picture 16405">
          <a:extLst>
            <a:ext uri="{FF2B5EF4-FFF2-40B4-BE49-F238E27FC236}">
              <a16:creationId xmlns:a16="http://schemas.microsoft.com/office/drawing/2014/main" id="{00000000-0008-0000-0600-000016400000}"/>
            </a:ext>
          </a:extLst>
        </xdr:cNvPr>
        <xdr:cNvPicPr>
          <a:picLocks noChangeAspect="1"/>
        </xdr:cNvPicPr>
      </xdr:nvPicPr>
      <xdr:blipFill>
        <a:blip xmlns:r="http://schemas.openxmlformats.org/officeDocument/2006/relationships" r:embed="rId26"/>
        <a:stretch>
          <a:fillRect/>
        </a:stretch>
      </xdr:blipFill>
      <xdr:spPr>
        <a:xfrm>
          <a:off x="19050" y="94468951"/>
          <a:ext cx="6048375" cy="2832336"/>
        </a:xfrm>
        <a:prstGeom prst="rect">
          <a:avLst/>
        </a:prstGeom>
        <a:ln>
          <a:solidFill>
            <a:srgbClr val="000000"/>
          </a:solid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danserver.com/nctta/Admin/SchoolRegistry.asp" TargetMode="External"/><Relationship Id="rId1" Type="http://schemas.openxmlformats.org/officeDocument/2006/relationships/hyperlink" Target="mailto:treasurer@nctta.org" TargetMode="Externa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L171"/>
  <sheetViews>
    <sheetView tabSelected="1" zoomScaleNormal="100" workbookViewId="0">
      <selection activeCell="B1" sqref="B1"/>
    </sheetView>
  </sheetViews>
  <sheetFormatPr defaultColWidth="9.21875" defaultRowHeight="13.2" x14ac:dyDescent="0.25"/>
  <cols>
    <col min="1" max="1" width="2.44140625" style="1" bestFit="1" customWidth="1"/>
    <col min="2" max="2" width="35.77734375" style="3" customWidth="1"/>
    <col min="3" max="18" width="5.6640625" style="3" customWidth="1"/>
    <col min="19" max="32" width="2.6640625" style="3" customWidth="1"/>
    <col min="33" max="16384" width="9.21875" style="3"/>
  </cols>
  <sheetData>
    <row r="1" spans="1:38" x14ac:dyDescent="0.25">
      <c r="B1" s="159" t="s">
        <v>180</v>
      </c>
      <c r="C1" s="130"/>
      <c r="D1" s="201" t="s">
        <v>220</v>
      </c>
      <c r="E1" s="202"/>
      <c r="F1" s="202"/>
      <c r="G1" s="202"/>
      <c r="H1" s="202"/>
      <c r="I1" s="202"/>
      <c r="J1" s="202"/>
      <c r="K1" s="202"/>
      <c r="L1" s="202"/>
      <c r="M1" s="202"/>
      <c r="N1" s="202"/>
      <c r="O1" s="158"/>
      <c r="P1" s="204" t="s">
        <v>181</v>
      </c>
      <c r="Q1" s="202"/>
      <c r="R1" s="202"/>
      <c r="T1" s="196">
        <v>1</v>
      </c>
      <c r="U1" s="197"/>
      <c r="V1" s="197"/>
      <c r="W1" s="197"/>
      <c r="X1" s="197"/>
      <c r="Y1" s="197"/>
      <c r="Z1" s="197"/>
      <c r="AG1" s="135"/>
      <c r="AH1" s="135"/>
      <c r="AI1" s="135"/>
      <c r="AJ1" s="136"/>
      <c r="AK1" s="135"/>
      <c r="AL1" s="135"/>
    </row>
    <row r="2" spans="1:38" x14ac:dyDescent="0.25">
      <c r="AG2" s="135"/>
      <c r="AH2" s="135"/>
      <c r="AI2" s="135"/>
      <c r="AJ2" s="138">
        <v>0.33333333333333331</v>
      </c>
      <c r="AK2" s="139">
        <v>5</v>
      </c>
      <c r="AL2" s="135"/>
    </row>
    <row r="3" spans="1:38" ht="12.75" customHeight="1" thickBot="1" x14ac:dyDescent="0.3">
      <c r="B3" s="2" t="s">
        <v>171</v>
      </c>
      <c r="C3" s="40" t="str">
        <f>A4</f>
        <v>A</v>
      </c>
      <c r="D3" s="40" t="str">
        <f>A6</f>
        <v>B</v>
      </c>
      <c r="E3" s="40" t="str">
        <f>A8</f>
        <v>C</v>
      </c>
      <c r="F3" s="40" t="str">
        <f>A10</f>
        <v>D</v>
      </c>
      <c r="G3" s="40" t="str">
        <f>A12</f>
        <v>E</v>
      </c>
      <c r="H3" s="40" t="str">
        <f>A14</f>
        <v>F</v>
      </c>
      <c r="I3" s="40" t="str">
        <f>A16</f>
        <v>G</v>
      </c>
      <c r="J3" s="40" t="str">
        <f>A18</f>
        <v>H</v>
      </c>
      <c r="K3" s="40" t="str">
        <f>A20</f>
        <v>I</v>
      </c>
      <c r="L3" s="40" t="str">
        <f>A22</f>
        <v>J</v>
      </c>
      <c r="M3" s="40" t="str">
        <f>A24</f>
        <v>K</v>
      </c>
      <c r="N3" s="40" t="str">
        <f>A26</f>
        <v>L</v>
      </c>
      <c r="O3" s="1" t="s">
        <v>172</v>
      </c>
      <c r="P3" s="1" t="s">
        <v>173</v>
      </c>
      <c r="Q3" s="1" t="s">
        <v>174</v>
      </c>
      <c r="R3" s="1" t="s">
        <v>175</v>
      </c>
      <c r="T3" s="198" t="s">
        <v>221</v>
      </c>
      <c r="U3" s="199"/>
      <c r="V3" s="199"/>
      <c r="W3" s="199"/>
      <c r="X3" s="199"/>
      <c r="Y3" s="199"/>
      <c r="Z3" s="199"/>
      <c r="AG3" s="135"/>
      <c r="AH3" s="135"/>
      <c r="AI3" s="135"/>
      <c r="AJ3" s="138">
        <v>0.33680555555555558</v>
      </c>
      <c r="AK3" s="139">
        <v>10</v>
      </c>
      <c r="AL3" s="135"/>
    </row>
    <row r="4" spans="1:38" ht="12.75" customHeight="1" thickTop="1" x14ac:dyDescent="0.25">
      <c r="A4" s="190" t="s">
        <v>44</v>
      </c>
      <c r="B4" s="193"/>
      <c r="C4" s="19"/>
      <c r="D4" s="41" t="str">
        <f ca="1">IF(VLOOKUP("AB",Team_Matches!$AH$1:$AJ$66,2,FALSE)&lt;&gt;"",IF(VLOOKUP("AB",Team_Matches!$AH$1:$AJ$66,2,FALSE)&gt;=3,"W",IF(VLOOKUP("AB",Team_Matches!$AH$1:$AJ$66,3,FALSE)&gt;=3,"L","")),"")</f>
        <v/>
      </c>
      <c r="E4" s="41" t="str">
        <f ca="1">IF(VLOOKUP("AC",Team_Matches!$AH$1:$AJ$66,2,FALSE)&lt;&gt;"",IF(VLOOKUP("AC",Team_Matches!$AH$1:$AJ$66,2,FALSE)&gt;=3,"W",IF(VLOOKUP("AC",Team_Matches!$AH$1:$AJ$66,3,FALSE)&gt;=3,"L","")),"")</f>
        <v/>
      </c>
      <c r="F4" s="41" t="str">
        <f ca="1">IF(VLOOKUP("AD",Team_Matches!$AH$1:$AJ$66,2,FALSE)&lt;&gt;"",IF(VLOOKUP("AD",Team_Matches!$AH$1:$AJ$66,2,FALSE)&gt;=3,"W",IF(VLOOKUP("AD",Team_Matches!$AH$1:$AJ$66,3,FALSE)&gt;=3,"L","")),"")</f>
        <v/>
      </c>
      <c r="G4" s="41" t="str">
        <f ca="1">IF(VLOOKUP("AE",Team_Matches!$AH$1:$AJ$66,2,FALSE)&lt;&gt;"",IF(VLOOKUP("AE",Team_Matches!$AH$1:$AJ$66,2,FALSE)&gt;=3,"W",IF(VLOOKUP("AE",Team_Matches!$AH$1:$AJ$66,3,FALSE)&gt;=3,"L","")),"")</f>
        <v/>
      </c>
      <c r="H4" s="41" t="str">
        <f ca="1">IF(VLOOKUP("AF",Team_Matches!$AH$1:$AJ$66,2,FALSE)&lt;&gt;"",IF(VLOOKUP("AF",Team_Matches!$AH$1:$AJ$66,2,FALSE)&gt;=3,"W",IF(VLOOKUP("AF",Team_Matches!$AH$1:$AJ$66,3,FALSE)&gt;=3,"L","")),"")</f>
        <v/>
      </c>
      <c r="I4" s="41" t="str">
        <f ca="1">IF(VLOOKUP("AG",Team_Matches!$AH$1:$AJ$66,2,FALSE)&lt;&gt;"",IF(VLOOKUP("AG",Team_Matches!$AH$1:$AJ$66,2,FALSE)&gt;=3,"W",IF(VLOOKUP("AG",Team_Matches!$AH$1:$AJ$66,3,FALSE)&gt;=3,"L","")),"")</f>
        <v/>
      </c>
      <c r="J4" s="41" t="str">
        <f ca="1">IF(VLOOKUP("AH",Team_Matches!$AH$1:$AJ$66,2,FALSE)&lt;&gt;"",IF(VLOOKUP("AH",Team_Matches!$AH$1:$AJ$66,2,FALSE)&gt;=3,"W",IF(VLOOKUP("AH",Team_Matches!$AH$1:$AJ$66,3,FALSE)&gt;=3,"L","")),"")</f>
        <v/>
      </c>
      <c r="K4" s="41" t="str">
        <f ca="1">IF(VLOOKUP("AI",Team_Matches!$AH$1:$AJ$66,2,FALSE)&lt;&gt;"",IF(VLOOKUP("AI",Team_Matches!$AH$1:$AJ$66,2,FALSE)&gt;=3,"W",IF(VLOOKUP("AI",Team_Matches!$AH$1:$AJ$66,3,FALSE)&gt;=3,"L","")),"")</f>
        <v/>
      </c>
      <c r="L4" s="41" t="str">
        <f ca="1">IF(VLOOKUP("AJ",Team_Matches!$AH$1:$AJ$66,2,FALSE)&lt;&gt;"",IF(VLOOKUP("AJ",Team_Matches!$AH$1:$AJ$66,2,FALSE)&gt;=3,"W",IF(VLOOKUP("AJ",Team_Matches!$AH$1:$AJ$66,3,FALSE)&gt;=3,"L","")),"")</f>
        <v/>
      </c>
      <c r="M4" s="41" t="str">
        <f ca="1">IF(VLOOKUP("AK",Team_Matches!$AH$1:$AJ$66,2,FALSE)&lt;&gt;"",IF(VLOOKUP("AK",Team_Matches!$AH$1:$AJ$66,2,FALSE)&gt;=3,"W",IF(VLOOKUP("AK",Team_Matches!$AH$1:$AJ$66,3,FALSE)&gt;=3,"L","")),"")</f>
        <v/>
      </c>
      <c r="N4" s="42" t="str">
        <f ca="1">IF(VLOOKUP("AL",Team_Matches!$AH$1:$AJ$66,2,FALSE)&lt;&gt;"",IF(VLOOKUP("AL",Team_Matches!$AH$1:$AJ$66,2,FALSE)&gt;=3,"W",IF(VLOOKUP("AL",Team_Matches!$AH$1:$AJ$66,3,FALSE)&gt;=3,"L","")),"")</f>
        <v/>
      </c>
      <c r="O4" s="178" t="str">
        <f ca="1">CHOOSE($T$1,O29,O30,O31,O32,O33,O34,O35,O36,O37,O38,O39)</f>
        <v/>
      </c>
      <c r="P4" s="191" t="str">
        <f ca="1">CHOOSE($T$1,P29,P30,P31,P32,P33,P34,P35,P36,P37,P38,P39)</f>
        <v/>
      </c>
      <c r="Q4" s="191" t="str">
        <f ca="1">CHOOSE($T$1,Q29,Q30,Q31,Q32,Q33,Q34,Q35,Q36,Q37,Q38,Q39)</f>
        <v/>
      </c>
      <c r="R4" s="205" t="str">
        <f ca="1">CHOOSE($T$1,R29,R30,R31,R32,R33,R34,R35,R36,R37,R38,R39)</f>
        <v/>
      </c>
      <c r="T4" s="200" t="s">
        <v>728</v>
      </c>
      <c r="U4" s="199"/>
      <c r="V4" s="199"/>
      <c r="W4" s="199"/>
      <c r="X4" s="199"/>
      <c r="Y4" s="199"/>
      <c r="Z4" s="199"/>
      <c r="AG4" s="135"/>
      <c r="AH4" s="135"/>
      <c r="AI4" s="135"/>
      <c r="AJ4" s="138">
        <v>0.34027777777777773</v>
      </c>
      <c r="AK4" s="139">
        <v>15</v>
      </c>
      <c r="AL4" s="135"/>
    </row>
    <row r="5" spans="1:38" ht="12.75" customHeight="1" x14ac:dyDescent="0.25">
      <c r="A5" s="190"/>
      <c r="B5" s="188"/>
      <c r="C5" s="20"/>
      <c r="D5" s="28" t="str">
        <f ca="1">IF(VLOOKUP("AB",Team_Matches!$AH$1:$AJ$66,2,FALSE)="","",CONCATENATE(VLOOKUP("AB",Team_Matches!$AH$1:$AJ$66,2,FALSE),"-",VLOOKUP("AB",Team_Matches!$AH$1:$AJ$66,3,FALSE)))</f>
        <v/>
      </c>
      <c r="E5" s="28" t="str">
        <f ca="1">IF(VLOOKUP("AC",Team_Matches!$AH$1:$AJ$66,2,FALSE)="","",CONCATENATE(VLOOKUP("AC",Team_Matches!$AH$1:$AJ$66,2,FALSE),"-",VLOOKUP("AC",Team_Matches!$AH$1:$AJ$66,3,FALSE)))</f>
        <v/>
      </c>
      <c r="F5" s="28" t="str">
        <f ca="1">IF(VLOOKUP("AD",Team_Matches!$AH$1:$AJ$66,2,FALSE)="","",CONCATENATE(VLOOKUP("AD",Team_Matches!$AH$1:$AJ$66,2,FALSE),"-",VLOOKUP("AD",Team_Matches!$AH$1:$AJ$66,3,FALSE)))</f>
        <v/>
      </c>
      <c r="G5" s="28" t="str">
        <f ca="1">IF(VLOOKUP("AE",Team_Matches!$AH$1:$AJ$66,2,FALSE)="","",CONCATENATE(VLOOKUP("AE",Team_Matches!$AH$1:$AJ$66,2,FALSE),"-",VLOOKUP("AE",Team_Matches!$AH$1:$AJ$66,3,FALSE)))</f>
        <v/>
      </c>
      <c r="H5" s="28" t="str">
        <f ca="1">IF(VLOOKUP("AF",Team_Matches!$AH$1:$AJ$66,2,FALSE)="","",CONCATENATE(VLOOKUP("AF",Team_Matches!$AH$1:$AJ$66,2,FALSE),"-",VLOOKUP("AF",Team_Matches!$AH$1:$AJ$66,3,FALSE)))</f>
        <v/>
      </c>
      <c r="I5" s="28" t="str">
        <f ca="1">IF(VLOOKUP("AG",Team_Matches!$AH$1:$AJ$66,2,FALSE)="","",CONCATENATE(VLOOKUP("AG",Team_Matches!$AH$1:$AJ$66,2,FALSE),"-",VLOOKUP("AG",Team_Matches!$AH$1:$AJ$66,3,FALSE)))</f>
        <v/>
      </c>
      <c r="J5" s="28" t="str">
        <f ca="1">IF(VLOOKUP("AH",Team_Matches!$AH$1:$AJ$66,2,FALSE)="","",CONCATENATE(VLOOKUP("AH",Team_Matches!$AH$1:$AJ$66,2,FALSE),"-",VLOOKUP("AH",Team_Matches!$AH$1:$AJ$66,3,FALSE)))</f>
        <v/>
      </c>
      <c r="K5" s="28" t="str">
        <f ca="1">IF(VLOOKUP("AI",Team_Matches!$AH$1:$AJ$66,2,FALSE)="","",CONCATENATE(VLOOKUP("AI",Team_Matches!$AH$1:$AJ$66,2,FALSE),"-",VLOOKUP("AI",Team_Matches!$AH$1:$AJ$66,3,FALSE)))</f>
        <v/>
      </c>
      <c r="L5" s="28" t="str">
        <f ca="1">IF(VLOOKUP("AJ",Team_Matches!$AH$1:$AJ$66,2,FALSE)="","",CONCATENATE(VLOOKUP("AJ",Team_Matches!$AH$1:$AJ$66,2,FALSE),"-",VLOOKUP("AJ",Team_Matches!$AH$1:$AJ$66,3,FALSE)))</f>
        <v/>
      </c>
      <c r="M5" s="28" t="str">
        <f ca="1">IF(VLOOKUP("AK",Team_Matches!$AH$1:$AJ$66,2,FALSE)="","",CONCATENATE(VLOOKUP("AK",Team_Matches!$AH$1:$AJ$66,2,FALSE),"-",VLOOKUP("AK",Team_Matches!$AH$1:$AJ$66,3,FALSE)))</f>
        <v/>
      </c>
      <c r="N5" s="43" t="str">
        <f ca="1">IF(VLOOKUP("AL",Team_Matches!$AH$1:$AJ$66,2,FALSE)="","",CONCATENATE(VLOOKUP("AL",Team_Matches!$AH$1:$AJ$66,2,FALSE),"-",VLOOKUP("AL",Team_Matches!$AH$1:$AJ$66,3,FALSE)))</f>
        <v/>
      </c>
      <c r="O5" s="179"/>
      <c r="P5" s="192"/>
      <c r="Q5" s="192"/>
      <c r="R5" s="183"/>
      <c r="T5" s="200" t="s">
        <v>729</v>
      </c>
      <c r="U5" s="199"/>
      <c r="V5" s="199"/>
      <c r="W5" s="199"/>
      <c r="X5" s="199"/>
      <c r="Y5" s="199"/>
      <c r="Z5" s="199"/>
      <c r="AG5" s="135"/>
      <c r="AH5" s="135"/>
      <c r="AI5" s="135"/>
      <c r="AJ5" s="138">
        <v>0.34375</v>
      </c>
      <c r="AK5" s="139">
        <v>20</v>
      </c>
      <c r="AL5" s="135"/>
    </row>
    <row r="6" spans="1:38" ht="12.75" customHeight="1" x14ac:dyDescent="0.25">
      <c r="A6" s="190" t="s">
        <v>45</v>
      </c>
      <c r="B6" s="187"/>
      <c r="C6" s="21" t="str">
        <f ca="1">IF(D4&lt;&gt;"",IF(D4="W","L","W"),"")</f>
        <v/>
      </c>
      <c r="D6" s="22"/>
      <c r="E6" s="26" t="str">
        <f ca="1">IF(VLOOKUP("BC",Team_Matches!$AH$1:$AJ$66,2,FALSE)&lt;&gt;"",IF(VLOOKUP("BC",Team_Matches!$AH$1:$AJ$66,2,FALSE)&gt;=3,"W",IF(VLOOKUP("BC",Team_Matches!$AH$1:$AJ$66,3,FALSE)&gt;=3,"L","")),"")</f>
        <v/>
      </c>
      <c r="F6" s="26" t="str">
        <f ca="1">IF(VLOOKUP("BD",Team_Matches!$AH$1:$AJ$66,2,FALSE)&lt;&gt;"",IF(VLOOKUP("BD",Team_Matches!$AH$1:$AJ$66,2,FALSE)&gt;=3,"W",IF(VLOOKUP("BD",Team_Matches!$AH$1:$AJ$66,3,FALSE)&gt;=3,"L","")),"")</f>
        <v/>
      </c>
      <c r="G6" s="26" t="str">
        <f ca="1">IF(VLOOKUP("BE",Team_Matches!$AH$1:$AJ$66,2,FALSE)&lt;&gt;"",IF(VLOOKUP("BE",Team_Matches!$AH$1:$AJ$66,2,FALSE)&gt;=3,"W",IF(VLOOKUP("BE",Team_Matches!$AH$1:$AJ$66,3,FALSE)&gt;=3,"L","")),"")</f>
        <v/>
      </c>
      <c r="H6" s="26" t="str">
        <f ca="1">IF(VLOOKUP("BF",Team_Matches!$AH$1:$AJ$66,2,FALSE)&lt;&gt;"",IF(VLOOKUP("BF",Team_Matches!$AH$1:$AJ$66,2,FALSE)&gt;=3,"W",IF(VLOOKUP("BF",Team_Matches!$AH$1:$AJ$66,3,FALSE)&gt;=3,"L","")),"")</f>
        <v/>
      </c>
      <c r="I6" s="26" t="str">
        <f ca="1">IF(VLOOKUP("BG",Team_Matches!$AH$1:$AJ$66,2,FALSE)&lt;&gt;"",IF(VLOOKUP("BG",Team_Matches!$AH$1:$AJ$66,2,FALSE)&gt;=3,"W",IF(VLOOKUP("BG",Team_Matches!$AH$1:$AJ$66,3,FALSE)&gt;=3,"L","")),"")</f>
        <v/>
      </c>
      <c r="J6" s="26" t="str">
        <f ca="1">IF(VLOOKUP("BH",Team_Matches!$AH$1:$AJ$66,2,FALSE)&lt;&gt;"",IF(VLOOKUP("BH",Team_Matches!$AH$1:$AJ$66,2,FALSE)&gt;=3,"W",IF(VLOOKUP("BH",Team_Matches!$AH$1:$AJ$66,3,FALSE)&gt;=3,"L","")),"")</f>
        <v/>
      </c>
      <c r="K6" s="26" t="str">
        <f ca="1">IF(VLOOKUP("BI",Team_Matches!$AH$1:$AJ$66,2,FALSE)&lt;&gt;"",IF(VLOOKUP("BI",Team_Matches!$AH$1:$AJ$66,2,FALSE)&gt;=3,"W",IF(VLOOKUP("BI",Team_Matches!$AH$1:$AJ$66,3,FALSE)&gt;=3,"L","")),"")</f>
        <v/>
      </c>
      <c r="L6" s="26" t="str">
        <f ca="1">IF(VLOOKUP("BJ",Team_Matches!$AH$1:$AJ$66,2,FALSE)&lt;&gt;"",IF(VLOOKUP("BJ",Team_Matches!$AH$1:$AJ$66,2,FALSE)&gt;=3,"W",IF(VLOOKUP("BJ",Team_Matches!$AH$1:$AJ$66,3,FALSE)&gt;=3,"L","")),"")</f>
        <v/>
      </c>
      <c r="M6" s="26" t="str">
        <f ca="1">IF(VLOOKUP("BK",Team_Matches!$AH$1:$AJ$66,2,FALSE)&lt;&gt;"",IF(VLOOKUP("BK",Team_Matches!$AH$1:$AJ$66,2,FALSE)&gt;=3,"W",IF(VLOOKUP("BK",Team_Matches!$AH$1:$AJ$66,3,FALSE)&gt;=3,"L","")),"")</f>
        <v/>
      </c>
      <c r="N6" s="44" t="str">
        <f ca="1">IF(VLOOKUP("BL",Team_Matches!$AH$1:$AJ$66,2,FALSE)&lt;&gt;"",IF(VLOOKUP("BL",Team_Matches!$AH$1:$AJ$66,2,FALSE)&gt;=3,"W",IF(VLOOKUP("BL",Team_Matches!$AH$1:$AJ$66,3,FALSE)&gt;=3,"L","")),"")</f>
        <v/>
      </c>
      <c r="O6" s="203" t="str">
        <f ca="1">CHOOSE($T$1,O41,O42,O43,O44,O45,O46,O47,O48,O49,O50,O51)</f>
        <v/>
      </c>
      <c r="P6" s="182" t="str">
        <f ca="1">CHOOSE($T$1,P41,P42,P43,P44,P45,P46,P47,P48,P49,P50,P51)</f>
        <v/>
      </c>
      <c r="Q6" s="182" t="str">
        <f ca="1">CHOOSE($T$1,Q41,Q42,Q43,Q44,Q45,Q46,Q47,Q48,Q49,Q50,Q51)</f>
        <v/>
      </c>
      <c r="R6" s="183" t="str">
        <f ca="1">CHOOSE($T$1,R41,R42,R43,R44,R45,R46,R47,R48,R49,R50,R51)</f>
        <v/>
      </c>
      <c r="T6" s="200" t="s">
        <v>730</v>
      </c>
      <c r="U6" s="199"/>
      <c r="V6" s="199"/>
      <c r="W6" s="199"/>
      <c r="X6" s="199"/>
      <c r="Y6" s="199"/>
      <c r="Z6" s="199"/>
      <c r="AG6" s="135"/>
      <c r="AH6" s="135"/>
      <c r="AI6" s="135"/>
      <c r="AJ6" s="138">
        <v>0.34722222222222227</v>
      </c>
      <c r="AK6" s="139">
        <v>25</v>
      </c>
      <c r="AL6" s="135"/>
    </row>
    <row r="7" spans="1:38" ht="12.75" customHeight="1" x14ac:dyDescent="0.25">
      <c r="A7" s="190"/>
      <c r="B7" s="188"/>
      <c r="C7" s="23" t="str">
        <f ca="1">IF(D5&lt;&gt;"",CONCATENATE(RIGHT(D5,1),"-",LEFT(D5,1)),"")</f>
        <v/>
      </c>
      <c r="D7" s="24"/>
      <c r="E7" s="28" t="str">
        <f ca="1">IF(VLOOKUP("BC",Team_Matches!$AH$1:$AJ$66,2,FALSE)="","",CONCATENATE(VLOOKUP("BC",Team_Matches!$AH$1:$AJ$66,2,FALSE),"-",VLOOKUP("BC",Team_Matches!$AH$1:$AJ$66,3,FALSE)))</f>
        <v/>
      </c>
      <c r="F7" s="28" t="str">
        <f ca="1">IF(VLOOKUP("BD",Team_Matches!$AH$1:$AJ$66,2,FALSE)="","",CONCATENATE(VLOOKUP("BD",Team_Matches!$AH$1:$AJ$66,2,FALSE),"-",VLOOKUP("BD",Team_Matches!$AH$1:$AJ$66,3,FALSE)))</f>
        <v/>
      </c>
      <c r="G7" s="28" t="str">
        <f ca="1">IF(VLOOKUP("BE",Team_Matches!$AH$1:$AJ$66,2,FALSE)="","",CONCATENATE(VLOOKUP("BE",Team_Matches!$AH$1:$AJ$66,2,FALSE),"-",VLOOKUP("BE",Team_Matches!$AH$1:$AJ$66,3,FALSE)))</f>
        <v/>
      </c>
      <c r="H7" s="28" t="str">
        <f ca="1">IF(VLOOKUP("BF",Team_Matches!$AH$1:$AJ$66,2,FALSE)="","",CONCATENATE(VLOOKUP("BF",Team_Matches!$AH$1:$AJ$66,2,FALSE),"-",VLOOKUP("BF",Team_Matches!$AH$1:$AJ$66,3,FALSE)))</f>
        <v/>
      </c>
      <c r="I7" s="28" t="str">
        <f ca="1">IF(VLOOKUP("BG",Team_Matches!$AH$1:$AJ$66,2,FALSE)="","",CONCATENATE(VLOOKUP("BG",Team_Matches!$AH$1:$AJ$66,2,FALSE),"-",VLOOKUP("BG",Team_Matches!$AH$1:$AJ$66,3,FALSE)))</f>
        <v/>
      </c>
      <c r="J7" s="28" t="str">
        <f ca="1">IF(VLOOKUP("BH",Team_Matches!$AH$1:$AJ$66,2,FALSE)="","",CONCATENATE(VLOOKUP("BH",Team_Matches!$AH$1:$AJ$66,2,FALSE),"-",VLOOKUP("BH",Team_Matches!$AH$1:$AJ$66,3,FALSE)))</f>
        <v/>
      </c>
      <c r="K7" s="28" t="str">
        <f ca="1">IF(VLOOKUP("BI",Team_Matches!$AH$1:$AJ$66,2,FALSE)="","",CONCATENATE(VLOOKUP("BI",Team_Matches!$AH$1:$AJ$66,2,FALSE),"-",VLOOKUP("BI",Team_Matches!$AH$1:$AJ$66,3,FALSE)))</f>
        <v/>
      </c>
      <c r="L7" s="28" t="str">
        <f ca="1">IF(VLOOKUP("BJ",Team_Matches!$AH$1:$AJ$66,2,FALSE)="","",CONCATENATE(VLOOKUP("BJ",Team_Matches!$AH$1:$AJ$66,2,FALSE),"-",VLOOKUP("BJ",Team_Matches!$AH$1:$AJ$66,3,FALSE)))</f>
        <v/>
      </c>
      <c r="M7" s="28" t="str">
        <f ca="1">IF(VLOOKUP("BK",Team_Matches!$AH$1:$AJ$66,2,FALSE)="","",CONCATENATE(VLOOKUP("BK",Team_Matches!$AH$1:$AJ$66,2,FALSE),"-",VLOOKUP("BK",Team_Matches!$AH$1:$AJ$66,3,FALSE)))</f>
        <v/>
      </c>
      <c r="N7" s="43" t="str">
        <f ca="1">IF(VLOOKUP("BL",Team_Matches!$AH$1:$AJ$66,2,FALSE)="","",CONCATENATE(VLOOKUP("BL",Team_Matches!$AH$1:$AJ$66,2,FALSE),"-",VLOOKUP("BL",Team_Matches!$AH$1:$AJ$66,3,FALSE)))</f>
        <v/>
      </c>
      <c r="O7" s="203"/>
      <c r="P7" s="182"/>
      <c r="Q7" s="182"/>
      <c r="R7" s="184"/>
      <c r="T7" s="198" t="s">
        <v>602</v>
      </c>
      <c r="U7" s="199"/>
      <c r="V7" s="199"/>
      <c r="W7" s="199"/>
      <c r="X7" s="199"/>
      <c r="Y7" s="199"/>
      <c r="Z7" s="199"/>
      <c r="AG7" s="135"/>
      <c r="AH7" s="135"/>
      <c r="AI7" s="135"/>
      <c r="AJ7" s="138">
        <v>0.35069444444444442</v>
      </c>
      <c r="AK7" s="139">
        <v>30</v>
      </c>
      <c r="AL7" s="135"/>
    </row>
    <row r="8" spans="1:38" ht="12.75" customHeight="1" x14ac:dyDescent="0.25">
      <c r="A8" s="190" t="s">
        <v>46</v>
      </c>
      <c r="B8" s="187"/>
      <c r="C8" s="25" t="str">
        <f ca="1">IF(E4&lt;&gt;"",IF(E4="W","L","W"),"")</f>
        <v/>
      </c>
      <c r="D8" s="26" t="str">
        <f ca="1">IF(E6&lt;&gt;"",IF(E6="W","L","W"),"")</f>
        <v/>
      </c>
      <c r="E8" s="22"/>
      <c r="F8" s="26" t="str">
        <f ca="1">IF(VLOOKUP("CD",Team_Matches!$AH$1:$AJ$66,2,FALSE)&lt;&gt;"",IF(VLOOKUP("CD",Team_Matches!$AH$1:$AJ$66,2,FALSE)&gt;=3,"W",IF(VLOOKUP("CD",Team_Matches!$AH$1:$AJ$66,3,FALSE)&gt;=3,"L","")),"")</f>
        <v/>
      </c>
      <c r="G8" s="26" t="str">
        <f ca="1">IF(VLOOKUP("CE",Team_Matches!$AH$1:$AJ$66,2,FALSE)&lt;&gt;"",IF(VLOOKUP("CE",Team_Matches!$AH$1:$AJ$66,2,FALSE)&gt;=3,"W",IF(VLOOKUP("CE",Team_Matches!$AH$1:$AJ$66,3,FALSE)&gt;=3,"L","")),"")</f>
        <v/>
      </c>
      <c r="H8" s="26" t="str">
        <f ca="1">IF(VLOOKUP("CF",Team_Matches!$AH$1:$AJ$66,2,FALSE)&lt;&gt;"",IF(VLOOKUP("CF",Team_Matches!$AH$1:$AJ$66,2,FALSE)&gt;=3,"W",IF(VLOOKUP("CF",Team_Matches!$AH$1:$AJ$66,3,FALSE)&gt;=3,"L","")),"")</f>
        <v/>
      </c>
      <c r="I8" s="26" t="str">
        <f ca="1">IF(VLOOKUP("CG",Team_Matches!$AH$1:$AJ$66,2,FALSE)&lt;&gt;"",IF(VLOOKUP("CG",Team_Matches!$AH$1:$AJ$66,2,FALSE)&gt;=3,"W",IF(VLOOKUP("CG",Team_Matches!$AH$1:$AJ$66,3,FALSE)&gt;=3,"L","")),"")</f>
        <v/>
      </c>
      <c r="J8" s="26" t="str">
        <f ca="1">IF(VLOOKUP("CH",Team_Matches!$AH$1:$AJ$66,2,FALSE)&lt;&gt;"",IF(VLOOKUP("CH",Team_Matches!$AH$1:$AJ$66,2,FALSE)&gt;=3,"W",IF(VLOOKUP("CH",Team_Matches!$AH$1:$AJ$66,3,FALSE)&gt;=3,"L","")),"")</f>
        <v/>
      </c>
      <c r="K8" s="26" t="str">
        <f ca="1">IF(VLOOKUP("CI",Team_Matches!$AH$1:$AJ$66,2,FALSE)&lt;&gt;"",IF(VLOOKUP("CI",Team_Matches!$AH$1:$AJ$66,2,FALSE)&gt;=3,"W",IF(VLOOKUP("CI",Team_Matches!$AH$1:$AJ$66,3,FALSE)&gt;=3,"L","")),"")</f>
        <v/>
      </c>
      <c r="L8" s="26" t="str">
        <f ca="1">IF(VLOOKUP("CJ",Team_Matches!$AH$1:$AJ$66,2,FALSE)&lt;&gt;"",IF(VLOOKUP("CJ",Team_Matches!$AH$1:$AJ$66,2,FALSE)&gt;=3,"W",IF(VLOOKUP("CJ",Team_Matches!$AH$1:$AJ$66,3,FALSE)&gt;=3,"L","")),"")</f>
        <v/>
      </c>
      <c r="M8" s="26" t="str">
        <f ca="1">IF(VLOOKUP("CK",Team_Matches!$AH$1:$AJ$66,2,FALSE)&lt;&gt;"",IF(VLOOKUP("CK",Team_Matches!$AH$1:$AJ$66,2,FALSE)&gt;=3,"W",IF(VLOOKUP("CK",Team_Matches!$AH$1:$AJ$66,3,FALSE)&gt;=3,"L","")),"")</f>
        <v/>
      </c>
      <c r="N8" s="44" t="str">
        <f ca="1">IF(VLOOKUP("CL",Team_Matches!$AH$1:$AJ$66,2,FALSE)&lt;&gt;"",IF(VLOOKUP("CL",Team_Matches!$AH$1:$AJ$66,2,FALSE)&gt;=3,"W",IF(VLOOKUP("CL",Team_Matches!$AH$1:$AJ$66,3,FALSE)&gt;=3,"L","")),"")</f>
        <v/>
      </c>
      <c r="O8" s="181" t="str">
        <f ca="1">CHOOSE($T$1,O53,O54,O55,O56,O57,O58,O59,O60,O61,O62,O63)</f>
        <v/>
      </c>
      <c r="P8" s="182" t="str">
        <f ca="1">CHOOSE($T$1,P53,P54,P55,P56,P57,P58,P59,P60,P61,P62,P63)</f>
        <v/>
      </c>
      <c r="Q8" s="182" t="str">
        <f ca="1">CHOOSE($T$1,Q53,Q54,Q55,Q56,Q57,Q58,Q59,Q60,Q61,Q62,Q63)</f>
        <v/>
      </c>
      <c r="R8" s="180" t="str">
        <f ca="1">CHOOSE($T$1,R53,R54,R55,R56,R57,R58,R59,R60,R61,R62,R63)</f>
        <v/>
      </c>
      <c r="T8" s="198" t="s">
        <v>603</v>
      </c>
      <c r="U8" s="199"/>
      <c r="V8" s="199"/>
      <c r="W8" s="199"/>
      <c r="X8" s="199"/>
      <c r="Y8" s="199"/>
      <c r="Z8" s="199"/>
      <c r="AG8" s="135"/>
      <c r="AH8" s="135"/>
      <c r="AI8" s="135"/>
      <c r="AJ8" s="138">
        <v>0.35416666666666669</v>
      </c>
      <c r="AK8" s="139">
        <v>35</v>
      </c>
      <c r="AL8" s="135"/>
    </row>
    <row r="9" spans="1:38" ht="12.75" customHeight="1" x14ac:dyDescent="0.25">
      <c r="A9" s="190"/>
      <c r="B9" s="188"/>
      <c r="C9" s="27" t="str">
        <f ca="1">IF(E5&lt;&gt;"",CONCATENATE(RIGHT(E5,1),"-",LEFT(E5,1)),"")</f>
        <v/>
      </c>
      <c r="D9" s="28" t="str">
        <f ca="1">IF(E7&lt;&gt;"",CONCATENATE(RIGHT(E7,1),"-",LEFT(E7,1)),"")</f>
        <v/>
      </c>
      <c r="E9" s="24"/>
      <c r="F9" s="28" t="str">
        <f ca="1">IF(VLOOKUP("CD",Team_Matches!$AH$1:$AJ$66,2,FALSE)="","",CONCATENATE(VLOOKUP("CD",Team_Matches!$AH$1:$AJ$66,2,FALSE),"-",VLOOKUP("CD",Team_Matches!$AH$1:$AJ$66,3,FALSE)))</f>
        <v/>
      </c>
      <c r="G9" s="28" t="str">
        <f ca="1">IF(VLOOKUP("CE",Team_Matches!$AH$1:$AJ$66,2,FALSE)="","",CONCATENATE(VLOOKUP("CE",Team_Matches!$AH$1:$AJ$66,2,FALSE),"-",VLOOKUP("CE",Team_Matches!$AH$1:$AJ$66,3,FALSE)))</f>
        <v/>
      </c>
      <c r="H9" s="28" t="str">
        <f ca="1">IF(VLOOKUP("CF",Team_Matches!$AH$1:$AJ$66,2,FALSE)="","",CONCATENATE(VLOOKUP("CF",Team_Matches!$AH$1:$AJ$66,2,FALSE),"-",VLOOKUP("CF",Team_Matches!$AH$1:$AJ$66,3,FALSE)))</f>
        <v/>
      </c>
      <c r="I9" s="28" t="str">
        <f ca="1">IF(VLOOKUP("CG",Team_Matches!$AH$1:$AJ$66,2,FALSE)="","",CONCATENATE(VLOOKUP("CG",Team_Matches!$AH$1:$AJ$66,2,FALSE),"-",VLOOKUP("CG",Team_Matches!$AH$1:$AJ$66,3,FALSE)))</f>
        <v/>
      </c>
      <c r="J9" s="28" t="str">
        <f ca="1">IF(VLOOKUP("CH",Team_Matches!$AH$1:$AJ$66,2,FALSE)="","",CONCATENATE(VLOOKUP("CH",Team_Matches!$AH$1:$AJ$66,2,FALSE),"-",VLOOKUP("CH",Team_Matches!$AH$1:$AJ$66,3,FALSE)))</f>
        <v/>
      </c>
      <c r="K9" s="28" t="str">
        <f ca="1">IF(VLOOKUP("CI",Team_Matches!$AH$1:$AJ$66,2,FALSE)="","",CONCATENATE(VLOOKUP("CI",Team_Matches!$AH$1:$AJ$66,2,FALSE),"-",VLOOKUP("CI",Team_Matches!$AH$1:$AJ$66,3,FALSE)))</f>
        <v/>
      </c>
      <c r="L9" s="28" t="str">
        <f ca="1">IF(VLOOKUP("CJ",Team_Matches!$AH$1:$AJ$66,2,FALSE)="","",CONCATENATE(VLOOKUP("CJ",Team_Matches!$AH$1:$AJ$66,2,FALSE),"-",VLOOKUP("CJ",Team_Matches!$AH$1:$AJ$66,3,FALSE)))</f>
        <v/>
      </c>
      <c r="M9" s="28" t="str">
        <f ca="1">IF(VLOOKUP("CK",Team_Matches!$AH$1:$AJ$66,2,FALSE)="","",CONCATENATE(VLOOKUP("CK",Team_Matches!$AH$1:$AJ$66,2,FALSE),"-",VLOOKUP("CK",Team_Matches!$AH$1:$AJ$66,3,FALSE)))</f>
        <v/>
      </c>
      <c r="N9" s="43" t="str">
        <f ca="1">IF(VLOOKUP("CL",Team_Matches!$AH$1:$AJ$66,2,FALSE)="","",CONCATENATE(VLOOKUP("CL",Team_Matches!$AH$1:$AJ$66,2,FALSE),"-",VLOOKUP("CL",Team_Matches!$AH$1:$AJ$66,3,FALSE)))</f>
        <v/>
      </c>
      <c r="O9" s="181"/>
      <c r="P9" s="182"/>
      <c r="Q9" s="182"/>
      <c r="R9" s="180"/>
      <c r="T9" s="198" t="s">
        <v>604</v>
      </c>
      <c r="U9" s="199"/>
      <c r="V9" s="199"/>
      <c r="W9" s="199"/>
      <c r="X9" s="199"/>
      <c r="Y9" s="199"/>
      <c r="Z9" s="199"/>
      <c r="AC9" s="208" t="s">
        <v>353</v>
      </c>
      <c r="AD9" s="208"/>
      <c r="AE9" s="208"/>
      <c r="AF9" s="208"/>
      <c r="AG9" s="135"/>
      <c r="AH9" s="135"/>
      <c r="AI9" s="135"/>
      <c r="AJ9" s="138">
        <v>0.3576388888888889</v>
      </c>
      <c r="AK9" s="139">
        <v>40</v>
      </c>
      <c r="AL9" s="135"/>
    </row>
    <row r="10" spans="1:38" ht="12.75" customHeight="1" x14ac:dyDescent="0.25">
      <c r="A10" s="190" t="s">
        <v>47</v>
      </c>
      <c r="B10" s="187"/>
      <c r="C10" s="25" t="str">
        <f ca="1">IF(F4&lt;&gt;"",IF(F4="W","L","W"),"")</f>
        <v/>
      </c>
      <c r="D10" s="26" t="str">
        <f ca="1">IF(F6&lt;&gt;"",IF(F6="W","L","W"),"")</f>
        <v/>
      </c>
      <c r="E10" s="26" t="str">
        <f ca="1">IF(F8&lt;&gt;"",IF(F8="W","L","W"),"")</f>
        <v/>
      </c>
      <c r="F10" s="22"/>
      <c r="G10" s="26" t="str">
        <f ca="1">IF(VLOOKUP("DE",Team_Matches!$AH$1:$AJ$66,2,FALSE)&lt;&gt;"",IF(VLOOKUP("DE",Team_Matches!$AH$1:$AJ$66,2,FALSE)&gt;=3,"W",IF(VLOOKUP("DE",Team_Matches!$AH$1:$AJ$66,3,FALSE)&gt;=3,"L","")),"")</f>
        <v/>
      </c>
      <c r="H10" s="26" t="str">
        <f ca="1">IF(VLOOKUP("DF",Team_Matches!$AH$1:$AJ$66,2,FALSE)&lt;&gt;"",IF(VLOOKUP("DF",Team_Matches!$AH$1:$AJ$66,2,FALSE)&gt;=3,"W",IF(VLOOKUP("DF",Team_Matches!$AH$1:$AJ$66,3,FALSE)&gt;=3,"L","")),"")</f>
        <v/>
      </c>
      <c r="I10" s="26" t="str">
        <f ca="1">IF(VLOOKUP("DG",Team_Matches!$AH$1:$AJ$66,2,FALSE)&lt;&gt;"",IF(VLOOKUP("DG",Team_Matches!$AH$1:$AJ$66,2,FALSE)&gt;=3,"W",IF(VLOOKUP("DG",Team_Matches!$AH$1:$AJ$66,3,FALSE)&gt;=3,"L","")),"")</f>
        <v/>
      </c>
      <c r="J10" s="26" t="str">
        <f ca="1">IF(VLOOKUP("DH",Team_Matches!$AH$1:$AJ$66,2,FALSE)&lt;&gt;"",IF(VLOOKUP("DH",Team_Matches!$AH$1:$AJ$66,2,FALSE)&gt;=3,"W",IF(VLOOKUP("DH",Team_Matches!$AH$1:$AJ$66,3,FALSE)&gt;=3,"L","")),"")</f>
        <v/>
      </c>
      <c r="K10" s="26" t="str">
        <f ca="1">IF(VLOOKUP("DI",Team_Matches!$AH$1:$AJ$66,2,FALSE)&lt;&gt;"",IF(VLOOKUP("DI",Team_Matches!$AH$1:$AJ$66,2,FALSE)&gt;=3,"W",IF(VLOOKUP("DI",Team_Matches!$AH$1:$AJ$66,3,FALSE)&gt;=3,"L","")),"")</f>
        <v/>
      </c>
      <c r="L10" s="26" t="str">
        <f ca="1">IF(VLOOKUP("DJ",Team_Matches!$AH$1:$AJ$66,2,FALSE)&lt;&gt;"",IF(VLOOKUP("DJ",Team_Matches!$AH$1:$AJ$66,2,FALSE)&gt;=3,"W",IF(VLOOKUP("DJ",Team_Matches!$AH$1:$AJ$66,3,FALSE)&gt;=3,"L","")),"")</f>
        <v/>
      </c>
      <c r="M10" s="26" t="str">
        <f ca="1">IF(VLOOKUP("DK",Team_Matches!$AH$1:$AJ$66,2,FALSE)&lt;&gt;"",IF(VLOOKUP("DK",Team_Matches!$AH$1:$AJ$66,2,FALSE)&gt;=3,"W",IF(VLOOKUP("DK",Team_Matches!$AH$1:$AJ$66,3,FALSE)&gt;=3,"L","")),"")</f>
        <v/>
      </c>
      <c r="N10" s="44" t="str">
        <f ca="1">IF(VLOOKUP("DL",Team_Matches!$AH$1:$AJ$66,2,FALSE)&lt;&gt;"",IF(VLOOKUP("DL",Team_Matches!$AH$1:$AJ$66,2,FALSE)&gt;=3,"W",IF(VLOOKUP("DL",Team_Matches!$AH$1:$AJ$66,3,FALSE)&gt;=3,"L","")),"")</f>
        <v/>
      </c>
      <c r="O10" s="181" t="str">
        <f ca="1">CHOOSE($T$1,O65,O66,O67,O68,O69,O70,O71,O72,O73,O74,O75)</f>
        <v/>
      </c>
      <c r="P10" s="182" t="str">
        <f ca="1">CHOOSE($T$1,P65,P66,P67,P68,P69,P70,P71,P72,P73,P74,P75)</f>
        <v/>
      </c>
      <c r="Q10" s="182" t="str">
        <f ca="1">CHOOSE($T$1,Q65,Q66,Q67,Q68,Q69,Q70,Q71,Q72,Q73,Q74,Q75)</f>
        <v/>
      </c>
      <c r="R10" s="180" t="str">
        <f ca="1">CHOOSE($T$1,R65,R66,R67,R68,R69,R70,R71,R72,R73,R74,R75)</f>
        <v/>
      </c>
      <c r="T10" s="198" t="s">
        <v>605</v>
      </c>
      <c r="U10" s="199"/>
      <c r="V10" s="199"/>
      <c r="W10" s="199"/>
      <c r="X10" s="199"/>
      <c r="Y10" s="199"/>
      <c r="Z10" s="199"/>
      <c r="AC10" s="209">
        <v>0.34722222222222227</v>
      </c>
      <c r="AD10" s="210"/>
      <c r="AE10" s="210"/>
      <c r="AF10" s="210"/>
      <c r="AG10" s="137"/>
      <c r="AH10" s="135"/>
      <c r="AI10" s="135"/>
      <c r="AJ10" s="138">
        <v>0.3611111111111111</v>
      </c>
      <c r="AK10" s="139">
        <v>45</v>
      </c>
      <c r="AL10" s="135"/>
    </row>
    <row r="11" spans="1:38" ht="12.75" customHeight="1" x14ac:dyDescent="0.25">
      <c r="A11" s="190"/>
      <c r="B11" s="188"/>
      <c r="C11" s="27" t="str">
        <f ca="1">IF(F5&lt;&gt;"",CONCATENATE(RIGHT(F5,1),"-",LEFT(F5,1)),"")</f>
        <v/>
      </c>
      <c r="D11" s="28" t="str">
        <f ca="1">IF(F7&lt;&gt;"",CONCATENATE(RIGHT(F7,1),"-",LEFT(F7,1)),"")</f>
        <v/>
      </c>
      <c r="E11" s="28" t="str">
        <f ca="1">IF(F9&lt;&gt;"",CONCATENATE(RIGHT(F9,1),"-",LEFT(F9,1)),"")</f>
        <v/>
      </c>
      <c r="F11" s="24"/>
      <c r="G11" s="28" t="str">
        <f ca="1">IF(VLOOKUP("DE",Team_Matches!$AH$1:$AJ$66,2,FALSE)="","",CONCATENATE(VLOOKUP("DE",Team_Matches!$AH$1:$AJ$66,2,FALSE),"-",VLOOKUP("DE",Team_Matches!$AH$1:$AJ$66,3,FALSE)))</f>
        <v/>
      </c>
      <c r="H11" s="28" t="str">
        <f ca="1">IF(VLOOKUP("DF",Team_Matches!$AH$1:$AJ$66,2,FALSE)="","",CONCATENATE(VLOOKUP("DF",Team_Matches!$AH$1:$AJ$66,2,FALSE),"-",VLOOKUP("DF",Team_Matches!$AH$1:$AJ$66,3,FALSE)))</f>
        <v/>
      </c>
      <c r="I11" s="28" t="str">
        <f ca="1">IF(VLOOKUP("DG",Team_Matches!$AH$1:$AJ$66,2,FALSE)="","",CONCATENATE(VLOOKUP("DG",Team_Matches!$AH$1:$AJ$66,2,FALSE),"-",VLOOKUP("DG",Team_Matches!$AH$1:$AJ$66,3,FALSE)))</f>
        <v/>
      </c>
      <c r="J11" s="28" t="str">
        <f ca="1">IF(VLOOKUP("DH",Team_Matches!$AH$1:$AJ$66,2,FALSE)="","",CONCATENATE(VLOOKUP("DH",Team_Matches!$AH$1:$AJ$66,2,FALSE),"-",VLOOKUP("DH",Team_Matches!$AH$1:$AJ$66,3,FALSE)))</f>
        <v/>
      </c>
      <c r="K11" s="28" t="str">
        <f ca="1">IF(VLOOKUP("DI",Team_Matches!$AH$1:$AJ$66,2,FALSE)="","",CONCATENATE(VLOOKUP("DI",Team_Matches!$AH$1:$AJ$66,2,FALSE),"-",VLOOKUP("DI",Team_Matches!$AH$1:$AJ$66,3,FALSE)))</f>
        <v/>
      </c>
      <c r="L11" s="28" t="str">
        <f ca="1">IF(VLOOKUP("DJ",Team_Matches!$AH$1:$AJ$66,2,FALSE)="","",CONCATENATE(VLOOKUP("DJ",Team_Matches!$AH$1:$AJ$66,2,FALSE),"-",VLOOKUP("DJ",Team_Matches!$AH$1:$AJ$66,3,FALSE)))</f>
        <v/>
      </c>
      <c r="M11" s="28" t="str">
        <f ca="1">IF(VLOOKUP("DK",Team_Matches!$AH$1:$AJ$66,2,FALSE)="","",CONCATENATE(VLOOKUP("DK",Team_Matches!$AH$1:$AJ$66,2,FALSE),"-",VLOOKUP("DK",Team_Matches!$AH$1:$AJ$66,3,FALSE)))</f>
        <v/>
      </c>
      <c r="N11" s="43" t="str">
        <f ca="1">IF(VLOOKUP("DL",Team_Matches!$AH$1:$AJ$66,2,FALSE)="","",CONCATENATE(VLOOKUP("DL",Team_Matches!$AH$1:$AJ$66,2,FALSE),"-",VLOOKUP("DL",Team_Matches!$AH$1:$AJ$66,3,FALSE)))</f>
        <v/>
      </c>
      <c r="O11" s="181"/>
      <c r="P11" s="182"/>
      <c r="Q11" s="182"/>
      <c r="R11" s="180"/>
      <c r="T11" s="198" t="s">
        <v>606</v>
      </c>
      <c r="U11" s="199"/>
      <c r="V11" s="199"/>
      <c r="W11" s="199"/>
      <c r="X11" s="199"/>
      <c r="Y11" s="199"/>
      <c r="Z11" s="199"/>
      <c r="AG11" s="137"/>
      <c r="AH11" s="135"/>
      <c r="AI11" s="135"/>
      <c r="AJ11" s="138">
        <v>0.36458333333333331</v>
      </c>
      <c r="AK11" s="139">
        <v>50</v>
      </c>
      <c r="AL11" s="135"/>
    </row>
    <row r="12" spans="1:38" ht="12.75" customHeight="1" x14ac:dyDescent="0.25">
      <c r="A12" s="190" t="s">
        <v>48</v>
      </c>
      <c r="B12" s="187"/>
      <c r="C12" s="25" t="str">
        <f ca="1">IF(G4&lt;&gt;"",IF(G4="W","L","W"),"")</f>
        <v/>
      </c>
      <c r="D12" s="26" t="str">
        <f ca="1">IF(G6&lt;&gt;"",IF(G6="W","L","W"),"")</f>
        <v/>
      </c>
      <c r="E12" s="26" t="str">
        <f ca="1">IF(G8&lt;&gt;"",IF(G8="W","L","W"),"")</f>
        <v/>
      </c>
      <c r="F12" s="26" t="str">
        <f ca="1">IF(G10&lt;&gt;"",IF(G10="W","L","W"),"")</f>
        <v/>
      </c>
      <c r="G12" s="22"/>
      <c r="H12" s="26" t="str">
        <f ca="1">IF(VLOOKUP("EF",Team_Matches!$AH$1:$AJ$66,2,FALSE)&lt;&gt;"",IF(VLOOKUP("EF",Team_Matches!$AH$1:$AJ$66,2,FALSE)&gt;=3,"W",IF(VLOOKUP("EF",Team_Matches!$AH$1:$AJ$66,3,FALSE)&gt;=3,"L","")),"")</f>
        <v/>
      </c>
      <c r="I12" s="26" t="str">
        <f ca="1">IF(VLOOKUP("EG",Team_Matches!$AH$1:$AJ$66,2,FALSE)&lt;&gt;"",IF(VLOOKUP("EG",Team_Matches!$AH$1:$AJ$66,2,FALSE)&gt;=3,"W",IF(VLOOKUP("EG",Team_Matches!$AH$1:$AJ$66,3,FALSE)&gt;=3,"L","")),"")</f>
        <v/>
      </c>
      <c r="J12" s="26" t="str">
        <f ca="1">IF(VLOOKUP("EH",Team_Matches!$AH$1:$AJ$66,2,FALSE)&lt;&gt;"",IF(VLOOKUP("EH",Team_Matches!$AH$1:$AJ$66,2,FALSE)&gt;=3,"W",IF(VLOOKUP("EH",Team_Matches!$AH$1:$AJ$66,3,FALSE)&gt;=3,"L","")),"")</f>
        <v/>
      </c>
      <c r="K12" s="26" t="str">
        <f ca="1">IF(VLOOKUP("EI",Team_Matches!$AH$1:$AJ$66,2,FALSE)&lt;&gt;"",IF(VLOOKUP("EI",Team_Matches!$AH$1:$AJ$66,2,FALSE)&gt;=3,"W",IF(VLOOKUP("EI",Team_Matches!$AH$1:$AJ$66,3,FALSE)&gt;=3,"L","")),"")</f>
        <v/>
      </c>
      <c r="L12" s="26" t="str">
        <f ca="1">IF(VLOOKUP("EJ",Team_Matches!$AH$1:$AJ$66,2,FALSE)&lt;&gt;"",IF(VLOOKUP("EJ",Team_Matches!$AH$1:$AJ$66,2,FALSE)&gt;=3,"W",IF(VLOOKUP("EJ",Team_Matches!$AH$1:$AJ$66,3,FALSE)&gt;=3,"L","")),"")</f>
        <v/>
      </c>
      <c r="M12" s="26" t="str">
        <f ca="1">IF(VLOOKUP("EK",Team_Matches!$AH$1:$AJ$66,2,FALSE)&lt;&gt;"",IF(VLOOKUP("EK",Team_Matches!$AH$1:$AJ$66,2,FALSE)&gt;=3,"W",IF(VLOOKUP("EK",Team_Matches!$AH$1:$AJ$66,3,FALSE)&gt;=3,"L","")),"")</f>
        <v/>
      </c>
      <c r="N12" s="44" t="str">
        <f ca="1">IF(VLOOKUP("EL",Team_Matches!$AH$1:$AJ$66,2,FALSE)&lt;&gt;"",IF(VLOOKUP("EL",Team_Matches!$AH$1:$AJ$66,2,FALSE)&gt;=3,"W",IF(VLOOKUP("EL",Team_Matches!$AH$1:$AJ$66,3,FALSE)&gt;=3,"L","")),"")</f>
        <v/>
      </c>
      <c r="O12" s="181" t="str">
        <f ca="1">CHOOSE($T$1,O77,O78,O79,O80,O81,O82,O83,O84,O85,O86,O87)</f>
        <v/>
      </c>
      <c r="P12" s="182" t="str">
        <f ca="1">CHOOSE($T$1,P77,P78,P79,P80,P81,P82,P83,P84,P85,P86,P87)</f>
        <v/>
      </c>
      <c r="Q12" s="182" t="str">
        <f ca="1">CHOOSE($T$1,Q77,Q78,Q79,Q80,Q81,Q82,Q83,Q84,Q85,Q86,Q87)</f>
        <v/>
      </c>
      <c r="R12" s="180" t="str">
        <f ca="1">CHOOSE($T$1,R77,R78,R79,R80,R81,R82,R83,R84,R85,R86,R87)</f>
        <v/>
      </c>
      <c r="T12" s="198" t="s">
        <v>607</v>
      </c>
      <c r="U12" s="199"/>
      <c r="V12" s="199"/>
      <c r="W12" s="199"/>
      <c r="X12" s="199"/>
      <c r="Y12" s="199"/>
      <c r="Z12" s="199"/>
      <c r="AC12" s="208" t="s">
        <v>354</v>
      </c>
      <c r="AD12" s="208"/>
      <c r="AE12" s="208"/>
      <c r="AF12" s="208"/>
      <c r="AG12" s="137"/>
      <c r="AH12" s="135"/>
      <c r="AI12" s="135"/>
      <c r="AJ12" s="138">
        <v>0.36805555555555558</v>
      </c>
      <c r="AK12" s="139">
        <v>55</v>
      </c>
      <c r="AL12" s="135"/>
    </row>
    <row r="13" spans="1:38" ht="12.75" customHeight="1" x14ac:dyDescent="0.25">
      <c r="A13" s="190"/>
      <c r="B13" s="188"/>
      <c r="C13" s="27" t="str">
        <f ca="1">IF(G5&lt;&gt;"",CONCATENATE(RIGHT(G5,1),"-",LEFT(G5,1)),"")</f>
        <v/>
      </c>
      <c r="D13" s="28" t="str">
        <f ca="1">IF(G7&lt;&gt;"",CONCATENATE(RIGHT(G7,1),"-",LEFT(G7,1)),"")</f>
        <v/>
      </c>
      <c r="E13" s="28" t="str">
        <f ca="1">IF(G9&lt;&gt;"",CONCATENATE(RIGHT(G9,1),"-",LEFT(G9,1)),"")</f>
        <v/>
      </c>
      <c r="F13" s="28" t="str">
        <f ca="1">IF(G11&lt;&gt;"",CONCATENATE(RIGHT(G11,1),"-",LEFT(G11,1)),"")</f>
        <v/>
      </c>
      <c r="G13" s="24"/>
      <c r="H13" s="28" t="str">
        <f ca="1">IF(VLOOKUP("EF",Team_Matches!$AH$1:$AJ$66,2,FALSE)="","",CONCATENATE(VLOOKUP("EF",Team_Matches!$AH$1:$AJ$66,2,FALSE),"-",VLOOKUP("EF",Team_Matches!$AH$1:$AJ$66,3,FALSE)))</f>
        <v/>
      </c>
      <c r="I13" s="28" t="str">
        <f ca="1">IF(VLOOKUP("EG",Team_Matches!$AH$1:$AJ$66,2,FALSE)="","",CONCATENATE(VLOOKUP("EG",Team_Matches!$AH$1:$AJ$66,2,FALSE),"-",VLOOKUP("EG",Team_Matches!$AH$1:$AJ$66,3,FALSE)))</f>
        <v/>
      </c>
      <c r="J13" s="28" t="str">
        <f ca="1">IF(VLOOKUP("EH",Team_Matches!$AH$1:$AJ$66,2,FALSE)="","",CONCATENATE(VLOOKUP("EH",Team_Matches!$AH$1:$AJ$66,2,FALSE),"-",VLOOKUP("EH",Team_Matches!$AH$1:$AJ$66,3,FALSE)))</f>
        <v/>
      </c>
      <c r="K13" s="28" t="str">
        <f ca="1">IF(VLOOKUP("EI",Team_Matches!$AH$1:$AJ$66,2,FALSE)="","",CONCATENATE(VLOOKUP("EI",Team_Matches!$AH$1:$AJ$66,2,FALSE),"-",VLOOKUP("EI",Team_Matches!$AH$1:$AJ$66,3,FALSE)))</f>
        <v/>
      </c>
      <c r="L13" s="28" t="str">
        <f ca="1">IF(VLOOKUP("EJ",Team_Matches!$AH$1:$AJ$66,2,FALSE)="","",CONCATENATE(VLOOKUP("EJ",Team_Matches!$AH$1:$AJ$66,2,FALSE),"-",VLOOKUP("EJ",Team_Matches!$AH$1:$AJ$66,3,FALSE)))</f>
        <v/>
      </c>
      <c r="M13" s="28" t="str">
        <f ca="1">IF(VLOOKUP("EK",Team_Matches!$AH$1:$AJ$66,2,FALSE)="","",CONCATENATE(VLOOKUP("EK",Team_Matches!$AH$1:$AJ$66,2,FALSE),"-",VLOOKUP("EK",Team_Matches!$AH$1:$AJ$66,3,FALSE)))</f>
        <v/>
      </c>
      <c r="N13" s="43" t="str">
        <f ca="1">IF(VLOOKUP("EL",Team_Matches!$AH$1:$AJ$66,2,FALSE)="","",CONCATENATE(VLOOKUP("EL",Team_Matches!$AH$1:$AJ$66,2,FALSE),"-",VLOOKUP("EL",Team_Matches!$AH$1:$AJ$66,3,FALSE)))</f>
        <v/>
      </c>
      <c r="O13" s="181"/>
      <c r="P13" s="182"/>
      <c r="Q13" s="182"/>
      <c r="R13" s="180"/>
      <c r="T13" s="198" t="s">
        <v>608</v>
      </c>
      <c r="U13" s="199"/>
      <c r="V13" s="199"/>
      <c r="W13" s="199"/>
      <c r="X13" s="199"/>
      <c r="Y13" s="199"/>
      <c r="Z13" s="199"/>
      <c r="AC13" s="206"/>
      <c r="AD13" s="207"/>
      <c r="AE13" s="207"/>
      <c r="AF13" s="207"/>
      <c r="AG13" s="135"/>
      <c r="AH13" s="135"/>
      <c r="AI13" s="135"/>
      <c r="AJ13" s="138">
        <v>0.37152777777777773</v>
      </c>
      <c r="AK13" s="139">
        <v>60</v>
      </c>
      <c r="AL13" s="135"/>
    </row>
    <row r="14" spans="1:38" ht="12.75" customHeight="1" x14ac:dyDescent="0.25">
      <c r="A14" s="190" t="s">
        <v>49</v>
      </c>
      <c r="B14" s="187"/>
      <c r="C14" s="25" t="str">
        <f ca="1">IF(H4&lt;&gt;"",IF(H4="W","L","W"),"")</f>
        <v/>
      </c>
      <c r="D14" s="26" t="str">
        <f ca="1">IF(H6&lt;&gt;"",IF(H6="W","L","W"),"")</f>
        <v/>
      </c>
      <c r="E14" s="26" t="str">
        <f ca="1">IF(H8&lt;&gt;"",IF(H8="W","L","W"),"")</f>
        <v/>
      </c>
      <c r="F14" s="26" t="str">
        <f ca="1">IF(H10&lt;&gt;"",IF(H10="W","L","W"),"")</f>
        <v/>
      </c>
      <c r="G14" s="26" t="str">
        <f ca="1">IF(H12&lt;&gt;"",IF(H12="W","L","W"),"")</f>
        <v/>
      </c>
      <c r="H14" s="22"/>
      <c r="I14" s="26" t="str">
        <f ca="1">IF(VLOOKUP("FG",Team_Matches!$AH$1:$AJ$66,2,FALSE)&lt;&gt;"",IF(VLOOKUP("FG",Team_Matches!$AH$1:$AJ$66,2,FALSE)&gt;=3,"W",IF(VLOOKUP("FG",Team_Matches!$AH$1:$AJ$66,3,FALSE)&gt;=3,"L","")),"")</f>
        <v/>
      </c>
      <c r="J14" s="26" t="str">
        <f ca="1">IF(VLOOKUP("FH",Team_Matches!$AH$1:$AJ$66,2,FALSE)&lt;&gt;"",IF(VLOOKUP("FH",Team_Matches!$AH$1:$AJ$66,2,FALSE)&gt;=3,"W",IF(VLOOKUP("FH",Team_Matches!$AH$1:$AJ$66,3,FALSE)&gt;=3,"L","")),"")</f>
        <v/>
      </c>
      <c r="K14" s="26" t="str">
        <f ca="1">IF(VLOOKUP("FI",Team_Matches!$AH$1:$AJ$66,2,FALSE)&lt;&gt;"",IF(VLOOKUP("FI",Team_Matches!$AH$1:$AJ$66,2,FALSE)&gt;=3,"W",IF(VLOOKUP("FI",Team_Matches!$AH$1:$AJ$66,3,FALSE)&gt;=3,"L","")),"")</f>
        <v/>
      </c>
      <c r="L14" s="26" t="str">
        <f ca="1">IF(VLOOKUP("FJ",Team_Matches!$AH$1:$AJ$66,2,FALSE)&lt;&gt;"",IF(VLOOKUP("FJ",Team_Matches!$AH$1:$AJ$66,2,FALSE)&gt;=3,"W",IF(VLOOKUP("FJ",Team_Matches!$AH$1:$AJ$66,3,FALSE)&gt;=3,"L","")),"")</f>
        <v/>
      </c>
      <c r="M14" s="26" t="str">
        <f ca="1">IF(VLOOKUP("FK",Team_Matches!$AH$1:$AJ$66,2,FALSE)&lt;&gt;"",IF(VLOOKUP("FK",Team_Matches!$AH$1:$AJ$66,2,FALSE)&gt;=3,"W",IF(VLOOKUP("FK",Team_Matches!$AH$1:$AJ$66,3,FALSE)&gt;=3,"L","")),"")</f>
        <v/>
      </c>
      <c r="N14" s="44" t="str">
        <f ca="1">IF(VLOOKUP("FL",Team_Matches!$AH$1:$AJ$66,2,FALSE)&lt;&gt;"",IF(VLOOKUP("FL",Team_Matches!$AH$1:$AJ$66,2,FALSE)&gt;=3,"W",IF(VLOOKUP("FL",Team_Matches!$AH$1:$AJ$66,3,FALSE)&gt;=3,"L","")),"")</f>
        <v/>
      </c>
      <c r="O14" s="181" t="str">
        <f ca="1">CHOOSE($T$1,O89,O90,O91,O92,O93,O94,O95,O96,O97,O98,O99)</f>
        <v/>
      </c>
      <c r="P14" s="182" t="str">
        <f ca="1">CHOOSE($T$1,P89,P90,P91,P92,P93,P94,P95,P96,P97,P98,P99)</f>
        <v/>
      </c>
      <c r="Q14" s="182" t="str">
        <f ca="1">CHOOSE($T$1,Q89,Q90,Q91,Q92,Q93,Q94,Q95,Q96,Q97,Q98,Q99)</f>
        <v/>
      </c>
      <c r="R14" s="180" t="str">
        <f ca="1">CHOOSE($T$1,R89,R90,R91,R92,R93,R94,R95,R96,R97,R98,R99)</f>
        <v/>
      </c>
      <c r="AG14" s="135"/>
      <c r="AH14" s="135"/>
      <c r="AI14" s="135"/>
      <c r="AJ14" s="138">
        <v>0.375</v>
      </c>
      <c r="AK14" s="140"/>
      <c r="AL14" s="135"/>
    </row>
    <row r="15" spans="1:38" ht="12.75" customHeight="1" x14ac:dyDescent="0.25">
      <c r="A15" s="190"/>
      <c r="B15" s="188"/>
      <c r="C15" s="27" t="str">
        <f ca="1">IF(H5&lt;&gt;"",CONCATENATE(RIGHT(H5,1),"-",LEFT(H5,1)),"")</f>
        <v/>
      </c>
      <c r="D15" s="28" t="str">
        <f ca="1">IF(H7&lt;&gt;"",CONCATENATE(RIGHT(H7,1),"-",LEFT(H7,1)),"")</f>
        <v/>
      </c>
      <c r="E15" s="28" t="str">
        <f ca="1">IF(H9&lt;&gt;"",CONCATENATE(RIGHT(H9,1),"-",LEFT(H9,1)),"")</f>
        <v/>
      </c>
      <c r="F15" s="28" t="str">
        <f ca="1">IF(H11&lt;&gt;"",CONCATENATE(RIGHT(H11,1),"-",LEFT(H11,1)),"")</f>
        <v/>
      </c>
      <c r="G15" s="28" t="str">
        <f ca="1">IF(H13&lt;&gt;"",CONCATENATE(RIGHT(H13,1),"-",LEFT(H13,1)),"")</f>
        <v/>
      </c>
      <c r="H15" s="24"/>
      <c r="I15" s="28" t="str">
        <f ca="1">IF(VLOOKUP("FG",Team_Matches!$AH$1:$AJ$66,2,FALSE)="","",CONCATENATE(VLOOKUP("FG",Team_Matches!$AH$1:$AJ$66,2,FALSE),"-",VLOOKUP("FG",Team_Matches!$AH$1:$AJ$66,3,FALSE)))</f>
        <v/>
      </c>
      <c r="J15" s="28" t="str">
        <f ca="1">IF(VLOOKUP("FH",Team_Matches!$AH$1:$AJ$66,2,FALSE)="","",CONCATENATE(VLOOKUP("FH",Team_Matches!$AH$1:$AJ$66,2,FALSE),"-",VLOOKUP("FH",Team_Matches!$AH$1:$AJ$66,3,FALSE)))</f>
        <v/>
      </c>
      <c r="K15" s="28" t="str">
        <f ca="1">IF(VLOOKUP("FI",Team_Matches!$AH$1:$AJ$66,2,FALSE)="","",CONCATENATE(VLOOKUP("FI",Team_Matches!$AH$1:$AJ$66,2,FALSE),"-",VLOOKUP("FI",Team_Matches!$AH$1:$AJ$66,3,FALSE)))</f>
        <v/>
      </c>
      <c r="L15" s="28" t="str">
        <f ca="1">IF(VLOOKUP("FJ",Team_Matches!$AH$1:$AJ$66,2,FALSE)="","",CONCATENATE(VLOOKUP("FJ",Team_Matches!$AH$1:$AJ$66,2,FALSE),"-",VLOOKUP("FJ",Team_Matches!$AH$1:$AJ$66,3,FALSE)))</f>
        <v/>
      </c>
      <c r="M15" s="28" t="str">
        <f ca="1">IF(VLOOKUP("FK",Team_Matches!$AH$1:$AJ$66,2,FALSE)="","",CONCATENATE(VLOOKUP("FK",Team_Matches!$AH$1:$AJ$66,2,FALSE),"-",VLOOKUP("FK",Team_Matches!$AH$1:$AJ$66,3,FALSE)))</f>
        <v/>
      </c>
      <c r="N15" s="43" t="str">
        <f ca="1">IF(VLOOKUP("FL",Team_Matches!$AH$1:$AJ$66,2,FALSE)="","",CONCATENATE(VLOOKUP("FL",Team_Matches!$AH$1:$AJ$66,2,FALSE),"-",VLOOKUP("FL",Team_Matches!$AH$1:$AJ$66,3,FALSE)))</f>
        <v/>
      </c>
      <c r="O15" s="181"/>
      <c r="P15" s="182"/>
      <c r="Q15" s="182"/>
      <c r="R15" s="180"/>
      <c r="U15" s="39" t="s">
        <v>44</v>
      </c>
      <c r="V15" s="39" t="s">
        <v>45</v>
      </c>
      <c r="W15" s="39" t="s">
        <v>46</v>
      </c>
      <c r="X15" s="39" t="s">
        <v>47</v>
      </c>
      <c r="Y15" s="39" t="s">
        <v>48</v>
      </c>
      <c r="Z15" s="39" t="s">
        <v>49</v>
      </c>
      <c r="AA15" s="39" t="s">
        <v>50</v>
      </c>
      <c r="AB15" s="39" t="s">
        <v>51</v>
      </c>
      <c r="AC15" s="39" t="s">
        <v>52</v>
      </c>
      <c r="AD15" s="39" t="s">
        <v>53</v>
      </c>
      <c r="AE15" s="39" t="s">
        <v>54</v>
      </c>
      <c r="AF15" s="39" t="s">
        <v>55</v>
      </c>
      <c r="AG15" s="135"/>
      <c r="AH15" s="135"/>
      <c r="AI15" s="135"/>
      <c r="AJ15" s="138">
        <v>0.37847222222222227</v>
      </c>
      <c r="AK15" s="140"/>
      <c r="AL15" s="135"/>
    </row>
    <row r="16" spans="1:38" ht="12.75" customHeight="1" x14ac:dyDescent="0.25">
      <c r="A16" s="190" t="s">
        <v>50</v>
      </c>
      <c r="B16" s="187"/>
      <c r="C16" s="25" t="str">
        <f ca="1">IF(I4&lt;&gt;"",IF(I4="W","L","W"),"")</f>
        <v/>
      </c>
      <c r="D16" s="26" t="str">
        <f ca="1">IF(I6&lt;&gt;"",IF(I6="W","L","W"),"")</f>
        <v/>
      </c>
      <c r="E16" s="26" t="str">
        <f ca="1">IF(I8&lt;&gt;"",IF(I8="W","L","W"),"")</f>
        <v/>
      </c>
      <c r="F16" s="26" t="str">
        <f ca="1">IF(I10&lt;&gt;"",IF(I10="W","L","W"),"")</f>
        <v/>
      </c>
      <c r="G16" s="26" t="str">
        <f ca="1">IF(I12&lt;&gt;"",IF(I12="W","L","W"),"")</f>
        <v/>
      </c>
      <c r="H16" s="26" t="str">
        <f ca="1">IF(I14&lt;&gt;"",IF(I14="W","L","W"),"")</f>
        <v/>
      </c>
      <c r="I16" s="22"/>
      <c r="J16" s="26" t="str">
        <f ca="1">IF(VLOOKUP("GH",Team_Matches!$AH$1:$AJ$66,2,FALSE)&lt;&gt;"",IF(VLOOKUP("GH",Team_Matches!$AH$1:$AJ$66,2,FALSE)&gt;=3,"W",IF(VLOOKUP("GH",Team_Matches!$AH$1:$AJ$66,3,FALSE)&gt;=3,"L","")),"")</f>
        <v/>
      </c>
      <c r="K16" s="26" t="str">
        <f ca="1">IF(VLOOKUP("GI",Team_Matches!$AH$1:$AJ$66,2,FALSE)&lt;&gt;"",IF(VLOOKUP("GI",Team_Matches!$AH$1:$AJ$66,2,FALSE)&gt;=3,"W",IF(VLOOKUP("GI",Team_Matches!$AH$1:$AJ$66,3,FALSE)&gt;=3,"L","")),"")</f>
        <v/>
      </c>
      <c r="L16" s="26" t="str">
        <f ca="1">IF(VLOOKUP("GJ",Team_Matches!$AH$1:$AJ$66,2,FALSE)&lt;&gt;"",IF(VLOOKUP("GJ",Team_Matches!$AH$1:$AJ$66,2,FALSE)&gt;=3,"W",IF(VLOOKUP("GJ",Team_Matches!$AH$1:$AJ$66,3,FALSE)&gt;=3,"L","")),"")</f>
        <v/>
      </c>
      <c r="M16" s="26" t="str">
        <f ca="1">IF(VLOOKUP("GK",Team_Matches!$AH$1:$AJ$66,2,FALSE)&lt;&gt;"",IF(VLOOKUP("GK",Team_Matches!$AH$1:$AJ$66,2,FALSE)&gt;=3,"W",IF(VLOOKUP("GK",Team_Matches!$AH$1:$AJ$66,3,FALSE)&gt;=3,"L","")),"")</f>
        <v/>
      </c>
      <c r="N16" s="44" t="str">
        <f ca="1">IF(VLOOKUP("GL",Team_Matches!$AH$1:$AJ$66,2,FALSE)&lt;&gt;"",IF(VLOOKUP("GL",Team_Matches!$AH$1:$AJ$66,2,FALSE)&gt;=3,"W",IF(VLOOKUP("GL",Team_Matches!$AH$1:$AJ$66,3,FALSE)&gt;=3,"L","")),"")</f>
        <v/>
      </c>
      <c r="O16" s="181" t="str">
        <f ca="1">CHOOSE($T$1,O101,O102,O103,O104,O105,O106,O107,O108,O109,O110,O111)</f>
        <v/>
      </c>
      <c r="P16" s="182" t="str">
        <f ca="1">CHOOSE($T$1,P101,P102,P103,P104,P105,P106,P107,P108,P109,P110,P111)</f>
        <v/>
      </c>
      <c r="Q16" s="182" t="str">
        <f ca="1">CHOOSE($T$1,Q101,Q102,Q103,Q104,Q105,Q106,Q107,Q108,Q109,Q110,Q111)</f>
        <v/>
      </c>
      <c r="R16" s="180" t="str">
        <f ca="1">CHOOSE($T$1,R101,R102,R103,R104,R105,R106,R107,R108,R109,R110,R111)</f>
        <v/>
      </c>
      <c r="T16" s="115" t="s">
        <v>44</v>
      </c>
      <c r="U16" s="117"/>
      <c r="V16" s="119" t="str">
        <f ca="1">HYPERLINK(MID(CELL("filename",$A$1),SEARCH("[",CELL("filename",$A$1)),SEARCH("]",CELL("filename",$A$1))-SEARCH("[",CELL("filename",$A$1))+1)&amp;VLOOKUP("AB",Team_Matches!$AH$1:$AK$66,4,FALSE),"T")</f>
        <v>T</v>
      </c>
      <c r="W16" s="119" t="str">
        <f ca="1">HYPERLINK(MID(CELL("filename",$A$1),SEARCH("[",CELL("filename",$A$1)),SEARCH("]",CELL("filename",$A$1))-SEARCH("[",CELL("filename",$A$1))+1)&amp;VLOOKUP("AC",Team_Matches!$AH$1:$AK$66,4,FALSE),"T")</f>
        <v>T</v>
      </c>
      <c r="X16" s="119" t="str">
        <f ca="1">HYPERLINK(MID(CELL("filename",$A$1),SEARCH("[",CELL("filename",$A$1)),SEARCH("]",CELL("filename",$A$1))-SEARCH("[",CELL("filename",$A$1))+1)&amp;VLOOKUP("AD",Team_Matches!$AH$1:$AK$66,4,FALSE),"T")</f>
        <v>T</v>
      </c>
      <c r="Y16" s="119" t="str">
        <f ca="1">HYPERLINK(MID(CELL("filename",$A$1),SEARCH("[",CELL("filename",$A$1)),SEARCH("]",CELL("filename",$A$1))-SEARCH("[",CELL("filename",$A$1))+1)&amp;VLOOKUP("AE",Team_Matches!$AH$1:$AK$66,4,FALSE),"T")</f>
        <v>T</v>
      </c>
      <c r="Z16" s="119" t="str">
        <f ca="1">HYPERLINK(MID(CELL("filename",$A$1),SEARCH("[",CELL("filename",$A$1)),SEARCH("]",CELL("filename",$A$1))-SEARCH("[",CELL("filename",$A$1))+1)&amp;VLOOKUP("AF",Team_Matches!$AH$1:$AK$66,4,FALSE),"T")</f>
        <v>T</v>
      </c>
      <c r="AA16" s="119" t="str">
        <f ca="1">HYPERLINK(MID(CELL("filename",$A$1),SEARCH("[",CELL("filename",$A$1)),SEARCH("]",CELL("filename",$A$1))-SEARCH("[",CELL("filename",$A$1))+1)&amp;VLOOKUP("AG",Team_Matches!$AH$1:$AK$66,4,FALSE),"T")</f>
        <v>T</v>
      </c>
      <c r="AB16" s="119" t="str">
        <f ca="1">HYPERLINK(MID(CELL("filename",$A$1),SEARCH("[",CELL("filename",$A$1)),SEARCH("]",CELL("filename",$A$1))-SEARCH("[",CELL("filename",$A$1))+1)&amp;VLOOKUP("AH",Team_Matches!$AH$1:$AK$66,4,FALSE),"T")</f>
        <v>T</v>
      </c>
      <c r="AC16" s="119" t="str">
        <f ca="1">HYPERLINK(MID(CELL("filename",$A$1),SEARCH("[",CELL("filename",$A$1)),SEARCH("]",CELL("filename",$A$1))-SEARCH("[",CELL("filename",$A$1))+1)&amp;VLOOKUP("AI",Team_Matches!$AH$1:$AK$66,4,FALSE),"T")</f>
        <v>T</v>
      </c>
      <c r="AD16" s="119" t="str">
        <f ca="1">HYPERLINK(MID(CELL("filename",$A$1),SEARCH("[",CELL("filename",$A$1)),SEARCH("]",CELL("filename",$A$1))-SEARCH("[",CELL("filename",$A$1))+1)&amp;VLOOKUP("AJ",Team_Matches!$AH$1:$AK$66,4,FALSE),"T")</f>
        <v>T</v>
      </c>
      <c r="AE16" s="119" t="str">
        <f ca="1">HYPERLINK(MID(CELL("filename",$A$1),SEARCH("[",CELL("filename",$A$1)),SEARCH("]",CELL("filename",$A$1))-SEARCH("[",CELL("filename",$A$1))+1)&amp;VLOOKUP("AK",Team_Matches!$AH$1:$AK$66,4,FALSE),"T")</f>
        <v>T</v>
      </c>
      <c r="AF16" s="119" t="str">
        <f ca="1">HYPERLINK(MID(CELL("filename",$A$1),SEARCH("[",CELL("filename",$A$1)),SEARCH("]",CELL("filename",$A$1))-SEARCH("[",CELL("filename",$A$1))+1)&amp;VLOOKUP("AL",Team_Matches!$AH$1:$AK$66,4,FALSE),"T")</f>
        <v>T</v>
      </c>
      <c r="AG16" s="135"/>
      <c r="AH16" s="135"/>
      <c r="AI16" s="135"/>
      <c r="AJ16" s="138">
        <v>0.38194444444444442</v>
      </c>
      <c r="AK16" s="140"/>
      <c r="AL16" s="135"/>
    </row>
    <row r="17" spans="1:38" ht="12.75" customHeight="1" x14ac:dyDescent="0.25">
      <c r="A17" s="190"/>
      <c r="B17" s="188"/>
      <c r="C17" s="27" t="str">
        <f ca="1">IF(I5&lt;&gt;"",CONCATENATE(RIGHT(I5,1),"-",LEFT(I5,1)),"")</f>
        <v/>
      </c>
      <c r="D17" s="28" t="str">
        <f ca="1">IF(I7&lt;&gt;"",CONCATENATE(RIGHT(I7,1),"-",LEFT(I7,1)),"")</f>
        <v/>
      </c>
      <c r="E17" s="28" t="str">
        <f ca="1">IF(I9&lt;&gt;"",CONCATENATE(RIGHT(I9,1),"-",LEFT(I9,1)),"")</f>
        <v/>
      </c>
      <c r="F17" s="28" t="str">
        <f ca="1">IF(I11&lt;&gt;"",CONCATENATE(RIGHT(I11,1),"-",LEFT(I11,1)),"")</f>
        <v/>
      </c>
      <c r="G17" s="28" t="str">
        <f ca="1">IF(I13&lt;&gt;"",CONCATENATE(RIGHT(I13,1),"-",LEFT(I13,1)),"")</f>
        <v/>
      </c>
      <c r="H17" s="28" t="str">
        <f ca="1">IF(I15&lt;&gt;"",CONCATENATE(RIGHT(I15,1),"-",LEFT(I15,1)),"")</f>
        <v/>
      </c>
      <c r="I17" s="24"/>
      <c r="J17" s="28" t="str">
        <f ca="1">IF(VLOOKUP("GH",Team_Matches!$AH$1:$AJ$66,2,FALSE)="","",CONCATENATE(VLOOKUP("GH",Team_Matches!$AH$1:$AJ$66,2,FALSE),"-",VLOOKUP("GH",Team_Matches!$AH$1:$AJ$66,3,FALSE)))</f>
        <v/>
      </c>
      <c r="K17" s="28" t="str">
        <f ca="1">IF(VLOOKUP("GI",Team_Matches!$AH$1:$AJ$66,2,FALSE)="","",CONCATENATE(VLOOKUP("GI",Team_Matches!$AH$1:$AJ$66,2,FALSE),"-",VLOOKUP("GI",Team_Matches!$AH$1:$AJ$66,3,FALSE)))</f>
        <v/>
      </c>
      <c r="L17" s="28" t="str">
        <f ca="1">IF(VLOOKUP("GJ",Team_Matches!$AH$1:$AJ$66,2,FALSE)="","",CONCATENATE(VLOOKUP("GJ",Team_Matches!$AH$1:$AJ$66,2,FALSE),"-",VLOOKUP("GJ",Team_Matches!$AH$1:$AJ$66,3,FALSE)))</f>
        <v/>
      </c>
      <c r="M17" s="28" t="str">
        <f ca="1">IF(VLOOKUP("GK",Team_Matches!$AH$1:$AJ$66,2,FALSE)="","",CONCATENATE(VLOOKUP("GK",Team_Matches!$AH$1:$AJ$66,2,FALSE),"-",VLOOKUP("GK",Team_Matches!$AH$1:$AJ$66,3,FALSE)))</f>
        <v/>
      </c>
      <c r="N17" s="43" t="str">
        <f ca="1">IF(VLOOKUP("GL",Team_Matches!$AH$1:$AJ$66,2,FALSE)="","",CONCATENATE(VLOOKUP("GL",Team_Matches!$AH$1:$AJ$66,2,FALSE),"-",VLOOKUP("GL",Team_Matches!$AH$1:$AJ$66,3,FALSE)))</f>
        <v/>
      </c>
      <c r="O17" s="181"/>
      <c r="P17" s="182"/>
      <c r="Q17" s="182"/>
      <c r="R17" s="180"/>
      <c r="T17" s="115" t="s">
        <v>45</v>
      </c>
      <c r="U17" s="119" t="str">
        <f ca="1">HYPERLINK(MID(CELL("filename",$A$1),SEARCH("[",CELL("filename",$A$1)),SEARCH("]",CELL("filename",$A$1))-SEARCH("[",CELL("filename",$A$1))+1)&amp;VLOOKUP("AB",Team_Matches!$AH$1:$AL$66,5,FALSE),"M")</f>
        <v>M</v>
      </c>
      <c r="V17" s="118"/>
      <c r="W17" s="119" t="str">
        <f ca="1">HYPERLINK(MID(CELL("filename",$A$1),SEARCH("[",CELL("filename",$A$1)),SEARCH("]",CELL("filename",$A$1))-SEARCH("[",CELL("filename",$A$1))+1)&amp;VLOOKUP("BC",Team_Matches!$AH$1:$AK$66,4,FALSE),"T")</f>
        <v>T</v>
      </c>
      <c r="X17" s="119" t="str">
        <f ca="1">HYPERLINK(MID(CELL("filename",$A$1),SEARCH("[",CELL("filename",$A$1)),SEARCH("]",CELL("filename",$A$1))-SEARCH("[",CELL("filename",$A$1))+1)&amp;VLOOKUP("BD",Team_Matches!$AH$1:$AK$66,4,FALSE),"T")</f>
        <v>T</v>
      </c>
      <c r="Y17" s="119" t="str">
        <f ca="1">HYPERLINK(MID(CELL("filename",$A$1),SEARCH("[",CELL("filename",$A$1)),SEARCH("]",CELL("filename",$A$1))-SEARCH("[",CELL("filename",$A$1))+1)&amp;VLOOKUP("BE",Team_Matches!$AH$1:$AK$66,4,FALSE),"T")</f>
        <v>T</v>
      </c>
      <c r="Z17" s="119" t="str">
        <f ca="1">HYPERLINK(MID(CELL("filename",$A$1),SEARCH("[",CELL("filename",$A$1)),SEARCH("]",CELL("filename",$A$1))-SEARCH("[",CELL("filename",$A$1))+1)&amp;VLOOKUP("BF",Team_Matches!$AH$1:$AK$66,4,FALSE),"T")</f>
        <v>T</v>
      </c>
      <c r="AA17" s="119" t="str">
        <f ca="1">HYPERLINK(MID(CELL("filename",$A$1),SEARCH("[",CELL("filename",$A$1)),SEARCH("]",CELL("filename",$A$1))-SEARCH("[",CELL("filename",$A$1))+1)&amp;VLOOKUP("BG",Team_Matches!$AH$1:$AK$66,4,FALSE),"T")</f>
        <v>T</v>
      </c>
      <c r="AB17" s="119" t="str">
        <f ca="1">HYPERLINK(MID(CELL("filename",$A$1),SEARCH("[",CELL("filename",$A$1)),SEARCH("]",CELL("filename",$A$1))-SEARCH("[",CELL("filename",$A$1))+1)&amp;VLOOKUP("BH",Team_Matches!$AH$1:$AK$66,4,FALSE),"T")</f>
        <v>T</v>
      </c>
      <c r="AC17" s="119" t="str">
        <f ca="1">HYPERLINK(MID(CELL("filename",$A$1),SEARCH("[",CELL("filename",$A$1)),SEARCH("]",CELL("filename",$A$1))-SEARCH("[",CELL("filename",$A$1))+1)&amp;VLOOKUP("BI",Team_Matches!$AH$1:$AK$66,4,FALSE),"T")</f>
        <v>T</v>
      </c>
      <c r="AD17" s="119" t="str">
        <f ca="1">HYPERLINK(MID(CELL("filename",$A$1),SEARCH("[",CELL("filename",$A$1)),SEARCH("]",CELL("filename",$A$1))-SEARCH("[",CELL("filename",$A$1))+1)&amp;VLOOKUP("BJ",Team_Matches!$AH$1:$AK$66,4,FALSE),"T")</f>
        <v>T</v>
      </c>
      <c r="AE17" s="119" t="str">
        <f ca="1">HYPERLINK(MID(CELL("filename",$A$1),SEARCH("[",CELL("filename",$A$1)),SEARCH("]",CELL("filename",$A$1))-SEARCH("[",CELL("filename",$A$1))+1)&amp;VLOOKUP("BK",Team_Matches!$AH$1:$AK$66,4,FALSE),"T")</f>
        <v>T</v>
      </c>
      <c r="AF17" s="119" t="str">
        <f ca="1">HYPERLINK(MID(CELL("filename",$A$1),SEARCH("[",CELL("filename",$A$1)),SEARCH("]",CELL("filename",$A$1))-SEARCH("[",CELL("filename",$A$1))+1)&amp;VLOOKUP("BL",Team_Matches!$AH$1:$AK$66,4,FALSE),"T")</f>
        <v>T</v>
      </c>
      <c r="AG17" s="135"/>
      <c r="AH17" s="135"/>
      <c r="AI17" s="135"/>
      <c r="AJ17" s="138">
        <v>0.38541666666666669</v>
      </c>
      <c r="AK17" s="140"/>
      <c r="AL17" s="135"/>
    </row>
    <row r="18" spans="1:38" ht="12.75" customHeight="1" x14ac:dyDescent="0.25">
      <c r="A18" s="190" t="s">
        <v>51</v>
      </c>
      <c r="B18" s="187"/>
      <c r="C18" s="25" t="str">
        <f ca="1">IF(J4&lt;&gt;"",IF(J4="W","L","W"),"")</f>
        <v/>
      </c>
      <c r="D18" s="26" t="str">
        <f ca="1">IF(J6&lt;&gt;"",IF(J6="W","L","W"),"")</f>
        <v/>
      </c>
      <c r="E18" s="26" t="str">
        <f ca="1">IF(J8&lt;&gt;"",IF(J8="W","L","W"),"")</f>
        <v/>
      </c>
      <c r="F18" s="26" t="str">
        <f ca="1">IF(J10&lt;&gt;"",IF(J10="W","L","W"),"")</f>
        <v/>
      </c>
      <c r="G18" s="26" t="str">
        <f ca="1">IF(J12&lt;&gt;"",IF(J12="W","L","W"),"")</f>
        <v/>
      </c>
      <c r="H18" s="26" t="str">
        <f ca="1">IF(J14&lt;&gt;"",IF(J14="W","L","W"),"")</f>
        <v/>
      </c>
      <c r="I18" s="26" t="str">
        <f ca="1">IF(J16&lt;&gt;"",IF(J16="W","L","W"),"")</f>
        <v/>
      </c>
      <c r="J18" s="22"/>
      <c r="K18" s="26" t="str">
        <f ca="1">IF(VLOOKUP("HI",Team_Matches!$AH$1:$AJ$66,2,FALSE)&lt;&gt;"",IF(VLOOKUP("HI",Team_Matches!$AH$1:$AJ$66,2,FALSE)&gt;=3,"W",IF(VLOOKUP("HI",Team_Matches!$AH$1:$AJ$66,3,FALSE)&gt;=3,"L","")),"")</f>
        <v/>
      </c>
      <c r="L18" s="26" t="str">
        <f ca="1">IF(VLOOKUP("HJ",Team_Matches!$AH$1:$AJ$66,2,FALSE)&lt;&gt;"",IF(VLOOKUP("HJ",Team_Matches!$AH$1:$AJ$66,2,FALSE)&gt;=3,"W",IF(VLOOKUP("HJ",Team_Matches!$AH$1:$AJ$66,3,FALSE)&gt;=3,"L","")),"")</f>
        <v/>
      </c>
      <c r="M18" s="26" t="str">
        <f ca="1">IF(VLOOKUP("HK",Team_Matches!$AH$1:$AJ$66,2,FALSE)&lt;&gt;"",IF(VLOOKUP("HK",Team_Matches!$AH$1:$AJ$66,2,FALSE)&gt;=3,"W",IF(VLOOKUP("HK",Team_Matches!$AH$1:$AJ$66,3,FALSE)&gt;=3,"L","")),"")</f>
        <v/>
      </c>
      <c r="N18" s="44" t="str">
        <f ca="1">IF(VLOOKUP("HL",Team_Matches!$AH$1:$AJ$66,2,FALSE)&lt;&gt;"",IF(VLOOKUP("HL",Team_Matches!$AH$1:$AJ$66,2,FALSE)&gt;=3,"W",IF(VLOOKUP("HL",Team_Matches!$AH$1:$AJ$66,3,FALSE)&gt;=3,"L","")),"")</f>
        <v/>
      </c>
      <c r="O18" s="181" t="str">
        <f ca="1">CHOOSE($T$1,O113,O114,O115,O116,O117,O118,O119,O120,O121,O122,O123)</f>
        <v/>
      </c>
      <c r="P18" s="182" t="str">
        <f ca="1">CHOOSE($T$1,P113,P114,P115,P116,P117,P118,P119,P120,P121,P122,P123)</f>
        <v/>
      </c>
      <c r="Q18" s="182" t="str">
        <f ca="1">CHOOSE($T$1,Q113,Q114,Q115,Q116,Q117,Q118,Q119,Q120,Q121,Q122,Q123)</f>
        <v/>
      </c>
      <c r="R18" s="180" t="str">
        <f ca="1">CHOOSE($T$1,R113,R114,R115,R116,R117,R118,R119,R120,R121,R122,R123)</f>
        <v/>
      </c>
      <c r="T18" s="115" t="s">
        <v>46</v>
      </c>
      <c r="U18" s="119" t="str">
        <f ca="1">HYPERLINK(MID(CELL("filename",$A$1),SEARCH("[",CELL("filename",$A$1)),SEARCH("]",CELL("filename",$A$1))-SEARCH("[",CELL("filename",$A$1))+1)&amp;VLOOKUP("AC",Team_Matches!$AH$1:$AL$66,5,FALSE),"M")</f>
        <v>M</v>
      </c>
      <c r="V18" s="119" t="str">
        <f ca="1">HYPERLINK(MID(CELL("filename",$A$1),SEARCH("[",CELL("filename",$A$1)),SEARCH("]",CELL("filename",$A$1))-SEARCH("[",CELL("filename",$A$1))+1)&amp;VLOOKUP("BC",Team_Matches!$AH$1:$AL$66,5,FALSE),"M")</f>
        <v>M</v>
      </c>
      <c r="W18" s="118"/>
      <c r="X18" s="119" t="str">
        <f ca="1">HYPERLINK(MID(CELL("filename",$A$1),SEARCH("[",CELL("filename",$A$1)),SEARCH("]",CELL("filename",$A$1))-SEARCH("[",CELL("filename",$A$1))+1)&amp;VLOOKUP("CD",Team_Matches!$AH$1:$AK$66,4,FALSE),"T")</f>
        <v>T</v>
      </c>
      <c r="Y18" s="119" t="str">
        <f ca="1">HYPERLINK(MID(CELL("filename",$A$1),SEARCH("[",CELL("filename",$A$1)),SEARCH("]",CELL("filename",$A$1))-SEARCH("[",CELL("filename",$A$1))+1)&amp;VLOOKUP("CE",Team_Matches!$AH$1:$AK$66,4,FALSE),"T")</f>
        <v>T</v>
      </c>
      <c r="Z18" s="119" t="str">
        <f ca="1">HYPERLINK(MID(CELL("filename",$A$1),SEARCH("[",CELL("filename",$A$1)),SEARCH("]",CELL("filename",$A$1))-SEARCH("[",CELL("filename",$A$1))+1)&amp;VLOOKUP("CF",Team_Matches!$AH$1:$AK$66,4,FALSE),"T")</f>
        <v>T</v>
      </c>
      <c r="AA18" s="119" t="str">
        <f ca="1">HYPERLINK(MID(CELL("filename",$A$1),SEARCH("[",CELL("filename",$A$1)),SEARCH("]",CELL("filename",$A$1))-SEARCH("[",CELL("filename",$A$1))+1)&amp;VLOOKUP("CG",Team_Matches!$AH$1:$AK$66,4,FALSE),"T")</f>
        <v>T</v>
      </c>
      <c r="AB18" s="119" t="str">
        <f ca="1">HYPERLINK(MID(CELL("filename",$A$1),SEARCH("[",CELL("filename",$A$1)),SEARCH("]",CELL("filename",$A$1))-SEARCH("[",CELL("filename",$A$1))+1)&amp;VLOOKUP("CH",Team_Matches!$AH$1:$AK$66,4,FALSE),"T")</f>
        <v>T</v>
      </c>
      <c r="AC18" s="119" t="str">
        <f ca="1">HYPERLINK(MID(CELL("filename",$A$1),SEARCH("[",CELL("filename",$A$1)),SEARCH("]",CELL("filename",$A$1))-SEARCH("[",CELL("filename",$A$1))+1)&amp;VLOOKUP("CI",Team_Matches!$AH$1:$AK$66,4,FALSE),"T")</f>
        <v>T</v>
      </c>
      <c r="AD18" s="119" t="str">
        <f ca="1">HYPERLINK(MID(CELL("filename",$A$1),SEARCH("[",CELL("filename",$A$1)),SEARCH("]",CELL("filename",$A$1))-SEARCH("[",CELL("filename",$A$1))+1)&amp;VLOOKUP("CJ",Team_Matches!$AH$1:$AK$66,4,FALSE),"T")</f>
        <v>T</v>
      </c>
      <c r="AE18" s="119" t="str">
        <f ca="1">HYPERLINK(MID(CELL("filename",$A$1),SEARCH("[",CELL("filename",$A$1)),SEARCH("]",CELL("filename",$A$1))-SEARCH("[",CELL("filename",$A$1))+1)&amp;VLOOKUP("CK",Team_Matches!$AH$1:$AK$66,4,FALSE),"T")</f>
        <v>T</v>
      </c>
      <c r="AF18" s="119" t="str">
        <f ca="1">HYPERLINK(MID(CELL("filename",$A$1),SEARCH("[",CELL("filename",$A$1)),SEARCH("]",CELL("filename",$A$1))-SEARCH("[",CELL("filename",$A$1))+1)&amp;VLOOKUP("CL",Team_Matches!$AH$1:$AK$66,4,FALSE),"T")</f>
        <v>T</v>
      </c>
      <c r="AG18" s="135"/>
      <c r="AH18" s="135"/>
      <c r="AI18" s="135"/>
      <c r="AJ18" s="138">
        <v>0.3888888888888889</v>
      </c>
      <c r="AK18" s="140"/>
      <c r="AL18" s="135"/>
    </row>
    <row r="19" spans="1:38" ht="12.75" customHeight="1" x14ac:dyDescent="0.25">
      <c r="A19" s="190"/>
      <c r="B19" s="188"/>
      <c r="C19" s="27" t="str">
        <f ca="1">IF(J5&lt;&gt;"",CONCATENATE(RIGHT(J5,1),"-",LEFT(J5,1)),"")</f>
        <v/>
      </c>
      <c r="D19" s="28" t="str">
        <f ca="1">IF(J7&lt;&gt;"",CONCATENATE(RIGHT(J7,1),"-",LEFT(J7,1)),"")</f>
        <v/>
      </c>
      <c r="E19" s="28" t="str">
        <f ca="1">IF(J9&lt;&gt;"",CONCATENATE(RIGHT(J9,1),"-",LEFT(J9,1)),"")</f>
        <v/>
      </c>
      <c r="F19" s="28" t="str">
        <f ca="1">IF(J11&lt;&gt;"",CONCATENATE(RIGHT(J11,1),"-",LEFT(J11,1)),"")</f>
        <v/>
      </c>
      <c r="G19" s="28" t="str">
        <f ca="1">IF(J13&lt;&gt;"",CONCATENATE(RIGHT(J13,1),"-",LEFT(J13,1)),"")</f>
        <v/>
      </c>
      <c r="H19" s="28" t="str">
        <f ca="1">IF(J15&lt;&gt;"",CONCATENATE(RIGHT(J15,1),"-",LEFT(J15,1)),"")</f>
        <v/>
      </c>
      <c r="I19" s="28" t="str">
        <f ca="1">IF(J17&lt;&gt;"",CONCATENATE(RIGHT(J17,1),"-",LEFT(J17,1)),"")</f>
        <v/>
      </c>
      <c r="J19" s="24"/>
      <c r="K19" s="28" t="str">
        <f ca="1">IF(VLOOKUP("HI",Team_Matches!$AH$1:$AJ$66,2,FALSE)="","",CONCATENATE(VLOOKUP("HI",Team_Matches!$AH$1:$AJ$66,2,FALSE),"-",VLOOKUP("HI",Team_Matches!$AH$1:$AJ$66,3,FALSE)))</f>
        <v/>
      </c>
      <c r="L19" s="28" t="str">
        <f ca="1">IF(VLOOKUP("HJ",Team_Matches!$AH$1:$AJ$66,2,FALSE)="","",CONCATENATE(VLOOKUP("HJ",Team_Matches!$AH$1:$AJ$66,2,FALSE),"-",VLOOKUP("HJ",Team_Matches!$AH$1:$AJ$66,3,FALSE)))</f>
        <v/>
      </c>
      <c r="M19" s="28" t="str">
        <f ca="1">IF(VLOOKUP("HK",Team_Matches!$AH$1:$AJ$66,2,FALSE)="","",CONCATENATE(VLOOKUP("HK",Team_Matches!$AH$1:$AJ$66,2,FALSE),"-",VLOOKUP("HK",Team_Matches!$AH$1:$AJ$66,3,FALSE)))</f>
        <v/>
      </c>
      <c r="N19" s="43" t="str">
        <f ca="1">IF(VLOOKUP("HL",Team_Matches!$AH$1:$AJ$66,2,FALSE)="","",CONCATENATE(VLOOKUP("HL",Team_Matches!$AH$1:$AJ$66,2,FALSE),"-",VLOOKUP("HL",Team_Matches!$AH$1:$AJ$66,3,FALSE)))</f>
        <v/>
      </c>
      <c r="O19" s="181"/>
      <c r="P19" s="182"/>
      <c r="Q19" s="182"/>
      <c r="R19" s="180"/>
      <c r="T19" s="115" t="s">
        <v>47</v>
      </c>
      <c r="U19" s="119" t="str">
        <f ca="1">HYPERLINK(MID(CELL("filename",$A$1),SEARCH("[",CELL("filename",$A$1)),SEARCH("]",CELL("filename",$A$1))-SEARCH("[",CELL("filename",$A$1))+1)&amp;VLOOKUP("AD",Team_Matches!$AH$1:$AL$66,5,FALSE),"M")</f>
        <v>M</v>
      </c>
      <c r="V19" s="119" t="str">
        <f ca="1">HYPERLINK(MID(CELL("filename",$A$1),SEARCH("[",CELL("filename",$A$1)),SEARCH("]",CELL("filename",$A$1))-SEARCH("[",CELL("filename",$A$1))+1)&amp;VLOOKUP("BD",Team_Matches!$AH$1:$AL$66,5,FALSE),"M")</f>
        <v>M</v>
      </c>
      <c r="W19" s="119" t="str">
        <f ca="1">HYPERLINK(MID(CELL("filename",$A$1),SEARCH("[",CELL("filename",$A$1)),SEARCH("]",CELL("filename",$A$1))-SEARCH("[",CELL("filename",$A$1))+1)&amp;VLOOKUP("CD",Team_Matches!$AH$1:$AL$66,5,FALSE),"M")</f>
        <v>M</v>
      </c>
      <c r="X19" s="118"/>
      <c r="Y19" s="119" t="str">
        <f ca="1">HYPERLINK(MID(CELL("filename",$A$1),SEARCH("[",CELL("filename",$A$1)),SEARCH("]",CELL("filename",$A$1))-SEARCH("[",CELL("filename",$A$1))+1)&amp;VLOOKUP("DE",Team_Matches!$AH$1:$AK$66,4,FALSE),"T")</f>
        <v>T</v>
      </c>
      <c r="Z19" s="119" t="str">
        <f ca="1">HYPERLINK(MID(CELL("filename",$A$1),SEARCH("[",CELL("filename",$A$1)),SEARCH("]",CELL("filename",$A$1))-SEARCH("[",CELL("filename",$A$1))+1)&amp;VLOOKUP("DF",Team_Matches!$AH$1:$AK$66,4,FALSE),"T")</f>
        <v>T</v>
      </c>
      <c r="AA19" s="119" t="str">
        <f ca="1">HYPERLINK(MID(CELL("filename",$A$1),SEARCH("[",CELL("filename",$A$1)),SEARCH("]",CELL("filename",$A$1))-SEARCH("[",CELL("filename",$A$1))+1)&amp;VLOOKUP("DG",Team_Matches!$AH$1:$AK$66,4,FALSE),"T")</f>
        <v>T</v>
      </c>
      <c r="AB19" s="119" t="str">
        <f ca="1">HYPERLINK(MID(CELL("filename",$A$1),SEARCH("[",CELL("filename",$A$1)),SEARCH("]",CELL("filename",$A$1))-SEARCH("[",CELL("filename",$A$1))+1)&amp;VLOOKUP("DH",Team_Matches!$AH$1:$AK$66,4,FALSE),"T")</f>
        <v>T</v>
      </c>
      <c r="AC19" s="119" t="str">
        <f ca="1">HYPERLINK(MID(CELL("filename",$A$1),SEARCH("[",CELL("filename",$A$1)),SEARCH("]",CELL("filename",$A$1))-SEARCH("[",CELL("filename",$A$1))+1)&amp;VLOOKUP("DI",Team_Matches!$AH$1:$AK$66,4,FALSE),"T")</f>
        <v>T</v>
      </c>
      <c r="AD19" s="119" t="str">
        <f ca="1">HYPERLINK(MID(CELL("filename",$A$1),SEARCH("[",CELL("filename",$A$1)),SEARCH("]",CELL("filename",$A$1))-SEARCH("[",CELL("filename",$A$1))+1)&amp;VLOOKUP("DJ",Team_Matches!$AH$1:$AK$66,4,FALSE),"T")</f>
        <v>T</v>
      </c>
      <c r="AE19" s="119" t="str">
        <f ca="1">HYPERLINK(MID(CELL("filename",$A$1),SEARCH("[",CELL("filename",$A$1)),SEARCH("]",CELL("filename",$A$1))-SEARCH("[",CELL("filename",$A$1))+1)&amp;VLOOKUP("DK",Team_Matches!$AH$1:$AK$66,4,FALSE),"T")</f>
        <v>T</v>
      </c>
      <c r="AF19" s="119" t="str">
        <f ca="1">HYPERLINK(MID(CELL("filename",$A$1),SEARCH("[",CELL("filename",$A$1)),SEARCH("]",CELL("filename",$A$1))-SEARCH("[",CELL("filename",$A$1))+1)&amp;VLOOKUP("DL",Team_Matches!$AH$1:$AK$66,4,FALSE),"T")</f>
        <v>T</v>
      </c>
      <c r="AG19" s="135"/>
      <c r="AH19" s="135"/>
      <c r="AI19" s="135"/>
      <c r="AJ19" s="138">
        <v>0.3923611111111111</v>
      </c>
      <c r="AK19" s="140"/>
      <c r="AL19" s="135"/>
    </row>
    <row r="20" spans="1:38" ht="12.75" customHeight="1" x14ac:dyDescent="0.25">
      <c r="A20" s="190" t="s">
        <v>52</v>
      </c>
      <c r="B20" s="187"/>
      <c r="C20" s="25" t="str">
        <f ca="1">IF(K4&lt;&gt;"",IF(K4="W","L","W"),"")</f>
        <v/>
      </c>
      <c r="D20" s="26" t="str">
        <f ca="1">IF(K6&lt;&gt;"",IF(K6="W","L","W"),"")</f>
        <v/>
      </c>
      <c r="E20" s="26" t="str">
        <f ca="1">IF(K8&lt;&gt;"",IF(K8="W","L","W"),"")</f>
        <v/>
      </c>
      <c r="F20" s="26" t="str">
        <f ca="1">IF(K10&lt;&gt;"",IF(K10="W","L","W"),"")</f>
        <v/>
      </c>
      <c r="G20" s="26" t="str">
        <f ca="1">IF(K12&lt;&gt;"",IF(K12="W","L","W"),"")</f>
        <v/>
      </c>
      <c r="H20" s="26" t="str">
        <f ca="1">IF(K14&lt;&gt;"",IF(K14="W","L","W"),"")</f>
        <v/>
      </c>
      <c r="I20" s="26" t="str">
        <f ca="1">IF(K16&lt;&gt;"",IF(K16="W","L","W"),"")</f>
        <v/>
      </c>
      <c r="J20" s="26" t="str">
        <f ca="1">IF(K18&lt;&gt;"",IF(K18="W","L","W"),"")</f>
        <v/>
      </c>
      <c r="K20" s="22"/>
      <c r="L20" s="26" t="str">
        <f ca="1">IF(VLOOKUP("IJ",Team_Matches!$AH$1:$AJ$66,2,FALSE)&lt;&gt;"",IF(VLOOKUP("IJ",Team_Matches!$AH$1:$AJ$66,2,FALSE)&gt;=3,"W",IF(VLOOKUP("IJ",Team_Matches!$AH$1:$AJ$66,3,FALSE)&gt;=3,"L","")),"")</f>
        <v/>
      </c>
      <c r="M20" s="26" t="str">
        <f ca="1">IF(VLOOKUP("IK",Team_Matches!$AH$1:$AJ$66,2,FALSE)&lt;&gt;"",IF(VLOOKUP("IK",Team_Matches!$AH$1:$AJ$66,2,FALSE)&gt;=3,"W",IF(VLOOKUP("IK",Team_Matches!$AH$1:$AJ$66,3,FALSE)&gt;=3,"L","")),"")</f>
        <v/>
      </c>
      <c r="N20" s="44" t="str">
        <f ca="1">IF(VLOOKUP("IL",Team_Matches!$AH$1:$AJ$66,2,FALSE)&lt;&gt;"",IF(VLOOKUP("IL",Team_Matches!$AH$1:$AJ$66,2,FALSE)&gt;=3,"W",IF(VLOOKUP("IL",Team_Matches!$AH$1:$AJ$66,3,FALSE)&gt;=3,"L","")),"")</f>
        <v/>
      </c>
      <c r="O20" s="181" t="str">
        <f ca="1">CHOOSE($T$1,O125,O126,O127,O128,O129,O130,O131,O132,O133,O134,O135)</f>
        <v/>
      </c>
      <c r="P20" s="182" t="str">
        <f ca="1">CHOOSE($T$1,P125,P126,P127,P128,P129,P130,P131,P132,P133,P134,P135)</f>
        <v/>
      </c>
      <c r="Q20" s="182" t="str">
        <f ca="1">CHOOSE($T$1,Q125,Q126,Q127,Q128,Q129,Q130,Q131,Q132,Q133,Q134,Q135)</f>
        <v/>
      </c>
      <c r="R20" s="180" t="str">
        <f ca="1">CHOOSE($T$1,R125,R126,R127,R128,R129,R130,R131,R132,R133,R134,R135)</f>
        <v/>
      </c>
      <c r="T20" s="115" t="s">
        <v>48</v>
      </c>
      <c r="U20" s="119" t="str">
        <f ca="1">HYPERLINK(MID(CELL("filename",$A$1),SEARCH("[",CELL("filename",$A$1)),SEARCH("]",CELL("filename",$A$1))-SEARCH("[",CELL("filename",$A$1))+1)&amp;VLOOKUP("AE",Team_Matches!$AH$1:$AL$66,5,FALSE),"M")</f>
        <v>M</v>
      </c>
      <c r="V20" s="119" t="str">
        <f ca="1">HYPERLINK(MID(CELL("filename",$A$1),SEARCH("[",CELL("filename",$A$1)),SEARCH("]",CELL("filename",$A$1))-SEARCH("[",CELL("filename",$A$1))+1)&amp;VLOOKUP("BE",Team_Matches!$AH$1:$AL$66,5,FALSE),"M")</f>
        <v>M</v>
      </c>
      <c r="W20" s="119" t="str">
        <f ca="1">HYPERLINK(MID(CELL("filename",$A$1),SEARCH("[",CELL("filename",$A$1)),SEARCH("]",CELL("filename",$A$1))-SEARCH("[",CELL("filename",$A$1))+1)&amp;VLOOKUP("CE",Team_Matches!$AH$1:$AL$66,5,FALSE),"M")</f>
        <v>M</v>
      </c>
      <c r="X20" s="119" t="str">
        <f ca="1">HYPERLINK(MID(CELL("filename",$A$1),SEARCH("[",CELL("filename",$A$1)),SEARCH("]",CELL("filename",$A$1))-SEARCH("[",CELL("filename",$A$1))+1)&amp;VLOOKUP("DE",Team_Matches!$AH$1:$AL$66,5,FALSE),"M")</f>
        <v>M</v>
      </c>
      <c r="Y20" s="118"/>
      <c r="Z20" s="119" t="str">
        <f ca="1">HYPERLINK(MID(CELL("filename",$A$1),SEARCH("[",CELL("filename",$A$1)),SEARCH("]",CELL("filename",$A$1))-SEARCH("[",CELL("filename",$A$1))+1)&amp;VLOOKUP("EF",Team_Matches!$AH$1:$AK$66,4,FALSE),"T")</f>
        <v>T</v>
      </c>
      <c r="AA20" s="119" t="str">
        <f ca="1">HYPERLINK(MID(CELL("filename",$A$1),SEARCH("[",CELL("filename",$A$1)),SEARCH("]",CELL("filename",$A$1))-SEARCH("[",CELL("filename",$A$1))+1)&amp;VLOOKUP("EG",Team_Matches!$AH$1:$AK$66,4,FALSE),"T")</f>
        <v>T</v>
      </c>
      <c r="AB20" s="119" t="str">
        <f ca="1">HYPERLINK(MID(CELL("filename",$A$1),SEARCH("[",CELL("filename",$A$1)),SEARCH("]",CELL("filename",$A$1))-SEARCH("[",CELL("filename",$A$1))+1)&amp;VLOOKUP("EH",Team_Matches!$AH$1:$AK$66,4,FALSE),"T")</f>
        <v>T</v>
      </c>
      <c r="AC20" s="119" t="str">
        <f ca="1">HYPERLINK(MID(CELL("filename",$A$1),SEARCH("[",CELL("filename",$A$1)),SEARCH("]",CELL("filename",$A$1))-SEARCH("[",CELL("filename",$A$1))+1)&amp;VLOOKUP("EI",Team_Matches!$AH$1:$AK$66,4,FALSE),"T")</f>
        <v>T</v>
      </c>
      <c r="AD20" s="119" t="str">
        <f ca="1">HYPERLINK(MID(CELL("filename",$A$1),SEARCH("[",CELL("filename",$A$1)),SEARCH("]",CELL("filename",$A$1))-SEARCH("[",CELL("filename",$A$1))+1)&amp;VLOOKUP("EJ",Team_Matches!$AH$1:$AK$66,4,FALSE),"T")</f>
        <v>T</v>
      </c>
      <c r="AE20" s="119" t="str">
        <f ca="1">HYPERLINK(MID(CELL("filename",$A$1),SEARCH("[",CELL("filename",$A$1)),SEARCH("]",CELL("filename",$A$1))-SEARCH("[",CELL("filename",$A$1))+1)&amp;VLOOKUP("EK",Team_Matches!$AH$1:$AK$66,4,FALSE),"T")</f>
        <v>T</v>
      </c>
      <c r="AF20" s="119" t="str">
        <f ca="1">HYPERLINK(MID(CELL("filename",$A$1),SEARCH("[",CELL("filename",$A$1)),SEARCH("]",CELL("filename",$A$1))-SEARCH("[",CELL("filename",$A$1))+1)&amp;VLOOKUP("EL",Team_Matches!$AH$1:$AK$66,4,FALSE),"T")</f>
        <v>T</v>
      </c>
      <c r="AG20" s="135"/>
      <c r="AH20" s="135"/>
      <c r="AI20" s="135"/>
      <c r="AJ20" s="138">
        <v>0.39583333333333331</v>
      </c>
      <c r="AK20" s="140"/>
      <c r="AL20" s="135"/>
    </row>
    <row r="21" spans="1:38" ht="12.75" customHeight="1" x14ac:dyDescent="0.25">
      <c r="A21" s="190"/>
      <c r="B21" s="188"/>
      <c r="C21" s="27" t="str">
        <f ca="1">IF(K5&lt;&gt;"",CONCATENATE(RIGHT(K5,1),"-",LEFT(K5,1)),"")</f>
        <v/>
      </c>
      <c r="D21" s="28" t="str">
        <f ca="1">IF(K7&lt;&gt;"",CONCATENATE(RIGHT(K7,1),"-",LEFT(K7,1)),"")</f>
        <v/>
      </c>
      <c r="E21" s="28" t="str">
        <f ca="1">IF(K9&lt;&gt;"",CONCATENATE(RIGHT(K9,1),"-",LEFT(K9,1)),"")</f>
        <v/>
      </c>
      <c r="F21" s="28" t="str">
        <f ca="1">IF(K11&lt;&gt;"",CONCATENATE(RIGHT(K11,1),"-",LEFT(K11,1)),"")</f>
        <v/>
      </c>
      <c r="G21" s="28" t="str">
        <f ca="1">IF(K13&lt;&gt;"",CONCATENATE(RIGHT(K13,1),"-",LEFT(K13,1)),"")</f>
        <v/>
      </c>
      <c r="H21" s="28" t="str">
        <f ca="1">IF(K15&lt;&gt;"",CONCATENATE(RIGHT(K15,1),"-",LEFT(K15,1)),"")</f>
        <v/>
      </c>
      <c r="I21" s="28" t="str">
        <f ca="1">IF(K17&lt;&gt;"",CONCATENATE(RIGHT(K17,1),"-",LEFT(K17,1)),"")</f>
        <v/>
      </c>
      <c r="J21" s="28" t="str">
        <f ca="1">IF(K19&lt;&gt;"",CONCATENATE(RIGHT(K19,1),"-",LEFT(K19,1)),"")</f>
        <v/>
      </c>
      <c r="K21" s="24"/>
      <c r="L21" s="28" t="str">
        <f ca="1">IF(VLOOKUP("IJ",Team_Matches!$AH$1:$AJ$66,2,FALSE)="","",CONCATENATE(VLOOKUP("IJ",Team_Matches!$AH$1:$AJ$66,2,FALSE),"-",VLOOKUP("IJ",Team_Matches!$AH$1:$AJ$66,3,FALSE)))</f>
        <v/>
      </c>
      <c r="M21" s="28" t="str">
        <f ca="1">IF(VLOOKUP("IK",Team_Matches!$AH$1:$AJ$66,2,FALSE)="","",CONCATENATE(VLOOKUP("IK",Team_Matches!$AH$1:$AJ$66,2,FALSE),"-",VLOOKUP("IK",Team_Matches!$AH$1:$AJ$66,3,FALSE)))</f>
        <v/>
      </c>
      <c r="N21" s="43" t="str">
        <f ca="1">IF(VLOOKUP("IL",Team_Matches!$AH$1:$AJ$66,2,FALSE)="","",CONCATENATE(VLOOKUP("IL",Team_Matches!$AH$1:$AJ$66,2,FALSE),"-",VLOOKUP("IL",Team_Matches!$AH$1:$AJ$66,3,FALSE)))</f>
        <v/>
      </c>
      <c r="O21" s="181"/>
      <c r="P21" s="182"/>
      <c r="Q21" s="182"/>
      <c r="R21" s="180"/>
      <c r="T21" s="115" t="s">
        <v>49</v>
      </c>
      <c r="U21" s="119" t="str">
        <f ca="1">HYPERLINK(MID(CELL("filename",$A$1),SEARCH("[",CELL("filename",$A$1)),SEARCH("]",CELL("filename",$A$1))-SEARCH("[",CELL("filename",$A$1))+1)&amp;VLOOKUP("AF",Team_Matches!$AH$1:$AL$66,5,FALSE),"M")</f>
        <v>M</v>
      </c>
      <c r="V21" s="119" t="str">
        <f ca="1">HYPERLINK(MID(CELL("filename",$A$1),SEARCH("[",CELL("filename",$A$1)),SEARCH("]",CELL("filename",$A$1))-SEARCH("[",CELL("filename",$A$1))+1)&amp;VLOOKUP("BF",Team_Matches!$AH$1:$AL$66,5,FALSE),"M")</f>
        <v>M</v>
      </c>
      <c r="W21" s="119" t="str">
        <f ca="1">HYPERLINK(MID(CELL("filename",$A$1),SEARCH("[",CELL("filename",$A$1)),SEARCH("]",CELL("filename",$A$1))-SEARCH("[",CELL("filename",$A$1))+1)&amp;VLOOKUP("CF",Team_Matches!$AH$1:$AL$66,5,FALSE),"M")</f>
        <v>M</v>
      </c>
      <c r="X21" s="119" t="str">
        <f ca="1">HYPERLINK(MID(CELL("filename",$A$1),SEARCH("[",CELL("filename",$A$1)),SEARCH("]",CELL("filename",$A$1))-SEARCH("[",CELL("filename",$A$1))+1)&amp;VLOOKUP("DF",Team_Matches!$AH$1:$AL$66,5,FALSE),"M")</f>
        <v>M</v>
      </c>
      <c r="Y21" s="119" t="str">
        <f ca="1">HYPERLINK(MID(CELL("filename",$A$1),SEARCH("[",CELL("filename",$A$1)),SEARCH("]",CELL("filename",$A$1))-SEARCH("[",CELL("filename",$A$1))+1)&amp;VLOOKUP("EF",Team_Matches!$AH$1:$AL$66,5,FALSE),"M")</f>
        <v>M</v>
      </c>
      <c r="Z21" s="118"/>
      <c r="AA21" s="119" t="str">
        <f ca="1">HYPERLINK(MID(CELL("filename",$A$1),SEARCH("[",CELL("filename",$A$1)),SEARCH("]",CELL("filename",$A$1))-SEARCH("[",CELL("filename",$A$1))+1)&amp;VLOOKUP("FG",Team_Matches!$AH$1:$AK$66,4,FALSE),"T")</f>
        <v>T</v>
      </c>
      <c r="AB21" s="119" t="str">
        <f ca="1">HYPERLINK(MID(CELL("filename",$A$1),SEARCH("[",CELL("filename",$A$1)),SEARCH("]",CELL("filename",$A$1))-SEARCH("[",CELL("filename",$A$1))+1)&amp;VLOOKUP("FH",Team_Matches!$AH$1:$AK$66,4,FALSE),"T")</f>
        <v>T</v>
      </c>
      <c r="AC21" s="119" t="str">
        <f ca="1">HYPERLINK(MID(CELL("filename",$A$1),SEARCH("[",CELL("filename",$A$1)),SEARCH("]",CELL("filename",$A$1))-SEARCH("[",CELL("filename",$A$1))+1)&amp;VLOOKUP("FI",Team_Matches!$AH$1:$AK$66,4,FALSE),"T")</f>
        <v>T</v>
      </c>
      <c r="AD21" s="119" t="str">
        <f ca="1">HYPERLINK(MID(CELL("filename",$A$1),SEARCH("[",CELL("filename",$A$1)),SEARCH("]",CELL("filename",$A$1))-SEARCH("[",CELL("filename",$A$1))+1)&amp;VLOOKUP("FJ",Team_Matches!$AH$1:$AK$66,4,FALSE),"T")</f>
        <v>T</v>
      </c>
      <c r="AE21" s="119" t="str">
        <f ca="1">HYPERLINK(MID(CELL("filename",$A$1),SEARCH("[",CELL("filename",$A$1)),SEARCH("]",CELL("filename",$A$1))-SEARCH("[",CELL("filename",$A$1))+1)&amp;VLOOKUP("FK",Team_Matches!$AH$1:$AK$66,4,FALSE),"T")</f>
        <v>T</v>
      </c>
      <c r="AF21" s="119" t="str">
        <f ca="1">HYPERLINK(MID(CELL("filename",$A$1),SEARCH("[",CELL("filename",$A$1)),SEARCH("]",CELL("filename",$A$1))-SEARCH("[",CELL("filename",$A$1))+1)&amp;VLOOKUP("FL",Team_Matches!$AH$1:$AK$66,4,FALSE),"T")</f>
        <v>T</v>
      </c>
      <c r="AG21" s="135"/>
      <c r="AH21" s="135"/>
      <c r="AI21" s="135"/>
      <c r="AJ21" s="138">
        <v>0.39930555555555558</v>
      </c>
      <c r="AK21" s="140"/>
      <c r="AL21" s="135"/>
    </row>
    <row r="22" spans="1:38" ht="12.75" customHeight="1" x14ac:dyDescent="0.25">
      <c r="A22" s="190" t="s">
        <v>53</v>
      </c>
      <c r="B22" s="187"/>
      <c r="C22" s="25" t="str">
        <f ca="1">IF(L4&lt;&gt;"",IF(L4="W","L","W"),"")</f>
        <v/>
      </c>
      <c r="D22" s="26" t="str">
        <f ca="1">IF(L6&lt;&gt;"",IF(L6="W","L","W"),"")</f>
        <v/>
      </c>
      <c r="E22" s="26" t="str">
        <f ca="1">IF(L8&lt;&gt;"",IF(L8="W","L","W"),"")</f>
        <v/>
      </c>
      <c r="F22" s="26" t="str">
        <f ca="1">IF(L10&lt;&gt;"",IF(L10="W","L","W"),"")</f>
        <v/>
      </c>
      <c r="G22" s="26" t="str">
        <f ca="1">IF(L12&lt;&gt;"",IF(L12="W","L","W"),"")</f>
        <v/>
      </c>
      <c r="H22" s="26" t="str">
        <f ca="1">IF(L14&lt;&gt;"",IF(L14="W","L","W"),"")</f>
        <v/>
      </c>
      <c r="I22" s="26" t="str">
        <f ca="1">IF(L16&lt;&gt;"",IF(L16="W","L","W"),"")</f>
        <v/>
      </c>
      <c r="J22" s="26" t="str">
        <f ca="1">IF(L18&lt;&gt;"",IF(L18="W","L","W"),"")</f>
        <v/>
      </c>
      <c r="K22" s="26" t="str">
        <f ca="1">IF(L20&lt;&gt;"",IF(L20="W","L","W"),"")</f>
        <v/>
      </c>
      <c r="L22" s="22"/>
      <c r="M22" s="26" t="str">
        <f ca="1">IF(VLOOKUP("JK",Team_Matches!$AH$1:$AJ$66,2,FALSE)&lt;&gt;"",IF(VLOOKUP("JK",Team_Matches!$AH$1:$AJ$66,2,FALSE)&gt;=3,"W",IF(VLOOKUP("JK",Team_Matches!$AH$1:$AJ$66,3,FALSE)&gt;=3,"L","")),"")</f>
        <v/>
      </c>
      <c r="N22" s="44" t="str">
        <f ca="1">IF(VLOOKUP("JL",Team_Matches!$AH$1:$AJ$66,2,FALSE)&lt;&gt;"",IF(VLOOKUP("JL",Team_Matches!$AH$1:$AJ$66,2,FALSE)&gt;=3,"W",IF(VLOOKUP("JL",Team_Matches!$AH$1:$AJ$66,3,FALSE)&gt;=3,"L","")),"")</f>
        <v/>
      </c>
      <c r="O22" s="181" t="str">
        <f ca="1">CHOOSE($T$1,O137,O138,O139,O140,O141,O142,O143,O144,O145,O146,O147)</f>
        <v/>
      </c>
      <c r="P22" s="182" t="str">
        <f ca="1">CHOOSE($T$1,P137,P138,P139,P140,P141,P142,P143,P144,P145,P146,P147)</f>
        <v/>
      </c>
      <c r="Q22" s="182" t="str">
        <f ca="1">CHOOSE($T$1,Q137,Q138,Q139,Q140,Q141,Q142,Q143,Q144,Q145,Q146,Q147)</f>
        <v/>
      </c>
      <c r="R22" s="180" t="str">
        <f ca="1">CHOOSE($T$1,R137,R138,R139,R140,R141,R142,R143,R144,R145,R146,R147)</f>
        <v/>
      </c>
      <c r="T22" s="115" t="s">
        <v>50</v>
      </c>
      <c r="U22" s="119" t="str">
        <f ca="1">HYPERLINK(MID(CELL("filename",$A$1),SEARCH("[",CELL("filename",$A$1)),SEARCH("]",CELL("filename",$A$1))-SEARCH("[",CELL("filename",$A$1))+1)&amp;VLOOKUP("AG",Team_Matches!$AH$1:$AL$66,5,FALSE),"M")</f>
        <v>M</v>
      </c>
      <c r="V22" s="119" t="str">
        <f ca="1">HYPERLINK(MID(CELL("filename",$A$1),SEARCH("[",CELL("filename",$A$1)),SEARCH("]",CELL("filename",$A$1))-SEARCH("[",CELL("filename",$A$1))+1)&amp;VLOOKUP("BG",Team_Matches!$AH$1:$AL$66,5,FALSE),"M")</f>
        <v>M</v>
      </c>
      <c r="W22" s="119" t="str">
        <f ca="1">HYPERLINK(MID(CELL("filename",$A$1),SEARCH("[",CELL("filename",$A$1)),SEARCH("]",CELL("filename",$A$1))-SEARCH("[",CELL("filename",$A$1))+1)&amp;VLOOKUP("CG",Team_Matches!$AH$1:$AL$66,5,FALSE),"M")</f>
        <v>M</v>
      </c>
      <c r="X22" s="119" t="str">
        <f ca="1">HYPERLINK(MID(CELL("filename",$A$1),SEARCH("[",CELL("filename",$A$1)),SEARCH("]",CELL("filename",$A$1))-SEARCH("[",CELL("filename",$A$1))+1)&amp;VLOOKUP("DG",Team_Matches!$AH$1:$AL$66,5,FALSE),"M")</f>
        <v>M</v>
      </c>
      <c r="Y22" s="119" t="str">
        <f ca="1">HYPERLINK(MID(CELL("filename",$A$1),SEARCH("[",CELL("filename",$A$1)),SEARCH("]",CELL("filename",$A$1))-SEARCH("[",CELL("filename",$A$1))+1)&amp;VLOOKUP("EG",Team_Matches!$AH$1:$AL$66,5,FALSE),"M")</f>
        <v>M</v>
      </c>
      <c r="Z22" s="119" t="str">
        <f ca="1">HYPERLINK(MID(CELL("filename",$A$1),SEARCH("[",CELL("filename",$A$1)),SEARCH("]",CELL("filename",$A$1))-SEARCH("[",CELL("filename",$A$1))+1)&amp;VLOOKUP("FG",Team_Matches!$AH$1:$AL$66,5,FALSE),"M")</f>
        <v>M</v>
      </c>
      <c r="AA22" s="118"/>
      <c r="AB22" s="119" t="str">
        <f ca="1">HYPERLINK(MID(CELL("filename",$A$1),SEARCH("[",CELL("filename",$A$1)),SEARCH("]",CELL("filename",$A$1))-SEARCH("[",CELL("filename",$A$1))+1)&amp;VLOOKUP("GH",Team_Matches!$AH$1:$AK$66,4,FALSE),"T")</f>
        <v>T</v>
      </c>
      <c r="AC22" s="119" t="str">
        <f ca="1">HYPERLINK(MID(CELL("filename",$A$1),SEARCH("[",CELL("filename",$A$1)),SEARCH("]",CELL("filename",$A$1))-SEARCH("[",CELL("filename",$A$1))+1)&amp;VLOOKUP("GI",Team_Matches!$AH$1:$AK$66,4,FALSE),"T")</f>
        <v>T</v>
      </c>
      <c r="AD22" s="119" t="str">
        <f ca="1">HYPERLINK(MID(CELL("filename",$A$1),SEARCH("[",CELL("filename",$A$1)),SEARCH("]",CELL("filename",$A$1))-SEARCH("[",CELL("filename",$A$1))+1)&amp;VLOOKUP("GJ",Team_Matches!$AH$1:$AK$66,4,FALSE),"T")</f>
        <v>T</v>
      </c>
      <c r="AE22" s="119" t="str">
        <f ca="1">HYPERLINK(MID(CELL("filename",$A$1),SEARCH("[",CELL("filename",$A$1)),SEARCH("]",CELL("filename",$A$1))-SEARCH("[",CELL("filename",$A$1))+1)&amp;VLOOKUP("GK",Team_Matches!$AH$1:$AK$66,4,FALSE),"T")</f>
        <v>T</v>
      </c>
      <c r="AF22" s="119" t="str">
        <f ca="1">HYPERLINK(MID(CELL("filename",$A$1),SEARCH("[",CELL("filename",$A$1)),SEARCH("]",CELL("filename",$A$1))-SEARCH("[",CELL("filename",$A$1))+1)&amp;VLOOKUP("GL",Team_Matches!$AH$1:$AK$66,4,FALSE),"T")</f>
        <v>T</v>
      </c>
      <c r="AG22" s="135"/>
      <c r="AH22" s="135"/>
      <c r="AI22" s="135"/>
      <c r="AJ22" s="138">
        <v>0.40277777777777773</v>
      </c>
      <c r="AK22" s="140"/>
      <c r="AL22" s="135"/>
    </row>
    <row r="23" spans="1:38" ht="12.75" customHeight="1" x14ac:dyDescent="0.25">
      <c r="A23" s="190"/>
      <c r="B23" s="188"/>
      <c r="C23" s="27" t="str">
        <f ca="1">IF(L5&lt;&gt;"",CONCATENATE(RIGHT(L5,1),"-",LEFT(L5,1)),"")</f>
        <v/>
      </c>
      <c r="D23" s="28" t="str">
        <f ca="1">IF(L7&lt;&gt;"",CONCATENATE(RIGHT(L7,1),"-",LEFT(L7,1)),"")</f>
        <v/>
      </c>
      <c r="E23" s="28" t="str">
        <f ca="1">IF(L9&lt;&gt;"",CONCATENATE(RIGHT(L9,1),"-",LEFT(L9,1)),"")</f>
        <v/>
      </c>
      <c r="F23" s="28" t="str">
        <f ca="1">IF(L11&lt;&gt;"",CONCATENATE(RIGHT(L11,1),"-",LEFT(L11,1)),"")</f>
        <v/>
      </c>
      <c r="G23" s="28" t="str">
        <f ca="1">IF(L13&lt;&gt;"",CONCATENATE(RIGHT(L13,1),"-",LEFT(L13,1)),"")</f>
        <v/>
      </c>
      <c r="H23" s="28" t="str">
        <f ca="1">IF(L15&lt;&gt;"",CONCATENATE(RIGHT(L15,1),"-",LEFT(L15,1)),"")</f>
        <v/>
      </c>
      <c r="I23" s="28" t="str">
        <f ca="1">IF(L17&lt;&gt;"",CONCATENATE(RIGHT(L17,1),"-",LEFT(L17,1)),"")</f>
        <v/>
      </c>
      <c r="J23" s="28" t="str">
        <f ca="1">IF(L19&lt;&gt;"",CONCATENATE(RIGHT(L19,1),"-",LEFT(L19,1)),"")</f>
        <v/>
      </c>
      <c r="K23" s="28" t="str">
        <f ca="1">IF(L21&lt;&gt;"",CONCATENATE(RIGHT(L21,1),"-",LEFT(L21,1)),"")</f>
        <v/>
      </c>
      <c r="L23" s="24"/>
      <c r="M23" s="28" t="str">
        <f ca="1">IF(VLOOKUP("JK",Team_Matches!$AH$1:$AJ$66,2,FALSE)="","",CONCATENATE(VLOOKUP("JK",Team_Matches!$AH$1:$AJ$66,2,FALSE),"-",VLOOKUP("JK",Team_Matches!$AH$1:$AJ$66,3,FALSE)))</f>
        <v/>
      </c>
      <c r="N23" s="43" t="str">
        <f ca="1">IF(VLOOKUP("JL",Team_Matches!$AH$1:$AJ$66,2,FALSE)="","",CONCATENATE(VLOOKUP("JL",Team_Matches!$AH$1:$AJ$66,2,FALSE),"-",VLOOKUP("JL",Team_Matches!$AH$1:$AJ$66,3,FALSE)))</f>
        <v/>
      </c>
      <c r="O23" s="181"/>
      <c r="P23" s="182"/>
      <c r="Q23" s="182"/>
      <c r="R23" s="180"/>
      <c r="T23" s="115" t="s">
        <v>51</v>
      </c>
      <c r="U23" s="119" t="str">
        <f ca="1">HYPERLINK(MID(CELL("filename",$A$1),SEARCH("[",CELL("filename",$A$1)),SEARCH("]",CELL("filename",$A$1))-SEARCH("[",CELL("filename",$A$1))+1)&amp;VLOOKUP("AH",Team_Matches!$AH$1:$AL$66,5,FALSE),"M")</f>
        <v>M</v>
      </c>
      <c r="V23" s="119" t="str">
        <f ca="1">HYPERLINK(MID(CELL("filename",$A$1),SEARCH("[",CELL("filename",$A$1)),SEARCH("]",CELL("filename",$A$1))-SEARCH("[",CELL("filename",$A$1))+1)&amp;VLOOKUP("BH",Team_Matches!$AH$1:$AL$66,5,FALSE),"M")</f>
        <v>M</v>
      </c>
      <c r="W23" s="119" t="str">
        <f ca="1">HYPERLINK(MID(CELL("filename",$A$1),SEARCH("[",CELL("filename",$A$1)),SEARCH("]",CELL("filename",$A$1))-SEARCH("[",CELL("filename",$A$1))+1)&amp;VLOOKUP("CH",Team_Matches!$AH$1:$AL$66,5,FALSE),"M")</f>
        <v>M</v>
      </c>
      <c r="X23" s="119" t="str">
        <f ca="1">HYPERLINK(MID(CELL("filename",$A$1),SEARCH("[",CELL("filename",$A$1)),SEARCH("]",CELL("filename",$A$1))-SEARCH("[",CELL("filename",$A$1))+1)&amp;VLOOKUP("DH",Team_Matches!$AH$1:$AL$66,5,FALSE),"M")</f>
        <v>M</v>
      </c>
      <c r="Y23" s="119" t="str">
        <f ca="1">HYPERLINK(MID(CELL("filename",$A$1),SEARCH("[",CELL("filename",$A$1)),SEARCH("]",CELL("filename",$A$1))-SEARCH("[",CELL("filename",$A$1))+1)&amp;VLOOKUP("EH",Team_Matches!$AH$1:$AL$66,5,FALSE),"M")</f>
        <v>M</v>
      </c>
      <c r="Z23" s="119" t="str">
        <f ca="1">HYPERLINK(MID(CELL("filename",$A$1),SEARCH("[",CELL("filename",$A$1)),SEARCH("]",CELL("filename",$A$1))-SEARCH("[",CELL("filename",$A$1))+1)&amp;VLOOKUP("FH",Team_Matches!$AH$1:$AL$66,5,FALSE),"M")</f>
        <v>M</v>
      </c>
      <c r="AA23" s="119" t="str">
        <f ca="1">HYPERLINK(MID(CELL("filename",$A$1),SEARCH("[",CELL("filename",$A$1)),SEARCH("]",CELL("filename",$A$1))-SEARCH("[",CELL("filename",$A$1))+1)&amp;VLOOKUP("GH",Team_Matches!$AH$1:$AL$66,5,FALSE),"M")</f>
        <v>M</v>
      </c>
      <c r="AB23" s="118"/>
      <c r="AC23" s="119" t="str">
        <f ca="1">HYPERLINK(MID(CELL("filename",$A$1),SEARCH("[",CELL("filename",$A$1)),SEARCH("]",CELL("filename",$A$1))-SEARCH("[",CELL("filename",$A$1))+1)&amp;VLOOKUP("HI",Team_Matches!$AH$1:$AK$66,4,FALSE),"T")</f>
        <v>T</v>
      </c>
      <c r="AD23" s="119" t="str">
        <f ca="1">HYPERLINK(MID(CELL("filename",$A$1),SEARCH("[",CELL("filename",$A$1)),SEARCH("]",CELL("filename",$A$1))-SEARCH("[",CELL("filename",$A$1))+1)&amp;VLOOKUP("HJ",Team_Matches!$AH$1:$AK$66,4,FALSE),"T")</f>
        <v>T</v>
      </c>
      <c r="AE23" s="119" t="str">
        <f ca="1">HYPERLINK(MID(CELL("filename",$A$1),SEARCH("[",CELL("filename",$A$1)),SEARCH("]",CELL("filename",$A$1))-SEARCH("[",CELL("filename",$A$1))+1)&amp;VLOOKUP("HK",Team_Matches!$AH$1:$AK$66,4,FALSE),"T")</f>
        <v>T</v>
      </c>
      <c r="AF23" s="119" t="str">
        <f ca="1">HYPERLINK(MID(CELL("filename",$A$1),SEARCH("[",CELL("filename",$A$1)),SEARCH("]",CELL("filename",$A$1))-SEARCH("[",CELL("filename",$A$1))+1)&amp;VLOOKUP("HL",Team_Matches!$AH$1:$AK$66,4,FALSE),"T")</f>
        <v>T</v>
      </c>
      <c r="AG23" s="135"/>
      <c r="AH23" s="135"/>
      <c r="AI23" s="135"/>
      <c r="AJ23" s="138">
        <v>0.40625</v>
      </c>
      <c r="AK23" s="140"/>
      <c r="AL23" s="135"/>
    </row>
    <row r="24" spans="1:38" ht="12.75" customHeight="1" x14ac:dyDescent="0.25">
      <c r="A24" s="190" t="s">
        <v>54</v>
      </c>
      <c r="B24" s="187"/>
      <c r="C24" s="25" t="str">
        <f ca="1">IF(M4&lt;&gt;"",IF(M4="W","L","W"),"")</f>
        <v/>
      </c>
      <c r="D24" s="26" t="str">
        <f ca="1">IF(M6&lt;&gt;"",IF(M6="W","L","W"),"")</f>
        <v/>
      </c>
      <c r="E24" s="26" t="str">
        <f ca="1">IF(M8&lt;&gt;"",IF(M8="W","L","W"),"")</f>
        <v/>
      </c>
      <c r="F24" s="26" t="str">
        <f ca="1">IF(M10&lt;&gt;"",IF(M10="W","L","W"),"")</f>
        <v/>
      </c>
      <c r="G24" s="26" t="str">
        <f ca="1">IF(M12&lt;&gt;"",IF(M12="W","L","W"),"")</f>
        <v/>
      </c>
      <c r="H24" s="26" t="str">
        <f ca="1">IF(M14&lt;&gt;"",IF(M14="W","L","W"),"")</f>
        <v/>
      </c>
      <c r="I24" s="26" t="str">
        <f ca="1">IF(M16&lt;&gt;"",IF(M16="W","L","W"),"")</f>
        <v/>
      </c>
      <c r="J24" s="26" t="str">
        <f ca="1">IF(M18&lt;&gt;"",IF(M18="W","L","W"),"")</f>
        <v/>
      </c>
      <c r="K24" s="26" t="str">
        <f ca="1">IF(M20&lt;&gt;"",IF(M20="W","L","W"),"")</f>
        <v/>
      </c>
      <c r="L24" s="26" t="str">
        <f ca="1">IF(M22&lt;&gt;"",IF(M22="W","L","W"),"")</f>
        <v/>
      </c>
      <c r="M24" s="22"/>
      <c r="N24" s="44" t="str">
        <f ca="1">IF(VLOOKUP("KL",Team_Matches!$AH$1:$AJ$66,2,FALSE)&lt;&gt;"",IF(VLOOKUP("KL",Team_Matches!$AH$1:$AJ$66,2,FALSE)&gt;=3,"W",IF(VLOOKUP("KL",Team_Matches!$AH$1:$AJ$66,3,FALSE)&gt;=3,"L","")),"")</f>
        <v/>
      </c>
      <c r="O24" s="181" t="str">
        <f ca="1">CHOOSE($T$1,O149,O150,O151,O152,O153,O154,O155,O156,O157,O158,O159)</f>
        <v/>
      </c>
      <c r="P24" s="182" t="str">
        <f ca="1">CHOOSE($T$1,P149,P150,P151,P152,P153,P154,P155,P156,P157,P158,P159)</f>
        <v/>
      </c>
      <c r="Q24" s="182" t="str">
        <f ca="1">CHOOSE($T$1,Q149,Q150,Q151,Q152,Q153,Q154,Q155,Q156,Q157,Q158,Q159)</f>
        <v/>
      </c>
      <c r="R24" s="180" t="str">
        <f ca="1">CHOOSE($T$1,R149,R150,R151,R152,R153,R154,R155,R156,R157,R158,R159)</f>
        <v/>
      </c>
      <c r="T24" s="115" t="s">
        <v>52</v>
      </c>
      <c r="U24" s="119" t="str">
        <f ca="1">HYPERLINK(MID(CELL("filename",$A$1),SEARCH("[",CELL("filename",$A$1)),SEARCH("]",CELL("filename",$A$1))-SEARCH("[",CELL("filename",$A$1))+1)&amp;VLOOKUP("AI",Team_Matches!$AH$1:$AL$66,5,FALSE),"M")</f>
        <v>M</v>
      </c>
      <c r="V24" s="119" t="str">
        <f ca="1">HYPERLINK(MID(CELL("filename",$A$1),SEARCH("[",CELL("filename",$A$1)),SEARCH("]",CELL("filename",$A$1))-SEARCH("[",CELL("filename",$A$1))+1)&amp;VLOOKUP("BI",Team_Matches!$AH$1:$AL$66,5,FALSE),"M")</f>
        <v>M</v>
      </c>
      <c r="W24" s="119" t="str">
        <f ca="1">HYPERLINK(MID(CELL("filename",$A$1),SEARCH("[",CELL("filename",$A$1)),SEARCH("]",CELL("filename",$A$1))-SEARCH("[",CELL("filename",$A$1))+1)&amp;VLOOKUP("CI",Team_Matches!$AH$1:$AL$66,5,FALSE),"M")</f>
        <v>M</v>
      </c>
      <c r="X24" s="119" t="str">
        <f ca="1">HYPERLINK(MID(CELL("filename",$A$1),SEARCH("[",CELL("filename",$A$1)),SEARCH("]",CELL("filename",$A$1))-SEARCH("[",CELL("filename",$A$1))+1)&amp;VLOOKUP("DI",Team_Matches!$AH$1:$AL$66,5,FALSE),"M")</f>
        <v>M</v>
      </c>
      <c r="Y24" s="119" t="str">
        <f ca="1">HYPERLINK(MID(CELL("filename",$A$1),SEARCH("[",CELL("filename",$A$1)),SEARCH("]",CELL("filename",$A$1))-SEARCH("[",CELL("filename",$A$1))+1)&amp;VLOOKUP("EI",Team_Matches!$AH$1:$AL$66,5,FALSE),"M")</f>
        <v>M</v>
      </c>
      <c r="Z24" s="119" t="str">
        <f ca="1">HYPERLINK(MID(CELL("filename",$A$1),SEARCH("[",CELL("filename",$A$1)),SEARCH("]",CELL("filename",$A$1))-SEARCH("[",CELL("filename",$A$1))+1)&amp;VLOOKUP("FI",Team_Matches!$AH$1:$AL$66,5,FALSE),"M")</f>
        <v>M</v>
      </c>
      <c r="AA24" s="119" t="str">
        <f ca="1">HYPERLINK(MID(CELL("filename",$A$1),SEARCH("[",CELL("filename",$A$1)),SEARCH("]",CELL("filename",$A$1))-SEARCH("[",CELL("filename",$A$1))+1)&amp;VLOOKUP("GI",Team_Matches!$AH$1:$AL$66,5,FALSE),"M")</f>
        <v>M</v>
      </c>
      <c r="AB24" s="119" t="str">
        <f ca="1">HYPERLINK(MID(CELL("filename",$A$1),SEARCH("[",CELL("filename",$A$1)),SEARCH("]",CELL("filename",$A$1))-SEARCH("[",CELL("filename",$A$1))+1)&amp;VLOOKUP("HI",Team_Matches!$AH$1:$AL$66,5,FALSE),"M")</f>
        <v>M</v>
      </c>
      <c r="AC24" s="118"/>
      <c r="AD24" s="119" t="str">
        <f ca="1">HYPERLINK(MID(CELL("filename",$A$1),SEARCH("[",CELL("filename",$A$1)),SEARCH("]",CELL("filename",$A$1))-SEARCH("[",CELL("filename",$A$1))+1)&amp;VLOOKUP("IJ",Team_Matches!$AH$1:$AK$66,4,FALSE),"T")</f>
        <v>T</v>
      </c>
      <c r="AE24" s="119" t="str">
        <f ca="1">HYPERLINK(MID(CELL("filename",$A$1),SEARCH("[",CELL("filename",$A$1)),SEARCH("]",CELL("filename",$A$1))-SEARCH("[",CELL("filename",$A$1))+1)&amp;VLOOKUP("IK",Team_Matches!$AH$1:$AK$66,4,FALSE),"T")</f>
        <v>T</v>
      </c>
      <c r="AF24" s="119" t="str">
        <f ca="1">HYPERLINK(MID(CELL("filename",$A$1),SEARCH("[",CELL("filename",$A$1)),SEARCH("]",CELL("filename",$A$1))-SEARCH("[",CELL("filename",$A$1))+1)&amp;VLOOKUP("IL",Team_Matches!$AH$1:$AK$66,4,FALSE),"T")</f>
        <v>T</v>
      </c>
      <c r="AG24" s="135"/>
      <c r="AH24" s="135"/>
      <c r="AI24" s="135"/>
      <c r="AJ24" s="138">
        <v>0.40972222222222227</v>
      </c>
      <c r="AK24" s="140"/>
      <c r="AL24" s="135"/>
    </row>
    <row r="25" spans="1:38" ht="12.75" customHeight="1" x14ac:dyDescent="0.25">
      <c r="A25" s="190"/>
      <c r="B25" s="188"/>
      <c r="C25" s="27" t="str">
        <f ca="1">IF(M5&lt;&gt;"",CONCATENATE(RIGHT(M5,1),"-",LEFT(M5,1)),"")</f>
        <v/>
      </c>
      <c r="D25" s="28" t="str">
        <f ca="1">IF(M7&lt;&gt;"",CONCATENATE(RIGHT(M7,1),"-",LEFT(M7,1)),"")</f>
        <v/>
      </c>
      <c r="E25" s="28" t="str">
        <f ca="1">IF(M9&lt;&gt;"",CONCATENATE(RIGHT(M9,1),"-",LEFT(M9,1)),"")</f>
        <v/>
      </c>
      <c r="F25" s="28" t="str">
        <f ca="1">IF(M11&lt;&gt;"",CONCATENATE(RIGHT(M11,1),"-",LEFT(M11,1)),"")</f>
        <v/>
      </c>
      <c r="G25" s="28" t="str">
        <f ca="1">IF(M13&lt;&gt;"",CONCATENATE(RIGHT(M13,1),"-",LEFT(M13,1)),"")</f>
        <v/>
      </c>
      <c r="H25" s="28" t="str">
        <f ca="1">IF(M15&lt;&gt;"",CONCATENATE(RIGHT(M15,1),"-",LEFT(M15,1)),"")</f>
        <v/>
      </c>
      <c r="I25" s="28" t="str">
        <f ca="1">IF(M17&lt;&gt;"",CONCATENATE(RIGHT(M17,1),"-",LEFT(M17,1)),"")</f>
        <v/>
      </c>
      <c r="J25" s="28" t="str">
        <f ca="1">IF(M19&lt;&gt;"",CONCATENATE(RIGHT(M19,1),"-",LEFT(M19,1)),"")</f>
        <v/>
      </c>
      <c r="K25" s="28" t="str">
        <f ca="1">IF(M21&lt;&gt;"",CONCATENATE(RIGHT(M21,1),"-",LEFT(M21,1)),"")</f>
        <v/>
      </c>
      <c r="L25" s="28" t="str">
        <f ca="1">IF(M23&lt;&gt;"",CONCATENATE(RIGHT(M23,1),"-",LEFT(M23,1)),"")</f>
        <v/>
      </c>
      <c r="M25" s="24"/>
      <c r="N25" s="43" t="str">
        <f ca="1">IF(VLOOKUP("KL",Team_Matches!$AH$1:$AJ$66,2,FALSE)="","",CONCATENATE(VLOOKUP("KL",Team_Matches!$AH$1:$AJ$66,2,FALSE),"-",VLOOKUP("KL",Team_Matches!$AH$1:$AJ$66,3,FALSE)))</f>
        <v/>
      </c>
      <c r="O25" s="181"/>
      <c r="P25" s="182"/>
      <c r="Q25" s="182"/>
      <c r="R25" s="180"/>
      <c r="T25" s="115" t="s">
        <v>53</v>
      </c>
      <c r="U25" s="119" t="str">
        <f ca="1">HYPERLINK(MID(CELL("filename",$A$1),SEARCH("[",CELL("filename",$A$1)),SEARCH("]",CELL("filename",$A$1))-SEARCH("[",CELL("filename",$A$1))+1)&amp;VLOOKUP("AJ",Team_Matches!$AH$1:$AL$66,5,FALSE),"M")</f>
        <v>M</v>
      </c>
      <c r="V25" s="119" t="str">
        <f ca="1">HYPERLINK(MID(CELL("filename",$A$1),SEARCH("[",CELL("filename",$A$1)),SEARCH("]",CELL("filename",$A$1))-SEARCH("[",CELL("filename",$A$1))+1)&amp;VLOOKUP("BJ",Team_Matches!$AH$1:$AL$66,5,FALSE),"M")</f>
        <v>M</v>
      </c>
      <c r="W25" s="119" t="str">
        <f ca="1">HYPERLINK(MID(CELL("filename",$A$1),SEARCH("[",CELL("filename",$A$1)),SEARCH("]",CELL("filename",$A$1))-SEARCH("[",CELL("filename",$A$1))+1)&amp;VLOOKUP("CJ",Team_Matches!$AH$1:$AL$66,5,FALSE),"M")</f>
        <v>M</v>
      </c>
      <c r="X25" s="119" t="str">
        <f ca="1">HYPERLINK(MID(CELL("filename",$A$1),SEARCH("[",CELL("filename",$A$1)),SEARCH("]",CELL("filename",$A$1))-SEARCH("[",CELL("filename",$A$1))+1)&amp;VLOOKUP("DJ",Team_Matches!$AH$1:$AL$66,5,FALSE),"M")</f>
        <v>M</v>
      </c>
      <c r="Y25" s="119" t="str">
        <f ca="1">HYPERLINK(MID(CELL("filename",$A$1),SEARCH("[",CELL("filename",$A$1)),SEARCH("]",CELL("filename",$A$1))-SEARCH("[",CELL("filename",$A$1))+1)&amp;VLOOKUP("EJ",Team_Matches!$AH$1:$AL$66,5,FALSE),"M")</f>
        <v>M</v>
      </c>
      <c r="Z25" s="119" t="str">
        <f ca="1">HYPERLINK(MID(CELL("filename",$A$1),SEARCH("[",CELL("filename",$A$1)),SEARCH("]",CELL("filename",$A$1))-SEARCH("[",CELL("filename",$A$1))+1)&amp;VLOOKUP("FJ",Team_Matches!$AH$1:$AL$66,5,FALSE),"M")</f>
        <v>M</v>
      </c>
      <c r="AA25" s="119" t="str">
        <f ca="1">HYPERLINK(MID(CELL("filename",$A$1),SEARCH("[",CELL("filename",$A$1)),SEARCH("]",CELL("filename",$A$1))-SEARCH("[",CELL("filename",$A$1))+1)&amp;VLOOKUP("GJ",Team_Matches!$AH$1:$AL$66,5,FALSE),"M")</f>
        <v>M</v>
      </c>
      <c r="AB25" s="119" t="str">
        <f ca="1">HYPERLINK(MID(CELL("filename",$A$1),SEARCH("[",CELL("filename",$A$1)),SEARCH("]",CELL("filename",$A$1))-SEARCH("[",CELL("filename",$A$1))+1)&amp;VLOOKUP("HJ",Team_Matches!$AH$1:$AL$66,5,FALSE),"M")</f>
        <v>M</v>
      </c>
      <c r="AC25" s="119" t="str">
        <f ca="1">HYPERLINK(MID(CELL("filename",$A$1),SEARCH("[",CELL("filename",$A$1)),SEARCH("]",CELL("filename",$A$1))-SEARCH("[",CELL("filename",$A$1))+1)&amp;VLOOKUP("IJ",Team_Matches!$AH$1:$AL$66,5,FALSE),"M")</f>
        <v>M</v>
      </c>
      <c r="AD25" s="118"/>
      <c r="AE25" s="119" t="str">
        <f ca="1">HYPERLINK(MID(CELL("filename",$A$1),SEARCH("[",CELL("filename",$A$1)),SEARCH("]",CELL("filename",$A$1))-SEARCH("[",CELL("filename",$A$1))+1)&amp;VLOOKUP("JK",Team_Matches!$AH$1:$AK$66,4,FALSE),"T")</f>
        <v>T</v>
      </c>
      <c r="AF25" s="119" t="str">
        <f ca="1">HYPERLINK(MID(CELL("filename",$A$1),SEARCH("[",CELL("filename",$A$1)),SEARCH("]",CELL("filename",$A$1))-SEARCH("[",CELL("filename",$A$1))+1)&amp;VLOOKUP("JL",Team_Matches!$AH$1:$AK$66,4,FALSE),"T")</f>
        <v>T</v>
      </c>
      <c r="AG25" s="135"/>
      <c r="AH25" s="135"/>
      <c r="AI25" s="135"/>
      <c r="AJ25" s="138">
        <v>0.41319444444444442</v>
      </c>
      <c r="AK25" s="140"/>
      <c r="AL25" s="135"/>
    </row>
    <row r="26" spans="1:38" ht="12.75" customHeight="1" x14ac:dyDescent="0.25">
      <c r="A26" s="190" t="s">
        <v>55</v>
      </c>
      <c r="B26" s="194"/>
      <c r="C26" s="25" t="str">
        <f ca="1">IF(N4&lt;&gt;"",IF(N4="W","L","W"),"")</f>
        <v/>
      </c>
      <c r="D26" s="26" t="str">
        <f ca="1">IF(N6&lt;&gt;"",IF(N6="W","L","W"),"")</f>
        <v/>
      </c>
      <c r="E26" s="26" t="str">
        <f ca="1">IF(N8&lt;&gt;"",IF(N8="W","L","W"),"")</f>
        <v/>
      </c>
      <c r="F26" s="26" t="str">
        <f ca="1">IF(N10&lt;&gt;"",IF(N10="W","L","W"),"")</f>
        <v/>
      </c>
      <c r="G26" s="26" t="str">
        <f ca="1">IF(N12&lt;&gt;"",IF(N12="W","L","W"),"")</f>
        <v/>
      </c>
      <c r="H26" s="26" t="str">
        <f ca="1">IF(N14&lt;&gt;"",IF(N14="W","L","W"),"")</f>
        <v/>
      </c>
      <c r="I26" s="26" t="str">
        <f ca="1">IF(N16&lt;&gt;"",IF(N16="W","L","W"),"")</f>
        <v/>
      </c>
      <c r="J26" s="26" t="str">
        <f ca="1">IF(N18&lt;&gt;"",IF(N18="W","L","W"),"")</f>
        <v/>
      </c>
      <c r="K26" s="26" t="str">
        <f ca="1">IF(N20&lt;&gt;"",IF(N20="W","L","W"),"")</f>
        <v/>
      </c>
      <c r="L26" s="26" t="str">
        <f ca="1">IF(N22&lt;&gt;"",IF(N22="W","L","W"),"")</f>
        <v/>
      </c>
      <c r="M26" s="26" t="str">
        <f ca="1">IF(N24&lt;&gt;"",IF(N24="W","L","W"),"")</f>
        <v/>
      </c>
      <c r="N26" s="29"/>
      <c r="O26" s="181" t="str">
        <f ca="1">CHOOSE($T$1,O161,O162,O163,O164,O165,O166,O167,O168,O169,O170,O171)</f>
        <v/>
      </c>
      <c r="P26" s="182" t="str">
        <f ca="1">CHOOSE($T$1,P161,P162,P163,P164,P165,P166,P167,P168,P169,P170,P171)</f>
        <v/>
      </c>
      <c r="Q26" s="182" t="str">
        <f ca="1">CHOOSE($T$1,Q161,Q162,Q163,Q164,Q165,Q166,Q167,Q168,Q169,Q170,Q171)</f>
        <v/>
      </c>
      <c r="R26" s="180" t="str">
        <f ca="1">CHOOSE($T$1,R161,R162,R163,R164,R165,R166,R167,R168,R169,R170,R171)</f>
        <v/>
      </c>
      <c r="T26" s="115" t="s">
        <v>54</v>
      </c>
      <c r="U26" s="119" t="str">
        <f ca="1">HYPERLINK(MID(CELL("filename",$A$1),SEARCH("[",CELL("filename",$A$1)),SEARCH("]",CELL("filename",$A$1))-SEARCH("[",CELL("filename",$A$1))+1)&amp;VLOOKUP("AK",Team_Matches!$AH$1:$AL$66,5,FALSE),"M")</f>
        <v>M</v>
      </c>
      <c r="V26" s="119" t="str">
        <f ca="1">HYPERLINK(MID(CELL("filename",$A$1),SEARCH("[",CELL("filename",$A$1)),SEARCH("]",CELL("filename",$A$1))-SEARCH("[",CELL("filename",$A$1))+1)&amp;VLOOKUP("BK",Team_Matches!$AH$1:$AL$66,5,FALSE),"M")</f>
        <v>M</v>
      </c>
      <c r="W26" s="119" t="str">
        <f ca="1">HYPERLINK(MID(CELL("filename",$A$1),SEARCH("[",CELL("filename",$A$1)),SEARCH("]",CELL("filename",$A$1))-SEARCH("[",CELL("filename",$A$1))+1)&amp;VLOOKUP("CK",Team_Matches!$AH$1:$AL$66,5,FALSE),"M")</f>
        <v>M</v>
      </c>
      <c r="X26" s="119" t="str">
        <f ca="1">HYPERLINK(MID(CELL("filename",$A$1),SEARCH("[",CELL("filename",$A$1)),SEARCH("]",CELL("filename",$A$1))-SEARCH("[",CELL("filename",$A$1))+1)&amp;VLOOKUP("DK",Team_Matches!$AH$1:$AL$66,5,FALSE),"M")</f>
        <v>M</v>
      </c>
      <c r="Y26" s="119" t="str">
        <f ca="1">HYPERLINK(MID(CELL("filename",$A$1),SEARCH("[",CELL("filename",$A$1)),SEARCH("]",CELL("filename",$A$1))-SEARCH("[",CELL("filename",$A$1))+1)&amp;VLOOKUP("EK",Team_Matches!$AH$1:$AL$66,5,FALSE),"M")</f>
        <v>M</v>
      </c>
      <c r="Z26" s="119" t="str">
        <f ca="1">HYPERLINK(MID(CELL("filename",$A$1),SEARCH("[",CELL("filename",$A$1)),SEARCH("]",CELL("filename",$A$1))-SEARCH("[",CELL("filename",$A$1))+1)&amp;VLOOKUP("FK",Team_Matches!$AH$1:$AL$66,5,FALSE),"M")</f>
        <v>M</v>
      </c>
      <c r="AA26" s="119" t="str">
        <f ca="1">HYPERLINK(MID(CELL("filename",$A$1),SEARCH("[",CELL("filename",$A$1)),SEARCH("]",CELL("filename",$A$1))-SEARCH("[",CELL("filename",$A$1))+1)&amp;VLOOKUP("GK",Team_Matches!$AH$1:$AL$66,5,FALSE),"M")</f>
        <v>M</v>
      </c>
      <c r="AB26" s="119" t="str">
        <f ca="1">HYPERLINK(MID(CELL("filename",$A$1),SEARCH("[",CELL("filename",$A$1)),SEARCH("]",CELL("filename",$A$1))-SEARCH("[",CELL("filename",$A$1))+1)&amp;VLOOKUP("HK",Team_Matches!$AH$1:$AL$66,5,FALSE),"M")</f>
        <v>M</v>
      </c>
      <c r="AC26" s="119" t="str">
        <f ca="1">HYPERLINK(MID(CELL("filename",$A$1),SEARCH("[",CELL("filename",$A$1)),SEARCH("]",CELL("filename",$A$1))-SEARCH("[",CELL("filename",$A$1))+1)&amp;VLOOKUP("IK",Team_Matches!$AH$1:$AL$66,5,FALSE),"M")</f>
        <v>M</v>
      </c>
      <c r="AD26" s="119" t="str">
        <f ca="1">HYPERLINK(MID(CELL("filename",$A$1),SEARCH("[",CELL("filename",$A$1)),SEARCH("]",CELL("filename",$A$1))-SEARCH("[",CELL("filename",$A$1))+1)&amp;VLOOKUP("JK",Team_Matches!$AH$1:$AL$66,5,FALSE),"M")</f>
        <v>M</v>
      </c>
      <c r="AE26" s="118"/>
      <c r="AF26" s="119" t="str">
        <f ca="1">HYPERLINK(MID(CELL("filename",$A$1),SEARCH("[",CELL("filename",$A$1)),SEARCH("]",CELL("filename",$A$1))-SEARCH("[",CELL("filename",$A$1))+1)&amp;VLOOKUP("KL",Team_Matches!$AH$1:$AK$66,4,FALSE),"T")</f>
        <v>T</v>
      </c>
      <c r="AG26" s="135"/>
      <c r="AH26" s="135"/>
      <c r="AI26" s="135"/>
      <c r="AJ26" s="138">
        <v>0.41666666666666669</v>
      </c>
      <c r="AK26" s="140"/>
      <c r="AL26" s="135"/>
    </row>
    <row r="27" spans="1:38" ht="12.75" customHeight="1" thickBot="1" x14ac:dyDescent="0.3">
      <c r="A27" s="190"/>
      <c r="B27" s="195"/>
      <c r="C27" s="30" t="str">
        <f ca="1">IF(N5&lt;&gt;"",CONCATENATE(RIGHT(N5,1),"-",LEFT(N5,1)),"")</f>
        <v/>
      </c>
      <c r="D27" s="31" t="str">
        <f ca="1">IF(N7&lt;&gt;"",CONCATENATE(RIGHT(N7,1),"-",LEFT(N7,1)),"")</f>
        <v/>
      </c>
      <c r="E27" s="31" t="str">
        <f ca="1">IF(N9&lt;&gt;"",CONCATENATE(RIGHT(N9,1),"-",LEFT(N9,1)),"")</f>
        <v/>
      </c>
      <c r="F27" s="31" t="str">
        <f ca="1">IF(N11&lt;&gt;"",CONCATENATE(RIGHT(N11,1),"-",LEFT(N11,1)),"")</f>
        <v/>
      </c>
      <c r="G27" s="31" t="str">
        <f ca="1">IF(N13&lt;&gt;"",CONCATENATE(RIGHT(N13,1),"-",LEFT(N13,1)),"")</f>
        <v/>
      </c>
      <c r="H27" s="31" t="str">
        <f ca="1">IF(N15&lt;&gt;"",CONCATENATE(RIGHT(N15,1),"-",LEFT(N15,1)),"")</f>
        <v/>
      </c>
      <c r="I27" s="31" t="str">
        <f ca="1">IF(N17&lt;&gt;"",CONCATENATE(RIGHT(N17,1),"-",LEFT(N17,1)),"")</f>
        <v/>
      </c>
      <c r="J27" s="31" t="str">
        <f ca="1">IF(N19&lt;&gt;"",CONCATENATE(RIGHT(N19,1),"-",LEFT(N19,1)),"")</f>
        <v/>
      </c>
      <c r="K27" s="31" t="str">
        <f ca="1">IF(N21&lt;&gt;"",CONCATENATE(RIGHT(N21,1),"-",LEFT(N21,1)),"")</f>
        <v/>
      </c>
      <c r="L27" s="31" t="str">
        <f ca="1">IF(N23&lt;&gt;"",CONCATENATE(RIGHT(N23,1),"-",LEFT(N23,1)),"")</f>
        <v/>
      </c>
      <c r="M27" s="31" t="str">
        <f ca="1">IF(N25&lt;&gt;"",CONCATENATE(RIGHT(N25,1),"-",LEFT(N25,1)),"")</f>
        <v/>
      </c>
      <c r="N27" s="32"/>
      <c r="O27" s="189"/>
      <c r="P27" s="186"/>
      <c r="Q27" s="186"/>
      <c r="R27" s="185"/>
      <c r="T27" s="115" t="s">
        <v>55</v>
      </c>
      <c r="U27" s="119" t="str">
        <f ca="1">HYPERLINK(MID(CELL("filename",$A$1),SEARCH("[",CELL("filename",$A$1)),SEARCH("]",CELL("filename",$A$1))-SEARCH("[",CELL("filename",$A$1))+1)&amp;VLOOKUP("AL",Team_Matches!$AH$1:$AL$66,5,FALSE),"M")</f>
        <v>M</v>
      </c>
      <c r="V27" s="119" t="str">
        <f ca="1">HYPERLINK(MID(CELL("filename",$A$1),SEARCH("[",CELL("filename",$A$1)),SEARCH("]",CELL("filename",$A$1))-SEARCH("[",CELL("filename",$A$1))+1)&amp;VLOOKUP("BL",Team_Matches!$AH$1:$AL$66,5,FALSE),"M")</f>
        <v>M</v>
      </c>
      <c r="W27" s="119" t="str">
        <f ca="1">HYPERLINK(MID(CELL("filename",$A$1),SEARCH("[",CELL("filename",$A$1)),SEARCH("]",CELL("filename",$A$1))-SEARCH("[",CELL("filename",$A$1))+1)&amp;VLOOKUP("CL",Team_Matches!$AH$1:$AL$66,5,FALSE),"M")</f>
        <v>M</v>
      </c>
      <c r="X27" s="119" t="str">
        <f ca="1">HYPERLINK(MID(CELL("filename",$A$1),SEARCH("[",CELL("filename",$A$1)),SEARCH("]",CELL("filename",$A$1))-SEARCH("[",CELL("filename",$A$1))+1)&amp;VLOOKUP("DL",Team_Matches!$AH$1:$AL$66,5,FALSE),"M")</f>
        <v>M</v>
      </c>
      <c r="Y27" s="119" t="str">
        <f ca="1">HYPERLINK(MID(CELL("filename",$A$1),SEARCH("[",CELL("filename",$A$1)),SEARCH("]",CELL("filename",$A$1))-SEARCH("[",CELL("filename",$A$1))+1)&amp;VLOOKUP("EL",Team_Matches!$AH$1:$AL$66,5,FALSE),"M")</f>
        <v>M</v>
      </c>
      <c r="Z27" s="119" t="str">
        <f ca="1">HYPERLINK(MID(CELL("filename",$A$1),SEARCH("[",CELL("filename",$A$1)),SEARCH("]",CELL("filename",$A$1))-SEARCH("[",CELL("filename",$A$1))+1)&amp;VLOOKUP("FL",Team_Matches!$AH$1:$AL$66,5,FALSE),"M")</f>
        <v>M</v>
      </c>
      <c r="AA27" s="119" t="str">
        <f ca="1">HYPERLINK(MID(CELL("filename",$A$1),SEARCH("[",CELL("filename",$A$1)),SEARCH("]",CELL("filename",$A$1))-SEARCH("[",CELL("filename",$A$1))+1)&amp;VLOOKUP("GL",Team_Matches!$AH$1:$AL$66,5,FALSE),"M")</f>
        <v>M</v>
      </c>
      <c r="AB27" s="119" t="str">
        <f ca="1">HYPERLINK(MID(CELL("filename",$A$1),SEARCH("[",CELL("filename",$A$1)),SEARCH("]",CELL("filename",$A$1))-SEARCH("[",CELL("filename",$A$1))+1)&amp;VLOOKUP("HL",Team_Matches!$AH$1:$AL$66,5,FALSE),"M")</f>
        <v>M</v>
      </c>
      <c r="AC27" s="119" t="str">
        <f ca="1">HYPERLINK(MID(CELL("filename",$A$1),SEARCH("[",CELL("filename",$A$1)),SEARCH("]",CELL("filename",$A$1))-SEARCH("[",CELL("filename",$A$1))+1)&amp;VLOOKUP("IL",Team_Matches!$AH$1:$AL$66,5,FALSE),"M")</f>
        <v>M</v>
      </c>
      <c r="AD27" s="119" t="str">
        <f ca="1">HYPERLINK(MID(CELL("filename",$A$1),SEARCH("[",CELL("filename",$A$1)),SEARCH("]",CELL("filename",$A$1))-SEARCH("[",CELL("filename",$A$1))+1)&amp;VLOOKUP("JL",Team_Matches!$AH$1:$AL$66,5,FALSE),"M")</f>
        <v>M</v>
      </c>
      <c r="AE27" s="119" t="str">
        <f ca="1">HYPERLINK(MID(CELL("filename",$A$1),SEARCH("[",CELL("filename",$A$1)),SEARCH("]",CELL("filename",$A$1))-SEARCH("[",CELL("filename",$A$1))+1)&amp;VLOOKUP("KL",Team_Matches!$AH$1:$AL$66,5,FALSE),"M")</f>
        <v>M</v>
      </c>
      <c r="AF27" s="118"/>
      <c r="AG27" s="135"/>
      <c r="AH27" s="135"/>
      <c r="AI27" s="135"/>
      <c r="AJ27" s="138">
        <v>0.4201388888888889</v>
      </c>
      <c r="AK27" s="140"/>
      <c r="AL27" s="135"/>
    </row>
    <row r="28" spans="1:38" ht="13.8" thickTop="1" x14ac:dyDescent="0.25">
      <c r="AG28" s="135"/>
      <c r="AH28" s="135"/>
      <c r="AI28" s="135"/>
      <c r="AJ28" s="138">
        <v>0.4236111111111111</v>
      </c>
      <c r="AK28" s="140"/>
      <c r="AL28" s="135"/>
    </row>
    <row r="29" spans="1:38" x14ac:dyDescent="0.25">
      <c r="M29" s="141" t="s">
        <v>44</v>
      </c>
      <c r="N29" s="142">
        <v>1</v>
      </c>
      <c r="O29" s="143" t="str">
        <f ca="1">IF(AND(COUNTIF(C4:N4,"W")=0,COUNTIF(C4:N4,"L")=0),"",COUNTIF(C4:N4,"W"))</f>
        <v/>
      </c>
      <c r="P29" s="143" t="str">
        <f ca="1">IF(AND(COUNTIF(C4:N4,"W")=0,COUNTIF(C4:N4,"L")=0),"",COUNTIF(C4:N4,"L"))</f>
        <v/>
      </c>
      <c r="Q29" s="143" t="str">
        <f ca="1">IF(OR(COUNTIF(C4:N4,"W"),COUNTIF(C4:N4,"L")),COUNTIF(C4:N4,"W")*2+COUNTIF(C4:N4,"L"),"")</f>
        <v/>
      </c>
      <c r="R29" s="143" t="str">
        <f ca="1">IF(Q4&lt;&gt;"",RANK(Q4,Q$4:Q$26),"")</f>
        <v/>
      </c>
      <c r="AG29" s="135"/>
      <c r="AH29" s="135"/>
      <c r="AI29" s="135"/>
      <c r="AJ29" s="138">
        <v>0.42708333333333331</v>
      </c>
      <c r="AK29" s="140"/>
      <c r="AL29" s="135"/>
    </row>
    <row r="30" spans="1:38" ht="13.8" thickBot="1" x14ac:dyDescent="0.3">
      <c r="B30" s="3" t="s">
        <v>904</v>
      </c>
      <c r="C30" s="175"/>
      <c r="D30" s="175"/>
      <c r="E30" s="175"/>
      <c r="F30" s="169"/>
      <c r="G30" s="169"/>
      <c r="H30" s="169"/>
      <c r="I30" s="169"/>
      <c r="J30" s="169"/>
      <c r="K30" s="169"/>
      <c r="M30" s="141" t="s">
        <v>44</v>
      </c>
      <c r="N30" s="142">
        <v>2</v>
      </c>
      <c r="O30" s="143" t="str">
        <f ca="1">IF(AND(COUNTIF(C4:H4,"W")=0,COUNTIF(C4:H4,"L")=0),"",COUNTIF(C4:H4,"W"))</f>
        <v/>
      </c>
      <c r="P30" s="143" t="str">
        <f ca="1">IF(AND(COUNTIF(C4:H4,"W")=0,COUNTIF(C4:H4,"L")=0),"",COUNTIF(C4:H4,"L"))</f>
        <v/>
      </c>
      <c r="Q30" s="143" t="str">
        <f ca="1">IF(OR(COUNTIF(C4:H4,"W"),COUNTIF(C4:H4,"L")),COUNTIF(C4:H4,"W")*2+COUNTIF(C4:H4,"L"),"")</f>
        <v/>
      </c>
      <c r="R30" s="143" t="str">
        <f ca="1">IF(Q4&lt;&gt;"",RANK(Q4,Q$4:Q$14),"")</f>
        <v/>
      </c>
      <c r="AG30" s="135"/>
      <c r="AH30" s="135"/>
      <c r="AI30" s="135"/>
      <c r="AJ30" s="138">
        <v>0.43055555555555558</v>
      </c>
      <c r="AK30" s="140"/>
      <c r="AL30" s="135"/>
    </row>
    <row r="31" spans="1:38" ht="14.4" thickTop="1" thickBot="1" x14ac:dyDescent="0.3">
      <c r="C31" s="169"/>
      <c r="D31" s="169"/>
      <c r="E31" s="169"/>
      <c r="F31" s="177"/>
      <c r="G31" s="175"/>
      <c r="H31" s="175"/>
      <c r="I31" s="169"/>
      <c r="J31" s="169"/>
      <c r="K31" s="169"/>
      <c r="M31" s="141" t="s">
        <v>44</v>
      </c>
      <c r="N31" s="142">
        <v>3</v>
      </c>
      <c r="O31" s="143" t="str">
        <f ca="1">IF(AND(COUNTIF(C4:F4,"W")=0,COUNTIF(C4:F4,"L")=0),"",COUNTIF(C4:F4,"W"))</f>
        <v/>
      </c>
      <c r="P31" s="143" t="str">
        <f ca="1">IF(AND(COUNTIF(C4:F4,"W")=0,COUNTIF(C4:F4,"L")=0),"",COUNTIF(C4:F4,"L"))</f>
        <v/>
      </c>
      <c r="Q31" s="143" t="str">
        <f ca="1">IF(OR(COUNTIF(C4:F4,"W"),COUNTIF(C4:F4,"L")),COUNTIF(C4:F4,"W")*2+COUNTIF(C4:F4,"L"),"")</f>
        <v/>
      </c>
      <c r="R31" s="143" t="str">
        <f ca="1">IF(Q4&lt;&gt;"",RANK(Q4,Q$4:Q$10),"")</f>
        <v/>
      </c>
      <c r="AG31" s="135"/>
      <c r="AH31" s="135"/>
      <c r="AI31" s="135"/>
      <c r="AJ31" s="138">
        <v>0.43402777777777773</v>
      </c>
      <c r="AK31" s="140"/>
      <c r="AL31" s="135"/>
    </row>
    <row r="32" spans="1:38" ht="14.4" thickTop="1" thickBot="1" x14ac:dyDescent="0.3">
      <c r="B32" s="3" t="s">
        <v>909</v>
      </c>
      <c r="C32" s="175"/>
      <c r="D32" s="175"/>
      <c r="E32" s="175"/>
      <c r="F32" s="170"/>
      <c r="G32" s="171"/>
      <c r="H32" s="172"/>
      <c r="I32" s="169"/>
      <c r="J32" s="169"/>
      <c r="K32" s="169"/>
      <c r="M32" s="141" t="s">
        <v>44</v>
      </c>
      <c r="N32" s="142">
        <v>4</v>
      </c>
      <c r="O32" s="143" t="str">
        <f ca="1">IF(AND(COUNTIF(C4:E4,"W")=0,COUNTIF(C4:E4,"L")=0),"",COUNTIF(C4:E4,"W"))</f>
        <v/>
      </c>
      <c r="P32" s="143" t="str">
        <f ca="1">IF(AND(COUNTIF(C4:E4,"W")=0,COUNTIF(C4:E4,"L")=0),"",COUNTIF(C4:E4,"L"))</f>
        <v/>
      </c>
      <c r="Q32" s="143" t="str">
        <f ca="1">IF(OR(COUNTIF(C4:E4,"W"),COUNTIF(C4:E4,"L")),COUNTIF(C4:E4,"W")*2+COUNTIF(C4:E4,"L"),"")</f>
        <v/>
      </c>
      <c r="R32" s="143" t="str">
        <f ca="1">IF(Q4&lt;&gt;"",RANK(Q4,Q$4:Q$8),"")</f>
        <v/>
      </c>
      <c r="AG32" s="135"/>
      <c r="AH32" s="135"/>
      <c r="AI32" s="135"/>
      <c r="AJ32" s="138">
        <v>0.4375</v>
      </c>
      <c r="AK32" s="140"/>
      <c r="AL32" s="135"/>
    </row>
    <row r="33" spans="2:38" ht="14.4" thickTop="1" thickBot="1" x14ac:dyDescent="0.3">
      <c r="C33" s="169"/>
      <c r="D33" s="169"/>
      <c r="E33" s="169"/>
      <c r="F33" s="169"/>
      <c r="G33" s="169"/>
      <c r="H33" s="173"/>
      <c r="I33" s="175"/>
      <c r="J33" s="175"/>
      <c r="K33" s="175"/>
      <c r="M33" s="141" t="s">
        <v>44</v>
      </c>
      <c r="N33" s="142">
        <v>5</v>
      </c>
      <c r="O33" s="143" t="str">
        <f ca="1">IF(AND(COUNTIF(C4:G4,"W")=0,COUNTIF(C4:G4,"L")=0),"",COUNTIF(C4:G4,"W"))</f>
        <v/>
      </c>
      <c r="P33" s="143" t="str">
        <f ca="1">IF(AND(COUNTIF(C4:G4,"W")=0,COUNTIF(C4:G4,"L")=0),"",COUNTIF(C4:G4,"L"))</f>
        <v/>
      </c>
      <c r="Q33" s="143" t="str">
        <f ca="1">IF(OR(COUNTIF(C4:G4,"W"),COUNTIF(C4:G4,"L")),COUNTIF(C4:G4,"W")*2+COUNTIF(C4:G4,"L"),"")</f>
        <v/>
      </c>
      <c r="R33" s="143" t="str">
        <f ca="1">IF(Q4&lt;&gt;"",RANK(Q4,Q$4:Q$12),"")</f>
        <v/>
      </c>
      <c r="AG33" s="135"/>
      <c r="AH33" s="135"/>
      <c r="AI33" s="135"/>
      <c r="AJ33" s="138">
        <v>0.44097222222222227</v>
      </c>
      <c r="AK33" s="140"/>
      <c r="AL33" s="135"/>
    </row>
    <row r="34" spans="2:38" ht="14.4" thickTop="1" thickBot="1" x14ac:dyDescent="0.3">
      <c r="B34" s="3" t="s">
        <v>911</v>
      </c>
      <c r="C34" s="175"/>
      <c r="D34" s="175"/>
      <c r="E34" s="175"/>
      <c r="F34" s="169"/>
      <c r="G34" s="169"/>
      <c r="H34" s="173"/>
      <c r="I34" s="171"/>
      <c r="J34" s="171"/>
      <c r="K34" s="172"/>
      <c r="M34" s="141" t="s">
        <v>44</v>
      </c>
      <c r="N34" s="142">
        <v>6</v>
      </c>
      <c r="O34" s="143" t="str">
        <f ca="1">IF(AND(COUNTIF(C4:H4,"W")=0,COUNTIF(C4:H4,"L")=0),"",COUNTIF(C4:H4,"W"))</f>
        <v/>
      </c>
      <c r="P34" s="143" t="str">
        <f ca="1">IF(AND(COUNTIF(C4:H4,"W")=0,COUNTIF(C4:H4,"L")=0),"",COUNTIF(C4:H4,"L"))</f>
        <v/>
      </c>
      <c r="Q34" s="143" t="str">
        <f ca="1">IF(OR(COUNTIF(C4:H4,"W"),COUNTIF(C4:H4,"L")),COUNTIF(C4:H4,"W")*2+COUNTIF(C4:H4,"L"),"")</f>
        <v/>
      </c>
      <c r="R34" s="143" t="str">
        <f ca="1">IF(Q4&lt;&gt;"",RANK(Q4,Q$4:Q$14),"")</f>
        <v/>
      </c>
      <c r="AG34" s="135"/>
      <c r="AH34" s="135"/>
      <c r="AI34" s="135"/>
      <c r="AJ34" s="138">
        <v>0.44444444444444442</v>
      </c>
      <c r="AK34" s="140"/>
      <c r="AL34" s="135"/>
    </row>
    <row r="35" spans="2:38" ht="14.4" thickTop="1" thickBot="1" x14ac:dyDescent="0.3">
      <c r="C35" s="169"/>
      <c r="D35" s="169"/>
      <c r="E35" s="169"/>
      <c r="F35" s="177"/>
      <c r="G35" s="175"/>
      <c r="H35" s="176"/>
      <c r="I35" s="169"/>
      <c r="J35" s="169"/>
      <c r="K35" s="173"/>
      <c r="M35" s="141" t="s">
        <v>44</v>
      </c>
      <c r="N35" s="142">
        <v>7</v>
      </c>
      <c r="O35" s="143" t="str">
        <f ca="1">IF(AND(COUNTIF(C4:I4,"W")=0,COUNTIF(C4:I4,"L")=0),"",COUNTIF(C4:I4,"W"))</f>
        <v/>
      </c>
      <c r="P35" s="143" t="str">
        <f ca="1">IF(AND(COUNTIF(C4:I4,"W")=0,COUNTIF(C4:I4,"L")=0),"",COUNTIF(C4:I4,"L"))</f>
        <v/>
      </c>
      <c r="Q35" s="143" t="str">
        <f ca="1">IF(OR(COUNTIF(C4:I4,"W"),COUNTIF(C4:I4,"L")),COUNTIF(C4:I4,"W")*2+COUNTIF(C4:I4,"L"),"")</f>
        <v/>
      </c>
      <c r="R35" s="143" t="str">
        <f ca="1">IF(Q4&lt;&gt;"",RANK(Q4,Q$4:Q$16),"")</f>
        <v/>
      </c>
      <c r="AG35" s="135"/>
      <c r="AH35" s="135"/>
      <c r="AI35" s="135"/>
      <c r="AJ35" s="138">
        <v>0.44791666666666669</v>
      </c>
      <c r="AK35" s="140"/>
      <c r="AL35" s="135"/>
    </row>
    <row r="36" spans="2:38" ht="14.4" thickTop="1" thickBot="1" x14ac:dyDescent="0.3">
      <c r="B36" s="3" t="s">
        <v>910</v>
      </c>
      <c r="C36" s="175"/>
      <c r="D36" s="175"/>
      <c r="E36" s="175"/>
      <c r="F36" s="174"/>
      <c r="G36" s="169"/>
      <c r="H36" s="169"/>
      <c r="I36" s="169"/>
      <c r="J36" s="169"/>
      <c r="K36" s="173"/>
      <c r="M36" s="141" t="s">
        <v>44</v>
      </c>
      <c r="N36" s="142">
        <v>8</v>
      </c>
      <c r="O36" s="143" t="str">
        <f ca="1">IF(AND(COUNTIF(C4:J4,"W")=0,COUNTIF(C4:J4,"L")=0),"",COUNTIF(C4:J4,"W"))</f>
        <v/>
      </c>
      <c r="P36" s="143" t="str">
        <f ca="1">IF(AND(COUNTIF(C4:J4,"W")=0,COUNTIF(C4:J4,"L")=0),"",COUNTIF(C4:J4,"L"))</f>
        <v/>
      </c>
      <c r="Q36" s="143" t="str">
        <f ca="1">IF(OR(COUNTIF(C4:J4,"W"),COUNTIF(C4:J4,"L")),COUNTIF(C4:J4,"W")*2+COUNTIF(C4:J4,"L"),"")</f>
        <v/>
      </c>
      <c r="R36" s="143" t="str">
        <f ca="1">IF(Q4&lt;&gt;"",RANK(Q4,Q$4:Q$18),"")</f>
        <v/>
      </c>
      <c r="AG36" s="135"/>
      <c r="AH36" s="135"/>
      <c r="AI36" s="135"/>
      <c r="AJ36" s="138">
        <v>0.4513888888888889</v>
      </c>
      <c r="AK36" s="140"/>
      <c r="AL36" s="135"/>
    </row>
    <row r="37" spans="2:38" ht="14.4" thickTop="1" thickBot="1" x14ac:dyDescent="0.3">
      <c r="C37" s="169"/>
      <c r="D37" s="169"/>
      <c r="E37" s="169"/>
      <c r="F37" s="169"/>
      <c r="G37" s="169"/>
      <c r="H37" s="169"/>
      <c r="I37" s="175"/>
      <c r="J37" s="175"/>
      <c r="K37" s="176"/>
      <c r="M37" s="141" t="s">
        <v>44</v>
      </c>
      <c r="N37" s="142">
        <v>9</v>
      </c>
      <c r="O37" s="143" t="str">
        <f ca="1">IF(AND(COUNTIF(C4:K4,"W")=0,COUNTIF(C4:K4,"L")=0),"",COUNTIF(C4:K4,"W"))</f>
        <v/>
      </c>
      <c r="P37" s="143" t="str">
        <f ca="1">IF(AND(COUNTIF(C4:K4,"W")=0,COUNTIF(C4:K4,"L")=0),"",COUNTIF(C4:K4,"L"))</f>
        <v/>
      </c>
      <c r="Q37" s="143" t="str">
        <f ca="1">IF(OR(COUNTIF(C4:K4,"W"),COUNTIF(C4:K4,"L")),COUNTIF(C4:K4,"W")*2+COUNTIF(C4:K4,"L"),"")</f>
        <v/>
      </c>
      <c r="R37" s="143" t="str">
        <f ca="1">IF(Q4&lt;&gt;"",RANK(Q4,Q$4:Q$20),"")</f>
        <v/>
      </c>
      <c r="AG37" s="135"/>
      <c r="AH37" s="135"/>
      <c r="AI37" s="135"/>
      <c r="AJ37" s="138">
        <v>0.4548611111111111</v>
      </c>
      <c r="AK37" s="140"/>
      <c r="AL37" s="135"/>
    </row>
    <row r="38" spans="2:38" ht="14.4" thickTop="1" thickBot="1" x14ac:dyDescent="0.3">
      <c r="B38" s="3" t="s">
        <v>910</v>
      </c>
      <c r="C38" s="175"/>
      <c r="D38" s="175"/>
      <c r="E38" s="175"/>
      <c r="F38" s="169"/>
      <c r="G38" s="169"/>
      <c r="H38" s="169"/>
      <c r="I38" s="169"/>
      <c r="J38" s="169"/>
      <c r="K38" s="173"/>
      <c r="M38" s="141" t="s">
        <v>44</v>
      </c>
      <c r="N38" s="142">
        <v>10</v>
      </c>
      <c r="O38" s="143" t="str">
        <f ca="1">IF(AND(COUNTIF(C4:L4,"W")=0,COUNTIF(C4:L4,"L")=0),"",COUNTIF(C4:L4,"W"))</f>
        <v/>
      </c>
      <c r="P38" s="143" t="str">
        <f ca="1">IF(AND(COUNTIF(C4:L4,"W")=0,COUNTIF(C4:L4,"L")=0),"",COUNTIF(C4:L4,"L"))</f>
        <v/>
      </c>
      <c r="Q38" s="143" t="str">
        <f ca="1">IF(OR(COUNTIF(C4:L4,"W"),COUNTIF(C4:L4,"L")),COUNTIF(C4:L4,"W")*2+COUNTIF(C4:L4,"L"),"")</f>
        <v/>
      </c>
      <c r="R38" s="143" t="str">
        <f ca="1">IF(Q4&lt;&gt;"",RANK(Q4,Q$4:Q$22),"")</f>
        <v/>
      </c>
      <c r="AG38" s="135"/>
      <c r="AH38" s="135"/>
      <c r="AI38" s="135"/>
      <c r="AJ38" s="138">
        <v>0.45833333333333331</v>
      </c>
      <c r="AK38" s="140"/>
      <c r="AL38" s="135"/>
    </row>
    <row r="39" spans="2:38" ht="14.4" thickTop="1" thickBot="1" x14ac:dyDescent="0.3">
      <c r="C39" s="169"/>
      <c r="D39" s="169"/>
      <c r="E39" s="169"/>
      <c r="F39" s="177"/>
      <c r="G39" s="175"/>
      <c r="H39" s="175"/>
      <c r="I39" s="169"/>
      <c r="J39" s="169"/>
      <c r="K39" s="173"/>
      <c r="M39" s="141" t="s">
        <v>44</v>
      </c>
      <c r="N39" s="142">
        <v>11</v>
      </c>
      <c r="O39" s="143" t="str">
        <f ca="1">IF(AND(COUNTIF(C4:M4,"W")=0,COUNTIF(C4:M4,"L")=0),"",COUNTIF(C4:M4,"W"))</f>
        <v/>
      </c>
      <c r="P39" s="143" t="str">
        <f ca="1">IF(AND(COUNTIF(C4:M4,"W")=0,COUNTIF(C4:M4,"L")=0),"",COUNTIF(C4:M4,"L"))</f>
        <v/>
      </c>
      <c r="Q39" s="143" t="str">
        <f ca="1">IF(OR(COUNTIF(C4:M4,"W"),COUNTIF(C4:M4,"L")),COUNTIF(C4:M4,"W")*2+COUNTIF(C4:M4,"L"),"")</f>
        <v/>
      </c>
      <c r="R39" s="143" t="str">
        <f ca="1">IF(Q4&lt;&gt;"",RANK(Q4,Q$4:Q$24),"")</f>
        <v/>
      </c>
      <c r="AG39" s="135"/>
      <c r="AH39" s="135"/>
      <c r="AI39" s="135"/>
      <c r="AJ39" s="138">
        <v>0.46180555555555558</v>
      </c>
      <c r="AK39" s="140"/>
      <c r="AL39" s="135"/>
    </row>
    <row r="40" spans="2:38" ht="14.4" thickTop="1" thickBot="1" x14ac:dyDescent="0.3">
      <c r="B40" s="3" t="s">
        <v>911</v>
      </c>
      <c r="C40" s="175"/>
      <c r="D40" s="175"/>
      <c r="E40" s="175"/>
      <c r="F40" s="170"/>
      <c r="G40" s="171"/>
      <c r="H40" s="172"/>
      <c r="I40" s="169"/>
      <c r="J40" s="169"/>
      <c r="K40" s="173"/>
      <c r="M40" s="143"/>
      <c r="N40" s="143"/>
      <c r="O40" s="143"/>
      <c r="P40" s="143"/>
      <c r="Q40" s="143"/>
      <c r="R40" s="143"/>
      <c r="AG40" s="135"/>
      <c r="AH40" s="135"/>
      <c r="AI40" s="135"/>
      <c r="AJ40" s="138">
        <v>0.46527777777777773</v>
      </c>
      <c r="AK40" s="140"/>
      <c r="AL40" s="135"/>
    </row>
    <row r="41" spans="2:38" ht="14.4" thickTop="1" thickBot="1" x14ac:dyDescent="0.3">
      <c r="C41" s="169"/>
      <c r="D41" s="169"/>
      <c r="E41" s="169"/>
      <c r="F41" s="169"/>
      <c r="G41" s="169"/>
      <c r="H41" s="173"/>
      <c r="I41" s="175"/>
      <c r="J41" s="175"/>
      <c r="K41" s="176"/>
      <c r="M41" s="141" t="s">
        <v>45</v>
      </c>
      <c r="N41" s="142">
        <v>1</v>
      </c>
      <c r="O41" s="143" t="str">
        <f ca="1">IF(AND(COUNTIF(C6:N6,"W")=0,COUNTIF(C6:N6,"L")=0),"",COUNTIF(C6:N6,"W"))</f>
        <v/>
      </c>
      <c r="P41" s="143" t="str">
        <f ca="1">IF(AND(COUNTIF(C6:N6,"W")=0,COUNTIF(C6:N6,"L")=0),"",COUNTIF(C6:N6,"L"))</f>
        <v/>
      </c>
      <c r="Q41" s="143" t="str">
        <f ca="1">IF(OR(COUNTIF(C6:N6,"W"),COUNTIF(C6:N6,"L")),COUNTIF(C6:N6,"W")*2+COUNTIF(C6:N6,"L"),"")</f>
        <v/>
      </c>
      <c r="R41" s="143" t="str">
        <f ca="1">IF(Q6&lt;&gt;"",RANK(Q6,Q$4:Q$26),"")</f>
        <v/>
      </c>
      <c r="AG41" s="135"/>
      <c r="AH41" s="135"/>
      <c r="AI41" s="135"/>
      <c r="AJ41" s="138">
        <v>0.46875</v>
      </c>
      <c r="AK41" s="140"/>
      <c r="AL41" s="135"/>
    </row>
    <row r="42" spans="2:38" ht="14.4" thickTop="1" thickBot="1" x14ac:dyDescent="0.3">
      <c r="B42" s="3" t="s">
        <v>909</v>
      </c>
      <c r="C42" s="175"/>
      <c r="D42" s="175"/>
      <c r="E42" s="175"/>
      <c r="F42" s="169"/>
      <c r="G42" s="169"/>
      <c r="H42" s="173"/>
      <c r="I42" s="169"/>
      <c r="J42" s="169"/>
      <c r="K42" s="169"/>
      <c r="M42" s="141" t="s">
        <v>45</v>
      </c>
      <c r="N42" s="142">
        <v>2</v>
      </c>
      <c r="O42" s="143" t="str">
        <f ca="1">IF(AND(COUNTIF(C6:H6,"W")=0,COUNTIF(C6:H6,"L")=0),"",COUNTIF(C6:H6,"W"))</f>
        <v/>
      </c>
      <c r="P42" s="143" t="str">
        <f ca="1">IF(AND(COUNTIF(C6:H6,"W")=0,COUNTIF(C6:H6,"L")=0),"",COUNTIF(C6:H6,"L"))</f>
        <v/>
      </c>
      <c r="Q42" s="143" t="str">
        <f ca="1">IF(OR(COUNTIF(C6:H6,"W"),COUNTIF(C6:H6,"L")),COUNTIF(C6:H6,"W")*2+COUNTIF(C6:H6,"L"),"")</f>
        <v/>
      </c>
      <c r="R42" s="143" t="str">
        <f ca="1">IF(Q6&lt;&gt;"",RANK(Q6,Q$4:Q$14),"")</f>
        <v/>
      </c>
      <c r="AG42" s="135"/>
      <c r="AH42" s="135"/>
      <c r="AI42" s="135"/>
      <c r="AJ42" s="138">
        <v>0.47222222222222227</v>
      </c>
      <c r="AK42" s="140"/>
      <c r="AL42" s="135"/>
    </row>
    <row r="43" spans="2:38" ht="14.4" thickTop="1" thickBot="1" x14ac:dyDescent="0.3">
      <c r="C43" s="169"/>
      <c r="D43" s="169"/>
      <c r="E43" s="169"/>
      <c r="F43" s="177"/>
      <c r="G43" s="175"/>
      <c r="H43" s="176"/>
      <c r="I43" s="169"/>
      <c r="J43" s="169"/>
      <c r="K43" s="169"/>
      <c r="M43" s="141" t="s">
        <v>45</v>
      </c>
      <c r="N43" s="142">
        <v>3</v>
      </c>
      <c r="O43" s="143" t="str">
        <f ca="1">IF(AND(COUNTIF(C6:F6,"W")=0,COUNTIF(C6:F6,"L")=0),"",COUNTIF(C6:F6,"W"))</f>
        <v/>
      </c>
      <c r="P43" s="143" t="str">
        <f ca="1">IF(AND(COUNTIF(C6:F6,"W")=0,COUNTIF(C6:F6,"L")=0),"",COUNTIF(C6:F6,"L"))</f>
        <v/>
      </c>
      <c r="Q43" s="143" t="str">
        <f ca="1">IF(OR(COUNTIF(C6:F6,"W"),COUNTIF(C6:F6,"L")),COUNTIF(C6:F6,"W")*2+COUNTIF(C6:F6,"L"),"")</f>
        <v/>
      </c>
      <c r="R43" s="143" t="str">
        <f ca="1">IF(Q6&lt;&gt;"",RANK(Q6,Q$4:Q$10),"")</f>
        <v/>
      </c>
      <c r="AG43" s="135"/>
      <c r="AH43" s="135"/>
      <c r="AI43" s="135"/>
      <c r="AJ43" s="138">
        <v>0.47569444444444442</v>
      </c>
      <c r="AK43" s="140"/>
      <c r="AL43" s="135"/>
    </row>
    <row r="44" spans="2:38" ht="14.4" thickTop="1" thickBot="1" x14ac:dyDescent="0.3">
      <c r="B44" s="3" t="s">
        <v>905</v>
      </c>
      <c r="C44" s="175"/>
      <c r="D44" s="175"/>
      <c r="E44" s="175"/>
      <c r="F44" s="174"/>
      <c r="G44" s="169"/>
      <c r="H44" s="169"/>
      <c r="I44" s="169"/>
      <c r="J44" s="169"/>
      <c r="K44" s="169"/>
      <c r="M44" s="141" t="s">
        <v>45</v>
      </c>
      <c r="N44" s="142">
        <v>4</v>
      </c>
      <c r="O44" s="143" t="str">
        <f ca="1">IF(AND(COUNTIF(C6:E6,"W")=0,COUNTIF(C6:E6,"L")=0),"",COUNTIF(C6:E6,"W"))</f>
        <v/>
      </c>
      <c r="P44" s="143" t="str">
        <f ca="1">IF(AND(COUNTIF(C6:E6,"W")=0,COUNTIF(C6:E6,"L")=0),"",COUNTIF(C6:E6,"L"))</f>
        <v/>
      </c>
      <c r="Q44" s="143" t="str">
        <f ca="1">IF(OR(COUNTIF(C6:E6,"W"),COUNTIF(C6:E6,"L")),COUNTIF(C6:E6,"W")*2+COUNTIF(C6:E6,"L"),"")</f>
        <v/>
      </c>
      <c r="R44" s="143" t="str">
        <f ca="1">IF(Q6&lt;&gt;"",RANK(Q6,Q$4:Q$8),"")</f>
        <v/>
      </c>
      <c r="AG44" s="135"/>
      <c r="AH44" s="135"/>
      <c r="AI44" s="135"/>
      <c r="AJ44" s="138">
        <v>0.47916666666666669</v>
      </c>
      <c r="AK44" s="140"/>
      <c r="AL44" s="135"/>
    </row>
    <row r="45" spans="2:38" ht="13.8" thickTop="1" x14ac:dyDescent="0.25">
      <c r="M45" s="141" t="s">
        <v>45</v>
      </c>
      <c r="N45" s="142">
        <v>5</v>
      </c>
      <c r="O45" s="143" t="str">
        <f ca="1">IF(AND(COUNTIF(C6:G6,"W")=0,COUNTIF(C6:G6,"L")=0),"",COUNTIF(C6:G6,"W"))</f>
        <v/>
      </c>
      <c r="P45" s="143" t="str">
        <f ca="1">IF(AND(COUNTIF(C6:G6,"W")=0,COUNTIF(C6:G6,"L")=0),"",COUNTIF(C6:G6,"L"))</f>
        <v/>
      </c>
      <c r="Q45" s="143" t="str">
        <f ca="1">IF(OR(COUNTIF(C6:G6,"W"),COUNTIF(C6:G6,"L")),COUNTIF(C6:G6,"W")*2+COUNTIF(C6:G6,"L"),"")</f>
        <v/>
      </c>
      <c r="R45" s="143" t="str">
        <f ca="1">IF(Q6&lt;&gt;"",RANK(Q6,Q$4:Q$12),"")</f>
        <v/>
      </c>
      <c r="AG45" s="135"/>
      <c r="AH45" s="135"/>
      <c r="AI45" s="135"/>
      <c r="AJ45" s="138">
        <v>0.4826388888888889</v>
      </c>
      <c r="AK45" s="140"/>
      <c r="AL45" s="135"/>
    </row>
    <row r="46" spans="2:38" x14ac:dyDescent="0.25">
      <c r="M46" s="141" t="s">
        <v>45</v>
      </c>
      <c r="N46" s="142">
        <v>6</v>
      </c>
      <c r="O46" s="143" t="str">
        <f ca="1">IF(AND(COUNTIF(C6:H6,"W")=0,COUNTIF(C6:H6,"L")=0),"",COUNTIF(C6:H6,"W"))</f>
        <v/>
      </c>
      <c r="P46" s="143" t="str">
        <f ca="1">IF(AND(COUNTIF(C6:H6,"W")=0,COUNTIF(C6:H6,"L")=0),"",COUNTIF(C6:H6,"L"))</f>
        <v/>
      </c>
      <c r="Q46" s="143" t="str">
        <f ca="1">IF(OR(COUNTIF(C6:H6,"W"),COUNTIF(C6:H6,"L")),COUNTIF(C6:H6,"W")*2+COUNTIF(C6:H6,"L"),"")</f>
        <v/>
      </c>
      <c r="R46" s="143" t="str">
        <f ca="1">IF(Q6&lt;&gt;"",RANK(Q6,Q$4:Q$14),"")</f>
        <v/>
      </c>
      <c r="AG46" s="135"/>
      <c r="AH46" s="135"/>
      <c r="AI46" s="135"/>
      <c r="AJ46" s="138">
        <v>0.4861111111111111</v>
      </c>
      <c r="AK46" s="140"/>
      <c r="AL46" s="135"/>
    </row>
    <row r="47" spans="2:38" x14ac:dyDescent="0.25">
      <c r="M47" s="141" t="s">
        <v>45</v>
      </c>
      <c r="N47" s="142">
        <v>7</v>
      </c>
      <c r="O47" s="143" t="str">
        <f ca="1">IF(AND(COUNTIF(C6:I6,"W")=0,COUNTIF(C6:I6,"L")=0),"",COUNTIF(C6:I6,"W"))</f>
        <v/>
      </c>
      <c r="P47" s="143" t="str">
        <f ca="1">IF(AND(COUNTIF(C6:I6,"W")=0,COUNTIF(C6:I6,"L")=0),"",COUNTIF(C6:I6,"L"))</f>
        <v/>
      </c>
      <c r="Q47" s="143" t="str">
        <f ca="1">IF(OR(COUNTIF(C6:I6,"W"),COUNTIF(C6:I6,"L")),COUNTIF(C6:I6,"W")*2+COUNTIF(C6:I6,"L"),"")</f>
        <v/>
      </c>
      <c r="R47" s="143" t="str">
        <f ca="1">IF(Q6&lt;&gt;"",RANK(Q6,Q$4:Q$16),"")</f>
        <v/>
      </c>
      <c r="AG47" s="135"/>
      <c r="AH47" s="135"/>
      <c r="AI47" s="135"/>
      <c r="AJ47" s="138">
        <v>0.48958333333333331</v>
      </c>
      <c r="AK47" s="140"/>
      <c r="AL47" s="135"/>
    </row>
    <row r="48" spans="2:38" x14ac:dyDescent="0.25">
      <c r="M48" s="141" t="s">
        <v>45</v>
      </c>
      <c r="N48" s="142">
        <v>8</v>
      </c>
      <c r="O48" s="143" t="str">
        <f ca="1">IF(AND(COUNTIF(C6:J6,"W")=0,COUNTIF(C6:J6,"L")=0),"",COUNTIF(C6:J6,"W"))</f>
        <v/>
      </c>
      <c r="P48" s="143" t="str">
        <f ca="1">IF(AND(COUNTIF(C6:J6,"W")=0,COUNTIF(C6:J6,"L")=0),"",COUNTIF(C6:J6,"L"))</f>
        <v/>
      </c>
      <c r="Q48" s="143" t="str">
        <f ca="1">IF(OR(COUNTIF(C6:J6,"W"),COUNTIF(C6:J6,"L")),COUNTIF(C6:J6,"W")*2+COUNTIF(C6:J6,"L"),"")</f>
        <v/>
      </c>
      <c r="R48" s="143" t="str">
        <f ca="1">IF(Q6&lt;&gt;"",RANK(Q6,Q$4:Q$18),"")</f>
        <v/>
      </c>
      <c r="AG48" s="135"/>
      <c r="AH48" s="135"/>
      <c r="AI48" s="135"/>
      <c r="AJ48" s="138">
        <v>0.49305555555555558</v>
      </c>
      <c r="AK48" s="140"/>
      <c r="AL48" s="135"/>
    </row>
    <row r="49" spans="13:38" x14ac:dyDescent="0.25">
      <c r="M49" s="141" t="s">
        <v>45</v>
      </c>
      <c r="N49" s="142">
        <v>9</v>
      </c>
      <c r="O49" s="143" t="str">
        <f ca="1">IF(AND(COUNTIF(C6:K6,"W")=0,COUNTIF(C6:K6,"L")=0),"",COUNTIF(C6:K6,"W"))</f>
        <v/>
      </c>
      <c r="P49" s="143" t="str">
        <f ca="1">IF(AND(COUNTIF(C6:K6,"W")=0,COUNTIF(C6:K6,"L")=0),"",COUNTIF(C6:K6,"L"))</f>
        <v/>
      </c>
      <c r="Q49" s="143" t="str">
        <f ca="1">IF(OR(COUNTIF(C6:K6,"W"),COUNTIF(C6:K6,"L")),COUNTIF(C6:K6,"W")*2+COUNTIF(C6:K6,"L"),"")</f>
        <v/>
      </c>
      <c r="R49" s="143" t="str">
        <f ca="1">IF(Q6&lt;&gt;"",RANK(Q6,Q$4:Q$20),"")</f>
        <v/>
      </c>
      <c r="AG49" s="135"/>
      <c r="AH49" s="135"/>
      <c r="AI49" s="135"/>
      <c r="AJ49" s="138">
        <v>0.49652777777777773</v>
      </c>
      <c r="AK49" s="140"/>
      <c r="AL49" s="135"/>
    </row>
    <row r="50" spans="13:38" x14ac:dyDescent="0.25">
      <c r="M50" s="141" t="s">
        <v>45</v>
      </c>
      <c r="N50" s="142">
        <v>10</v>
      </c>
      <c r="O50" s="143" t="str">
        <f ca="1">IF(AND(COUNTIF(C6:L6,"W")=0,COUNTIF(C6:L6,"L")=0),"",COUNTIF(C6:L6,"W"))</f>
        <v/>
      </c>
      <c r="P50" s="143" t="str">
        <f ca="1">IF(AND(COUNTIF(C6:L6,"W")=0,COUNTIF(C6:L6,"L")=0),"",COUNTIF(C6:L6,"L"))</f>
        <v/>
      </c>
      <c r="Q50" s="143" t="str">
        <f ca="1">IF(OR(COUNTIF(C6:L6,"W"),COUNTIF(C6:L6,"L")),COUNTIF(C6:L6,"W")*2+COUNTIF(C6:L6,"L"),"")</f>
        <v/>
      </c>
      <c r="R50" s="143" t="str">
        <f ca="1">IF(Q6&lt;&gt;"",RANK(Q6,Q$4:Q$22),"")</f>
        <v/>
      </c>
      <c r="AG50" s="135"/>
      <c r="AH50" s="135"/>
      <c r="AI50" s="135"/>
      <c r="AJ50" s="138">
        <v>0.5</v>
      </c>
      <c r="AK50" s="140"/>
      <c r="AL50" s="135"/>
    </row>
    <row r="51" spans="13:38" x14ac:dyDescent="0.25">
      <c r="M51" s="141" t="s">
        <v>45</v>
      </c>
      <c r="N51" s="142">
        <v>11</v>
      </c>
      <c r="O51" s="143" t="str">
        <f ca="1">IF(AND(COUNTIF(C6:M6,"W")=0,COUNTIF(C6:M6,"L")=0),"",COUNTIF(C6:M6,"W"))</f>
        <v/>
      </c>
      <c r="P51" s="143" t="str">
        <f ca="1">IF(AND(COUNTIF(C6:M6,"W")=0,COUNTIF(C6:M6,"L")=0),"",COUNTIF(C6:M6,"L"))</f>
        <v/>
      </c>
      <c r="Q51" s="143" t="str">
        <f ca="1">IF(OR(COUNTIF(C6:M6,"W"),COUNTIF(C6:M6,"L")),COUNTIF(C6:M6,"W")*2+COUNTIF(C6:M6,"L"),"")</f>
        <v/>
      </c>
      <c r="R51" s="143" t="str">
        <f ca="1">IF(Q6&lt;&gt;"",RANK(Q6,Q$4:Q$24),"")</f>
        <v/>
      </c>
      <c r="AG51" s="135"/>
      <c r="AH51" s="135"/>
      <c r="AI51" s="135"/>
      <c r="AJ51" s="138">
        <v>0.50347222222222221</v>
      </c>
      <c r="AK51" s="140"/>
      <c r="AL51" s="135"/>
    </row>
    <row r="52" spans="13:38" x14ac:dyDescent="0.25">
      <c r="M52" s="143"/>
      <c r="N52" s="143"/>
      <c r="O52" s="143"/>
      <c r="P52" s="143"/>
      <c r="Q52" s="143"/>
      <c r="R52" s="143"/>
      <c r="AG52" s="135"/>
      <c r="AH52" s="135"/>
      <c r="AI52" s="135"/>
      <c r="AJ52" s="138">
        <v>0.50694444444444442</v>
      </c>
      <c r="AK52" s="140"/>
      <c r="AL52" s="135"/>
    </row>
    <row r="53" spans="13:38" x14ac:dyDescent="0.25">
      <c r="M53" s="141" t="s">
        <v>46</v>
      </c>
      <c r="N53" s="142">
        <v>1</v>
      </c>
      <c r="O53" s="143" t="str">
        <f ca="1">IF(AND(COUNTIF(C8:N8,"W")=0,COUNTIF(C8:N8,"L")=0),"",COUNTIF(C8:N8,"W"))</f>
        <v/>
      </c>
      <c r="P53" s="143" t="str">
        <f ca="1">IF(AND(COUNTIF(C8:N8,"W")=0,COUNTIF(C8:N8,"L")=0),"",COUNTIF(C8:N8,"L"))</f>
        <v/>
      </c>
      <c r="Q53" s="143" t="str">
        <f ca="1">IF(OR(COUNTIF(C8:N8,"W"),COUNTIF(C8:N8,"L")),COUNTIF(C8:N8,"W")*2+COUNTIF(C8:N8,"L"),"")</f>
        <v/>
      </c>
      <c r="R53" s="143" t="str">
        <f ca="1">IF(Q8&lt;&gt;"",RANK(Q8,Q$4:Q$26),"")</f>
        <v/>
      </c>
      <c r="AG53" s="135"/>
      <c r="AH53" s="135"/>
      <c r="AI53" s="135"/>
      <c r="AJ53" s="138">
        <v>0.51041666666666663</v>
      </c>
      <c r="AK53" s="140"/>
      <c r="AL53" s="135"/>
    </row>
    <row r="54" spans="13:38" x14ac:dyDescent="0.25">
      <c r="M54" s="141" t="s">
        <v>46</v>
      </c>
      <c r="N54" s="142">
        <v>2</v>
      </c>
      <c r="O54" s="143" t="str">
        <f ca="1">IF(AND(COUNTIF(C8:H8,"W")=0,COUNTIF(C8:H8,"L")=0),"",COUNTIF(C8:H8,"W"))</f>
        <v/>
      </c>
      <c r="P54" s="143" t="str">
        <f ca="1">IF(AND(COUNTIF(C8:H8,"W")=0,COUNTIF(C8:H8,"L")=0),"",COUNTIF(C8:H8,"L"))</f>
        <v/>
      </c>
      <c r="Q54" s="143" t="str">
        <f ca="1">IF(OR(COUNTIF(C8:H8,"W"),COUNTIF(C8:H8,"L")),COUNTIF(C8:H8,"W")*2+COUNTIF(C8:H8,"L"),"")</f>
        <v/>
      </c>
      <c r="R54" s="143" t="str">
        <f ca="1">IF(Q8&lt;&gt;"",RANK(Q8,Q$4:Q$14),"")</f>
        <v/>
      </c>
      <c r="AG54" s="135"/>
      <c r="AH54" s="135"/>
      <c r="AI54" s="135"/>
      <c r="AJ54" s="138">
        <v>0.51388888888888895</v>
      </c>
      <c r="AK54" s="140"/>
      <c r="AL54" s="135"/>
    </row>
    <row r="55" spans="13:38" x14ac:dyDescent="0.25">
      <c r="M55" s="141" t="s">
        <v>46</v>
      </c>
      <c r="N55" s="142">
        <v>3</v>
      </c>
      <c r="O55" s="143" t="str">
        <f ca="1">IF(AND(COUNTIF(C8:F8,"W")=0,COUNTIF(C8:F8,"L")=0),"",COUNTIF(C8:F8,"W"))</f>
        <v/>
      </c>
      <c r="P55" s="143" t="str">
        <f ca="1">IF(AND(COUNTIF(C8:F8,"W")=0,COUNTIF(C8:F8,"L")=0),"",COUNTIF(C8:F8,"L"))</f>
        <v/>
      </c>
      <c r="Q55" s="143" t="str">
        <f ca="1">IF(OR(COUNTIF(C8:F8,"W"),COUNTIF(C8:F8,"L")),COUNTIF(C8:F8,"W")*2+COUNTIF(C8:F8,"L"),"")</f>
        <v/>
      </c>
      <c r="R55" s="143" t="str">
        <f ca="1">IF(Q8&lt;&gt;"",RANK(Q8,Q$4:Q$10),"")</f>
        <v/>
      </c>
      <c r="AG55" s="135"/>
      <c r="AH55" s="135"/>
      <c r="AI55" s="135"/>
      <c r="AJ55" s="138">
        <v>0.51736111111111105</v>
      </c>
      <c r="AK55" s="140"/>
      <c r="AL55" s="135"/>
    </row>
    <row r="56" spans="13:38" x14ac:dyDescent="0.25">
      <c r="M56" s="141" t="s">
        <v>46</v>
      </c>
      <c r="N56" s="142">
        <v>4</v>
      </c>
      <c r="O56" s="143" t="str">
        <f ca="1">IF(AND(COUNTIF(C8:E8,"W")=0,COUNTIF(C8:E8,"L")=0),"",COUNTIF(C8:E8,"W"))</f>
        <v/>
      </c>
      <c r="P56" s="143" t="str">
        <f ca="1">IF(AND(COUNTIF(C8:E8,"W")=0,COUNTIF(C8:E8,"L")=0),"",COUNTIF(C8:E8,"L"))</f>
        <v/>
      </c>
      <c r="Q56" s="143" t="str">
        <f ca="1">IF(OR(COUNTIF(C8:E8,"W"),COUNTIF(C8:E8,"L")),COUNTIF(C8:E8,"W")*2+COUNTIF(C8:E8,"L"),"")</f>
        <v/>
      </c>
      <c r="R56" s="143" t="str">
        <f ca="1">IF(Q8&lt;&gt;"",RANK(Q8,Q$4:Q$8),"")</f>
        <v/>
      </c>
      <c r="AG56" s="135"/>
      <c r="AH56" s="135"/>
      <c r="AI56" s="135"/>
      <c r="AJ56" s="138">
        <v>0.52083333333333337</v>
      </c>
      <c r="AK56" s="140"/>
      <c r="AL56" s="135"/>
    </row>
    <row r="57" spans="13:38" x14ac:dyDescent="0.25">
      <c r="M57" s="141" t="s">
        <v>46</v>
      </c>
      <c r="N57" s="142">
        <v>5</v>
      </c>
      <c r="O57" s="143" t="str">
        <f ca="1">IF(AND(COUNTIF(C8:G8,"W")=0,COUNTIF(C8:G8,"L")=0),"",COUNTIF(C8:G8,"W"))</f>
        <v/>
      </c>
      <c r="P57" s="143" t="str">
        <f ca="1">IF(AND(COUNTIF(C8:G8,"W")=0,COUNTIF(C8:G8,"L")=0),"",COUNTIF(C8:G8,"L"))</f>
        <v/>
      </c>
      <c r="Q57" s="143" t="str">
        <f ca="1">IF(OR(COUNTIF(C8:G8,"W"),COUNTIF(C8:G8,"L")),COUNTIF(C8:G8,"W")*2+COUNTIF(C8:G8,"L"),"")</f>
        <v/>
      </c>
      <c r="R57" s="143" t="str">
        <f ca="1">IF(Q8&lt;&gt;"",RANK(Q8,Q$4:Q$12),"")</f>
        <v/>
      </c>
      <c r="AG57" s="135"/>
      <c r="AH57" s="135"/>
      <c r="AI57" s="135"/>
      <c r="AJ57" s="138">
        <v>0.52430555555555558</v>
      </c>
      <c r="AK57" s="140"/>
      <c r="AL57" s="135"/>
    </row>
    <row r="58" spans="13:38" x14ac:dyDescent="0.25">
      <c r="M58" s="141" t="s">
        <v>46</v>
      </c>
      <c r="N58" s="142">
        <v>6</v>
      </c>
      <c r="O58" s="143" t="str">
        <f ca="1">IF(AND(COUNTIF(C8:H8,"W")=0,COUNTIF(C8:H8,"L")=0),"",COUNTIF(C8:H8,"W"))</f>
        <v/>
      </c>
      <c r="P58" s="143" t="str">
        <f ca="1">IF(AND(COUNTIF(C8:H8,"W")=0,COUNTIF(C8:H8,"L")=0),"",COUNTIF(C8:H8,"L"))</f>
        <v/>
      </c>
      <c r="Q58" s="143" t="str">
        <f ca="1">IF(OR(COUNTIF(C8:H8,"W"),COUNTIF(C8:H8,"L")),COUNTIF(C8:H8,"W")*2+COUNTIF(C8:H8,"L"),"")</f>
        <v/>
      </c>
      <c r="R58" s="143" t="str">
        <f ca="1">IF(Q8&lt;&gt;"",RANK(Q8,Q$4:Q$14),"")</f>
        <v/>
      </c>
      <c r="AG58" s="135"/>
      <c r="AH58" s="135"/>
      <c r="AI58" s="135"/>
      <c r="AJ58" s="138">
        <v>0.52777777777777779</v>
      </c>
      <c r="AK58" s="140"/>
      <c r="AL58" s="135"/>
    </row>
    <row r="59" spans="13:38" x14ac:dyDescent="0.25">
      <c r="M59" s="141" t="s">
        <v>46</v>
      </c>
      <c r="N59" s="142">
        <v>7</v>
      </c>
      <c r="O59" s="143" t="str">
        <f ca="1">IF(AND(COUNTIF(C8:I8,"W")=0,COUNTIF(C8:I8,"L")=0),"",COUNTIF(C8:I8,"W"))</f>
        <v/>
      </c>
      <c r="P59" s="143" t="str">
        <f ca="1">IF(AND(COUNTIF(C8:I8,"W")=0,COUNTIF(C8:I8,"L")=0),"",COUNTIF(C8:I8,"L"))</f>
        <v/>
      </c>
      <c r="Q59" s="143" t="str">
        <f ca="1">IF(OR(COUNTIF(C8:I8,"W"),COUNTIF(C8:I8,"L")),COUNTIF(C8:I8,"W")*2+COUNTIF(C8:I8,"L"),"")</f>
        <v/>
      </c>
      <c r="R59" s="143" t="str">
        <f ca="1">IF(Q8&lt;&gt;"",RANK(Q8,Q$4:Q$16),"")</f>
        <v/>
      </c>
      <c r="AG59" s="135"/>
      <c r="AH59" s="135"/>
      <c r="AI59" s="135"/>
      <c r="AJ59" s="138">
        <v>0.53125</v>
      </c>
      <c r="AK59" s="140"/>
      <c r="AL59" s="135"/>
    </row>
    <row r="60" spans="13:38" x14ac:dyDescent="0.25">
      <c r="M60" s="141" t="s">
        <v>46</v>
      </c>
      <c r="N60" s="142">
        <v>8</v>
      </c>
      <c r="O60" s="143" t="str">
        <f ca="1">IF(AND(COUNTIF(C8:J8,"W")=0,COUNTIF(C8:J8,"L")=0),"",COUNTIF(C8:J8,"W"))</f>
        <v/>
      </c>
      <c r="P60" s="143" t="str">
        <f ca="1">IF(AND(COUNTIF(C8:J8,"W")=0,COUNTIF(C8:J8,"L")=0),"",COUNTIF(C8:J8,"L"))</f>
        <v/>
      </c>
      <c r="Q60" s="143" t="str">
        <f ca="1">IF(OR(COUNTIF(C8:J8,"W"),COUNTIF(C8:J8,"L")),COUNTIF(C8:J8,"W")*2+COUNTIF(C8:J8,"L"),"")</f>
        <v/>
      </c>
      <c r="R60" s="143" t="str">
        <f ca="1">IF(Q8&lt;&gt;"",RANK(Q8,Q$4:Q$18),"")</f>
        <v/>
      </c>
      <c r="AG60" s="135"/>
      <c r="AH60" s="135"/>
      <c r="AI60" s="135"/>
      <c r="AJ60" s="138">
        <v>0.53472222222222221</v>
      </c>
      <c r="AK60" s="140"/>
      <c r="AL60" s="135"/>
    </row>
    <row r="61" spans="13:38" x14ac:dyDescent="0.25">
      <c r="M61" s="141" t="s">
        <v>46</v>
      </c>
      <c r="N61" s="142">
        <v>9</v>
      </c>
      <c r="O61" s="143" t="str">
        <f ca="1">IF(AND(COUNTIF(C8:K8,"W")=0,COUNTIF(C8:K8,"L")=0),"",COUNTIF(C8:K8,"W"))</f>
        <v/>
      </c>
      <c r="P61" s="143" t="str">
        <f ca="1">IF(AND(COUNTIF(C8:K8,"W")=0,COUNTIF(C8:K8,"L")=0),"",COUNTIF(C8:K8,"L"))</f>
        <v/>
      </c>
      <c r="Q61" s="143" t="str">
        <f ca="1">IF(OR(COUNTIF(C8:K8,"W"),COUNTIF(C8:K8,"L")),COUNTIF(C8:K8,"W")*2+COUNTIF(C8:K8,"L"),"")</f>
        <v/>
      </c>
      <c r="R61" s="143" t="str">
        <f ca="1">IF(Q8&lt;&gt;"",RANK(Q8,Q$4:Q$20),"")</f>
        <v/>
      </c>
      <c r="AG61" s="135"/>
      <c r="AH61" s="135"/>
      <c r="AI61" s="135"/>
      <c r="AJ61" s="138">
        <v>0.53819444444444442</v>
      </c>
      <c r="AK61" s="140"/>
      <c r="AL61" s="135"/>
    </row>
    <row r="62" spans="13:38" x14ac:dyDescent="0.25">
      <c r="M62" s="141" t="s">
        <v>46</v>
      </c>
      <c r="N62" s="142">
        <v>10</v>
      </c>
      <c r="O62" s="143" t="str">
        <f ca="1">IF(AND(COUNTIF(C8:L8,"W")=0,COUNTIF(C8:L8,"L")=0),"",COUNTIF(C8:L8,"W"))</f>
        <v/>
      </c>
      <c r="P62" s="143" t="str">
        <f ca="1">IF(AND(COUNTIF(C8:L8,"W")=0,COUNTIF(C8:L8,"L")=0),"",COUNTIF(C8:L8,"L"))</f>
        <v/>
      </c>
      <c r="Q62" s="143" t="str">
        <f ca="1">IF(OR(COUNTIF(C8:L8,"W"),COUNTIF(C8:L8,"L")),COUNTIF(C8:L8,"W")*2+COUNTIF(C8:L8,"L"),"")</f>
        <v/>
      </c>
      <c r="R62" s="143" t="str">
        <f ca="1">IF(Q8&lt;&gt;"",RANK(Q8,Q$4:Q$22),"")</f>
        <v/>
      </c>
      <c r="AG62" s="135"/>
      <c r="AH62" s="135"/>
      <c r="AI62" s="135"/>
      <c r="AJ62" s="138">
        <v>0.54166666666666663</v>
      </c>
      <c r="AK62" s="140"/>
      <c r="AL62" s="135"/>
    </row>
    <row r="63" spans="13:38" x14ac:dyDescent="0.25">
      <c r="M63" s="141" t="s">
        <v>46</v>
      </c>
      <c r="N63" s="142">
        <v>11</v>
      </c>
      <c r="O63" s="143" t="str">
        <f ca="1">IF(AND(COUNTIF(C8:M8,"W")=0,COUNTIF(C8:M8,"L")=0),"",COUNTIF(C8:M8,"W"))</f>
        <v/>
      </c>
      <c r="P63" s="143" t="str">
        <f ca="1">IF(AND(COUNTIF(C8:M8,"W")=0,COUNTIF(C8:M8,"L")=0),"",COUNTIF(C8:M8,"L"))</f>
        <v/>
      </c>
      <c r="Q63" s="143" t="str">
        <f ca="1">IF(OR(COUNTIF(C8:M8,"W"),COUNTIF(C8:M8,"L")),COUNTIF(C8:M8,"W")*2+COUNTIF(C8:M8,"L"),"")</f>
        <v/>
      </c>
      <c r="R63" s="143" t="str">
        <f ca="1">IF(Q8&lt;&gt;"",RANK(Q8,Q$4:Q$24),"")</f>
        <v/>
      </c>
      <c r="AG63" s="135"/>
      <c r="AH63" s="135"/>
      <c r="AI63" s="135"/>
      <c r="AJ63" s="138">
        <v>0.54513888888888895</v>
      </c>
      <c r="AK63" s="140"/>
      <c r="AL63" s="135"/>
    </row>
    <row r="64" spans="13:38" x14ac:dyDescent="0.25">
      <c r="M64" s="143"/>
      <c r="N64" s="143"/>
      <c r="O64" s="143"/>
      <c r="P64" s="143"/>
      <c r="Q64" s="143"/>
      <c r="R64" s="143"/>
      <c r="AG64" s="135"/>
      <c r="AH64" s="135"/>
      <c r="AI64" s="135"/>
      <c r="AJ64" s="138">
        <v>0.54861111111111105</v>
      </c>
      <c r="AK64" s="140"/>
      <c r="AL64" s="135"/>
    </row>
    <row r="65" spans="13:38" x14ac:dyDescent="0.25">
      <c r="M65" s="141" t="s">
        <v>47</v>
      </c>
      <c r="N65" s="142">
        <v>1</v>
      </c>
      <c r="O65" s="143" t="str">
        <f ca="1">IF(AND(COUNTIF(C10:N10,"W")=0,COUNTIF(C10:N10,"L")=0),"",COUNTIF(C10:N10,"W"))</f>
        <v/>
      </c>
      <c r="P65" s="143" t="str">
        <f ca="1">IF(AND(COUNTIF(C10:N10,"W")=0,COUNTIF(C10:N10,"L")=0),"",COUNTIF(C10:N10,"L"))</f>
        <v/>
      </c>
      <c r="Q65" s="143" t="str">
        <f ca="1">IF(OR(COUNTIF(C10:N10,"W"),COUNTIF(C10:N10,"L")),COUNTIF(C10:N10,"W")*2+COUNTIF(C10:N10,"L"),"")</f>
        <v/>
      </c>
      <c r="R65" s="143" t="str">
        <f ca="1">IF(Q10&lt;&gt;"",RANK(Q10,Q$4:Q$26),"")</f>
        <v/>
      </c>
      <c r="AG65" s="135"/>
      <c r="AH65" s="135"/>
      <c r="AI65" s="135"/>
      <c r="AJ65" s="138">
        <v>0.55208333333333337</v>
      </c>
      <c r="AK65" s="140"/>
      <c r="AL65" s="135"/>
    </row>
    <row r="66" spans="13:38" x14ac:dyDescent="0.25">
      <c r="M66" s="141" t="s">
        <v>47</v>
      </c>
      <c r="N66" s="142">
        <v>2</v>
      </c>
      <c r="O66" s="143" t="str">
        <f ca="1">IF(AND(COUNTIF(C10:H10,"W")=0,COUNTIF(C10:H10,"L")=0),"",COUNTIF(C10:H10,"W"))</f>
        <v/>
      </c>
      <c r="P66" s="143" t="str">
        <f ca="1">IF(AND(COUNTIF(C10:H10,"W")=0,COUNTIF(C10:H10,"L")=0),"",COUNTIF(C10:H10,"L"))</f>
        <v/>
      </c>
      <c r="Q66" s="143" t="str">
        <f ca="1">IF(OR(COUNTIF(C10:H10,"W"),COUNTIF(C10:H10,"L")),COUNTIF(C10:H10,"W")*2+COUNTIF(C10:H10,"L"),"")</f>
        <v/>
      </c>
      <c r="R66" s="143" t="str">
        <f ca="1">IF(Q10&lt;&gt;"",RANK(Q10,Q$4:Q$14),"")</f>
        <v/>
      </c>
      <c r="AG66" s="135"/>
      <c r="AH66" s="135"/>
      <c r="AI66" s="135"/>
      <c r="AJ66" s="138">
        <v>0.55555555555555558</v>
      </c>
      <c r="AK66" s="140"/>
      <c r="AL66" s="135"/>
    </row>
    <row r="67" spans="13:38" x14ac:dyDescent="0.25">
      <c r="M67" s="141" t="s">
        <v>47</v>
      </c>
      <c r="N67" s="142">
        <v>3</v>
      </c>
      <c r="O67" s="143" t="str">
        <f ca="1">IF(AND(COUNTIF(C10:F10,"W")=0,COUNTIF(C10:F10,"L")=0),"",COUNTIF(C10:F10,"W"))</f>
        <v/>
      </c>
      <c r="P67" s="143" t="str">
        <f ca="1">IF(AND(COUNTIF(C10:F10,"W")=0,COUNTIF(C10:F10,"L")=0),"",COUNTIF(C10:F10,"L"))</f>
        <v/>
      </c>
      <c r="Q67" s="143" t="str">
        <f ca="1">IF(OR(COUNTIF(C10:F10,"W"),COUNTIF(C10:F10,"L")),COUNTIF(C10:F10,"W")*2+COUNTIF(C10:F10,"L"),"")</f>
        <v/>
      </c>
      <c r="R67" s="143" t="str">
        <f ca="1">IF(Q10&lt;&gt;"",RANK(Q10,Q$4:Q$10),"")</f>
        <v/>
      </c>
      <c r="AG67" s="135"/>
      <c r="AH67" s="135"/>
      <c r="AI67" s="135"/>
      <c r="AJ67" s="138">
        <v>0.55902777777777779</v>
      </c>
      <c r="AK67" s="140"/>
      <c r="AL67" s="135"/>
    </row>
    <row r="68" spans="13:38" x14ac:dyDescent="0.25">
      <c r="M68" s="141" t="s">
        <v>47</v>
      </c>
      <c r="N68" s="142">
        <v>4</v>
      </c>
      <c r="O68" s="143" t="str">
        <f ca="1">IF(AND(COUNTIF(F10:H10,"W")=0,COUNTIF(F10:H10,"L")=0),"",COUNTIF(F10:H10,"W"))</f>
        <v/>
      </c>
      <c r="P68" s="143" t="str">
        <f ca="1">IF(AND(COUNTIF(F10:H10,"W")=0,COUNTIF(F10:H10,"L")=0),"",COUNTIF(F10:H10,"L"))</f>
        <v/>
      </c>
      <c r="Q68" s="143" t="str">
        <f ca="1">IF(OR(COUNTIF(F10:H10,"W"),COUNTIF(F10:H10,"L")),COUNTIF(F10:H10,"W")*2+COUNTIF(F10:H10,"L"),"")</f>
        <v/>
      </c>
      <c r="R68" s="143" t="str">
        <f ca="1">IF(Q10&lt;&gt;"",RANK(Q10,Q$10:Q$14),"")</f>
        <v/>
      </c>
      <c r="AG68" s="135"/>
      <c r="AH68" s="135"/>
      <c r="AI68" s="135"/>
      <c r="AJ68" s="138">
        <v>0.5625</v>
      </c>
      <c r="AK68" s="140"/>
      <c r="AL68" s="135"/>
    </row>
    <row r="69" spans="13:38" x14ac:dyDescent="0.25">
      <c r="M69" s="141" t="s">
        <v>47</v>
      </c>
      <c r="N69" s="142">
        <v>5</v>
      </c>
      <c r="O69" s="143" t="str">
        <f ca="1">IF(AND(COUNTIF(C10:G10,"W")=0,COUNTIF(C10:G10,"L")=0),"",COUNTIF(C10:G10,"W"))</f>
        <v/>
      </c>
      <c r="P69" s="143" t="str">
        <f ca="1">IF(AND(COUNTIF(C10:G10,"W")=0,COUNTIF(C10:G10,"L")=0),"",COUNTIF(C10:G10,"L"))</f>
        <v/>
      </c>
      <c r="Q69" s="143" t="str">
        <f ca="1">IF(OR(COUNTIF(C10:G10,"W"),COUNTIF(C10:G10,"L")),COUNTIF(C10:G10,"W")*2+COUNTIF(C10:G10,"L"),"")</f>
        <v/>
      </c>
      <c r="R69" s="143" t="str">
        <f ca="1">IF(Q10&lt;&gt;"",RANK(Q10,Q$4:Q$12),"")</f>
        <v/>
      </c>
      <c r="AG69" s="135"/>
      <c r="AH69" s="135"/>
      <c r="AI69" s="135"/>
      <c r="AJ69" s="138">
        <v>0.56597222222222221</v>
      </c>
      <c r="AK69" s="140"/>
      <c r="AL69" s="135"/>
    </row>
    <row r="70" spans="13:38" x14ac:dyDescent="0.25">
      <c r="M70" s="141" t="s">
        <v>47</v>
      </c>
      <c r="N70" s="142">
        <v>6</v>
      </c>
      <c r="O70" s="143" t="str">
        <f ca="1">IF(AND(COUNTIF(C10:H10,"W")=0,COUNTIF(C10:H10,"L")=0),"",COUNTIF(C10:H10,"W"))</f>
        <v/>
      </c>
      <c r="P70" s="143" t="str">
        <f ca="1">IF(AND(COUNTIF(C10:H10,"W")=0,COUNTIF(C10:H10,"L")=0),"",COUNTIF(C10:H10,"L"))</f>
        <v/>
      </c>
      <c r="Q70" s="143" t="str">
        <f ca="1">IF(OR(COUNTIF(C10:H10,"W"),COUNTIF(C10:H10,"L")),COUNTIF(C10:H10,"W")*2+COUNTIF(C10:H10,"L"),"")</f>
        <v/>
      </c>
      <c r="R70" s="143" t="str">
        <f ca="1">IF(Q10&lt;&gt;"",RANK(Q10,Q$4:Q$14),"")</f>
        <v/>
      </c>
      <c r="AG70" s="135"/>
      <c r="AH70" s="135"/>
      <c r="AI70" s="135"/>
      <c r="AJ70" s="138">
        <v>0.56944444444444442</v>
      </c>
      <c r="AK70" s="140"/>
      <c r="AL70" s="135"/>
    </row>
    <row r="71" spans="13:38" x14ac:dyDescent="0.25">
      <c r="M71" s="141" t="s">
        <v>47</v>
      </c>
      <c r="N71" s="142">
        <v>7</v>
      </c>
      <c r="O71" s="143" t="str">
        <f ca="1">IF(AND(COUNTIF(C10:I10,"W")=0,COUNTIF(C10:I10,"L")=0),"",COUNTIF(C10:I10,"W"))</f>
        <v/>
      </c>
      <c r="P71" s="143" t="str">
        <f ca="1">IF(AND(COUNTIF(C10:I10,"W")=0,COUNTIF(C10:I10,"L")=0),"",COUNTIF(C10:I10,"L"))</f>
        <v/>
      </c>
      <c r="Q71" s="143" t="str">
        <f ca="1">IF(OR(COUNTIF(C10:I10,"W"),COUNTIF(C10:I10,"L")),COUNTIF(C10:I10,"W")*2+COUNTIF(C10:I10,"L"),"")</f>
        <v/>
      </c>
      <c r="R71" s="143" t="str">
        <f ca="1">IF(Q10&lt;&gt;"",RANK(Q10,Q$4:Q$16),"")</f>
        <v/>
      </c>
      <c r="AG71" s="135"/>
      <c r="AH71" s="135"/>
      <c r="AI71" s="135"/>
      <c r="AJ71" s="138">
        <v>0.57291666666666663</v>
      </c>
      <c r="AK71" s="140"/>
      <c r="AL71" s="135"/>
    </row>
    <row r="72" spans="13:38" x14ac:dyDescent="0.25">
      <c r="M72" s="141" t="s">
        <v>47</v>
      </c>
      <c r="N72" s="142">
        <v>8</v>
      </c>
      <c r="O72" s="143" t="str">
        <f ca="1">IF(AND(COUNTIF(C10:J10,"W")=0,COUNTIF(C10:J10,"L")=0),"",COUNTIF(C10:J10,"W"))</f>
        <v/>
      </c>
      <c r="P72" s="143" t="str">
        <f ca="1">IF(AND(COUNTIF(C10:J10,"W")=0,COUNTIF(C10:J10,"L")=0),"",COUNTIF(C10:J10,"L"))</f>
        <v/>
      </c>
      <c r="Q72" s="143" t="str">
        <f ca="1">IF(OR(COUNTIF(C10:J10,"W"),COUNTIF(C10:J10,"L")),COUNTIF(C10:J10,"W")*2+COUNTIF(C10:J10,"L"),"")</f>
        <v/>
      </c>
      <c r="R72" s="143" t="str">
        <f ca="1">IF(Q10&lt;&gt;"",RANK(Q10,Q$4:Q$18),"")</f>
        <v/>
      </c>
      <c r="AG72" s="135"/>
      <c r="AH72" s="135"/>
      <c r="AI72" s="135"/>
      <c r="AJ72" s="138">
        <v>0.57638888888888895</v>
      </c>
      <c r="AK72" s="140"/>
      <c r="AL72" s="135"/>
    </row>
    <row r="73" spans="13:38" x14ac:dyDescent="0.25">
      <c r="M73" s="141" t="s">
        <v>47</v>
      </c>
      <c r="N73" s="142">
        <v>9</v>
      </c>
      <c r="O73" s="143" t="str">
        <f ca="1">IF(AND(COUNTIF(C10:K10,"W")=0,COUNTIF(C10:K10,"L")=0),"",COUNTIF(C10:K10,"W"))</f>
        <v/>
      </c>
      <c r="P73" s="143" t="str">
        <f ca="1">IF(AND(COUNTIF(C10:K10,"W")=0,COUNTIF(C10:K10,"L")=0),"",COUNTIF(C10:K10,"L"))</f>
        <v/>
      </c>
      <c r="Q73" s="143" t="str">
        <f ca="1">IF(OR(COUNTIF(C10:K10,"W"),COUNTIF(C10:K10,"L")),COUNTIF(C10:K10,"W")*2+COUNTIF(C10:K10,"L"),"")</f>
        <v/>
      </c>
      <c r="R73" s="143" t="str">
        <f ca="1">IF(Q10&lt;&gt;"",RANK(Q10,Q$4:Q$20),"")</f>
        <v/>
      </c>
      <c r="AG73" s="135"/>
      <c r="AH73" s="135"/>
      <c r="AI73" s="135"/>
      <c r="AJ73" s="138">
        <v>0.57986111111111105</v>
      </c>
      <c r="AK73" s="140"/>
      <c r="AL73" s="135"/>
    </row>
    <row r="74" spans="13:38" x14ac:dyDescent="0.25">
      <c r="M74" s="141" t="s">
        <v>47</v>
      </c>
      <c r="N74" s="142">
        <v>10</v>
      </c>
      <c r="O74" s="143" t="str">
        <f ca="1">IF(AND(COUNTIF(C10:L10,"W")=0,COUNTIF(C10:L10,"L")=0),"",COUNTIF(C10:L10,"W"))</f>
        <v/>
      </c>
      <c r="P74" s="143" t="str">
        <f ca="1">IF(AND(COUNTIF(C10:L10,"W")=0,COUNTIF(C10:L10,"L")=0),"",COUNTIF(C10:L10,"L"))</f>
        <v/>
      </c>
      <c r="Q74" s="143" t="str">
        <f ca="1">IF(OR(COUNTIF(C10:L10,"W"),COUNTIF(C10:L10,"L")),COUNTIF(C10:L10,"W")*2+COUNTIF(C10:L10,"L"),"")</f>
        <v/>
      </c>
      <c r="R74" s="143" t="str">
        <f ca="1">IF(Q10&lt;&gt;"",RANK(Q10,Q$4:Q$22),"")</f>
        <v/>
      </c>
      <c r="AG74" s="135"/>
      <c r="AH74" s="135"/>
      <c r="AI74" s="135"/>
      <c r="AJ74" s="138">
        <v>0.58333333333333337</v>
      </c>
      <c r="AK74" s="140"/>
      <c r="AL74" s="135"/>
    </row>
    <row r="75" spans="13:38" x14ac:dyDescent="0.25">
      <c r="M75" s="141" t="s">
        <v>47</v>
      </c>
      <c r="N75" s="142">
        <v>11</v>
      </c>
      <c r="O75" s="143" t="str">
        <f ca="1">IF(AND(COUNTIF(C10:M10,"W")=0,COUNTIF(C10:M10,"L")=0),"",COUNTIF(C10:M10,"W"))</f>
        <v/>
      </c>
      <c r="P75" s="143" t="str">
        <f ca="1">IF(AND(COUNTIF(C10:M10,"W")=0,COUNTIF(C10:M10,"L")=0),"",COUNTIF(C10:M10,"L"))</f>
        <v/>
      </c>
      <c r="Q75" s="143" t="str">
        <f ca="1">IF(OR(COUNTIF(C10:M10,"W"),COUNTIF(C10:M10,"L")),COUNTIF(C10:M10,"W")*2+COUNTIF(C10:M10,"L"),"")</f>
        <v/>
      </c>
      <c r="R75" s="143" t="str">
        <f ca="1">IF(Q10&lt;&gt;"",RANK(Q10,Q$4:Q$24),"")</f>
        <v/>
      </c>
      <c r="AG75" s="135"/>
      <c r="AH75" s="135"/>
      <c r="AI75" s="135"/>
      <c r="AJ75" s="138">
        <v>0.58680555555555558</v>
      </c>
      <c r="AK75" s="140"/>
      <c r="AL75" s="135"/>
    </row>
    <row r="76" spans="13:38" x14ac:dyDescent="0.25">
      <c r="M76" s="143"/>
      <c r="N76" s="143"/>
      <c r="O76" s="143"/>
      <c r="P76" s="143"/>
      <c r="Q76" s="143"/>
      <c r="R76" s="143"/>
      <c r="AG76" s="135"/>
      <c r="AH76" s="135"/>
      <c r="AI76" s="135"/>
      <c r="AJ76" s="138">
        <v>0.59027777777777779</v>
      </c>
      <c r="AK76" s="140"/>
      <c r="AL76" s="135"/>
    </row>
    <row r="77" spans="13:38" x14ac:dyDescent="0.25">
      <c r="M77" s="141" t="s">
        <v>48</v>
      </c>
      <c r="N77" s="142">
        <v>1</v>
      </c>
      <c r="O77" s="143" t="str">
        <f ca="1">IF(AND(COUNTIF(C12:N12,"W")=0,COUNTIF(C12:N12,"L")=0),"",COUNTIF(C12:N12,"W"))</f>
        <v/>
      </c>
      <c r="P77" s="143" t="str">
        <f ca="1">IF(AND(COUNTIF(C12:N12,"W")=0,COUNTIF(C12:N12,"L")=0),"",COUNTIF(C12:N12,"L"))</f>
        <v/>
      </c>
      <c r="Q77" s="143" t="str">
        <f ca="1">IF(OR(COUNTIF(C12:N12,"W"),COUNTIF(C12:N12,"L")),COUNTIF(C12:N12,"W")*2+COUNTIF(C12:N12,"L"),"")</f>
        <v/>
      </c>
      <c r="R77" s="143" t="str">
        <f ca="1">IF(Q12&lt;&gt;"",RANK(Q12,Q$4:Q$26),"")</f>
        <v/>
      </c>
      <c r="AG77" s="135"/>
      <c r="AH77" s="135"/>
      <c r="AI77" s="135"/>
      <c r="AJ77" s="138">
        <v>0.59375</v>
      </c>
      <c r="AK77" s="140"/>
      <c r="AL77" s="135"/>
    </row>
    <row r="78" spans="13:38" x14ac:dyDescent="0.25">
      <c r="M78" s="141" t="s">
        <v>48</v>
      </c>
      <c r="N78" s="142">
        <v>2</v>
      </c>
      <c r="O78" s="143" t="str">
        <f ca="1">IF(AND(COUNTIF(C12:H12,"W")=0,COUNTIF(C12:H12,"L")=0),"",COUNTIF(C12:H12,"W"))</f>
        <v/>
      </c>
      <c r="P78" s="143" t="str">
        <f ca="1">IF(AND(COUNTIF(C12:H12,"W")=0,COUNTIF(C12:H12,"L")=0),"",COUNTIF(C12:H12,"L"))</f>
        <v/>
      </c>
      <c r="Q78" s="143" t="str">
        <f ca="1">IF(OR(COUNTIF(C12:H12,"W"),COUNTIF(C12:H12,"L")),COUNTIF(C12:H12,"W")*2+COUNTIF(C12:H12,"L"),"")</f>
        <v/>
      </c>
      <c r="R78" s="143" t="str">
        <f ca="1">IF(Q12&lt;&gt;"",RANK(Q12,Q$4:Q$14),"")</f>
        <v/>
      </c>
      <c r="AG78" s="135"/>
      <c r="AH78" s="135"/>
      <c r="AI78" s="135"/>
      <c r="AJ78" s="138">
        <v>0.59722222222222221</v>
      </c>
      <c r="AK78" s="140"/>
      <c r="AL78" s="135"/>
    </row>
    <row r="79" spans="13:38" x14ac:dyDescent="0.25">
      <c r="M79" s="141" t="s">
        <v>48</v>
      </c>
      <c r="N79" s="142">
        <v>3</v>
      </c>
      <c r="O79" s="143" t="str">
        <f ca="1">IF(AND(COUNTIF(G12:J12,"W")=0,COUNTIF(G12:J12,"L")=0),"",COUNTIF(G12:J12,"W"))</f>
        <v/>
      </c>
      <c r="P79" s="143" t="str">
        <f ca="1">IF(AND(COUNTIF(G12:J12,"W")=0,COUNTIF(G12:J12,"L")=0),"",COUNTIF(G12:J12,"L"))</f>
        <v/>
      </c>
      <c r="Q79" s="143" t="str">
        <f ca="1">IF(OR(COUNTIF(G12:J12,"W"),COUNTIF(G12:J12,"L")),COUNTIF(G12:J12,"W")*2+COUNTIF(G12:J12,"L"),"")</f>
        <v/>
      </c>
      <c r="R79" s="143" t="str">
        <f ca="1">IF(Q12&lt;&gt;"",RANK(Q12,Q$12:Q$18),"")</f>
        <v/>
      </c>
      <c r="AG79" s="135"/>
      <c r="AH79" s="135"/>
      <c r="AI79" s="135"/>
      <c r="AJ79" s="138">
        <v>0.60069444444444442</v>
      </c>
      <c r="AK79" s="140"/>
      <c r="AL79" s="135"/>
    </row>
    <row r="80" spans="13:38" x14ac:dyDescent="0.25">
      <c r="M80" s="141" t="s">
        <v>48</v>
      </c>
      <c r="N80" s="142">
        <v>4</v>
      </c>
      <c r="O80" s="143" t="str">
        <f ca="1">IF(AND(COUNTIF(F12:H12,"W")=0,COUNTIF(F12:H12,"L")=0),"",COUNTIF(F12:H12,"W"))</f>
        <v/>
      </c>
      <c r="P80" s="143" t="str">
        <f ca="1">IF(AND(COUNTIF(F12:H12,"W")=0,COUNTIF(F12:H12,"L")=0),"",COUNTIF(F12:H12,"L"))</f>
        <v/>
      </c>
      <c r="Q80" s="143" t="str">
        <f ca="1">IF(OR(COUNTIF(F12:H12,"W"),COUNTIF(F12:H12,"L")),COUNTIF(F12:H12,"W")*2+COUNTIF(F12:H12,"L"),"")</f>
        <v/>
      </c>
      <c r="R80" s="143" t="str">
        <f ca="1">IF(Q12&lt;&gt;"",RANK(Q12,Q$10:Q$14),"")</f>
        <v/>
      </c>
      <c r="AG80" s="135"/>
      <c r="AH80" s="135"/>
      <c r="AI80" s="135"/>
      <c r="AJ80" s="138">
        <v>0.60416666666666663</v>
      </c>
      <c r="AK80" s="140"/>
      <c r="AL80" s="135"/>
    </row>
    <row r="81" spans="13:38" x14ac:dyDescent="0.25">
      <c r="M81" s="141" t="s">
        <v>48</v>
      </c>
      <c r="N81" s="142">
        <v>5</v>
      </c>
      <c r="O81" s="143" t="str">
        <f ca="1">IF(AND(COUNTIF(C12:G12,"W")=0,COUNTIF(C12:G12,"L")=0),"",COUNTIF(C12:G12,"W"))</f>
        <v/>
      </c>
      <c r="P81" s="143" t="str">
        <f ca="1">IF(AND(COUNTIF(C12:G12,"W")=0,COUNTIF(C12:G12,"L")=0),"",COUNTIF(C12:G12,"L"))</f>
        <v/>
      </c>
      <c r="Q81" s="143" t="str">
        <f ca="1">IF(OR(COUNTIF(C12:G12,"W"),COUNTIF(C12:G12,"L")),COUNTIF(C12:G12,"W")*2+COUNTIF(C12:G12,"L"),"")</f>
        <v/>
      </c>
      <c r="R81" s="143" t="str">
        <f ca="1">IF(Q12&lt;&gt;"",RANK(Q12,Q$4:Q$12),"")</f>
        <v/>
      </c>
      <c r="AG81" s="135"/>
      <c r="AH81" s="135"/>
      <c r="AI81" s="135"/>
      <c r="AJ81" s="138">
        <v>0.60763888888888895</v>
      </c>
      <c r="AK81" s="140"/>
      <c r="AL81" s="135"/>
    </row>
    <row r="82" spans="13:38" x14ac:dyDescent="0.25">
      <c r="M82" s="141" t="s">
        <v>48</v>
      </c>
      <c r="N82" s="142">
        <v>6</v>
      </c>
      <c r="O82" s="143" t="str">
        <f ca="1">IF(AND(COUNTIF(C12:H12,"W")=0,COUNTIF(C12:H12,"L")=0),"",COUNTIF(C12:H12,"W"))</f>
        <v/>
      </c>
      <c r="P82" s="143" t="str">
        <f ca="1">IF(AND(COUNTIF(C12:H12,"W")=0,COUNTIF(C12:H12,"L")=0),"",COUNTIF(C12:H12,"L"))</f>
        <v/>
      </c>
      <c r="Q82" s="143" t="str">
        <f ca="1">IF(OR(COUNTIF(C12:H12,"W"),COUNTIF(C12:H12,"L")),COUNTIF(C12:H12,"W")*2+COUNTIF(C12:H12,"L"),"")</f>
        <v/>
      </c>
      <c r="R82" s="143" t="str">
        <f ca="1">IF(Q12&lt;&gt;"",RANK(Q12,Q$4:Q$14),"")</f>
        <v/>
      </c>
      <c r="AG82" s="135"/>
      <c r="AH82" s="135"/>
      <c r="AI82" s="135"/>
      <c r="AJ82" s="138">
        <v>0.61111111111111105</v>
      </c>
      <c r="AK82" s="140"/>
      <c r="AL82" s="135"/>
    </row>
    <row r="83" spans="13:38" x14ac:dyDescent="0.25">
      <c r="M83" s="141" t="s">
        <v>48</v>
      </c>
      <c r="N83" s="142">
        <v>7</v>
      </c>
      <c r="O83" s="143" t="str">
        <f ca="1">IF(AND(COUNTIF(C12:I12,"W")=0,COUNTIF(C12:I12,"L")=0),"",COUNTIF(C12:I12,"W"))</f>
        <v/>
      </c>
      <c r="P83" s="143" t="str">
        <f ca="1">IF(AND(COUNTIF(C12:I12,"W")=0,COUNTIF(C12:I12,"L")=0),"",COUNTIF(C12:I12,"L"))</f>
        <v/>
      </c>
      <c r="Q83" s="143" t="str">
        <f ca="1">IF(OR(COUNTIF(C12:I12,"W"),COUNTIF(C12:I12,"L")),COUNTIF(C12:I12,"W")*2+COUNTIF(C12:I12,"L"),"")</f>
        <v/>
      </c>
      <c r="R83" s="143" t="str">
        <f ca="1">IF(Q12&lt;&gt;"",RANK(Q12,Q$4:Q$16),"")</f>
        <v/>
      </c>
      <c r="AG83" s="135"/>
      <c r="AH83" s="135"/>
      <c r="AI83" s="135"/>
      <c r="AJ83" s="138">
        <v>0.61458333333333337</v>
      </c>
      <c r="AK83" s="140"/>
      <c r="AL83" s="135"/>
    </row>
    <row r="84" spans="13:38" x14ac:dyDescent="0.25">
      <c r="M84" s="141" t="s">
        <v>48</v>
      </c>
      <c r="N84" s="142">
        <v>8</v>
      </c>
      <c r="O84" s="143" t="str">
        <f ca="1">IF(AND(COUNTIF(C12:J12,"W")=0,COUNTIF(C12:J12,"L")=0),"",COUNTIF(C12:J12,"W"))</f>
        <v/>
      </c>
      <c r="P84" s="143" t="str">
        <f ca="1">IF(AND(COUNTIF(C12:J12,"W")=0,COUNTIF(C12:J12,"L")=0),"",COUNTIF(C12:J12,"L"))</f>
        <v/>
      </c>
      <c r="Q84" s="143" t="str">
        <f ca="1">IF(OR(COUNTIF(C12:J12,"W"),COUNTIF(C12:J12,"L")),COUNTIF(C12:J12,"W")*2+COUNTIF(C12:J12,"L"),"")</f>
        <v/>
      </c>
      <c r="R84" s="143" t="str">
        <f ca="1">IF(Q12&lt;&gt;"",RANK(Q12,Q$4:Q$18),"")</f>
        <v/>
      </c>
      <c r="AG84" s="135"/>
      <c r="AH84" s="135"/>
      <c r="AI84" s="135"/>
      <c r="AJ84" s="138">
        <v>0.61805555555555558</v>
      </c>
      <c r="AK84" s="140"/>
      <c r="AL84" s="135"/>
    </row>
    <row r="85" spans="13:38" x14ac:dyDescent="0.25">
      <c r="M85" s="141" t="s">
        <v>48</v>
      </c>
      <c r="N85" s="142">
        <v>9</v>
      </c>
      <c r="O85" s="143" t="str">
        <f ca="1">IF(AND(COUNTIF(C12:K12,"W")=0,COUNTIF(C12:K12,"L")=0),"",COUNTIF(C12:K12,"W"))</f>
        <v/>
      </c>
      <c r="P85" s="143" t="str">
        <f ca="1">IF(AND(COUNTIF(C12:K12,"W")=0,COUNTIF(C12:K12,"L")=0),"",COUNTIF(C12:K12,"L"))</f>
        <v/>
      </c>
      <c r="Q85" s="143" t="str">
        <f ca="1">IF(OR(COUNTIF(C12:K12,"W"),COUNTIF(C12:K12,"L")),COUNTIF(C12:K12,"W")*2+COUNTIF(C12:K12,"L"),"")</f>
        <v/>
      </c>
      <c r="R85" s="143" t="str">
        <f ca="1">IF(Q12&lt;&gt;"",RANK(Q12,Q$4:Q$20),"")</f>
        <v/>
      </c>
      <c r="AG85" s="135"/>
      <c r="AH85" s="135"/>
      <c r="AI85" s="135"/>
      <c r="AJ85" s="138">
        <v>0.62152777777777779</v>
      </c>
      <c r="AK85" s="140"/>
      <c r="AL85" s="135"/>
    </row>
    <row r="86" spans="13:38" x14ac:dyDescent="0.25">
      <c r="M86" s="141" t="s">
        <v>48</v>
      </c>
      <c r="N86" s="142">
        <v>10</v>
      </c>
      <c r="O86" s="143" t="str">
        <f ca="1">IF(AND(COUNTIF(C12:L12,"W")=0,COUNTIF(C12:L12,"L")=0),"",COUNTIF(C12:L12,"W"))</f>
        <v/>
      </c>
      <c r="P86" s="143" t="str">
        <f ca="1">IF(AND(COUNTIF(C12:L12,"W")=0,COUNTIF(C12:L12,"L")=0),"",COUNTIF(C12:L12,"L"))</f>
        <v/>
      </c>
      <c r="Q86" s="143" t="str">
        <f ca="1">IF(OR(COUNTIF(C12:L12,"W"),COUNTIF(C12:L12,"L")),COUNTIF(C12:L12,"W")*2+COUNTIF(C12:L12,"L"),"")</f>
        <v/>
      </c>
      <c r="R86" s="143" t="str">
        <f ca="1">IF(Q12&lt;&gt;"",RANK(Q12,Q$4:Q$22),"")</f>
        <v/>
      </c>
      <c r="AG86" s="135"/>
      <c r="AH86" s="135"/>
      <c r="AI86" s="135"/>
      <c r="AJ86" s="138">
        <v>0.625</v>
      </c>
      <c r="AK86" s="140"/>
      <c r="AL86" s="135"/>
    </row>
    <row r="87" spans="13:38" x14ac:dyDescent="0.25">
      <c r="M87" s="141" t="s">
        <v>48</v>
      </c>
      <c r="N87" s="142">
        <v>11</v>
      </c>
      <c r="O87" s="143" t="str">
        <f ca="1">IF(AND(COUNTIF(C12:M12,"W")=0,COUNTIF(C12:M12,"L")=0),"",COUNTIF(C12:M12,"W"))</f>
        <v/>
      </c>
      <c r="P87" s="143" t="str">
        <f ca="1">IF(AND(COUNTIF(C12:M12,"W")=0,COUNTIF(C12:M12,"L")=0),"",COUNTIF(C12:M12,"L"))</f>
        <v/>
      </c>
      <c r="Q87" s="143" t="str">
        <f ca="1">IF(OR(COUNTIF(C12:M12,"W"),COUNTIF(C12:M12,"L")),COUNTIF(C12:M12,"W")*2+COUNTIF(C12:M12,"L"),"")</f>
        <v/>
      </c>
      <c r="R87" s="143" t="str">
        <f ca="1">IF(Q12&lt;&gt;"",RANK(Q12,Q$4:Q$24),"")</f>
        <v/>
      </c>
      <c r="AG87" s="135"/>
      <c r="AH87" s="135"/>
      <c r="AI87" s="135"/>
      <c r="AJ87" s="138">
        <v>0.62847222222222221</v>
      </c>
      <c r="AK87" s="140"/>
      <c r="AL87" s="135"/>
    </row>
    <row r="88" spans="13:38" x14ac:dyDescent="0.25">
      <c r="M88" s="143"/>
      <c r="N88" s="143"/>
      <c r="O88" s="143"/>
      <c r="P88" s="143"/>
      <c r="Q88" s="143"/>
      <c r="R88" s="143"/>
      <c r="AG88" s="135"/>
      <c r="AH88" s="135"/>
      <c r="AI88" s="135"/>
      <c r="AJ88" s="138">
        <v>0.63194444444444442</v>
      </c>
      <c r="AK88" s="140"/>
      <c r="AL88" s="135"/>
    </row>
    <row r="89" spans="13:38" x14ac:dyDescent="0.25">
      <c r="M89" s="141" t="s">
        <v>49</v>
      </c>
      <c r="N89" s="142">
        <v>1</v>
      </c>
      <c r="O89" s="143" t="str">
        <f ca="1">IF(AND(COUNTIF(C14:N14,"W")=0,COUNTIF(C14:N14,"L")=0),"",COUNTIF(C14:N14,"W"))</f>
        <v/>
      </c>
      <c r="P89" s="143" t="str">
        <f ca="1">IF(AND(COUNTIF(C14:N14,"W")=0,COUNTIF(C14:N14,"L")=0),"",COUNTIF(C14:N14,"L"))</f>
        <v/>
      </c>
      <c r="Q89" s="143" t="str">
        <f ca="1">IF(OR(COUNTIF(C14:N14,"W"),COUNTIF(C14:N14,"L")),COUNTIF(C14:N14,"W")*2+COUNTIF(C14:N14,"L"),"")</f>
        <v/>
      </c>
      <c r="R89" s="143" t="str">
        <f ca="1">IF(Q14&lt;&gt;"",RANK(Q14,Q$4:Q$26),"")</f>
        <v/>
      </c>
      <c r="AG89" s="135"/>
      <c r="AH89" s="135"/>
      <c r="AI89" s="135"/>
      <c r="AJ89" s="138">
        <v>0.63541666666666663</v>
      </c>
      <c r="AK89" s="140"/>
      <c r="AL89" s="135"/>
    </row>
    <row r="90" spans="13:38" x14ac:dyDescent="0.25">
      <c r="M90" s="141" t="s">
        <v>49</v>
      </c>
      <c r="N90" s="142">
        <v>2</v>
      </c>
      <c r="O90" s="143" t="str">
        <f ca="1">IF(AND(COUNTIF(C14:H14,"W")=0,COUNTIF(C14:H14,"L")=0),"",COUNTIF(C14:H14,"W"))</f>
        <v/>
      </c>
      <c r="P90" s="143" t="str">
        <f ca="1">IF(AND(COUNTIF(C14:H14,"W")=0,COUNTIF(C14:H14,"L")=0),"",COUNTIF(C14:H14,"L"))</f>
        <v/>
      </c>
      <c r="Q90" s="143" t="str">
        <f ca="1">IF(OR(COUNTIF(C14:H14,"W"),COUNTIF(C14:H14,"L")),COUNTIF(C14:H14,"W")*2+COUNTIF(C14:H14,"L"),"")</f>
        <v/>
      </c>
      <c r="R90" s="143" t="str">
        <f ca="1">IF(Q14&lt;&gt;"",RANK(Q14,Q$4:Q$14),"")</f>
        <v/>
      </c>
      <c r="AG90" s="135"/>
      <c r="AH90" s="135"/>
      <c r="AI90" s="135"/>
      <c r="AJ90" s="138">
        <v>0.63888888888888895</v>
      </c>
      <c r="AK90" s="140"/>
      <c r="AL90" s="135"/>
    </row>
    <row r="91" spans="13:38" x14ac:dyDescent="0.25">
      <c r="M91" s="141" t="s">
        <v>49</v>
      </c>
      <c r="N91" s="142">
        <v>3</v>
      </c>
      <c r="O91" s="143" t="str">
        <f ca="1">IF(AND(COUNTIF(G14:J14,"W")=0,COUNTIF(G14:J14,"L")=0),"",COUNTIF(G14:J14,"W"))</f>
        <v/>
      </c>
      <c r="P91" s="143" t="str">
        <f ca="1">IF(AND(COUNTIF(G14:J14,"W")=0,COUNTIF(G14:J14,"L")=0),"",COUNTIF(G14:J14,"L"))</f>
        <v/>
      </c>
      <c r="Q91" s="143" t="str">
        <f ca="1">IF(OR(COUNTIF(G14:J14,"W"),COUNTIF(G14:J14,"L")),COUNTIF(G14:J14,"W")*2+COUNTIF(G14:J14,"L"),"")</f>
        <v/>
      </c>
      <c r="R91" s="143" t="str">
        <f ca="1">IF(Q14&lt;&gt;"",RANK(Q14,Q$12:Q$18),"")</f>
        <v/>
      </c>
      <c r="AG91" s="135"/>
      <c r="AH91" s="135"/>
      <c r="AI91" s="135"/>
      <c r="AJ91" s="138">
        <v>0.64236111111111105</v>
      </c>
      <c r="AK91" s="140"/>
      <c r="AL91" s="135"/>
    </row>
    <row r="92" spans="13:38" x14ac:dyDescent="0.25">
      <c r="M92" s="141" t="s">
        <v>49</v>
      </c>
      <c r="N92" s="142">
        <v>4</v>
      </c>
      <c r="O92" s="143" t="str">
        <f ca="1">IF(AND(COUNTIF(F14:H14,"W")=0,COUNTIF(F14:H14,"L")=0),"",COUNTIF(F14:H14,"W"))</f>
        <v/>
      </c>
      <c r="P92" s="143" t="str">
        <f ca="1">IF(AND(COUNTIF(F14:H14,"W")=0,COUNTIF(F14:H14,"L")=0),"",COUNTIF(F14:H14,"L"))</f>
        <v/>
      </c>
      <c r="Q92" s="143" t="str">
        <f ca="1">IF(OR(COUNTIF(F14:H14,"W"),COUNTIF(F14:H14,"L")),COUNTIF(F14:H14,"W")*2+COUNTIF(F14:H14,"L"),"")</f>
        <v/>
      </c>
      <c r="R92" s="143" t="str">
        <f ca="1">IF(Q14&lt;&gt;"",RANK(Q14,Q$10:Q$14),"")</f>
        <v/>
      </c>
      <c r="AG92" s="135"/>
      <c r="AH92" s="135"/>
      <c r="AI92" s="135"/>
      <c r="AJ92" s="138">
        <v>0.64583333333333337</v>
      </c>
      <c r="AK92" s="140"/>
      <c r="AL92" s="135"/>
    </row>
    <row r="93" spans="13:38" x14ac:dyDescent="0.25">
      <c r="M93" s="141" t="s">
        <v>49</v>
      </c>
      <c r="N93" s="142">
        <v>5</v>
      </c>
      <c r="O93" s="143" t="str">
        <f ca="1">IF(AND(COUNTIF(C14:N14,"W")=0,COUNTIF(C14:N14,"L")=0),"",COUNTIF(C14:N14,"W"))</f>
        <v/>
      </c>
      <c r="P93" s="143" t="str">
        <f ca="1">IF(AND(COUNTIF(C14:N14,"W")=0,COUNTIF(C14:N14,"L")=0),"",COUNTIF(C14:N14,"L"))</f>
        <v/>
      </c>
      <c r="Q93" s="143" t="str">
        <f ca="1">IF(OR(COUNTIF(C14:N14,"W"),COUNTIF(C14:N14,"L")),COUNTIF(C14:N14,"W")*2+COUNTIF(C14:N14,"L"),"")</f>
        <v/>
      </c>
      <c r="R93" s="143"/>
      <c r="AG93" s="135"/>
      <c r="AH93" s="135"/>
      <c r="AI93" s="135"/>
      <c r="AJ93" s="138">
        <v>0.64930555555555558</v>
      </c>
      <c r="AK93" s="140"/>
      <c r="AL93" s="135"/>
    </row>
    <row r="94" spans="13:38" x14ac:dyDescent="0.25">
      <c r="M94" s="141" t="s">
        <v>49</v>
      </c>
      <c r="N94" s="142">
        <v>6</v>
      </c>
      <c r="O94" s="143" t="str">
        <f ca="1">IF(AND(COUNTIF(C14:H14,"W")=0,COUNTIF(C14:H14,"L")=0),"",COUNTIF(C14:H14,"W"))</f>
        <v/>
      </c>
      <c r="P94" s="143" t="str">
        <f ca="1">IF(AND(COUNTIF(C14:H14,"W")=0,COUNTIF(C14:H14,"L")=0),"",COUNTIF(C14:H14,"L"))</f>
        <v/>
      </c>
      <c r="Q94" s="143" t="str">
        <f ca="1">IF(OR(COUNTIF(C14:H14,"W"),COUNTIF(C14:H14,"L")),COUNTIF(C14:H14,"W")*2+COUNTIF(C14:H14,"L"),"")</f>
        <v/>
      </c>
      <c r="R94" s="143" t="str">
        <f ca="1">IF(Q14&lt;&gt;"",RANK(Q14,Q$4:Q$14),"")</f>
        <v/>
      </c>
      <c r="AG94" s="135"/>
      <c r="AH94" s="135"/>
      <c r="AI94" s="135"/>
      <c r="AJ94" s="138">
        <v>0.65277777777777779</v>
      </c>
      <c r="AK94" s="140"/>
      <c r="AL94" s="135"/>
    </row>
    <row r="95" spans="13:38" x14ac:dyDescent="0.25">
      <c r="M95" s="141" t="s">
        <v>49</v>
      </c>
      <c r="N95" s="142">
        <v>7</v>
      </c>
      <c r="O95" s="143" t="str">
        <f ca="1">IF(AND(COUNTIF(C14:I14,"W")=0,COUNTIF(C14:I14,"L")=0),"",COUNTIF(C14:I14,"W"))</f>
        <v/>
      </c>
      <c r="P95" s="143" t="str">
        <f ca="1">IF(AND(COUNTIF(C14:I14,"W")=0,COUNTIF(C14:I14,"L")=0),"",COUNTIF(C14:I14,"L"))</f>
        <v/>
      </c>
      <c r="Q95" s="143" t="str">
        <f ca="1">IF(OR(COUNTIF(C14:I14,"W"),COUNTIF(C14:I14,"L")),COUNTIF(C14:I14,"W")*2+COUNTIF(C14:I14,"L"),"")</f>
        <v/>
      </c>
      <c r="R95" s="143" t="str">
        <f ca="1">IF(Q14&lt;&gt;"",RANK(Q14,Q$4:Q$16),"")</f>
        <v/>
      </c>
      <c r="AG95" s="135"/>
      <c r="AH95" s="135"/>
      <c r="AI95" s="135"/>
      <c r="AJ95" s="138">
        <v>0.65625</v>
      </c>
      <c r="AK95" s="140"/>
      <c r="AL95" s="135"/>
    </row>
    <row r="96" spans="13:38" x14ac:dyDescent="0.25">
      <c r="M96" s="141" t="s">
        <v>49</v>
      </c>
      <c r="N96" s="142">
        <v>8</v>
      </c>
      <c r="O96" s="143" t="str">
        <f ca="1">IF(AND(COUNTIF(C14:J14,"W")=0,COUNTIF(C14:J14,"L")=0),"",COUNTIF(C14:J14,"W"))</f>
        <v/>
      </c>
      <c r="P96" s="143" t="str">
        <f ca="1">IF(AND(COUNTIF(C14:J14,"W")=0,COUNTIF(C14:J14,"L")=0),"",COUNTIF(C14:J14,"L"))</f>
        <v/>
      </c>
      <c r="Q96" s="143" t="str">
        <f ca="1">IF(OR(COUNTIF(C14:J14,"W"),COUNTIF(C14:J14,"L")),COUNTIF(C14:J14,"W")*2+COUNTIF(C14:J14,"L"),"")</f>
        <v/>
      </c>
      <c r="R96" s="143" t="str">
        <f ca="1">IF(Q14&lt;&gt;"",RANK(Q14,Q$4:Q$18),"")</f>
        <v/>
      </c>
      <c r="AG96" s="135"/>
      <c r="AH96" s="135"/>
      <c r="AI96" s="135"/>
      <c r="AJ96" s="138">
        <v>0.65972222222222221</v>
      </c>
      <c r="AK96" s="140"/>
      <c r="AL96" s="135"/>
    </row>
    <row r="97" spans="13:38" x14ac:dyDescent="0.25">
      <c r="M97" s="141" t="s">
        <v>49</v>
      </c>
      <c r="N97" s="142">
        <v>9</v>
      </c>
      <c r="O97" s="143" t="str">
        <f ca="1">IF(AND(COUNTIF(C14:K14,"W")=0,COUNTIF(C14:K14,"L")=0),"",COUNTIF(C14:K14,"W"))</f>
        <v/>
      </c>
      <c r="P97" s="143" t="str">
        <f ca="1">IF(AND(COUNTIF(C14:K14,"W")=0,COUNTIF(C14:K14,"L")=0),"",COUNTIF(C14:K14,"L"))</f>
        <v/>
      </c>
      <c r="Q97" s="143" t="str">
        <f ca="1">IF(OR(COUNTIF(C14:K14,"W"),COUNTIF(C14:K14,"L")),COUNTIF(C14:K14,"W")*2+COUNTIF(C14:K14,"L"),"")</f>
        <v/>
      </c>
      <c r="R97" s="143" t="str">
        <f ca="1">IF(Q14&lt;&gt;"",RANK(Q14,Q$4:Q$20),"")</f>
        <v/>
      </c>
      <c r="AG97" s="135"/>
      <c r="AH97" s="135"/>
      <c r="AI97" s="135"/>
      <c r="AJ97" s="138">
        <v>0.66319444444444442</v>
      </c>
      <c r="AK97" s="140"/>
      <c r="AL97" s="135"/>
    </row>
    <row r="98" spans="13:38" x14ac:dyDescent="0.25">
      <c r="M98" s="141" t="s">
        <v>49</v>
      </c>
      <c r="N98" s="142">
        <v>10</v>
      </c>
      <c r="O98" s="143" t="str">
        <f ca="1">IF(AND(COUNTIF(C14:L14,"W")=0,COUNTIF(C14:L14,"L")=0),"",COUNTIF(C14:L14,"W"))</f>
        <v/>
      </c>
      <c r="P98" s="143" t="str">
        <f ca="1">IF(AND(COUNTIF(C14:L14,"W")=0,COUNTIF(C14:L14,"L")=0),"",COUNTIF(C14:L14,"L"))</f>
        <v/>
      </c>
      <c r="Q98" s="143" t="str">
        <f ca="1">IF(OR(COUNTIF(C14:L14,"W"),COUNTIF(C14:L14,"L")),COUNTIF(C14:L14,"W")*2+COUNTIF(C14:L14,"L"),"")</f>
        <v/>
      </c>
      <c r="R98" s="143" t="str">
        <f ca="1">IF(Q14&lt;&gt;"",RANK(Q14,Q$4:Q$22),"")</f>
        <v/>
      </c>
      <c r="AG98" s="135"/>
      <c r="AH98" s="135"/>
      <c r="AI98" s="135"/>
      <c r="AJ98" s="138">
        <v>0.66666666666666663</v>
      </c>
      <c r="AK98" s="140"/>
      <c r="AL98" s="135"/>
    </row>
    <row r="99" spans="13:38" x14ac:dyDescent="0.25">
      <c r="M99" s="141" t="s">
        <v>49</v>
      </c>
      <c r="N99" s="142">
        <v>11</v>
      </c>
      <c r="O99" s="143" t="str">
        <f ca="1">IF(AND(COUNTIF(C14:M14,"W")=0,COUNTIF(C14:M14,"L")=0),"",COUNTIF(C14:M14,"W"))</f>
        <v/>
      </c>
      <c r="P99" s="143" t="str">
        <f ca="1">IF(AND(COUNTIF(C14:M14,"W")=0,COUNTIF(C14:M14,"L")=0),"",COUNTIF(C14:M14,"L"))</f>
        <v/>
      </c>
      <c r="Q99" s="143" t="str">
        <f ca="1">IF(OR(COUNTIF(C14:M14,"W"),COUNTIF(C14:M14,"L")),COUNTIF(C14:M14,"W")*2+COUNTIF(C14:M14,"L"),"")</f>
        <v/>
      </c>
      <c r="R99" s="143" t="str">
        <f ca="1">IF(Q14&lt;&gt;"",RANK(Q14,Q$4:Q$24),"")</f>
        <v/>
      </c>
      <c r="AG99" s="135"/>
      <c r="AH99" s="135"/>
      <c r="AI99" s="135"/>
      <c r="AJ99" s="138">
        <v>0.67013888888888884</v>
      </c>
      <c r="AK99" s="140"/>
      <c r="AL99" s="135"/>
    </row>
    <row r="100" spans="13:38" x14ac:dyDescent="0.25">
      <c r="M100" s="143"/>
      <c r="N100" s="143"/>
      <c r="O100" s="143"/>
      <c r="P100" s="143"/>
      <c r="Q100" s="143"/>
      <c r="R100" s="143"/>
      <c r="AG100" s="135"/>
      <c r="AH100" s="135"/>
      <c r="AI100" s="135"/>
      <c r="AJ100" s="138">
        <v>0.67361111111111116</v>
      </c>
      <c r="AK100" s="140"/>
      <c r="AL100" s="135"/>
    </row>
    <row r="101" spans="13:38" x14ac:dyDescent="0.25">
      <c r="M101" s="141" t="s">
        <v>50</v>
      </c>
      <c r="N101" s="142">
        <v>1</v>
      </c>
      <c r="O101" s="143" t="str">
        <f ca="1">IF(AND(COUNTIF(C16:N16,"W")=0,COUNTIF(C16:N16,"L")=0),"",COUNTIF(C16:N16,"W"))</f>
        <v/>
      </c>
      <c r="P101" s="143" t="str">
        <f ca="1">IF(AND(COUNTIF(C16:N16,"W")=0,COUNTIF(C16:N16,"L")=0),"",COUNTIF(C16:N16,"L"))</f>
        <v/>
      </c>
      <c r="Q101" s="143" t="str">
        <f ca="1">IF(OR(COUNTIF(C16:N16,"W"),COUNTIF(C16:N16,"L")),COUNTIF(C16:N16,"W")*2+COUNTIF(C16:N16,"L"),"")</f>
        <v/>
      </c>
      <c r="R101" s="143" t="str">
        <f ca="1">IF(Q16&lt;&gt;"",RANK(Q16,Q$4:Q$26),"")</f>
        <v/>
      </c>
      <c r="AG101" s="135"/>
      <c r="AH101" s="135"/>
      <c r="AI101" s="135"/>
      <c r="AJ101" s="138">
        <v>0.67708333333333337</v>
      </c>
      <c r="AK101" s="140"/>
      <c r="AL101" s="135"/>
    </row>
    <row r="102" spans="13:38" x14ac:dyDescent="0.25">
      <c r="M102" s="141" t="s">
        <v>50</v>
      </c>
      <c r="N102" s="142">
        <v>2</v>
      </c>
      <c r="O102" s="143" t="str">
        <f ca="1">IF(AND(COUNTIF(I16:N16,"W")=0,COUNTIF(I16:N16,"L")=0),"",COUNTIF(I16:N16,"W"))</f>
        <v/>
      </c>
      <c r="P102" s="143" t="str">
        <f ca="1">IF(AND(COUNTIF(I16:N16,"W")=0,COUNTIF(I16:N16,"L")=0),"",COUNTIF(I16:N16,"L"))</f>
        <v/>
      </c>
      <c r="Q102" s="143" t="str">
        <f ca="1">IF(OR(COUNTIF(I16:N16,"W"),COUNTIF(I16:N16,"L")),COUNTIF(I16:N16,"W")*2+COUNTIF(I16:N16,"L"),"")</f>
        <v/>
      </c>
      <c r="R102" s="143" t="str">
        <f ca="1">IF(Q16&lt;&gt;"",RANK(Q16,Q$16:Q$26),"")</f>
        <v/>
      </c>
      <c r="AG102" s="135"/>
      <c r="AH102" s="135"/>
      <c r="AI102" s="135"/>
      <c r="AJ102" s="138">
        <v>0.68055555555555547</v>
      </c>
      <c r="AK102" s="140"/>
      <c r="AL102" s="135"/>
    </row>
    <row r="103" spans="13:38" x14ac:dyDescent="0.25">
      <c r="M103" s="141" t="s">
        <v>50</v>
      </c>
      <c r="N103" s="142">
        <v>3</v>
      </c>
      <c r="O103" s="143" t="str">
        <f ca="1">IF(AND(COUNTIF(G16:J16,"W")=0,COUNTIF(G16:J16,"L")=0),"",COUNTIF(G16:J16,"W"))</f>
        <v/>
      </c>
      <c r="P103" s="143" t="str">
        <f ca="1">IF(AND(COUNTIF(G16:J16,"W")=0,COUNTIF(G16:J16,"L")=0),"",COUNTIF(G16:J16,"L"))</f>
        <v/>
      </c>
      <c r="Q103" s="143" t="str">
        <f ca="1">IF(OR(COUNTIF(G16:J16,"W"),COUNTIF(G16:J16,"L")),COUNTIF(G16:J16,"W")*2+COUNTIF(G16:J16,"L"),"")</f>
        <v/>
      </c>
      <c r="R103" s="143" t="str">
        <f ca="1">IF(Q16&lt;&gt;"",RANK(Q16,Q$12:Q$18),"")</f>
        <v/>
      </c>
      <c r="AG103" s="135"/>
      <c r="AH103" s="135"/>
      <c r="AI103" s="135"/>
      <c r="AJ103" s="138">
        <v>0.68402777777777779</v>
      </c>
      <c r="AK103" s="140"/>
      <c r="AL103" s="135"/>
    </row>
    <row r="104" spans="13:38" x14ac:dyDescent="0.25">
      <c r="M104" s="141" t="s">
        <v>50</v>
      </c>
      <c r="N104" s="142">
        <v>4</v>
      </c>
      <c r="O104" s="143" t="str">
        <f ca="1">IF(AND(COUNTIF(I16:K16,"W")=0,COUNTIF(I16:K16,"L")=0),"",COUNTIF(I16:K16,"W"))</f>
        <v/>
      </c>
      <c r="P104" s="143" t="str">
        <f ca="1">IF(AND(COUNTIF(I16:K16,"W")=0,COUNTIF(I16:K16,"L")=0),"",COUNTIF(I16:K16,"L"))</f>
        <v/>
      </c>
      <c r="Q104" s="143" t="str">
        <f ca="1">IF(OR(COUNTIF(I16:K16,"W"),COUNTIF(I16:K16,"L")),COUNTIF(I16:K16,"W")*2+COUNTIF(I16:K16,"L"),"")</f>
        <v/>
      </c>
      <c r="R104" s="143" t="str">
        <f ca="1">IF(Q16&lt;&gt;"",RANK(Q16,Q$16:Q$20),"")</f>
        <v/>
      </c>
      <c r="AG104" s="135"/>
      <c r="AH104" s="135"/>
      <c r="AI104" s="135"/>
      <c r="AJ104" s="138">
        <v>0.6875</v>
      </c>
      <c r="AK104" s="140"/>
      <c r="AL104" s="135"/>
    </row>
    <row r="105" spans="13:38" x14ac:dyDescent="0.25">
      <c r="M105" s="141" t="s">
        <v>50</v>
      </c>
      <c r="N105" s="142">
        <v>5</v>
      </c>
      <c r="O105" s="143" t="str">
        <f ca="1">IF(AND(COUNTIF(C16:N16,"W")=0,COUNTIF(C16:N16,"L")=0),"",COUNTIF(C16:N16,"W"))</f>
        <v/>
      </c>
      <c r="P105" s="143" t="str">
        <f ca="1">IF(AND(COUNTIF(C16:N16,"W")=0,COUNTIF(C16:N16,"L")=0),"",COUNTIF(C16:N16,"l"))</f>
        <v/>
      </c>
      <c r="Q105" s="143" t="str">
        <f ca="1">IF(OR(COUNTIF(C16:N16,"W"),COUNTIF(C16:N16,"L")),COUNTIF(C16:N16,"W")*2+COUNTIF(C16:N16,"L"),"")</f>
        <v/>
      </c>
      <c r="R105" s="143"/>
      <c r="AG105" s="135"/>
      <c r="AH105" s="135"/>
      <c r="AI105" s="135"/>
      <c r="AJ105" s="138">
        <v>0.69097222222222221</v>
      </c>
      <c r="AK105" s="140"/>
      <c r="AL105" s="135"/>
    </row>
    <row r="106" spans="13:38" x14ac:dyDescent="0.25">
      <c r="M106" s="141" t="s">
        <v>50</v>
      </c>
      <c r="N106" s="142">
        <v>6</v>
      </c>
      <c r="O106" s="143" t="str">
        <f ca="1">IF(AND(COUNTIF(C16:N16,"W")=0,COUNTIF(C16:N16,"L")=0),"",COUNTIF(C16:N16,"W"))</f>
        <v/>
      </c>
      <c r="P106" s="143" t="str">
        <f ca="1">IF(AND(COUNTIF(C16:N16,"W")=0,COUNTIF(C16:N16,"L")=0),"",COUNTIF(C16:N16,"L"))</f>
        <v/>
      </c>
      <c r="Q106" s="143" t="str">
        <f ca="1">IF(OR(COUNTIF(C16:N16,"W"),COUNTIF(C16:N16,"L")),COUNTIF(C16:N16,"W")*2+COUNTIF(C16:N16,"L"),"")</f>
        <v/>
      </c>
      <c r="R106" s="143"/>
      <c r="AG106" s="135"/>
      <c r="AH106" s="135"/>
      <c r="AI106" s="135"/>
      <c r="AJ106" s="138">
        <v>0.69444444444444453</v>
      </c>
      <c r="AK106" s="140"/>
      <c r="AL106" s="135"/>
    </row>
    <row r="107" spans="13:38" x14ac:dyDescent="0.25">
      <c r="M107" s="141" t="s">
        <v>50</v>
      </c>
      <c r="N107" s="142">
        <v>7</v>
      </c>
      <c r="O107" s="143" t="str">
        <f ca="1">IF(AND(COUNTIF(C16:H16,"W")=0,COUNTIF(C16:H16,"L")=0),"",COUNTIF(C16:H16,"W"))</f>
        <v/>
      </c>
      <c r="P107" s="143" t="str">
        <f ca="1">IF(AND(COUNTIF(C16:H16,"W")=0,COUNTIF(C16:H16,"L")=0),"",COUNTIF(C16:H16,"L"))</f>
        <v/>
      </c>
      <c r="Q107" s="143" t="str">
        <f ca="1">IF(OR(COUNTIF(C16:H16,"W"),COUNTIF(C16:H16,"L")),COUNTIF(C16:H16,"W")*2+COUNTIF(C16:H16,"L"),"")</f>
        <v/>
      </c>
      <c r="R107" s="143" t="str">
        <f ca="1">IF(Q16&lt;&gt;"",RANK(Q16,Q$4:Q$16),"")</f>
        <v/>
      </c>
      <c r="AG107" s="135"/>
      <c r="AH107" s="135"/>
      <c r="AI107" s="135"/>
      <c r="AJ107" s="138">
        <v>0.69791666666666663</v>
      </c>
      <c r="AK107" s="140"/>
      <c r="AL107" s="135"/>
    </row>
    <row r="108" spans="13:38" x14ac:dyDescent="0.25">
      <c r="M108" s="141" t="s">
        <v>50</v>
      </c>
      <c r="N108" s="142">
        <v>8</v>
      </c>
      <c r="O108" s="143" t="str">
        <f ca="1">IF(AND(COUNTIF(C16:J16,"W")=0,COUNTIF(C16:J16,"L")=0),"",COUNTIF(C16:J16,"W"))</f>
        <v/>
      </c>
      <c r="P108" s="143" t="str">
        <f ca="1">IF(AND(COUNTIF(C16:J16,"W")=0,COUNTIF(C16:J16,"L")=0),"",COUNTIF(C16:J16,"L"))</f>
        <v/>
      </c>
      <c r="Q108" s="143" t="str">
        <f ca="1">IF(OR(COUNTIF(C16:J16,"W"),COUNTIF(C16:J16,"L")),COUNTIF(C16:J16,"W")*2+COUNTIF(C16:J16,"L"),"")</f>
        <v/>
      </c>
      <c r="R108" s="143" t="str">
        <f ca="1">IF(Q16&lt;&gt;"",RANK(Q16,Q$4:Q$18),"")</f>
        <v/>
      </c>
      <c r="AG108" s="135"/>
      <c r="AH108" s="135"/>
      <c r="AI108" s="135"/>
      <c r="AJ108" s="138">
        <v>0.70138888888888884</v>
      </c>
      <c r="AK108" s="140"/>
      <c r="AL108" s="135"/>
    </row>
    <row r="109" spans="13:38" x14ac:dyDescent="0.25">
      <c r="M109" s="141" t="s">
        <v>50</v>
      </c>
      <c r="N109" s="142">
        <v>9</v>
      </c>
      <c r="O109" s="143" t="str">
        <f ca="1">IF(AND(COUNTIF(C16:K16,"W")=0,COUNTIF(C16:K16,"L")=0),"",COUNTIF(C16:K16,"W"))</f>
        <v/>
      </c>
      <c r="P109" s="143" t="str">
        <f ca="1">IF(AND(COUNTIF(C16:K16,"W")=0,COUNTIF(C16:K16,"L")=0),"",COUNTIF(C16:K16,"L"))</f>
        <v/>
      </c>
      <c r="Q109" s="143" t="str">
        <f ca="1">IF(OR(COUNTIF(C16:K16,"W"),COUNTIF(C16:K16,"L")),COUNTIF(C16:K16,"W")*2+COUNTIF(C16:K16,"L"),"")</f>
        <v/>
      </c>
      <c r="R109" s="143" t="str">
        <f ca="1">IF(Q16&lt;&gt;"",RANK(Q16,Q$4:Q$20),"")</f>
        <v/>
      </c>
      <c r="AG109" s="135"/>
      <c r="AH109" s="135"/>
      <c r="AI109" s="135"/>
      <c r="AJ109" s="138">
        <v>0.70486111111111116</v>
      </c>
      <c r="AK109" s="140"/>
      <c r="AL109" s="135"/>
    </row>
    <row r="110" spans="13:38" x14ac:dyDescent="0.25">
      <c r="M110" s="141" t="s">
        <v>50</v>
      </c>
      <c r="N110" s="142">
        <v>10</v>
      </c>
      <c r="O110" s="143" t="str">
        <f ca="1">IF(AND(COUNTIF(C16:L16,"W")=0,COUNTIF(C16:L16,"L")=0),"",COUNTIF(C16:L16,"W"))</f>
        <v/>
      </c>
      <c r="P110" s="143" t="str">
        <f ca="1">IF(AND(COUNTIF(C16:L16,"W")=0,COUNTIF(C16:L16,"L")=0),"",COUNTIF(C16:L16,"L"))</f>
        <v/>
      </c>
      <c r="Q110" s="143" t="str">
        <f ca="1">IF(OR(COUNTIF(C16:L16,"W"),COUNTIF(C16:L16,"L")),COUNTIF(C16:L16,"W")*2+COUNTIF(C16:L16,"L"),"")</f>
        <v/>
      </c>
      <c r="R110" s="143" t="str">
        <f ca="1">IF(Q16&lt;&gt;"",RANK(Q16,Q$4:Q$22),"")</f>
        <v/>
      </c>
      <c r="AG110" s="135"/>
      <c r="AH110" s="135"/>
      <c r="AI110" s="135"/>
      <c r="AJ110" s="138">
        <v>0.70833333333333337</v>
      </c>
      <c r="AK110" s="140"/>
      <c r="AL110" s="135"/>
    </row>
    <row r="111" spans="13:38" x14ac:dyDescent="0.25">
      <c r="M111" s="141" t="s">
        <v>50</v>
      </c>
      <c r="N111" s="142">
        <v>11</v>
      </c>
      <c r="O111" s="143" t="str">
        <f ca="1">IF(AND(COUNTIF(C16:M16,"W")=0,COUNTIF(C16:M16,"L")=0),"",COUNTIF(C16:M16,"W"))</f>
        <v/>
      </c>
      <c r="P111" s="143" t="str">
        <f ca="1">IF(AND(COUNTIF(C16:M16,"W")=0,COUNTIF(C16:M16,"L")=0),"",COUNTIF(C16:M16,"L"))</f>
        <v/>
      </c>
      <c r="Q111" s="143" t="str">
        <f ca="1">IF(OR(COUNTIF(C16:M16,"W"),COUNTIF(C16:M16,"L")),COUNTIF(C16:M16,"W")*2+COUNTIF(C16:M16,"L"),"")</f>
        <v/>
      </c>
      <c r="R111" s="143" t="str">
        <f ca="1">IF(Q16&lt;&gt;"",RANK(Q16,Q$4:Q$24),"")</f>
        <v/>
      </c>
      <c r="AG111" s="135"/>
      <c r="AH111" s="135"/>
      <c r="AI111" s="135"/>
      <c r="AJ111" s="138">
        <v>0.71180555555555547</v>
      </c>
      <c r="AK111" s="140"/>
      <c r="AL111" s="135"/>
    </row>
    <row r="112" spans="13:38" x14ac:dyDescent="0.25">
      <c r="M112" s="143"/>
      <c r="N112" s="143"/>
      <c r="O112" s="143"/>
      <c r="P112" s="143"/>
      <c r="Q112" s="143"/>
      <c r="R112" s="143"/>
      <c r="AG112" s="135"/>
      <c r="AH112" s="135"/>
      <c r="AI112" s="135"/>
      <c r="AJ112" s="138">
        <v>0.71527777777777779</v>
      </c>
      <c r="AK112" s="140"/>
      <c r="AL112" s="135"/>
    </row>
    <row r="113" spans="13:38" x14ac:dyDescent="0.25">
      <c r="M113" s="141" t="s">
        <v>51</v>
      </c>
      <c r="N113" s="142">
        <v>1</v>
      </c>
      <c r="O113" s="143" t="str">
        <f ca="1">IF(AND(COUNTIF(C18:N18,"W")=0,COUNTIF(C18:N18,"L")=0),"",COUNTIF(C18:N18,"W"))</f>
        <v/>
      </c>
      <c r="P113" s="143" t="str">
        <f ca="1">IF(AND(COUNTIF(C18:N18,"W")=0,COUNTIF(C18:N18,"L")=0),"",COUNTIF(C18:N18,"L"))</f>
        <v/>
      </c>
      <c r="Q113" s="143" t="str">
        <f ca="1">IF(OR(COUNTIF(C18:N18,"W"),COUNTIF(C18:N18,"L")),COUNTIF(C18:N18,"W")*2+COUNTIF(C18:N18,"L"),"")</f>
        <v/>
      </c>
      <c r="R113" s="143" t="str">
        <f ca="1">IF(Q18&lt;&gt;"",RANK(Q18,Q$4:Q$26),"")</f>
        <v/>
      </c>
      <c r="AG113" s="135"/>
      <c r="AH113" s="135"/>
      <c r="AI113" s="135"/>
      <c r="AJ113" s="138">
        <v>0.71875</v>
      </c>
      <c r="AK113" s="140"/>
      <c r="AL113" s="135"/>
    </row>
    <row r="114" spans="13:38" x14ac:dyDescent="0.25">
      <c r="M114" s="141" t="s">
        <v>51</v>
      </c>
      <c r="N114" s="142">
        <v>2</v>
      </c>
      <c r="O114" s="143" t="str">
        <f ca="1">IF(AND(COUNTIF(I18:N18,"W")=0,COUNTIF(I18:N18,"L")=0),"",COUNTIF(I18:N18,"W"))</f>
        <v/>
      </c>
      <c r="P114" s="143" t="str">
        <f ca="1">IF(AND(COUNTIF(I18:N18,"W")=0,COUNTIF(I18:N18,"L")=0),"",COUNTIF(I18:N18,"L"))</f>
        <v/>
      </c>
      <c r="Q114" s="143" t="str">
        <f ca="1">IF(OR(COUNTIF(I18:N18,"W"),COUNTIF(I18:N18,"L")),COUNTIF(I18:N18,"W")*2+COUNTIF(I18:N18,"L"),"")</f>
        <v/>
      </c>
      <c r="R114" s="143" t="str">
        <f ca="1">IF(Q18&lt;&gt;"",RANK(Q18,Q$16:Q$26),"")</f>
        <v/>
      </c>
      <c r="AG114" s="135"/>
      <c r="AH114" s="135"/>
      <c r="AI114" s="135"/>
      <c r="AJ114" s="138">
        <v>0.72222222222222221</v>
      </c>
      <c r="AK114" s="140"/>
      <c r="AL114" s="135"/>
    </row>
    <row r="115" spans="13:38" x14ac:dyDescent="0.25">
      <c r="M115" s="141" t="s">
        <v>51</v>
      </c>
      <c r="N115" s="142">
        <v>3</v>
      </c>
      <c r="O115" s="143" t="str">
        <f ca="1">IF(AND(COUNTIF(G18:J18,"W")=0,COUNTIF(G18:J18,"L")=0),"",COUNTIF(G18:J18,"W"))</f>
        <v/>
      </c>
      <c r="P115" s="143" t="str">
        <f ca="1">IF(AND(COUNTIF(G18:J18,"W")=0,COUNTIF(G18:J18,"L")=0),"",COUNTIF(G18:J18,"L"))</f>
        <v/>
      </c>
      <c r="Q115" s="143" t="str">
        <f ca="1">IF(OR(COUNTIF(G18:J18,"W"),COUNTIF(G18:J18,"L")),COUNTIF(G18:J18,"W")*2+COUNTIF(G18:J18,"L"),"")</f>
        <v/>
      </c>
      <c r="R115" s="143" t="str">
        <f ca="1">IF(Q18&lt;&gt;"",RANK(Q18,Q$12:Q$18),"")</f>
        <v/>
      </c>
      <c r="AG115" s="135"/>
      <c r="AH115" s="135"/>
      <c r="AI115" s="135"/>
      <c r="AJ115" s="138">
        <v>0.72569444444444453</v>
      </c>
      <c r="AK115" s="140"/>
      <c r="AL115" s="135"/>
    </row>
    <row r="116" spans="13:38" x14ac:dyDescent="0.25">
      <c r="M116" s="141" t="s">
        <v>51</v>
      </c>
      <c r="N116" s="142">
        <v>4</v>
      </c>
      <c r="O116" s="143" t="str">
        <f ca="1">IF(AND(COUNTIF(I18:K18,"W")=0,COUNTIF(I18:K18,"L")=0),"",COUNTIF(I18:K18,"W"))</f>
        <v/>
      </c>
      <c r="P116" s="143" t="str">
        <f ca="1">IF(AND(COUNTIF(I18:K18,"W")=0,COUNTIF(I18:K18,"L")=0),"",COUNTIF(I18:K18,"L"))</f>
        <v/>
      </c>
      <c r="Q116" s="143" t="str">
        <f ca="1">IF(OR(COUNTIF(I18:K18,"W"),COUNTIF(I18:K18,"L")),COUNTIF(I18:K18,"W")*2+COUNTIF(I18:K18,"L"),"")</f>
        <v/>
      </c>
      <c r="R116" s="143" t="str">
        <f ca="1">IF(Q18&lt;&gt;"",RANK(Q18,Q$16:Q$20),"")</f>
        <v/>
      </c>
      <c r="AG116" s="135"/>
      <c r="AH116" s="135"/>
      <c r="AI116" s="135"/>
      <c r="AJ116" s="138">
        <v>0.72916666666666663</v>
      </c>
      <c r="AK116" s="140"/>
      <c r="AL116" s="135"/>
    </row>
    <row r="117" spans="13:38" x14ac:dyDescent="0.25">
      <c r="M117" s="141" t="s">
        <v>51</v>
      </c>
      <c r="N117" s="142">
        <v>5</v>
      </c>
      <c r="O117" s="143" t="str">
        <f ca="1">IF(AND(COUNTIF(C18:N18,"W")=0,COUNTIF(C18:N18,"L")=0),"",COUNTIF(C18:N18,"W"))</f>
        <v/>
      </c>
      <c r="P117" s="143" t="str">
        <f ca="1">IF(AND(COUNTIF(C18:N18,"W")=0,COUNTIF(C18:N18,"L")=0),"",COUNTIF(C18:N18,"l"))</f>
        <v/>
      </c>
      <c r="Q117" s="143" t="str">
        <f ca="1">IF(OR(COUNTIF(C18:N18,"W"),COUNTIF(C18:N18,"L")),COUNTIF(C18:N18,"W")*2+COUNTIF(C18:N18,"L"),"")</f>
        <v/>
      </c>
      <c r="R117" s="143"/>
      <c r="AG117" s="135"/>
      <c r="AH117" s="135"/>
      <c r="AI117" s="135"/>
      <c r="AJ117" s="138">
        <v>0.73263888888888884</v>
      </c>
      <c r="AK117" s="140"/>
      <c r="AL117" s="135"/>
    </row>
    <row r="118" spans="13:38" x14ac:dyDescent="0.25">
      <c r="M118" s="141" t="s">
        <v>51</v>
      </c>
      <c r="N118" s="142">
        <v>6</v>
      </c>
      <c r="O118" s="143" t="str">
        <f ca="1">IF(AND(COUNTIF(C18:N18,"W")=0,COUNTIF(C18:N18,"L")=0),"",COUNTIF(C18:N18,"W"))</f>
        <v/>
      </c>
      <c r="P118" s="143" t="str">
        <f ca="1">IF(AND(COUNTIF(C18:N18,"W")=0,COUNTIF(C18:N18,"L")=0),"",COUNTIF(C18:N18,"L"))</f>
        <v/>
      </c>
      <c r="Q118" s="143" t="str">
        <f ca="1">IF(OR(COUNTIF(C18:N18,"W"),COUNTIF(C18:N18,"L")),COUNTIF(C18:N18,"W")*2+COUNTIF(C18:N18,"L"),"")</f>
        <v/>
      </c>
      <c r="R118" s="143"/>
      <c r="AG118" s="135"/>
      <c r="AH118" s="135"/>
      <c r="AI118" s="135"/>
      <c r="AJ118" s="138">
        <v>0.73611111111111116</v>
      </c>
      <c r="AK118" s="140"/>
      <c r="AL118" s="135"/>
    </row>
    <row r="119" spans="13:38" x14ac:dyDescent="0.25">
      <c r="M119" s="141" t="s">
        <v>51</v>
      </c>
      <c r="N119" s="142">
        <v>7</v>
      </c>
      <c r="O119" s="143" t="str">
        <f ca="1">IF(AND(COUNTIF(C18:N18,"W")=0,COUNTIF(C18:N18,"L")=0),"",COUNTIF(C18:N18,"W"))</f>
        <v/>
      </c>
      <c r="P119" s="143" t="str">
        <f ca="1">IF(AND(COUNTIF(C18:N18,"W")=0,COUNTIF(C18:N18,"L")=0),"",COUNTIF(C18:N18,"L"))</f>
        <v/>
      </c>
      <c r="Q119" s="143" t="str">
        <f ca="1">IF(OR(COUNTIF(C18:N18,"W"),COUNTIF(C18:N18,"L")),COUNTIF(C18:N18,"W")*2+COUNTIF(C18:N18,"L"),"")</f>
        <v/>
      </c>
      <c r="R119" s="143"/>
      <c r="AG119" s="135"/>
      <c r="AH119" s="135"/>
      <c r="AI119" s="135"/>
      <c r="AJ119" s="138">
        <v>0.73958333333333337</v>
      </c>
      <c r="AK119" s="140"/>
      <c r="AL119" s="135"/>
    </row>
    <row r="120" spans="13:38" x14ac:dyDescent="0.25">
      <c r="M120" s="141" t="s">
        <v>51</v>
      </c>
      <c r="N120" s="142">
        <v>8</v>
      </c>
      <c r="O120" s="143" t="str">
        <f ca="1">IF(AND(COUNTIF(C18:J18,"W")=0,COUNTIF(C18:J18,"L")=0),"",COUNTIF(C18:J18,"W"))</f>
        <v/>
      </c>
      <c r="P120" s="143" t="str">
        <f ca="1">IF(AND(COUNTIF(C18:J18,"W")=0,COUNTIF(C18:J18,"L")=0),"",COUNTIF(C18:J18,"L"))</f>
        <v/>
      </c>
      <c r="Q120" s="143" t="str">
        <f ca="1">IF(OR(COUNTIF(C18:J18,"W"),COUNTIF(C18:J18,"L")),COUNTIF(C18:J18,"W")*2+COUNTIF(C18:J18,"L"),"")</f>
        <v/>
      </c>
      <c r="R120" s="143" t="str">
        <f ca="1">IF(Q18&lt;&gt;"",RANK(Q18,Q$4:Q$18),"")</f>
        <v/>
      </c>
      <c r="AG120" s="135"/>
      <c r="AH120" s="135"/>
      <c r="AI120" s="135"/>
      <c r="AJ120" s="138">
        <v>0.74305555555555547</v>
      </c>
      <c r="AK120" s="140"/>
      <c r="AL120" s="135"/>
    </row>
    <row r="121" spans="13:38" x14ac:dyDescent="0.25">
      <c r="M121" s="141" t="s">
        <v>51</v>
      </c>
      <c r="N121" s="142">
        <v>9</v>
      </c>
      <c r="O121" s="143" t="str">
        <f ca="1">IF(AND(COUNTIF(C18:K18,"W")=0,COUNTIF(C18:K18,"L")=0),"",COUNTIF(C18:K18,"W"))</f>
        <v/>
      </c>
      <c r="P121" s="143" t="str">
        <f ca="1">IF(AND(COUNTIF(C18:K18,"W")=0,COUNTIF(C18:K18,"L")=0),"",COUNTIF(C18:K18,"L"))</f>
        <v/>
      </c>
      <c r="Q121" s="143" t="str">
        <f ca="1">IF(OR(COUNTIF(C18:K18,"W"),COUNTIF(C18:K18,"L")),COUNTIF(C18:K18,"W")*2+COUNTIF(C18:K18,"L"),"")</f>
        <v/>
      </c>
      <c r="R121" s="143" t="str">
        <f ca="1">IF(Q18&lt;&gt;"",RANK(Q18,Q$4:Q$20),"")</f>
        <v/>
      </c>
      <c r="AG121" s="135"/>
      <c r="AH121" s="135"/>
      <c r="AI121" s="135"/>
      <c r="AJ121" s="138">
        <v>0.74652777777777779</v>
      </c>
      <c r="AK121" s="140"/>
      <c r="AL121" s="135"/>
    </row>
    <row r="122" spans="13:38" x14ac:dyDescent="0.25">
      <c r="M122" s="141" t="s">
        <v>51</v>
      </c>
      <c r="N122" s="142">
        <v>10</v>
      </c>
      <c r="O122" s="143" t="str">
        <f ca="1">IF(AND(COUNTIF(C18:L18,"W")=0,COUNTIF(C18:L18,"L")=0),"",COUNTIF(C18:L18,"W"))</f>
        <v/>
      </c>
      <c r="P122" s="143" t="str">
        <f ca="1">IF(AND(COUNTIF(C18:L18,"W")=0,COUNTIF(C18:L18,"L")=0),"",COUNTIF(C18:L18,"L"))</f>
        <v/>
      </c>
      <c r="Q122" s="143" t="str">
        <f ca="1">IF(OR(COUNTIF(C18:L18,"W"),COUNTIF(C18:L18,"L")),COUNTIF(C18:L18,"W")*2+COUNTIF(C18:L18,"L"),"")</f>
        <v/>
      </c>
      <c r="R122" s="143" t="str">
        <f ca="1">IF(Q18&lt;&gt;"",RANK(Q18,Q$4:Q$22),"")</f>
        <v/>
      </c>
      <c r="AG122" s="135"/>
      <c r="AH122" s="135"/>
      <c r="AI122" s="135"/>
      <c r="AJ122" s="138">
        <v>0.75</v>
      </c>
      <c r="AK122" s="140"/>
      <c r="AL122" s="135"/>
    </row>
    <row r="123" spans="13:38" x14ac:dyDescent="0.25">
      <c r="M123" s="141" t="s">
        <v>51</v>
      </c>
      <c r="N123" s="142">
        <v>11</v>
      </c>
      <c r="O123" s="143" t="str">
        <f ca="1">IF(AND(COUNTIF(C18:M18,"W")=0,COUNTIF(C18:M18,"L")=0),"",COUNTIF(C18:M18,"W"))</f>
        <v/>
      </c>
      <c r="P123" s="143" t="str">
        <f ca="1">IF(AND(COUNTIF(C18:M18,"W")=0,COUNTIF(C18:M18,"L")=0),"",COUNTIF(C18:M18,"L"))</f>
        <v/>
      </c>
      <c r="Q123" s="143" t="str">
        <f ca="1">IF(OR(COUNTIF(C18:M18,"W"),COUNTIF(C18:M18,"L")),COUNTIF(C18:M18,"W")*2+COUNTIF(C18:M18,"L"),"")</f>
        <v/>
      </c>
      <c r="R123" s="143" t="str">
        <f ca="1">IF(Q18&lt;&gt;"",RANK(Q18,Q$4:Q$24),"")</f>
        <v/>
      </c>
      <c r="AG123" s="135"/>
      <c r="AH123" s="135"/>
      <c r="AI123" s="135"/>
      <c r="AJ123" s="138">
        <v>0.75347222222222221</v>
      </c>
      <c r="AK123" s="140"/>
      <c r="AL123" s="135"/>
    </row>
    <row r="124" spans="13:38" x14ac:dyDescent="0.25">
      <c r="M124" s="143"/>
      <c r="N124" s="143"/>
      <c r="O124" s="143"/>
      <c r="P124" s="143"/>
      <c r="Q124" s="143"/>
      <c r="R124" s="143"/>
      <c r="AG124" s="135"/>
      <c r="AH124" s="135"/>
      <c r="AI124" s="135"/>
      <c r="AJ124" s="138">
        <v>0.75694444444444453</v>
      </c>
      <c r="AK124" s="140"/>
      <c r="AL124" s="135"/>
    </row>
    <row r="125" spans="13:38" x14ac:dyDescent="0.25">
      <c r="M125" s="141" t="s">
        <v>52</v>
      </c>
      <c r="N125" s="142">
        <v>1</v>
      </c>
      <c r="O125" s="143" t="str">
        <f ca="1">IF(AND(COUNTIF(C20:N20,"W")=0,COUNTIF(C20:N20,"L")=0),"",COUNTIF(C20:N20,"W"))</f>
        <v/>
      </c>
      <c r="P125" s="143" t="str">
        <f ca="1">IF(AND(COUNTIF(C20:N20,"W")=0,COUNTIF(C20:N20,"L")=0),"",COUNTIF(C20:N20,"L"))</f>
        <v/>
      </c>
      <c r="Q125" s="143" t="str">
        <f ca="1">IF(OR(COUNTIF(C20:N20,"W"),COUNTIF(C20:N20,"L")),COUNTIF(C20:N20,"W")*2+COUNTIF(C20:N20,"L"),"")</f>
        <v/>
      </c>
      <c r="R125" s="143" t="str">
        <f ca="1">IF(Q20&lt;&gt;"",RANK(Q20,Q$4:Q$26),"")</f>
        <v/>
      </c>
      <c r="AG125" s="135"/>
      <c r="AH125" s="135"/>
      <c r="AI125" s="135"/>
      <c r="AJ125" s="138">
        <v>0.76041666666666663</v>
      </c>
      <c r="AK125" s="140"/>
      <c r="AL125" s="135"/>
    </row>
    <row r="126" spans="13:38" x14ac:dyDescent="0.25">
      <c r="M126" s="141" t="s">
        <v>52</v>
      </c>
      <c r="N126" s="142">
        <v>2</v>
      </c>
      <c r="O126" s="143" t="str">
        <f ca="1">IF(AND(COUNTIF(I20:N20,"W")=0,COUNTIF(I20:N20,"L")=0),"",COUNTIF(I20:N20,"W"))</f>
        <v/>
      </c>
      <c r="P126" s="143" t="str">
        <f ca="1">IF(AND(COUNTIF(I20:N20,"W")=0,COUNTIF(I20:N20,"L")=0),"",COUNTIF(I20:N20,"L"))</f>
        <v/>
      </c>
      <c r="Q126" s="143" t="str">
        <f ca="1">IF(OR(COUNTIF(I20:N20,"W"),COUNTIF(I20:N20,"L")),COUNTIF(I20:N20,"W")*2+COUNTIF(I20:N20,"L"),"")</f>
        <v/>
      </c>
      <c r="R126" s="143" t="str">
        <f ca="1">IF(Q20&lt;&gt;"",RANK(Q20,Q$16:Q$26),"")</f>
        <v/>
      </c>
      <c r="AG126" s="135"/>
      <c r="AH126" s="135"/>
      <c r="AI126" s="135"/>
      <c r="AJ126" s="138">
        <v>0.76388888888888884</v>
      </c>
      <c r="AK126" s="140"/>
      <c r="AL126" s="135"/>
    </row>
    <row r="127" spans="13:38" x14ac:dyDescent="0.25">
      <c r="M127" s="141" t="s">
        <v>52</v>
      </c>
      <c r="N127" s="142">
        <v>3</v>
      </c>
      <c r="O127" s="143" t="str">
        <f ca="1">IF(AND(COUNTIF(K20:N20,"W")=0,COUNTIF(K20:N20,"L")=0),"",COUNTIF(K20:N20,"W"))</f>
        <v/>
      </c>
      <c r="P127" s="143" t="str">
        <f ca="1">IF(AND(COUNTIF(K20:N20,"W")=0,COUNTIF(K20:N20,"L")=0),"",COUNTIF(K20:N20,"L"))</f>
        <v/>
      </c>
      <c r="Q127" s="143" t="str">
        <f ca="1">IF(OR(COUNTIF(K20:N20,"W"),COUNTIF(K20:N20,"L")),COUNTIF(K20:N20,"W")*2+COUNTIF(K20:N20,"L"),"")</f>
        <v/>
      </c>
      <c r="R127" s="143" t="str">
        <f ca="1">IF(Q20&lt;&gt;"",RANK(Q20,Q$20:Q$26),"")</f>
        <v/>
      </c>
      <c r="AG127" s="135"/>
      <c r="AH127" s="135"/>
      <c r="AI127" s="135"/>
      <c r="AJ127" s="138">
        <v>0.76736111111111116</v>
      </c>
      <c r="AK127" s="140"/>
      <c r="AL127" s="135"/>
    </row>
    <row r="128" spans="13:38" x14ac:dyDescent="0.25">
      <c r="M128" s="141" t="s">
        <v>52</v>
      </c>
      <c r="N128" s="142">
        <v>4</v>
      </c>
      <c r="O128" s="143" t="str">
        <f ca="1">IF(AND(COUNTIF(I20:K20,"W")=0,COUNTIF(I20:K20,"L")=0),"",COUNTIF(I20:K20,"W"))</f>
        <v/>
      </c>
      <c r="P128" s="143" t="str">
        <f ca="1">IF(AND(COUNTIF(I20:K20,"W")=0,COUNTIF(I20:K20,"L")=0),"",COUNTIF(I20:K20,"L"))</f>
        <v/>
      </c>
      <c r="Q128" s="143" t="str">
        <f ca="1">IF(OR(COUNTIF(I20:K20,"W"),COUNTIF(I20:K20,"L")),COUNTIF(I20:K20,"W")*2+COUNTIF(I20:K20,"L"),"")</f>
        <v/>
      </c>
      <c r="R128" s="143" t="str">
        <f ca="1">IF(Q20&lt;&gt;"",RANK(Q20,Q$16:Q$20),"")</f>
        <v/>
      </c>
      <c r="AG128" s="135"/>
      <c r="AH128" s="135"/>
      <c r="AI128" s="135"/>
      <c r="AJ128" s="138">
        <v>0.77083333333333337</v>
      </c>
      <c r="AK128" s="140"/>
      <c r="AL128" s="135"/>
    </row>
    <row r="129" spans="13:38" x14ac:dyDescent="0.25">
      <c r="M129" s="141" t="s">
        <v>52</v>
      </c>
      <c r="N129" s="142">
        <v>5</v>
      </c>
      <c r="O129" s="143" t="str">
        <f ca="1">IF(AND(COUNTIF(C20:N20,"W")=0,COUNTIF(C20:N20,"L")=0),"",COUNTIF(C20:N20,"W"))</f>
        <v/>
      </c>
      <c r="P129" s="143" t="str">
        <f ca="1">IF(AND(COUNTIF(C20:N20,"W")=0,COUNTIF(C20:N20,"L")=0),"",COUNTIF(C20:N20,"L"))</f>
        <v/>
      </c>
      <c r="Q129" s="143" t="str">
        <f ca="1">IF(OR(COUNTIF(C20:N20,"W"),COUNTIF(C20:N20,"L")),COUNTIF(C20:N20,"W")*2+COUNTIF(C20:N20,"L"),"")</f>
        <v/>
      </c>
      <c r="R129" s="143"/>
      <c r="AG129" s="135"/>
      <c r="AH129" s="135"/>
      <c r="AI129" s="135"/>
      <c r="AJ129" s="138">
        <v>0.77430555555555547</v>
      </c>
      <c r="AK129" s="140"/>
      <c r="AL129" s="135"/>
    </row>
    <row r="130" spans="13:38" x14ac:dyDescent="0.25">
      <c r="M130" s="141" t="s">
        <v>52</v>
      </c>
      <c r="N130" s="142">
        <v>6</v>
      </c>
      <c r="O130" s="143" t="str">
        <f ca="1">IF(AND(COUNTIF(C20:N20,"W")=0,COUNTIF(C20:N20,"L")=0),"",COUNTIF(C20:N20,"W"))</f>
        <v/>
      </c>
      <c r="P130" s="143" t="str">
        <f ca="1">IF(AND(COUNTIF(C20:N20,"W")=0,COUNTIF(C20:N20,"L")=0),"",COUNTIF(C20:N20,"L"))</f>
        <v/>
      </c>
      <c r="Q130" s="143" t="str">
        <f ca="1">IF(OR(COUNTIF(C20:N20,"W"),COUNTIF(C20:N20,"L")),COUNTIF(C20:N20,"W")*2+COUNTIF(C20:N20,"L"),"")</f>
        <v/>
      </c>
      <c r="R130" s="143"/>
      <c r="AG130" s="135"/>
      <c r="AH130" s="135"/>
      <c r="AI130" s="135"/>
      <c r="AJ130" s="138">
        <v>0.77777777777777779</v>
      </c>
      <c r="AK130" s="140"/>
      <c r="AL130" s="135"/>
    </row>
    <row r="131" spans="13:38" x14ac:dyDescent="0.25">
      <c r="M131" s="141" t="s">
        <v>52</v>
      </c>
      <c r="N131" s="142">
        <v>7</v>
      </c>
      <c r="O131" s="143" t="str">
        <f ca="1">IF(AND(COUNTIF(C20:N20,"W")=0,COUNTIF(C20:N20,"L")=0),"",COUNTIF(C20:N20,"W"))</f>
        <v/>
      </c>
      <c r="P131" s="143" t="str">
        <f ca="1">IF(AND(COUNTIF(C20:N20,"W")=0,COUNTIF(C20:N20,"L")=0),"",COUNTIF(C20:N20,"L"))</f>
        <v/>
      </c>
      <c r="Q131" s="143" t="str">
        <f ca="1">IF(OR(COUNTIF(C20:N20,"W"),COUNTIF(C20:N20,"L")),COUNTIF(C20:N20,"W")*2+COUNTIF(C20:N20,"L"),"")</f>
        <v/>
      </c>
      <c r="R131" s="143"/>
      <c r="AG131" s="135"/>
      <c r="AH131" s="135"/>
      <c r="AI131" s="135"/>
      <c r="AJ131" s="138">
        <v>0.78125</v>
      </c>
      <c r="AK131" s="140"/>
      <c r="AL131" s="135"/>
    </row>
    <row r="132" spans="13:38" x14ac:dyDescent="0.25">
      <c r="M132" s="141" t="s">
        <v>52</v>
      </c>
      <c r="N132" s="142">
        <v>8</v>
      </c>
      <c r="O132" s="143" t="str">
        <f ca="1">IF(AND(COUNTIF(C20:N20,"W")=0,COUNTIF(C20:N20,"L")=0),"",COUNTIF(C20:N20,"W"))</f>
        <v/>
      </c>
      <c r="P132" s="143" t="str">
        <f ca="1">IF(AND(COUNTIF(C20:N20,"W")=0,COUNTIF(C20:N20,"L")=0),"",COUNTIF(C20:N20,"L"))</f>
        <v/>
      </c>
      <c r="Q132" s="143" t="str">
        <f ca="1">IF(OR(COUNTIF(C20:N20,"W"),COUNTIF(C20:N20,"L")),COUNTIF(C20:N20,"W")*2+COUNTIF(C20:N20,"L"),"")</f>
        <v/>
      </c>
      <c r="R132" s="143"/>
      <c r="AG132" s="135"/>
      <c r="AH132" s="135"/>
      <c r="AI132" s="135"/>
      <c r="AJ132" s="138">
        <v>0.78472222222222221</v>
      </c>
      <c r="AK132" s="140"/>
      <c r="AL132" s="135"/>
    </row>
    <row r="133" spans="13:38" x14ac:dyDescent="0.25">
      <c r="M133" s="141" t="s">
        <v>52</v>
      </c>
      <c r="N133" s="142">
        <v>9</v>
      </c>
      <c r="O133" s="143" t="str">
        <f ca="1">IF(AND(COUNTIF(C20:K20,"W")=0,COUNTIF(C20:K20,"L")=0),"",COUNTIF(C20:K20,"W"))</f>
        <v/>
      </c>
      <c r="P133" s="143" t="str">
        <f ca="1">IF(AND(COUNTIF(C20:K20,"W")=0,COUNTIF(C20:K20,"L")=0),"",COUNTIF(C20:K20,"L"))</f>
        <v/>
      </c>
      <c r="Q133" s="143" t="str">
        <f ca="1">IF(OR(COUNTIF(C20:K20,"W"),COUNTIF(C20:K20,"L")),COUNTIF(C20:K20,"W")*2+COUNTIF(C20:K20,"L"),"")</f>
        <v/>
      </c>
      <c r="R133" s="143" t="str">
        <f ca="1">IF(Q20&lt;&gt;"",RANK(Q20,Q$4:Q$20),"")</f>
        <v/>
      </c>
      <c r="AG133" s="135"/>
      <c r="AH133" s="135"/>
      <c r="AI133" s="135"/>
      <c r="AJ133" s="138">
        <v>0.78819444444444453</v>
      </c>
      <c r="AK133" s="140"/>
      <c r="AL133" s="135"/>
    </row>
    <row r="134" spans="13:38" x14ac:dyDescent="0.25">
      <c r="M134" s="141" t="s">
        <v>52</v>
      </c>
      <c r="N134" s="142">
        <v>10</v>
      </c>
      <c r="O134" s="143" t="str">
        <f ca="1">IF(AND(COUNTIF(C20:L20,"W")=0,COUNTIF(C20:L20,"L")=0),"",COUNTIF(C20:L20,"W"))</f>
        <v/>
      </c>
      <c r="P134" s="143" t="str">
        <f ca="1">IF(AND(COUNTIF(C20:L20,"W")=0,COUNTIF(C20:L20,"L")=0),"",COUNTIF(C20:L20,"L"))</f>
        <v/>
      </c>
      <c r="Q134" s="143" t="str">
        <f ca="1">IF(OR(COUNTIF(C20:L20,"W"),COUNTIF(C20:L20,"L")),COUNTIF(C20:L20,"W")*2+COUNTIF(C20:L20,"L"),"")</f>
        <v/>
      </c>
      <c r="R134" s="143" t="str">
        <f ca="1">IF(Q20&lt;&gt;"",RANK(Q20,Q$4:Q$22),"")</f>
        <v/>
      </c>
      <c r="AG134" s="135"/>
      <c r="AH134" s="135"/>
      <c r="AI134" s="135"/>
      <c r="AJ134" s="138">
        <v>0.79166666666666663</v>
      </c>
      <c r="AK134" s="140"/>
      <c r="AL134" s="135"/>
    </row>
    <row r="135" spans="13:38" x14ac:dyDescent="0.25">
      <c r="M135" s="141" t="s">
        <v>52</v>
      </c>
      <c r="N135" s="142">
        <v>11</v>
      </c>
      <c r="O135" s="143" t="str">
        <f ca="1">IF(AND(COUNTIF(C20:M20,"W")=0,COUNTIF(C20:M20,"L")=0),"",COUNTIF(C20:M20,"W"))</f>
        <v/>
      </c>
      <c r="P135" s="143" t="str">
        <f ca="1">IF(AND(COUNTIF(C20:M20,"W")=0,COUNTIF(C20:M20,"L")=0),"",COUNTIF(C20:M20,"L"))</f>
        <v/>
      </c>
      <c r="Q135" s="143" t="str">
        <f ca="1">IF(OR(COUNTIF(C20:M20,"W"),COUNTIF(C20:M20,"L")),COUNTIF(C20:M20,"W")*2+COUNTIF(C20:M20,"L"),"")</f>
        <v/>
      </c>
      <c r="R135" s="143" t="str">
        <f ca="1">IF(Q20&lt;&gt;"",RANK(Q20,Q$4:Q$24),"")</f>
        <v/>
      </c>
      <c r="AG135" s="135"/>
      <c r="AH135" s="135"/>
      <c r="AI135" s="135"/>
      <c r="AJ135" s="138">
        <v>0.79513888888888884</v>
      </c>
      <c r="AK135" s="140"/>
      <c r="AL135" s="135"/>
    </row>
    <row r="136" spans="13:38" x14ac:dyDescent="0.25">
      <c r="M136" s="143"/>
      <c r="N136" s="143"/>
      <c r="O136" s="143"/>
      <c r="P136" s="143"/>
      <c r="Q136" s="143"/>
      <c r="R136" s="143"/>
      <c r="AG136" s="135"/>
      <c r="AH136" s="135"/>
      <c r="AI136" s="135"/>
      <c r="AJ136" s="138">
        <v>0.79861111111111116</v>
      </c>
      <c r="AK136" s="140"/>
      <c r="AL136" s="135"/>
    </row>
    <row r="137" spans="13:38" x14ac:dyDescent="0.25">
      <c r="M137" s="141" t="s">
        <v>53</v>
      </c>
      <c r="N137" s="142">
        <v>1</v>
      </c>
      <c r="O137" s="143" t="str">
        <f ca="1">IF(AND(COUNTIF(C22:N22,"W")=0,COUNTIF(C22:N22,"L")=0),"",COUNTIF(C22:N22,"W"))</f>
        <v/>
      </c>
      <c r="P137" s="143" t="str">
        <f ca="1">IF(AND(COUNTIF(C22:N22,"W")=0,COUNTIF(C22:N22,"L")=0),"",COUNTIF(C22:N22,"L"))</f>
        <v/>
      </c>
      <c r="Q137" s="143" t="str">
        <f ca="1">IF(OR(COUNTIF(C22:N22,"W"),COUNTIF(C22:N22,"L")),COUNTIF(C22:N22,"W")*2+COUNTIF(C22:N22,"L"),"")</f>
        <v/>
      </c>
      <c r="R137" s="143" t="str">
        <f ca="1">IF(Q22&lt;&gt;"",RANK(Q22,Q$4:Q$26),"")</f>
        <v/>
      </c>
      <c r="AG137" s="135"/>
      <c r="AH137" s="135"/>
      <c r="AI137" s="135"/>
      <c r="AJ137" s="138">
        <v>0.80208333333333337</v>
      </c>
      <c r="AK137" s="140"/>
      <c r="AL137" s="135"/>
    </row>
    <row r="138" spans="13:38" x14ac:dyDescent="0.25">
      <c r="M138" s="141" t="s">
        <v>53</v>
      </c>
      <c r="N138" s="142">
        <v>2</v>
      </c>
      <c r="O138" s="143" t="str">
        <f ca="1">IF(AND(COUNTIF(I22:N22,"W")=0,COUNTIF(I22:N22,"L")=0),"",COUNTIF(I22:N22,"W"))</f>
        <v/>
      </c>
      <c r="P138" s="143" t="str">
        <f ca="1">IF(AND(COUNTIF(I22:N22,"W")=0,COUNTIF(I22:N22,"L")=0),"",COUNTIF(I22:N22,"L"))</f>
        <v/>
      </c>
      <c r="Q138" s="143" t="str">
        <f ca="1">IF(OR(COUNTIF(I22:N22,"W"),COUNTIF(I22:N22,"L")),COUNTIF(I22:N22,"W")*2+COUNTIF(I22:N22,"L"),"")</f>
        <v/>
      </c>
      <c r="R138" s="143" t="str">
        <f ca="1">IF(Q22&lt;&gt;"",RANK(Q22,Q$16:Q$26),"")</f>
        <v/>
      </c>
      <c r="AG138" s="135"/>
      <c r="AH138" s="135"/>
      <c r="AI138" s="135"/>
      <c r="AJ138" s="138">
        <v>0.80555555555555547</v>
      </c>
      <c r="AK138" s="140"/>
      <c r="AL138" s="135"/>
    </row>
    <row r="139" spans="13:38" x14ac:dyDescent="0.25">
      <c r="M139" s="141" t="s">
        <v>53</v>
      </c>
      <c r="N139" s="142">
        <v>3</v>
      </c>
      <c r="O139" s="143" t="str">
        <f ca="1">IF(AND(COUNTIF(K22:N22,"W")=0,COUNTIF(K22:N22,"L")=0),"",COUNTIF(K22:N22,"W"))</f>
        <v/>
      </c>
      <c r="P139" s="143" t="str">
        <f ca="1">IF(AND(COUNTIF(K22:N22,"W")=0,COUNTIF(K22:N22,"L")=0),"",COUNTIF(K22:N22,"L"))</f>
        <v/>
      </c>
      <c r="Q139" s="143" t="str">
        <f ca="1">IF(OR(COUNTIF(K22:N22,"W"),COUNTIF(K22:N22,"L")),COUNTIF(K22:N22,"W")*2+COUNTIF(K22:N22,"L"),"")</f>
        <v/>
      </c>
      <c r="R139" s="143" t="str">
        <f ca="1">IF(Q22&lt;&gt;"",RANK(Q22,Q$20:Q$26),"")</f>
        <v/>
      </c>
      <c r="AG139" s="135"/>
      <c r="AH139" s="135"/>
      <c r="AI139" s="135"/>
      <c r="AJ139" s="138">
        <v>0.80902777777777779</v>
      </c>
      <c r="AK139" s="140"/>
      <c r="AL139" s="135"/>
    </row>
    <row r="140" spans="13:38" x14ac:dyDescent="0.25">
      <c r="M140" s="141" t="s">
        <v>53</v>
      </c>
      <c r="N140" s="142">
        <v>4</v>
      </c>
      <c r="O140" s="143" t="str">
        <f ca="1">IF(AND(COUNTIF(L22:N22,"W")=0,COUNTIF(L22:N22,"L")=0),"",COUNTIF(L22:N22,"W"))</f>
        <v/>
      </c>
      <c r="P140" s="143" t="str">
        <f ca="1">IF(AND(COUNTIF(L22:N22,"W")=0,COUNTIF(L22:N22,"L")=0),"",COUNTIF(L22:N22,"L"))</f>
        <v/>
      </c>
      <c r="Q140" s="143" t="str">
        <f ca="1">IF(OR(COUNTIF(L22:N22,"W"),COUNTIF(L22:N22,"L")),COUNTIF(L22:N22,"W")*2+COUNTIF(L22:N22,"L"),"")</f>
        <v/>
      </c>
      <c r="R140" s="143" t="str">
        <f ca="1">IF(Q22&lt;&gt;"",RANK(Q22,Q$22:Q$26),"")</f>
        <v/>
      </c>
      <c r="AG140" s="135"/>
      <c r="AH140" s="135"/>
      <c r="AI140" s="135"/>
      <c r="AJ140" s="138">
        <v>0.8125</v>
      </c>
      <c r="AK140" s="140"/>
      <c r="AL140" s="135"/>
    </row>
    <row r="141" spans="13:38" x14ac:dyDescent="0.25">
      <c r="M141" s="141" t="s">
        <v>53</v>
      </c>
      <c r="N141" s="142">
        <v>5</v>
      </c>
      <c r="O141" s="143" t="str">
        <f ca="1">IF(AND(COUNTIF(C22:N22,"W")=0,COUNTIF(C22:N22,"L")=0),"",COUNTIF(C22:N22,"W"))</f>
        <v/>
      </c>
      <c r="P141" s="143" t="str">
        <f ca="1">IF(AND(COUNTIF(C22:N22,"W")=0,COUNTIF(C22:N22,"L")=0),"",COUNTIF(C22:N22,"L"))</f>
        <v/>
      </c>
      <c r="Q141" s="143" t="str">
        <f ca="1">IF(OR(COUNTIF(C22:N22,"W"),COUNTIF(C22:N22,"L")),COUNTIF(C22:N22,"W")*2+COUNTIF(C22:N22,"L"),"")</f>
        <v/>
      </c>
      <c r="R141" s="143"/>
      <c r="AG141" s="135"/>
      <c r="AH141" s="135"/>
      <c r="AI141" s="135"/>
      <c r="AJ141" s="138">
        <v>0.81597222222222221</v>
      </c>
      <c r="AK141" s="140"/>
      <c r="AL141" s="135"/>
    </row>
    <row r="142" spans="13:38" x14ac:dyDescent="0.25">
      <c r="M142" s="141" t="s">
        <v>53</v>
      </c>
      <c r="N142" s="142">
        <v>6</v>
      </c>
      <c r="O142" s="143" t="str">
        <f ca="1">IF(AND(COUNTIF(C22:N22,"W")=0,COUNTIF(C22:N22,"L")=0),"",COUNTIF(C22:N22,"W"))</f>
        <v/>
      </c>
      <c r="P142" s="143" t="str">
        <f ca="1">IF(AND(COUNTIF(C22:N22,"W")=0,COUNTIF(C22:N22,"L")=0),"",COUNTIF(C22:N22,"L"))</f>
        <v/>
      </c>
      <c r="Q142" s="143" t="str">
        <f ca="1">IF(OR(COUNTIF(C22:N22,"W"),COUNTIF(C22:N22,"L")),COUNTIF(C22:N22,"W")*2+COUNTIF(C22:N22,"L"),"")</f>
        <v/>
      </c>
      <c r="R142" s="143"/>
      <c r="AG142" s="135"/>
      <c r="AH142" s="135"/>
      <c r="AI142" s="135"/>
      <c r="AJ142" s="138">
        <v>0.81944444444444453</v>
      </c>
      <c r="AK142" s="140"/>
      <c r="AL142" s="135"/>
    </row>
    <row r="143" spans="13:38" x14ac:dyDescent="0.25">
      <c r="M143" s="141" t="s">
        <v>53</v>
      </c>
      <c r="N143" s="142">
        <v>7</v>
      </c>
      <c r="O143" s="143" t="str">
        <f ca="1">IF(AND(COUNTIF(C22:N22,"W")=0,COUNTIF(C22:N22,"L")=0),"",COUNTIF(C22:N22,"W"))</f>
        <v/>
      </c>
      <c r="P143" s="143" t="str">
        <f ca="1">IF(AND(COUNTIF(C22:N22,"W")=0,COUNTIF(C22:N22,"L")=0),"",COUNTIF(C22:N22,"L"))</f>
        <v/>
      </c>
      <c r="Q143" s="143" t="str">
        <f ca="1">IF(OR(COUNTIF(C22:N22,"W"),COUNTIF(C22:N22,"L")),COUNTIF(C22:N22,"W")*2+COUNTIF(C22:N22,"L"),"")</f>
        <v/>
      </c>
      <c r="R143" s="143"/>
      <c r="AG143" s="135"/>
      <c r="AH143" s="135"/>
      <c r="AI143" s="135"/>
      <c r="AJ143" s="138">
        <v>0.82291666666666663</v>
      </c>
      <c r="AK143" s="140"/>
      <c r="AL143" s="135"/>
    </row>
    <row r="144" spans="13:38" x14ac:dyDescent="0.25">
      <c r="M144" s="141" t="s">
        <v>53</v>
      </c>
      <c r="N144" s="142">
        <v>8</v>
      </c>
      <c r="O144" s="143" t="str">
        <f ca="1">IF(AND(COUNTIF(C22:N22,"W")=0,COUNTIF(C22:N22,"L")=0),"",COUNTIF(C22:N22,"W"))</f>
        <v/>
      </c>
      <c r="P144" s="143" t="str">
        <f ca="1">IF(AND(COUNTIF(C22:N22,"W")=0,COUNTIF(C22:N22,"L")=0),"",COUNTIF(C22:N22,"L"))</f>
        <v/>
      </c>
      <c r="Q144" s="143" t="str">
        <f ca="1">IF(OR(COUNTIF(C22:N22,"W"),COUNTIF(C22:N22,"L")),COUNTIF(C22:N22,"W")*2+COUNTIF(C22:N22,"L"),"")</f>
        <v/>
      </c>
      <c r="R144" s="143"/>
      <c r="AG144" s="135"/>
      <c r="AH144" s="135"/>
      <c r="AI144" s="135"/>
      <c r="AJ144" s="138">
        <v>0.82638888888888884</v>
      </c>
      <c r="AK144" s="140"/>
      <c r="AL144" s="135"/>
    </row>
    <row r="145" spans="13:38" x14ac:dyDescent="0.25">
      <c r="M145" s="141" t="s">
        <v>53</v>
      </c>
      <c r="N145" s="142">
        <v>9</v>
      </c>
      <c r="O145" s="143" t="str">
        <f ca="1">IF(AND(COUNTIF(C22:N22,"W")=0,COUNTIF(C22:N22,"L")=0),"",COUNTIF(C22:N22,"W"))</f>
        <v/>
      </c>
      <c r="P145" s="143" t="str">
        <f ca="1">IF(AND(COUNTIF(C22:N22,"W")=0,COUNTIF(C22:N22,"L")=0),"",COUNTIF(C22:N22,"L"))</f>
        <v/>
      </c>
      <c r="Q145" s="143" t="str">
        <f ca="1">IF(OR(COUNTIF(C22:N22,"W"),COUNTIF(C22:N22,"L")),COUNTIF(C22:N22,"W")*2+COUNTIF(C22:N22,"L"),"")</f>
        <v/>
      </c>
      <c r="R145" s="143"/>
      <c r="AG145" s="135"/>
      <c r="AH145" s="135"/>
      <c r="AI145" s="135"/>
      <c r="AJ145" s="138">
        <v>0.82986111111111116</v>
      </c>
      <c r="AK145" s="140"/>
      <c r="AL145" s="135"/>
    </row>
    <row r="146" spans="13:38" x14ac:dyDescent="0.25">
      <c r="M146" s="141" t="s">
        <v>53</v>
      </c>
      <c r="N146" s="142">
        <v>10</v>
      </c>
      <c r="O146" s="143" t="str">
        <f ca="1">IF(AND(COUNTIF(C22:L22,"W")=0,COUNTIF(C22:L22,"L")=0),"",COUNTIF(C22:L22,"W"))</f>
        <v/>
      </c>
      <c r="P146" s="143" t="str">
        <f ca="1">IF(AND(COUNTIF(C22:L22,"W")=0,COUNTIF(C22:L22,"L")=0),"",COUNTIF(C22:L22,"L"))</f>
        <v/>
      </c>
      <c r="Q146" s="143" t="str">
        <f ca="1">IF(OR(COUNTIF(C22:L22,"W"),COUNTIF(C22:L22,"L")),COUNTIF(C22:L22,"W")*2+COUNTIF(C22:L22,"L"),"")</f>
        <v/>
      </c>
      <c r="R146" s="143" t="str">
        <f ca="1">IF(Q22&lt;&gt;"",RANK(Q22,Q$4:Q$22),"")</f>
        <v/>
      </c>
      <c r="AG146" s="135"/>
      <c r="AH146" s="135"/>
      <c r="AI146" s="135"/>
      <c r="AJ146" s="138">
        <v>0.83333333333333337</v>
      </c>
      <c r="AK146" s="140"/>
      <c r="AL146" s="135"/>
    </row>
    <row r="147" spans="13:38" x14ac:dyDescent="0.25">
      <c r="M147" s="141" t="s">
        <v>53</v>
      </c>
      <c r="N147" s="142">
        <v>11</v>
      </c>
      <c r="O147" s="143" t="str">
        <f ca="1">IF(AND(COUNTIF(C22:M22,"W")=0,COUNTIF(C22:M22,"L")=0),"",COUNTIF(C22:M22,"W"))</f>
        <v/>
      </c>
      <c r="P147" s="143" t="str">
        <f ca="1">IF(AND(COUNTIF(C22:M22,"W")=0,COUNTIF(C22:M22,"L")=0),"",COUNTIF(C22:M22,"L"))</f>
        <v/>
      </c>
      <c r="Q147" s="143" t="str">
        <f ca="1">IF(OR(COUNTIF(C22:M22,"W"),COUNTIF(C22:M22,"L")),COUNTIF(C22:M22,"W")*2+COUNTIF(C22:M22,"L"),"")</f>
        <v/>
      </c>
      <c r="R147" s="143" t="str">
        <f ca="1">IF(Q22&lt;&gt;"",RANK(Q22,Q$4:Q$24),"")</f>
        <v/>
      </c>
      <c r="AG147" s="135"/>
      <c r="AH147" s="135"/>
      <c r="AI147" s="135"/>
      <c r="AJ147" s="138">
        <v>0.83680555555555547</v>
      </c>
      <c r="AK147" s="140"/>
      <c r="AL147" s="135"/>
    </row>
    <row r="148" spans="13:38" x14ac:dyDescent="0.25">
      <c r="M148" s="143"/>
      <c r="N148" s="143"/>
      <c r="O148" s="143"/>
      <c r="P148" s="143"/>
      <c r="Q148" s="143"/>
      <c r="R148" s="143"/>
      <c r="AG148" s="135"/>
      <c r="AH148" s="135"/>
      <c r="AI148" s="135"/>
      <c r="AJ148" s="138">
        <v>0.84027777777777779</v>
      </c>
      <c r="AK148" s="140"/>
      <c r="AL148" s="135"/>
    </row>
    <row r="149" spans="13:38" x14ac:dyDescent="0.25">
      <c r="M149" s="141" t="s">
        <v>54</v>
      </c>
      <c r="N149" s="142">
        <v>1</v>
      </c>
      <c r="O149" s="143" t="str">
        <f ca="1">IF(AND(COUNTIF(C24:N24,"W")=0,COUNTIF(C24:N24,"L")=0),"",COUNTIF(C24:N24,"W"))</f>
        <v/>
      </c>
      <c r="P149" s="143" t="str">
        <f ca="1">IF(AND(COUNTIF(C24:N24,"W")=0,COUNTIF(C24:N24,"L")=0),"",COUNTIF(C24:N24,"L"))</f>
        <v/>
      </c>
      <c r="Q149" s="143" t="str">
        <f ca="1">IF(OR(COUNTIF(C24:N24,"W"),COUNTIF(C24:N24,"L")),COUNTIF(C24:N24,"W")*2+COUNTIF(C24:N24,"L"),"")</f>
        <v/>
      </c>
      <c r="R149" s="143" t="str">
        <f ca="1">IF(Q24&lt;&gt;"",RANK(Q24,Q$4:Q$26),"")</f>
        <v/>
      </c>
      <c r="AG149" s="135"/>
      <c r="AH149" s="135"/>
      <c r="AI149" s="135"/>
      <c r="AJ149" s="138">
        <v>0.84375</v>
      </c>
      <c r="AK149" s="140"/>
      <c r="AL149" s="135"/>
    </row>
    <row r="150" spans="13:38" x14ac:dyDescent="0.25">
      <c r="M150" s="141" t="s">
        <v>54</v>
      </c>
      <c r="N150" s="142">
        <v>2</v>
      </c>
      <c r="O150" s="143" t="str">
        <f ca="1">IF(AND(COUNTIF(I24:N24,"W")=0,COUNTIF(I24:N24,"L")=0),"",COUNTIF(I24:N24,"W"))</f>
        <v/>
      </c>
      <c r="P150" s="143" t="str">
        <f ca="1">IF(AND(COUNTIF(I24:N24,"W")=0,COUNTIF(I24:N24,"L")=0),"",COUNTIF(I24:N24,"L"))</f>
        <v/>
      </c>
      <c r="Q150" s="143" t="str">
        <f ca="1">IF(OR(COUNTIF(I24:N24,"W"),COUNTIF(I24:N24,"L")),COUNTIF(I24:N24,"W")*2+COUNTIF(I24:N24,"L"),"")</f>
        <v/>
      </c>
      <c r="R150" s="143" t="str">
        <f ca="1">IF(Q24&lt;&gt;"",RANK(Q24,Q$16:Q$26),"")</f>
        <v/>
      </c>
      <c r="AG150" s="135"/>
      <c r="AH150" s="135"/>
      <c r="AI150" s="135"/>
      <c r="AJ150" s="138">
        <v>0.84722222222222221</v>
      </c>
      <c r="AK150" s="140"/>
      <c r="AL150" s="135"/>
    </row>
    <row r="151" spans="13:38" x14ac:dyDescent="0.25">
      <c r="M151" s="141" t="s">
        <v>54</v>
      </c>
      <c r="N151" s="142">
        <v>3</v>
      </c>
      <c r="O151" s="143" t="str">
        <f ca="1">IF(AND(COUNTIF(K24:N24,"W")=0,COUNTIF(K24:N24,"L")=0),"",COUNTIF(K24:N24,"W"))</f>
        <v/>
      </c>
      <c r="P151" s="143" t="str">
        <f ca="1">IF(AND(COUNTIF(K24:N24,"W")=0,COUNTIF(K24:N24,"L")=0),"",COUNTIF(K24:N24,"L"))</f>
        <v/>
      </c>
      <c r="Q151" s="143" t="str">
        <f ca="1">IF(OR(COUNTIF(K24:N24,"W"),COUNTIF(K24:N24,"L")),COUNTIF(K24:N24,"W")*2+COUNTIF(K24:N24,"L"),"")</f>
        <v/>
      </c>
      <c r="R151" s="143" t="str">
        <f ca="1">IF(Q24&lt;&gt;"",RANK(Q24,Q$20:Q$26),"")</f>
        <v/>
      </c>
      <c r="AG151" s="135"/>
      <c r="AH151" s="135"/>
      <c r="AI151" s="135"/>
      <c r="AJ151" s="138">
        <v>0.85069444444444453</v>
      </c>
      <c r="AK151" s="140"/>
      <c r="AL151" s="135"/>
    </row>
    <row r="152" spans="13:38" x14ac:dyDescent="0.25">
      <c r="M152" s="141" t="s">
        <v>54</v>
      </c>
      <c r="N152" s="142">
        <v>4</v>
      </c>
      <c r="O152" s="143" t="str">
        <f ca="1">IF(AND(COUNTIF(L24:N24,"W")=0,COUNTIF(L24:N24,"L")=0),"",COUNTIF(L24:N24,"W"))</f>
        <v/>
      </c>
      <c r="P152" s="143" t="str">
        <f ca="1">IF(AND(COUNTIF(L24:N24,"W")=0,COUNTIF(L24:N24,"L")=0),"",COUNTIF(L24:N24,"L"))</f>
        <v/>
      </c>
      <c r="Q152" s="143" t="str">
        <f ca="1">IF(OR(COUNTIF(L24:N24,"W"),COUNTIF(L24:N24,"L")),COUNTIF(L24:N24,"W")*2+COUNTIF(L24:N24,"L"),"")</f>
        <v/>
      </c>
      <c r="R152" s="143" t="str">
        <f ca="1">IF(Q24&lt;&gt;"",RANK(Q24,Q$22:Q$26),"")</f>
        <v/>
      </c>
      <c r="AG152" s="135"/>
      <c r="AH152" s="135"/>
      <c r="AI152" s="135"/>
      <c r="AJ152" s="138">
        <v>0.85416666666666663</v>
      </c>
      <c r="AK152" s="140"/>
      <c r="AL152" s="135"/>
    </row>
    <row r="153" spans="13:38" x14ac:dyDescent="0.25">
      <c r="M153" s="141" t="s">
        <v>54</v>
      </c>
      <c r="N153" s="142">
        <v>5</v>
      </c>
      <c r="O153" s="143" t="str">
        <f ca="1">IF(AND(COUNTIF(C24:N24,"W")=0,COUNTIF(C24:N24,"L")=0),"",COUNTIF(C24:N24,"W"))</f>
        <v/>
      </c>
      <c r="P153" s="143" t="str">
        <f ca="1">IF(AND(COUNTIF(C24:N24,"W")=0,COUNTIF(C24:N24,"L")=0),"",COUNTIF(C24:N24,"L"))</f>
        <v/>
      </c>
      <c r="Q153" s="143" t="str">
        <f ca="1">IF(OR(COUNTIF(C24:N24,"W"),COUNTIF(C24:N24,"L")),COUNTIF(C24:N24,"W")*2+COUNTIF(C24:N24,"L"),"")</f>
        <v/>
      </c>
      <c r="R153" s="143"/>
      <c r="AG153" s="135"/>
      <c r="AH153" s="135"/>
      <c r="AI153" s="135"/>
      <c r="AJ153" s="138">
        <v>0.85763888888888884</v>
      </c>
      <c r="AK153" s="140"/>
      <c r="AL153" s="135"/>
    </row>
    <row r="154" spans="13:38" x14ac:dyDescent="0.25">
      <c r="M154" s="141" t="s">
        <v>54</v>
      </c>
      <c r="N154" s="142">
        <v>6</v>
      </c>
      <c r="O154" s="143" t="str">
        <f ca="1">IF(AND(COUNTIF(C24:N24,"W")=0,COUNTIF(C24:N24,"L")=0),"",COUNTIF(C24:N24,"W"))</f>
        <v/>
      </c>
      <c r="P154" s="143" t="str">
        <f ca="1">IF(AND(COUNTIF(C24:N24,"W")=0,COUNTIF(C24:N24,"L")=0),"",COUNTIF(C24:N24,"L"))</f>
        <v/>
      </c>
      <c r="Q154" s="143" t="str">
        <f ca="1">IF(OR(COUNTIF(C24:N24,"W"),COUNTIF(C24:N24,"L")),COUNTIF(C24:N24,"W")*2+COUNTIF(C24:N24,"L"),"")</f>
        <v/>
      </c>
      <c r="R154" s="143"/>
      <c r="AG154" s="135"/>
      <c r="AH154" s="135"/>
      <c r="AI154" s="135"/>
      <c r="AJ154" s="138">
        <v>0.86111111111111116</v>
      </c>
      <c r="AK154" s="140"/>
      <c r="AL154" s="135"/>
    </row>
    <row r="155" spans="13:38" x14ac:dyDescent="0.25">
      <c r="M155" s="141" t="s">
        <v>54</v>
      </c>
      <c r="N155" s="142">
        <v>7</v>
      </c>
      <c r="O155" s="143" t="str">
        <f ca="1">IF(AND(COUNTIF(C24:N24,"W")=0,COUNTIF(C24:N24,"L")=0),"",COUNTIF(C24:N24,"W"))</f>
        <v/>
      </c>
      <c r="P155" s="143" t="str">
        <f ca="1">IF(AND(COUNTIF(C24:N24,"W")=0,COUNTIF(C24:N24,"L")=0),"",COUNTIF(C24:N24,"L"))</f>
        <v/>
      </c>
      <c r="Q155" s="143" t="str">
        <f ca="1">IF(OR(COUNTIF(C24:N24,"W"),COUNTIF(C24:N24,"L")),COUNTIF(C24:N24,"W")*2+COUNTIF(C24:N24,"L"),"")</f>
        <v/>
      </c>
      <c r="R155" s="143"/>
      <c r="AG155" s="135"/>
      <c r="AH155" s="135"/>
      <c r="AI155" s="135"/>
      <c r="AJ155" s="138">
        <v>0.86458333333333337</v>
      </c>
      <c r="AK155" s="140"/>
      <c r="AL155" s="135"/>
    </row>
    <row r="156" spans="13:38" x14ac:dyDescent="0.25">
      <c r="M156" s="141" t="s">
        <v>54</v>
      </c>
      <c r="N156" s="142">
        <v>8</v>
      </c>
      <c r="O156" s="143" t="str">
        <f ca="1">IF(AND(COUNTIF(C24:N24,"W")=0,COUNTIF(C24:N24,"L")=0),"",COUNTIF(C24:N24,"W"))</f>
        <v/>
      </c>
      <c r="P156" s="143" t="str">
        <f ca="1">IF(AND(COUNTIF(C24:N24,"W")=0,COUNTIF(C24:N24,"L")=0),"",COUNTIF(C24:N24,"L"))</f>
        <v/>
      </c>
      <c r="Q156" s="143" t="str">
        <f ca="1">IF(OR(COUNTIF(C24:N24,"W"),COUNTIF(C24:N24,"L")),COUNTIF(C24:N24,"W")*2+COUNTIF(C24:N24,"L"),"")</f>
        <v/>
      </c>
      <c r="R156" s="143"/>
      <c r="AG156" s="135"/>
      <c r="AH156" s="135"/>
      <c r="AI156" s="135"/>
      <c r="AJ156" s="138">
        <v>0.86805555555555547</v>
      </c>
      <c r="AK156" s="140"/>
      <c r="AL156" s="135"/>
    </row>
    <row r="157" spans="13:38" x14ac:dyDescent="0.25">
      <c r="M157" s="141" t="s">
        <v>54</v>
      </c>
      <c r="N157" s="142">
        <v>9</v>
      </c>
      <c r="O157" s="143" t="str">
        <f ca="1">IF(AND(COUNTIF(C24:N24,"W")=0,COUNTIF(C24:N24,"L")=0),"",COUNTIF(C24:N24,"W"))</f>
        <v/>
      </c>
      <c r="P157" s="143" t="str">
        <f ca="1">IF(AND(COUNTIF(C24:N24,"W")=0,COUNTIF(C24:N24,"L")=0),"",COUNTIF(C24:N24,"L"))</f>
        <v/>
      </c>
      <c r="Q157" s="143" t="str">
        <f ca="1">IF(OR(COUNTIF(C24:N24,"W"),COUNTIF(C24:N24,"L")),COUNTIF(C24:N24,"W")*2+COUNTIF(C24:N24,"L"),"")</f>
        <v/>
      </c>
      <c r="R157" s="143"/>
      <c r="AG157" s="135"/>
      <c r="AH157" s="135"/>
      <c r="AI157" s="135"/>
      <c r="AJ157" s="138">
        <v>0.87152777777777779</v>
      </c>
      <c r="AK157" s="140"/>
      <c r="AL157" s="135"/>
    </row>
    <row r="158" spans="13:38" x14ac:dyDescent="0.25">
      <c r="M158" s="141" t="s">
        <v>54</v>
      </c>
      <c r="N158" s="142">
        <v>10</v>
      </c>
      <c r="O158" s="143" t="str">
        <f ca="1">IF(AND(COUNTIF(C24:N24,"W")=0,COUNTIF(C24:N24,"L")=0),"",COUNTIF(C24:N24,"W"))</f>
        <v/>
      </c>
      <c r="P158" s="143" t="str">
        <f ca="1">IF(AND(COUNTIF(C24:N24,"W")=0,COUNTIF(C24:N24,"L")=0),"",COUNTIF(C24:N24,"L"))</f>
        <v/>
      </c>
      <c r="Q158" s="143" t="str">
        <f ca="1">IF(OR(COUNTIF(C24:N24,"W"),COUNTIF(C24:N24,"L")),COUNTIF(C24:N24,"W")*2+COUNTIF(C24:N24,"L"),"")</f>
        <v/>
      </c>
      <c r="R158" s="143"/>
      <c r="AG158" s="135"/>
      <c r="AH158" s="135"/>
      <c r="AI158" s="135"/>
      <c r="AJ158" s="138">
        <v>0.875</v>
      </c>
      <c r="AK158" s="140"/>
      <c r="AL158" s="135"/>
    </row>
    <row r="159" spans="13:38" x14ac:dyDescent="0.25">
      <c r="M159" s="141" t="s">
        <v>54</v>
      </c>
      <c r="N159" s="142">
        <v>11</v>
      </c>
      <c r="O159" s="143" t="str">
        <f ca="1">IF(AND(COUNTIF(C24:M24,"W")=0,COUNTIF(C24:M24,"L")=0),"",COUNTIF(C24:M24,"W"))</f>
        <v/>
      </c>
      <c r="P159" s="143" t="str">
        <f ca="1">IF(AND(COUNTIF(C24:M24,"W")=0,COUNTIF(C24:M24,"L")=0),"",COUNTIF(C24:M24,"L"))</f>
        <v/>
      </c>
      <c r="Q159" s="143" t="str">
        <f ca="1">IF(OR(COUNTIF(C24:M24,"W"),COUNTIF(C24:M24,"L")),COUNTIF(C24:M24,"W")*2+COUNTIF(C24:M24,"L"),"")</f>
        <v/>
      </c>
      <c r="R159" s="143" t="str">
        <f ca="1">IF(Q24&lt;&gt;"",RANK(Q24,Q$4:Q$24),"")</f>
        <v/>
      </c>
    </row>
    <row r="160" spans="13:38" x14ac:dyDescent="0.25">
      <c r="M160" s="143"/>
      <c r="N160" s="143"/>
      <c r="O160" s="143"/>
      <c r="P160" s="143"/>
      <c r="Q160" s="143"/>
      <c r="R160" s="143"/>
    </row>
    <row r="161" spans="13:18" x14ac:dyDescent="0.25">
      <c r="M161" s="141" t="s">
        <v>55</v>
      </c>
      <c r="N161" s="142">
        <v>1</v>
      </c>
      <c r="O161" s="143" t="str">
        <f ca="1">IF(AND(COUNTIF(C26:N26,"W")=0,COUNTIF(C26:N26,"L")=0),"",COUNTIF(C26:N26,"W"))</f>
        <v/>
      </c>
      <c r="P161" s="143" t="str">
        <f ca="1">IF(AND(COUNTIF(C26:N26,"W")=0,COUNTIF(C26:N26,"L")=0),"",COUNTIF(C26:N26,"L"))</f>
        <v/>
      </c>
      <c r="Q161" s="143" t="str">
        <f ca="1">IF(OR(COUNTIF(C26:N26,"W"),COUNTIF(C26:N26,"L")),COUNTIF(C26:N26,"W")*2+COUNTIF(C26:N26,"L"),"")</f>
        <v/>
      </c>
      <c r="R161" s="143" t="str">
        <f ca="1">IF(Q26&lt;&gt;"",RANK(Q26,Q$4:Q$26),"")</f>
        <v/>
      </c>
    </row>
    <row r="162" spans="13:18" x14ac:dyDescent="0.25">
      <c r="M162" s="141" t="s">
        <v>55</v>
      </c>
      <c r="N162" s="142">
        <v>2</v>
      </c>
      <c r="O162" s="143" t="str">
        <f ca="1">IF(AND(COUNTIF(I26:N26,"W")=0,COUNTIF(I26:N26,"L")=0),"",COUNTIF(I26:N26,"W"))</f>
        <v/>
      </c>
      <c r="P162" s="143" t="str">
        <f ca="1">IF(AND(COUNTIF(I26:N26,"W")=0,COUNTIF(I26:N26,"L")=0),"",COUNTIF(I26:N26,"L"))</f>
        <v/>
      </c>
      <c r="Q162" s="143" t="str">
        <f ca="1">IF(OR(COUNTIF(I26:N26,"W"),COUNTIF(I26:N26,"L")),COUNTIF(I26:N26,"W")*2+COUNTIF(I26:N26,"L"),"")</f>
        <v/>
      </c>
      <c r="R162" s="143" t="str">
        <f ca="1">IF(Q26&lt;&gt;"",RANK(Q26,Q$16:Q$26),"")</f>
        <v/>
      </c>
    </row>
    <row r="163" spans="13:18" x14ac:dyDescent="0.25">
      <c r="M163" s="141" t="s">
        <v>55</v>
      </c>
      <c r="N163" s="142">
        <v>3</v>
      </c>
      <c r="O163" s="143" t="str">
        <f ca="1">IF(AND(COUNTIF(K26:N26,"W")=0,COUNTIF(K26:N26,"L")=0),"",COUNTIF(K26:N26,"W"))</f>
        <v/>
      </c>
      <c r="P163" s="143" t="str">
        <f ca="1">IF(AND(COUNTIF(K26:N26,"W")=0,COUNTIF(K26:N26,"L")=0),"",COUNTIF(K26:N26,"L"))</f>
        <v/>
      </c>
      <c r="Q163" s="143" t="str">
        <f ca="1">IF(OR(COUNTIF(K26:N26,"W"),COUNTIF(K26:N26,"L")),COUNTIF(K26:N26,"W")*2+COUNTIF(K26:N26,"L"),"")</f>
        <v/>
      </c>
      <c r="R163" s="143" t="str">
        <f ca="1">IF(Q26&lt;&gt;"",RANK(Q26,Q$20:Q$26),"")</f>
        <v/>
      </c>
    </row>
    <row r="164" spans="13:18" x14ac:dyDescent="0.25">
      <c r="M164" s="141" t="s">
        <v>55</v>
      </c>
      <c r="N164" s="142">
        <v>4</v>
      </c>
      <c r="O164" s="143" t="str">
        <f ca="1">IF(AND(COUNTIF(L26:N26,"W")=0,COUNTIF(L26:N26,"L")=0),"",COUNTIF(L26:N26,"W"))</f>
        <v/>
      </c>
      <c r="P164" s="143" t="str">
        <f ca="1">IF(AND(COUNTIF(L26:N26,"W")=0,COUNTIF(L26:N26,"L")=0),"",COUNTIF(L26:N26,"L"))</f>
        <v/>
      </c>
      <c r="Q164" s="143" t="str">
        <f ca="1">IF(OR(COUNTIF(L26:N26,"W"),COUNTIF(L26:N26,"L")),COUNTIF(L26:N26,"W")*2+COUNTIF(L26:N26,"L"),"")</f>
        <v/>
      </c>
      <c r="R164" s="143" t="str">
        <f ca="1">IF(Q26&lt;&gt;"",RANK(Q26,Q$22:Q$26),"")</f>
        <v/>
      </c>
    </row>
    <row r="165" spans="13:18" x14ac:dyDescent="0.25">
      <c r="M165" s="141" t="s">
        <v>55</v>
      </c>
      <c r="N165" s="142">
        <v>5</v>
      </c>
      <c r="O165" s="143" t="str">
        <f ca="1">IF(AND(COUNTIF(C26:N26,"W")=0,COUNTIF(C26:N26,"L")=0),"",COUNTIF(C26:N26,"W"))</f>
        <v/>
      </c>
      <c r="P165" s="143" t="str">
        <f ca="1">IF(AND(COUNTIF(C26:N26,"W")=0,COUNTIF(C26:N26,"L")=0),"",COUNTIF(C26:N26,"L"))</f>
        <v/>
      </c>
      <c r="Q165" s="143" t="str">
        <f ca="1">IF(OR(COUNTIF(C26:N26,"W"),COUNTIF(C26:N26,"L")),COUNTIF(C26:N26,"W")*2+COUNTIF(C26:N26,"L"),"")</f>
        <v/>
      </c>
      <c r="R165" s="143"/>
    </row>
    <row r="166" spans="13:18" x14ac:dyDescent="0.25">
      <c r="M166" s="141" t="s">
        <v>55</v>
      </c>
      <c r="N166" s="142">
        <v>6</v>
      </c>
      <c r="O166" s="143" t="str">
        <f ca="1">IF(AND(COUNTIF(C26:N26,"W")=0,COUNTIF(C26:N26,"L")=0),"",COUNTIF(C26:N26,"W"))</f>
        <v/>
      </c>
      <c r="P166" s="143" t="str">
        <f ca="1">IF(AND(COUNTIF(C26:N26,"W")=0,COUNTIF(C26:N26,"L")=0),"",COUNTIF(C26:N26,"L"))</f>
        <v/>
      </c>
      <c r="Q166" s="143" t="str">
        <f ca="1">IF(OR(COUNTIF(C26:N26,"W"),COUNTIF(C26:N26,"L")),COUNTIF(C26:N26,"W")*2+COUNTIF(C26:N26,"L"),"")</f>
        <v/>
      </c>
      <c r="R166" s="143"/>
    </row>
    <row r="167" spans="13:18" x14ac:dyDescent="0.25">
      <c r="M167" s="141" t="s">
        <v>55</v>
      </c>
      <c r="N167" s="142">
        <v>7</v>
      </c>
      <c r="O167" s="143" t="str">
        <f ca="1">IF(AND(COUNTIF(C26:N26,"W")=0,COUNTIF(C26:N26,"L")=0),"",COUNTIF(C26:N26,"W"))</f>
        <v/>
      </c>
      <c r="P167" s="143" t="str">
        <f ca="1">IF(AND(COUNTIF(C26:N26,"W")=0,COUNTIF(C26:N26,"L")=0),"",COUNTIF(C26:N26,"L"))</f>
        <v/>
      </c>
      <c r="Q167" s="143" t="str">
        <f ca="1">IF(OR(COUNTIF(C26:N26,"W"),COUNTIF(C26:N26,"L")),COUNTIF(C26:N26,"W")*2+COUNTIF(C26:N26,"L"),"")</f>
        <v/>
      </c>
      <c r="R167" s="143"/>
    </row>
    <row r="168" spans="13:18" x14ac:dyDescent="0.25">
      <c r="M168" s="141" t="s">
        <v>55</v>
      </c>
      <c r="N168" s="142">
        <v>8</v>
      </c>
      <c r="O168" s="143" t="str">
        <f ca="1">IF(AND(COUNTIF(C26:N26,"W")=0,COUNTIF(C26:N26,"L")=0),"",COUNTIF(C26:N26,"W"))</f>
        <v/>
      </c>
      <c r="P168" s="143" t="str">
        <f ca="1">IF(AND(COUNTIF(C26:N26,"W")=0,COUNTIF(C26:N26,"L")=0),"",COUNTIF(C26:N26,"L"))</f>
        <v/>
      </c>
      <c r="Q168" s="143" t="str">
        <f ca="1">IF(OR(COUNTIF(C26:N26,"W"),COUNTIF(C26:N26,"L")),COUNTIF(C26:N26,"W")*2+COUNTIF(C26:N26,"L"),"")</f>
        <v/>
      </c>
      <c r="R168" s="143"/>
    </row>
    <row r="169" spans="13:18" x14ac:dyDescent="0.25">
      <c r="M169" s="141" t="s">
        <v>55</v>
      </c>
      <c r="N169" s="142">
        <v>9</v>
      </c>
      <c r="O169" s="143" t="str">
        <f ca="1">IF(AND(COUNTIF(C26:N26,"W")=0,COUNTIF(C26:N26,"L")=0),"",COUNTIF(C26:N26,"W"))</f>
        <v/>
      </c>
      <c r="P169" s="143" t="str">
        <f ca="1">IF(AND(COUNTIF(C26:N26,"W")=0,COUNTIF(C26:N26,"L")=0),"",COUNTIF(C26:N26,"L"))</f>
        <v/>
      </c>
      <c r="Q169" s="143" t="str">
        <f ca="1">IF(OR(COUNTIF(C26:N26,"W"),COUNTIF(C26:N26,"L")),COUNTIF(C26:N26,"W")*2+COUNTIF(C26:N26,"L"),"")</f>
        <v/>
      </c>
      <c r="R169" s="143"/>
    </row>
    <row r="170" spans="13:18" x14ac:dyDescent="0.25">
      <c r="M170" s="141" t="s">
        <v>55</v>
      </c>
      <c r="N170" s="142">
        <v>10</v>
      </c>
      <c r="O170" s="143" t="str">
        <f ca="1">IF(AND(COUNTIF(C26:N26,"W")=0,COUNTIF(C26:N26,"L")=0),"",COUNTIF(C26:N26,"W"))</f>
        <v/>
      </c>
      <c r="P170" s="143" t="str">
        <f ca="1">IF(AND(COUNTIF(C26:N26,"W")=0,COUNTIF(C26:N26,"L")=0),"",COUNTIF(C26:N26,"L"))</f>
        <v/>
      </c>
      <c r="Q170" s="143" t="str">
        <f ca="1">IF(OR(COUNTIF(C26:N26,"W"),COUNTIF(C26:N26,"L")),COUNTIF(C26:N26,"W")*2+COUNTIF(C26:N26,"L"),"")</f>
        <v/>
      </c>
      <c r="R170" s="143"/>
    </row>
    <row r="171" spans="13:18" x14ac:dyDescent="0.25">
      <c r="M171" s="141" t="s">
        <v>55</v>
      </c>
      <c r="N171" s="142">
        <v>11</v>
      </c>
      <c r="O171" s="143" t="str">
        <f ca="1">IF(AND(COUNTIF(C26:N26,"W")=0,COUNTIF(C26:N26,"L")=0),"",COUNTIF(C26:N26,"W"))</f>
        <v/>
      </c>
      <c r="P171" s="143" t="str">
        <f ca="1">IF(AND(COUNTIF(C26:N26,"W")=0,COUNTIF(C26:N26,"L")=0),"",COUNTIF(C26:N26,"L"))</f>
        <v/>
      </c>
      <c r="Q171" s="143" t="str">
        <f ca="1">IF(OR(COUNTIF(C26:N26,"W"),COUNTIF(C26:N26,"L")),COUNTIF(C26:N26,"W")*2+COUNTIF(C26:N26,"L"),"")</f>
        <v/>
      </c>
      <c r="R171" s="143"/>
    </row>
  </sheetData>
  <sheetProtection sheet="1" objects="1" scenarios="1"/>
  <mergeCells count="105">
    <mergeCell ref="AC13:AF13"/>
    <mergeCell ref="T10:Z10"/>
    <mergeCell ref="T11:Z11"/>
    <mergeCell ref="AC9:AF9"/>
    <mergeCell ref="AC12:AF12"/>
    <mergeCell ref="AC10:AF10"/>
    <mergeCell ref="T12:Z12"/>
    <mergeCell ref="T13:Z13"/>
    <mergeCell ref="T9:Z9"/>
    <mergeCell ref="A26:A27"/>
    <mergeCell ref="B26:B27"/>
    <mergeCell ref="B20:B21"/>
    <mergeCell ref="A24:A25"/>
    <mergeCell ref="B24:B25"/>
    <mergeCell ref="A22:A23"/>
    <mergeCell ref="B22:B23"/>
    <mergeCell ref="B12:B13"/>
    <mergeCell ref="T1:Z1"/>
    <mergeCell ref="T3:Z3"/>
    <mergeCell ref="T4:Z4"/>
    <mergeCell ref="T5:Z5"/>
    <mergeCell ref="T6:Z6"/>
    <mergeCell ref="T8:Z8"/>
    <mergeCell ref="T7:Z7"/>
    <mergeCell ref="D1:N1"/>
    <mergeCell ref="O6:O7"/>
    <mergeCell ref="P6:P7"/>
    <mergeCell ref="Q10:Q11"/>
    <mergeCell ref="P1:R1"/>
    <mergeCell ref="Q4:Q5"/>
    <mergeCell ref="R4:R5"/>
    <mergeCell ref="Q6:Q7"/>
    <mergeCell ref="R12:R13"/>
    <mergeCell ref="A14:A15"/>
    <mergeCell ref="A16:A17"/>
    <mergeCell ref="A18:A19"/>
    <mergeCell ref="A20:A21"/>
    <mergeCell ref="P4:P5"/>
    <mergeCell ref="P12:P13"/>
    <mergeCell ref="A12:A13"/>
    <mergeCell ref="B14:B15"/>
    <mergeCell ref="A4:A5"/>
    <mergeCell ref="B4:B5"/>
    <mergeCell ref="A6:A7"/>
    <mergeCell ref="B6:B7"/>
    <mergeCell ref="A8:A9"/>
    <mergeCell ref="B8:B9"/>
    <mergeCell ref="A10:A11"/>
    <mergeCell ref="B10:B11"/>
    <mergeCell ref="O26:O27"/>
    <mergeCell ref="P26:P27"/>
    <mergeCell ref="P22:P23"/>
    <mergeCell ref="P24:P25"/>
    <mergeCell ref="O22:O23"/>
    <mergeCell ref="O24:O25"/>
    <mergeCell ref="P20:P21"/>
    <mergeCell ref="P16:P17"/>
    <mergeCell ref="Q12:Q13"/>
    <mergeCell ref="Q20:Q21"/>
    <mergeCell ref="O12:O13"/>
    <mergeCell ref="P14:P15"/>
    <mergeCell ref="R24:R25"/>
    <mergeCell ref="Q22:Q23"/>
    <mergeCell ref="Q24:Q25"/>
    <mergeCell ref="R22:R23"/>
    <mergeCell ref="R20:R21"/>
    <mergeCell ref="B16:B17"/>
    <mergeCell ref="B18:B19"/>
    <mergeCell ref="O20:O21"/>
    <mergeCell ref="O18:O19"/>
    <mergeCell ref="O16:O17"/>
    <mergeCell ref="C30:E30"/>
    <mergeCell ref="C32:E32"/>
    <mergeCell ref="C34:E34"/>
    <mergeCell ref="C36:E36"/>
    <mergeCell ref="C38:E38"/>
    <mergeCell ref="O4:O5"/>
    <mergeCell ref="R18:R19"/>
    <mergeCell ref="O14:O15"/>
    <mergeCell ref="Q18:Q19"/>
    <mergeCell ref="P18:P19"/>
    <mergeCell ref="R8:R9"/>
    <mergeCell ref="R10:R11"/>
    <mergeCell ref="R6:R7"/>
    <mergeCell ref="Q14:Q15"/>
    <mergeCell ref="R14:R15"/>
    <mergeCell ref="O8:O9"/>
    <mergeCell ref="P8:P9"/>
    <mergeCell ref="Q8:Q9"/>
    <mergeCell ref="O10:O11"/>
    <mergeCell ref="P10:P11"/>
    <mergeCell ref="R26:R27"/>
    <mergeCell ref="Q16:Q17"/>
    <mergeCell ref="R16:R17"/>
    <mergeCell ref="Q26:Q27"/>
    <mergeCell ref="I33:K33"/>
    <mergeCell ref="I41:K41"/>
    <mergeCell ref="I37:K37"/>
    <mergeCell ref="C40:E40"/>
    <mergeCell ref="C42:E42"/>
    <mergeCell ref="C44:E44"/>
    <mergeCell ref="F31:H31"/>
    <mergeCell ref="F35:H35"/>
    <mergeCell ref="F39:H39"/>
    <mergeCell ref="F43:H43"/>
  </mergeCells>
  <phoneticPr fontId="1" type="noConversion"/>
  <conditionalFormatting sqref="C4:C5 D6:D7 E8:E9 F10:F11 G12:G13 H14:H15 I16:I17 J18:J19 K20:K21 L22:L23 M24:M25 N26:N27">
    <cfRule type="expression" dxfId="58" priority="111" stopIfTrue="1">
      <formula>EXACT($T$1,4)</formula>
    </cfRule>
    <cfRule type="expression" dxfId="57" priority="109" stopIfTrue="1">
      <formula>EXACT($T$1,2)</formula>
    </cfRule>
    <cfRule type="expression" dxfId="56" priority="110" stopIfTrue="1">
      <formula>EXACT($T$1,3)</formula>
    </cfRule>
  </conditionalFormatting>
  <conditionalFormatting sqref="C6:C7 E6:E7 O6:R7">
    <cfRule type="expression" dxfId="55" priority="42" stopIfTrue="1">
      <formula>EXACT($T$1,4)</formula>
    </cfRule>
  </conditionalFormatting>
  <conditionalFormatting sqref="C6:C7 E6:E7">
    <cfRule type="expression" dxfId="54" priority="40" stopIfTrue="1">
      <formula>EXACT($T$1,2)</formula>
    </cfRule>
    <cfRule type="expression" dxfId="53" priority="41" stopIfTrue="1">
      <formula>EXACT($T$1,3)</formula>
    </cfRule>
  </conditionalFormatting>
  <conditionalFormatting sqref="C8:D9 O8:R9">
    <cfRule type="expression" dxfId="52" priority="45" stopIfTrue="1">
      <formula>EXACT($T$1,4)</formula>
    </cfRule>
    <cfRule type="expression" dxfId="51" priority="44" stopIfTrue="1">
      <formula>EXACT($T$1,3)</formula>
    </cfRule>
  </conditionalFormatting>
  <conditionalFormatting sqref="C8:D9">
    <cfRule type="expression" dxfId="50" priority="43" stopIfTrue="1">
      <formula>EXACT($T$1,2)</formula>
    </cfRule>
  </conditionalFormatting>
  <conditionalFormatting sqref="D4:E5 O4:R5">
    <cfRule type="expression" dxfId="49" priority="39" stopIfTrue="1">
      <formula>EXACT($T$1,4)</formula>
    </cfRule>
  </conditionalFormatting>
  <conditionalFormatting sqref="D4:E5 O4:R7">
    <cfRule type="expression" dxfId="48" priority="38" stopIfTrue="1">
      <formula>EXACT($T$1,3)</formula>
    </cfRule>
  </conditionalFormatting>
  <conditionalFormatting sqref="D4:E5 O4:R9">
    <cfRule type="expression" dxfId="47" priority="37" stopIfTrue="1">
      <formula>EXACT($T$1,2)</formula>
    </cfRule>
  </conditionalFormatting>
  <conditionalFormatting sqref="F4:F9 C10:E11">
    <cfRule type="expression" dxfId="46" priority="123" stopIfTrue="1">
      <formula>EXACT($T$1,4)</formula>
    </cfRule>
    <cfRule type="expression" dxfId="45" priority="122" stopIfTrue="1">
      <formula>EXACT($T$1,3)</formula>
    </cfRule>
  </conditionalFormatting>
  <conditionalFormatting sqref="F4:H9 C10:E15">
    <cfRule type="expression" dxfId="44" priority="121" stopIfTrue="1">
      <formula>EXACT($T$1,2)</formula>
    </cfRule>
  </conditionalFormatting>
  <conditionalFormatting sqref="G14:G15">
    <cfRule type="expression" dxfId="43" priority="52" stopIfTrue="1">
      <formula>EXACT($T$1,2)</formula>
    </cfRule>
    <cfRule type="expression" dxfId="42" priority="53" stopIfTrue="1">
      <formula>EXACT($T$1,3)</formula>
    </cfRule>
    <cfRule type="expression" dxfId="41" priority="54" stopIfTrue="1">
      <formula>EXACT($T$1,4)</formula>
    </cfRule>
  </conditionalFormatting>
  <conditionalFormatting sqref="G4:H9 C12:E15">
    <cfRule type="expression" dxfId="40" priority="125" stopIfTrue="1">
      <formula>EXACT($T$1,3)</formula>
    </cfRule>
    <cfRule type="expression" dxfId="39" priority="126" stopIfTrue="1">
      <formula>EXACT($T$1,4)</formula>
    </cfRule>
  </conditionalFormatting>
  <conditionalFormatting sqref="G10:H11 F12:F15">
    <cfRule type="expression" dxfId="38" priority="114" stopIfTrue="1">
      <formula>EXACT($T$1,4)</formula>
    </cfRule>
    <cfRule type="expression" dxfId="37" priority="112" stopIfTrue="1">
      <formula>EXACT($T$1,2)</formula>
    </cfRule>
    <cfRule type="expression" dxfId="36" priority="113" stopIfTrue="1">
      <formula>EXACT($T$1,3)</formula>
    </cfRule>
  </conditionalFormatting>
  <conditionalFormatting sqref="H12:H13 O12:R15">
    <cfRule type="expression" dxfId="35" priority="51" stopIfTrue="1">
      <formula>EXACT($T$1,4)</formula>
    </cfRule>
    <cfRule type="expression" dxfId="34" priority="50" stopIfTrue="1">
      <formula>EXACT($T$1,3)</formula>
    </cfRule>
  </conditionalFormatting>
  <conditionalFormatting sqref="H12:H13">
    <cfRule type="expression" dxfId="33" priority="49" stopIfTrue="1">
      <formula>EXACT($T$1,2)</formula>
    </cfRule>
  </conditionalFormatting>
  <conditionalFormatting sqref="I18:I19">
    <cfRule type="expression" dxfId="32" priority="59" stopIfTrue="1">
      <formula>EXACT($T$1,3)</formula>
    </cfRule>
    <cfRule type="expression" dxfId="31" priority="60" stopIfTrue="1">
      <formula>EXACT($T$1,4)</formula>
    </cfRule>
    <cfRule type="expression" dxfId="30" priority="58" stopIfTrue="1">
      <formula>EXACT($T$1,2)</formula>
    </cfRule>
  </conditionalFormatting>
  <conditionalFormatting sqref="I12:J15 G16:H19">
    <cfRule type="expression" dxfId="29" priority="132" stopIfTrue="1">
      <formula>EXACT($T$1,4)</formula>
    </cfRule>
    <cfRule type="expression" dxfId="28" priority="131" stopIfTrue="1">
      <formula>EXACT($T$1,3)</formula>
    </cfRule>
  </conditionalFormatting>
  <conditionalFormatting sqref="I4:N11 K12:N15 C16:F27 G20:H27">
    <cfRule type="expression" dxfId="27" priority="128" stopIfTrue="1">
      <formula>EXACT($T$1,3)</formula>
    </cfRule>
    <cfRule type="expression" dxfId="26" priority="129" stopIfTrue="1">
      <formula>EXACT($T$1,4)</formula>
    </cfRule>
  </conditionalFormatting>
  <conditionalFormatting sqref="I4:N15 C16:H27">
    <cfRule type="expression" dxfId="25" priority="127" stopIfTrue="1">
      <formula>EXACT($T$1,2)</formula>
    </cfRule>
  </conditionalFormatting>
  <conditionalFormatting sqref="J16:J17 O16:R19">
    <cfRule type="expression" dxfId="24" priority="57" stopIfTrue="1">
      <formula>EXACT($T$1,4)</formula>
    </cfRule>
    <cfRule type="expression" dxfId="23" priority="56" stopIfTrue="1">
      <formula>EXACT($T$1,3)</formula>
    </cfRule>
  </conditionalFormatting>
  <conditionalFormatting sqref="J16:J17 O16:R21">
    <cfRule type="expression" dxfId="22" priority="55" stopIfTrue="1">
      <formula>EXACT($T$1,2)</formula>
    </cfRule>
  </conditionalFormatting>
  <conditionalFormatting sqref="K16:K19 I20:J21">
    <cfRule type="expression" dxfId="21" priority="117" stopIfTrue="1">
      <formula>EXACT($T$1,4)</formula>
    </cfRule>
    <cfRule type="expression" dxfId="20" priority="115" stopIfTrue="1">
      <formula>EXACT($T$1,2)</formula>
    </cfRule>
    <cfRule type="expression" dxfId="19" priority="116" stopIfTrue="1">
      <formula>EXACT($T$1,3)</formula>
    </cfRule>
  </conditionalFormatting>
  <conditionalFormatting sqref="L24:L25 N24:R25">
    <cfRule type="expression" dxfId="18" priority="67" stopIfTrue="1">
      <formula>EXACT($T$1,2)</formula>
    </cfRule>
    <cfRule type="expression" dxfId="17" priority="68" stopIfTrue="1">
      <formula>EXACT($T$1,3)</formula>
    </cfRule>
    <cfRule type="expression" dxfId="16" priority="69" stopIfTrue="1">
      <formula>EXACT($T$1,4)</formula>
    </cfRule>
  </conditionalFormatting>
  <conditionalFormatting sqref="L26:M27 O26:R27">
    <cfRule type="expression" dxfId="15" priority="71" stopIfTrue="1">
      <formula>EXACT($T$1,3)</formula>
    </cfRule>
    <cfRule type="expression" dxfId="14" priority="72" stopIfTrue="1">
      <formula>EXACT($T$1,4)</formula>
    </cfRule>
    <cfRule type="expression" dxfId="13" priority="70" stopIfTrue="1">
      <formula>EXACT($T$1,2)</formula>
    </cfRule>
  </conditionalFormatting>
  <conditionalFormatting sqref="L16:N19 I22:J27">
    <cfRule type="expression" dxfId="12" priority="134" stopIfTrue="1">
      <formula>EXACT($T$1,3)</formula>
    </cfRule>
    <cfRule type="expression" dxfId="11" priority="135" stopIfTrue="1">
      <formula>EXACT($T$1,4)</formula>
    </cfRule>
  </conditionalFormatting>
  <conditionalFormatting sqref="L16:N21 I22:K27">
    <cfRule type="expression" dxfId="10" priority="133" stopIfTrue="1">
      <formula>EXACT($T$1,2)</formula>
    </cfRule>
  </conditionalFormatting>
  <conditionalFormatting sqref="L20:N21 K22:K27">
    <cfRule type="expression" dxfId="9" priority="138" stopIfTrue="1">
      <formula>EXACT($T$1,4)</formula>
    </cfRule>
    <cfRule type="expression" dxfId="8" priority="137" stopIfTrue="1">
      <formula>EXACT($T$1,3)</formula>
    </cfRule>
  </conditionalFormatting>
  <conditionalFormatting sqref="M22:R23">
    <cfRule type="expression" dxfId="7" priority="66" stopIfTrue="1">
      <formula>EXACT($T$1,4)</formula>
    </cfRule>
    <cfRule type="expression" dxfId="6" priority="65" stopIfTrue="1">
      <formula>EXACT($T$1,3)</formula>
    </cfRule>
    <cfRule type="expression" dxfId="5" priority="64" stopIfTrue="1">
      <formula>EXACT($T$1,2)</formula>
    </cfRule>
  </conditionalFormatting>
  <conditionalFormatting sqref="O10:R11">
    <cfRule type="expression" dxfId="4" priority="48" stopIfTrue="1">
      <formula>EXACT($T$1,4)</formula>
    </cfRule>
    <cfRule type="expression" dxfId="3" priority="47" stopIfTrue="1">
      <formula>EXACT($T$1,3)</formula>
    </cfRule>
  </conditionalFormatting>
  <conditionalFormatting sqref="O10:R15">
    <cfRule type="expression" dxfId="2" priority="46" stopIfTrue="1">
      <formula>EXACT($T$1,2)</formula>
    </cfRule>
  </conditionalFormatting>
  <conditionalFormatting sqref="O20:R21">
    <cfRule type="expression" dxfId="1" priority="63" stopIfTrue="1">
      <formula>EXACT($T$1,4)</formula>
    </cfRule>
    <cfRule type="expression" dxfId="0" priority="62" stopIfTrue="1">
      <formula>EXACT($T$1,3)</formula>
    </cfRule>
  </conditionalFormatting>
  <dataValidations count="3">
    <dataValidation type="whole" allowBlank="1" showInputMessage="1" showErrorMessage="1" errorTitle="Invalid Number" error="The cell must be between 1 and 11 inclusive." promptTitle="Valid Values are 1-11." prompt="_x000a_Enter a number from 1 to 11." sqref="T1" xr:uid="{00000000-0002-0000-0000-000000000000}">
      <formula1>1</formula1>
      <formula2>11</formula2>
    </dataValidation>
    <dataValidation type="list" allowBlank="1" showInputMessage="1" showErrorMessage="1" sqref="AC10:AF10" xr:uid="{00000000-0002-0000-0000-000001000000}">
      <formula1>Start</formula1>
    </dataValidation>
    <dataValidation type="list" allowBlank="1" showInputMessage="1" showErrorMessage="1" sqref="AC13:AF13" xr:uid="{00000000-0002-0000-0000-000002000000}">
      <formula1>Interval</formula1>
    </dataValidation>
  </dataValidations>
  <printOptions horizontalCentered="1"/>
  <pageMargins left="0.5" right="0.5" top="1" bottom="1" header="0.5" footer="0.5"/>
  <pageSetup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133"/>
  <sheetViews>
    <sheetView workbookViewId="0">
      <pane ySplit="1" topLeftCell="A2" activePane="bottomLeft" state="frozenSplit"/>
      <selection activeCell="D1" sqref="D1"/>
      <selection pane="bottomLeft" activeCell="B4" sqref="B4"/>
    </sheetView>
  </sheetViews>
  <sheetFormatPr defaultColWidth="9.21875" defaultRowHeight="13.2" x14ac:dyDescent="0.25"/>
  <cols>
    <col min="1" max="1" width="3.21875" style="1" bestFit="1" customWidth="1"/>
    <col min="2" max="2" width="6.77734375" style="3" customWidth="1"/>
    <col min="3" max="3" width="40.6640625" style="3" customWidth="1"/>
    <col min="4" max="4" width="6.77734375" style="3" customWidth="1"/>
    <col min="5" max="5" width="7.6640625" style="3" bestFit="1" customWidth="1"/>
    <col min="6" max="6" width="35.5546875" style="3" customWidth="1"/>
    <col min="7" max="9" width="5.6640625" style="3" customWidth="1"/>
    <col min="10" max="10" width="9.44140625" style="3" customWidth="1"/>
    <col min="11" max="11" width="8.77734375" style="3" bestFit="1" customWidth="1"/>
    <col min="12" max="16" width="8" style="3" bestFit="1" customWidth="1"/>
    <col min="17" max="18" width="9.44140625" style="3" customWidth="1"/>
    <col min="19" max="19" width="21.88671875" style="3" customWidth="1"/>
    <col min="20" max="20" width="3.21875" style="3" customWidth="1"/>
    <col min="21" max="35" width="5.6640625" style="3" customWidth="1"/>
    <col min="36" max="16384" width="9.21875" style="3"/>
  </cols>
  <sheetData>
    <row r="1" spans="1:20" ht="13.8" thickBot="1" x14ac:dyDescent="0.3">
      <c r="B1" s="102" t="str">
        <f>IF(MIN($I$4:$I$132)&gt;=0,"",MIN($I$4:$I$132))</f>
        <v/>
      </c>
      <c r="C1" s="114" t="s">
        <v>396</v>
      </c>
      <c r="D1" s="1"/>
      <c r="E1" s="1"/>
      <c r="F1" s="134"/>
      <c r="G1" s="1"/>
      <c r="H1" s="1"/>
      <c r="I1" s="1"/>
      <c r="J1" s="1"/>
      <c r="K1" s="1"/>
      <c r="L1" s="1"/>
      <c r="M1" s="212"/>
      <c r="N1" s="212"/>
      <c r="P1" s="4"/>
      <c r="Q1" s="1"/>
      <c r="R1" s="1"/>
    </row>
    <row r="2" spans="1:20" x14ac:dyDescent="0.25">
      <c r="A2" s="45" t="s">
        <v>44</v>
      </c>
      <c r="B2" s="211" t="str">
        <f>IF(Draw!B4&lt;&gt;"",Draw!B4,"")</f>
        <v/>
      </c>
      <c r="C2" s="211"/>
      <c r="D2" s="211"/>
      <c r="E2" s="160"/>
      <c r="F2" s="144" t="str">
        <f>IF(C4="","",ROUND(VLOOKUP(1,$K$17:$L$24,2,FALSE)*1.5+VLOOKUP(2,$K$17:$L$24,2,FALSE)*1.5+VLOOKUP(3,$K$17:$L$24,2,FALSE)+VLOOKUP(4,$K$17:$L$24,2,FALSE),0))</f>
        <v/>
      </c>
      <c r="G2" s="1"/>
      <c r="H2" s="1"/>
      <c r="I2" s="1"/>
      <c r="J2" s="1"/>
      <c r="K2" s="1"/>
      <c r="L2" s="1"/>
      <c r="M2" s="212" t="str">
        <f>CHOOSE(Draw!$T$1,"12-team RR","Two 6-team RRs", "Three 4-team RRs","Four 3-team RRs","5-team RR","6-team RR","7-team RR","8-team RR","9-team RR","10-team RR","11-team RR")</f>
        <v>12-team RR</v>
      </c>
      <c r="N2" s="212"/>
      <c r="P2" s="4"/>
      <c r="Q2" s="1"/>
      <c r="R2" s="1"/>
    </row>
    <row r="3" spans="1:20" x14ac:dyDescent="0.25">
      <c r="A3" s="46"/>
      <c r="B3" s="47" t="s">
        <v>56</v>
      </c>
      <c r="C3" s="47" t="s">
        <v>182</v>
      </c>
      <c r="D3" s="47" t="s">
        <v>57</v>
      </c>
      <c r="E3" s="129" t="s">
        <v>734</v>
      </c>
      <c r="F3" s="48" t="s">
        <v>183</v>
      </c>
      <c r="G3" s="1"/>
      <c r="H3" s="1"/>
      <c r="I3" s="1"/>
      <c r="J3" s="40"/>
      <c r="K3" s="40"/>
      <c r="L3" s="40"/>
      <c r="M3" s="40"/>
      <c r="N3" s="40"/>
      <c r="O3" s="40"/>
      <c r="P3" s="122"/>
      <c r="Q3" s="40"/>
      <c r="R3" s="1"/>
      <c r="S3" s="1"/>
      <c r="T3" s="1"/>
    </row>
    <row r="4" spans="1:20" x14ac:dyDescent="0.25">
      <c r="A4" s="49" t="s">
        <v>64</v>
      </c>
      <c r="B4" s="56"/>
      <c r="C4" s="161"/>
      <c r="D4" s="132"/>
      <c r="E4" s="56"/>
      <c r="F4" s="162"/>
      <c r="G4" s="54">
        <f>B4</f>
        <v>0</v>
      </c>
      <c r="H4" s="113" t="str">
        <f t="shared" ref="H4:H11" si="0">A4</f>
        <v>A1</v>
      </c>
      <c r="I4" s="121">
        <f>IF(ISERROR($B4),"",$B4)</f>
        <v>0</v>
      </c>
      <c r="J4" s="40"/>
      <c r="K4" s="40" t="s">
        <v>375</v>
      </c>
      <c r="L4" s="40" t="s">
        <v>376</v>
      </c>
      <c r="M4" s="40" t="s">
        <v>377</v>
      </c>
      <c r="N4" s="40" t="s">
        <v>378</v>
      </c>
      <c r="O4" s="40" t="s">
        <v>379</v>
      </c>
      <c r="P4" s="122" t="s">
        <v>380</v>
      </c>
      <c r="Q4" s="40"/>
      <c r="R4" s="1"/>
      <c r="S4" s="112" t="str">
        <f t="shared" ref="S4:S11" si="1">C4&amp;"("&amp;$A$2&amp;")"</f>
        <v>(A)</v>
      </c>
      <c r="T4" s="112" t="str">
        <f>$A4</f>
        <v>A1</v>
      </c>
    </row>
    <row r="5" spans="1:20" ht="12.75" customHeight="1" x14ac:dyDescent="0.3">
      <c r="A5" s="49" t="s">
        <v>59</v>
      </c>
      <c r="B5" s="56"/>
      <c r="C5" s="161"/>
      <c r="D5" s="132"/>
      <c r="E5" s="56"/>
      <c r="F5" s="162"/>
      <c r="G5" s="54">
        <f t="shared" ref="G5:G11" si="2">B5</f>
        <v>0</v>
      </c>
      <c r="H5" s="113" t="str">
        <f t="shared" si="0"/>
        <v>A2</v>
      </c>
      <c r="I5" s="121">
        <f t="shared" ref="I5:I66" si="3">IF(ISERROR($B5),"",$B5)</f>
        <v>0</v>
      </c>
      <c r="J5" s="123" t="str">
        <f>IF(ISERROR(VLOOKUP($Q5&amp;", "&amp;$K$4,Team_Matches!$J$7:$M$3322,4,FALSE)),"",VLOOKUP($Q5&amp;", "&amp;$K$4,Team_Matches!$J$7:$M$3322,4,FALSE))</f>
        <v/>
      </c>
      <c r="K5" s="126" t="str">
        <f>IF(ISERROR(VLOOKUP($Q5&amp;", "&amp;$K$4,Team_Matches!$J$7:$M$3322,4,FALSE)),"",VLOOKUP($Q5&amp;", "&amp;$K$4,Team_Matches!$J$7:$O$3322,6,FALSE))</f>
        <v>A-L</v>
      </c>
      <c r="L5" s="126" t="str">
        <f ca="1">IF(ISERROR(VLOOKUP($Q5&amp;", "&amp;$L$4,Team_Matches!$J$7:$M$3322,4,FALSE)),"",VLOOKUP($Q5&amp;", "&amp;$L$4,Team_Matches!$J$7:$O$3322,6,FALSE))</f>
        <v>B-K</v>
      </c>
      <c r="M5" s="126" t="str">
        <f ca="1">IF(ISERROR(VLOOKUP($Q5&amp;", "&amp;$M$4,Team_Matches!$J$7:$M$3322,4,FALSE)),"",VLOOKUP($Q5&amp;", "&amp;$M$4,Team_Matches!$J$7:$O$3322,6,FALSE))</f>
        <v>C-J</v>
      </c>
      <c r="N5" s="126" t="str">
        <f ca="1">IF(ISERROR(VLOOKUP($Q5&amp;", "&amp;$N$4,Team_Matches!$J$7:$M$3322,4,FALSE)),"",VLOOKUP($Q5&amp;", "&amp;$N$4,Team_Matches!$J$7:$O$3322,6,FALSE))</f>
        <v>D-I</v>
      </c>
      <c r="O5" s="126" t="str">
        <f ca="1">IF(ISERROR(VLOOKUP($Q5&amp;", "&amp;$O$4,Team_Matches!$J$7:$M$3322,4,FALSE)),"",VLOOKUP($Q5&amp;", "&amp;$O$4,Team_Matches!$J$7:$O$3322,6,FALSE))</f>
        <v>E-H</v>
      </c>
      <c r="P5" s="126" t="str">
        <f ca="1">IF(ISERROR(VLOOKUP($Q5&amp;", "&amp;$P$4,Team_Matches!$J$7:$M$3322,4,FALSE)),"",VLOOKUP($Q5&amp;", "&amp;$P$4,Team_Matches!$J$7:$O$3322,6,FALSE))</f>
        <v>F-G</v>
      </c>
      <c r="Q5" s="124" t="s">
        <v>364</v>
      </c>
      <c r="R5" s="1"/>
      <c r="S5" s="112" t="str">
        <f t="shared" si="1"/>
        <v>(A)</v>
      </c>
      <c r="T5" s="112" t="str">
        <f t="shared" ref="T5:T11" si="4">$A5</f>
        <v>A2</v>
      </c>
    </row>
    <row r="6" spans="1:20" ht="12.75" customHeight="1" x14ac:dyDescent="0.3">
      <c r="A6" s="49" t="s">
        <v>65</v>
      </c>
      <c r="B6" s="56"/>
      <c r="C6" s="161"/>
      <c r="D6" s="132"/>
      <c r="E6" s="56"/>
      <c r="F6" s="162"/>
      <c r="G6" s="54">
        <f t="shared" si="2"/>
        <v>0</v>
      </c>
      <c r="H6" s="113" t="str">
        <f t="shared" si="0"/>
        <v>A3</v>
      </c>
      <c r="I6" s="121">
        <f t="shared" si="3"/>
        <v>0</v>
      </c>
      <c r="J6" s="123" t="str">
        <f ca="1">IF(ISERROR(VLOOKUP($Q6&amp;", "&amp;$K$4,Team_Matches!$J$7:$M$3322,4,FALSE)),"",VLOOKUP($Q6&amp;", "&amp;$K$4,Team_Matches!$J$7:$M$3322,4,FALSE))</f>
        <v/>
      </c>
      <c r="K6" s="126" t="str">
        <f ca="1">IF(ISERROR(VLOOKUP($Q6&amp;", "&amp;$K$4,Team_Matches!$J$7:$M$3322,4,FALSE)),"",VLOOKUP($Q6&amp;", "&amp;$K$4,Team_Matches!$J$7:$O$3322,6,FALSE))</f>
        <v>A-K</v>
      </c>
      <c r="L6" s="126" t="str">
        <f ca="1">IF(ISERROR(VLOOKUP($Q6&amp;", "&amp;$L$4,Team_Matches!$J$7:$M$3322,4,FALSE)),"",VLOOKUP($Q6&amp;", "&amp;$L$4,Team_Matches!$J$7:$O$3322,6,FALSE))</f>
        <v>J-L</v>
      </c>
      <c r="M6" s="126" t="str">
        <f ca="1">IF(ISERROR(VLOOKUP($Q6&amp;", "&amp;$M$4,Team_Matches!$J$7:$M$3322,4,FALSE)),"",VLOOKUP($Q6&amp;", "&amp;$M$4,Team_Matches!$J$7:$O$3322,6,FALSE))</f>
        <v>B-I</v>
      </c>
      <c r="N6" s="126" t="str">
        <f ca="1">IF(ISERROR(VLOOKUP($Q6&amp;", "&amp;$N$4,Team_Matches!$J$7:$M$3322,4,FALSE)),"",VLOOKUP($Q6&amp;", "&amp;$N$4,Team_Matches!$J$7:$O$3322,6,FALSE))</f>
        <v>C-H</v>
      </c>
      <c r="O6" s="126" t="str">
        <f ca="1">IF(ISERROR(VLOOKUP($Q6&amp;", "&amp;$O$4,Team_Matches!$J$7:$M$3322,4,FALSE)),"",VLOOKUP($Q6&amp;", "&amp;$O$4,Team_Matches!$J$7:$O$3322,6,FALSE))</f>
        <v>D-G</v>
      </c>
      <c r="P6" s="126" t="str">
        <f ca="1">IF(ISERROR(VLOOKUP($Q6&amp;", "&amp;$P$4,Team_Matches!$J$7:$M$3322,4,FALSE)),"",VLOOKUP($Q6&amp;", "&amp;$P$4,Team_Matches!$J$7:$O$3322,6,FALSE))</f>
        <v>E-F</v>
      </c>
      <c r="Q6" s="124" t="s">
        <v>374</v>
      </c>
      <c r="R6" s="1"/>
      <c r="S6" s="112" t="str">
        <f t="shared" si="1"/>
        <v>(A)</v>
      </c>
      <c r="T6" s="112" t="str">
        <f t="shared" si="4"/>
        <v>A3</v>
      </c>
    </row>
    <row r="7" spans="1:20" ht="12.75" customHeight="1" x14ac:dyDescent="0.3">
      <c r="A7" s="49" t="s">
        <v>66</v>
      </c>
      <c r="B7" s="56"/>
      <c r="C7" s="161"/>
      <c r="D7" s="132"/>
      <c r="E7" s="56"/>
      <c r="F7" s="162"/>
      <c r="G7" s="54">
        <f t="shared" si="2"/>
        <v>0</v>
      </c>
      <c r="H7" s="113" t="str">
        <f t="shared" si="0"/>
        <v>A4</v>
      </c>
      <c r="I7" s="121">
        <f t="shared" si="3"/>
        <v>0</v>
      </c>
      <c r="J7" s="123" t="str">
        <f ca="1">IF(ISERROR(VLOOKUP($Q7&amp;", "&amp;$K$4,Team_Matches!$J$7:$M$3322,4,FALSE)),"",VLOOKUP($Q7&amp;", "&amp;$K$4,Team_Matches!$J$7:$M$3322,4,FALSE))</f>
        <v/>
      </c>
      <c r="K7" s="126" t="str">
        <f ca="1">IF(ISERROR(VLOOKUP($Q7&amp;", "&amp;$K$4,Team_Matches!$J$7:$M$3322,4,FALSE)),"",VLOOKUP($Q7&amp;", "&amp;$K$4,Team_Matches!$J$7:$O$3322,6,FALSE))</f>
        <v>A-J</v>
      </c>
      <c r="L7" s="126" t="str">
        <f ca="1">IF(ISERROR(VLOOKUP($Q7&amp;", "&amp;$L$4,Team_Matches!$J$7:$M$3322,4,FALSE)),"",VLOOKUP($Q7&amp;", "&amp;$L$4,Team_Matches!$J$7:$O$3322,6,FALSE))</f>
        <v>I-K</v>
      </c>
      <c r="M7" s="126" t="str">
        <f ca="1">IF(ISERROR(VLOOKUP($Q7&amp;", "&amp;$M$4,Team_Matches!$J$7:$M$3322,4,FALSE)),"",VLOOKUP($Q7&amp;", "&amp;$M$4,Team_Matches!$J$7:$O$3322,6,FALSE))</f>
        <v>H-L</v>
      </c>
      <c r="N7" s="126" t="str">
        <f ca="1">IF(ISERROR(VLOOKUP($Q7&amp;", "&amp;$N$4,Team_Matches!$J$7:$M$3322,4,FALSE)),"",VLOOKUP($Q7&amp;", "&amp;$N$4,Team_Matches!$J$7:$O$3322,6,FALSE))</f>
        <v>B-G</v>
      </c>
      <c r="O7" s="126" t="str">
        <f ca="1">IF(ISERROR(VLOOKUP($Q7&amp;", "&amp;$O$4,Team_Matches!$J$7:$M$3322,4,FALSE)),"",VLOOKUP($Q7&amp;", "&amp;$O$4,Team_Matches!$J$7:$O$3322,6,FALSE))</f>
        <v>C-F</v>
      </c>
      <c r="P7" s="126" t="str">
        <f ca="1">IF(ISERROR(VLOOKUP($Q7&amp;", "&amp;$P$4,Team_Matches!$J$7:$M$3322,4,FALSE)),"",VLOOKUP($Q7&amp;", "&amp;$P$4,Team_Matches!$J$7:$O$3322,6,FALSE))</f>
        <v>D-E</v>
      </c>
      <c r="Q7" s="124" t="s">
        <v>366</v>
      </c>
      <c r="R7" s="1"/>
      <c r="S7" s="112" t="str">
        <f t="shared" si="1"/>
        <v>(A)</v>
      </c>
      <c r="T7" s="112" t="str">
        <f t="shared" si="4"/>
        <v>A4</v>
      </c>
    </row>
    <row r="8" spans="1:20" ht="12.75" customHeight="1" x14ac:dyDescent="0.3">
      <c r="A8" s="49" t="s">
        <v>60</v>
      </c>
      <c r="B8" s="56"/>
      <c r="C8" s="161"/>
      <c r="D8" s="132"/>
      <c r="E8" s="56"/>
      <c r="F8" s="162"/>
      <c r="G8" s="54">
        <f t="shared" si="2"/>
        <v>0</v>
      </c>
      <c r="H8" s="113" t="str">
        <f t="shared" si="0"/>
        <v>A5</v>
      </c>
      <c r="I8" s="121">
        <f t="shared" si="3"/>
        <v>0</v>
      </c>
      <c r="J8" s="123" t="str">
        <f ca="1">IF(ISERROR(VLOOKUP($Q8&amp;", "&amp;$K$4,Team_Matches!$J$7:$M$3322,4,FALSE)),"",VLOOKUP($Q8&amp;", "&amp;$K$4,Team_Matches!$J$7:$M$3322,4,FALSE))</f>
        <v/>
      </c>
      <c r="K8" s="126" t="str">
        <f ca="1">IF(ISERROR(VLOOKUP($Q8&amp;", "&amp;$K$4,Team_Matches!$J$7:$M$3322,4,FALSE)),"",VLOOKUP($Q8&amp;", "&amp;$K$4,Team_Matches!$J$7:$O$3322,6,FALSE))</f>
        <v>A-I</v>
      </c>
      <c r="L8" s="126" t="str">
        <f ca="1">IF(ISERROR(VLOOKUP($Q8&amp;", "&amp;$L$4,Team_Matches!$J$7:$M$3322,4,FALSE)),"",VLOOKUP($Q8&amp;", "&amp;$L$4,Team_Matches!$J$7:$O$3322,6,FALSE))</f>
        <v>H-J</v>
      </c>
      <c r="M8" s="126" t="str">
        <f ca="1">IF(ISERROR(VLOOKUP($Q8&amp;", "&amp;$M$4,Team_Matches!$J$7:$M$3322,4,FALSE)),"",VLOOKUP($Q8&amp;", "&amp;$M$4,Team_Matches!$J$7:$O$3322,6,FALSE))</f>
        <v>G-K</v>
      </c>
      <c r="N8" s="126" t="str">
        <f ca="1">IF(ISERROR(VLOOKUP($Q8&amp;", "&amp;$N$4,Team_Matches!$J$7:$M$3322,4,FALSE)),"",VLOOKUP($Q8&amp;", "&amp;$N$4,Team_Matches!$J$7:$O$3322,6,FALSE))</f>
        <v>F-L</v>
      </c>
      <c r="O8" s="126" t="str">
        <f ca="1">IF(ISERROR(VLOOKUP($Q8&amp;", "&amp;$O$4,Team_Matches!$J$7:$M$3322,4,FALSE)),"",VLOOKUP($Q8&amp;", "&amp;$O$4,Team_Matches!$J$7:$O$3322,6,FALSE))</f>
        <v>B-E</v>
      </c>
      <c r="P8" s="126" t="str">
        <f ca="1">IF(ISERROR(VLOOKUP($Q8&amp;", "&amp;$P$4,Team_Matches!$J$7:$M$3322,4,FALSE)),"",VLOOKUP($Q8&amp;", "&amp;$P$4,Team_Matches!$J$7:$O$3322,6,FALSE))</f>
        <v>C-D</v>
      </c>
      <c r="Q8" s="124" t="s">
        <v>367</v>
      </c>
      <c r="R8" s="1"/>
      <c r="S8" s="112" t="str">
        <f t="shared" si="1"/>
        <v>(A)</v>
      </c>
      <c r="T8" s="112" t="str">
        <f t="shared" si="4"/>
        <v>A5</v>
      </c>
    </row>
    <row r="9" spans="1:20" ht="12.75" customHeight="1" x14ac:dyDescent="0.3">
      <c r="A9" s="49" t="s">
        <v>61</v>
      </c>
      <c r="B9" s="56"/>
      <c r="C9" s="161"/>
      <c r="D9" s="132"/>
      <c r="E9" s="56"/>
      <c r="F9" s="162"/>
      <c r="G9" s="54">
        <f t="shared" si="2"/>
        <v>0</v>
      </c>
      <c r="H9" s="113" t="str">
        <f t="shared" si="0"/>
        <v>A6</v>
      </c>
      <c r="I9" s="121">
        <f t="shared" si="3"/>
        <v>0</v>
      </c>
      <c r="J9" s="123" t="str">
        <f ca="1">IF(ISERROR(VLOOKUP($Q9&amp;", "&amp;$K$4,Team_Matches!$J$7:$M$3322,4,FALSE)),"",VLOOKUP($Q9&amp;", "&amp;$K$4,Team_Matches!$J$7:$M$3322,4,FALSE))</f>
        <v/>
      </c>
      <c r="K9" s="126" t="str">
        <f ca="1">IF(ISERROR(VLOOKUP($Q9&amp;", "&amp;$K$4,Team_Matches!$J$7:$M$3322,4,FALSE)),"",VLOOKUP($Q9&amp;", "&amp;$K$4,Team_Matches!$J$7:$O$3322,6,FALSE))</f>
        <v>A-B</v>
      </c>
      <c r="L9" s="126" t="str">
        <f ca="1">IF(ISERROR(VLOOKUP($Q9&amp;", "&amp;$L$4,Team_Matches!$J$7:$M$3322,4,FALSE)),"",VLOOKUP($Q9&amp;", "&amp;$L$4,Team_Matches!$J$7:$O$3322,6,FALSE))</f>
        <v>C-L</v>
      </c>
      <c r="M9" s="126" t="str">
        <f ca="1">IF(ISERROR(VLOOKUP($Q9&amp;", "&amp;$M$4,Team_Matches!$J$7:$M$3322,4,FALSE)),"",VLOOKUP($Q9&amp;", "&amp;$M$4,Team_Matches!$J$7:$O$3322,6,FALSE))</f>
        <v>D-K</v>
      </c>
      <c r="N9" s="126" t="str">
        <f ca="1">IF(ISERROR(VLOOKUP($Q9&amp;", "&amp;$N$4,Team_Matches!$J$7:$M$3322,4,FALSE)),"",VLOOKUP($Q9&amp;", "&amp;$N$4,Team_Matches!$J$7:$O$3322,6,FALSE))</f>
        <v>E-J</v>
      </c>
      <c r="O9" s="126" t="str">
        <f ca="1">IF(ISERROR(VLOOKUP($Q9&amp;", "&amp;$O$4,Team_Matches!$J$7:$M$3322,4,FALSE)),"",VLOOKUP($Q9&amp;", "&amp;$O$4,Team_Matches!$J$7:$O$3322,6,FALSE))</f>
        <v>F-I</v>
      </c>
      <c r="P9" s="126" t="str">
        <f ca="1">IF(ISERROR(VLOOKUP($Q9&amp;", "&amp;$P$4,Team_Matches!$J$7:$M$3322,4,FALSE)),"",VLOOKUP($Q9&amp;", "&amp;$P$4,Team_Matches!$J$7:$O$3322,6,FALSE))</f>
        <v>G-H</v>
      </c>
      <c r="Q9" s="124" t="s">
        <v>368</v>
      </c>
      <c r="R9" s="1"/>
      <c r="S9" s="112" t="str">
        <f t="shared" si="1"/>
        <v>(A)</v>
      </c>
      <c r="T9" s="112" t="str">
        <f t="shared" si="4"/>
        <v>A6</v>
      </c>
    </row>
    <row r="10" spans="1:20" ht="12.75" customHeight="1" x14ac:dyDescent="0.3">
      <c r="A10" s="49" t="s">
        <v>62</v>
      </c>
      <c r="B10" s="56"/>
      <c r="C10" s="161"/>
      <c r="D10" s="132"/>
      <c r="E10" s="56"/>
      <c r="F10" s="162"/>
      <c r="G10" s="54">
        <f t="shared" si="2"/>
        <v>0</v>
      </c>
      <c r="H10" s="113" t="str">
        <f t="shared" si="0"/>
        <v>A7</v>
      </c>
      <c r="I10" s="121">
        <f t="shared" si="3"/>
        <v>0</v>
      </c>
      <c r="J10" s="123" t="str">
        <f ca="1">IF(ISERROR(VLOOKUP($Q10&amp;", "&amp;$K$4,Team_Matches!$J$7:$M$3322,4,FALSE)),"",VLOOKUP($Q10&amp;", "&amp;$K$4,Team_Matches!$J$7:$M$3322,4,FALSE))</f>
        <v/>
      </c>
      <c r="K10" s="126" t="str">
        <f ca="1">IF(ISERROR(VLOOKUP($Q10&amp;", "&amp;$K$4,Team_Matches!$J$7:$M$3322,4,FALSE)),"",VLOOKUP($Q10&amp;", "&amp;$K$4,Team_Matches!$J$7:$O$3322,6,FALSE))</f>
        <v>A-G</v>
      </c>
      <c r="L10" s="126" t="str">
        <f ca="1">IF(ISERROR(VLOOKUP($Q10&amp;", "&amp;$L$4,Team_Matches!$J$7:$M$3322,4,FALSE)),"",VLOOKUP($Q10&amp;", "&amp;$L$4,Team_Matches!$J$7:$O$3322,6,FALSE))</f>
        <v>F-H</v>
      </c>
      <c r="M10" s="126" t="str">
        <f ca="1">IF(ISERROR(VLOOKUP($Q10&amp;", "&amp;$M$4,Team_Matches!$J$7:$M$3322,4,FALSE)),"",VLOOKUP($Q10&amp;", "&amp;$M$4,Team_Matches!$J$7:$O$3322,6,FALSE))</f>
        <v>E-I</v>
      </c>
      <c r="N10" s="126" t="str">
        <f ca="1">IF(ISERROR(VLOOKUP($Q10&amp;", "&amp;$N$4,Team_Matches!$J$7:$M$3322,4,FALSE)),"",VLOOKUP($Q10&amp;", "&amp;$N$4,Team_Matches!$J$7:$O$3322,6,FALSE))</f>
        <v>D-J</v>
      </c>
      <c r="O10" s="126" t="str">
        <f ca="1">IF(ISERROR(VLOOKUP($Q10&amp;", "&amp;$O$4,Team_Matches!$J$7:$M$3322,4,FALSE)),"",VLOOKUP($Q10&amp;", "&amp;$O$4,Team_Matches!$J$7:$O$3322,6,FALSE))</f>
        <v>C-K</v>
      </c>
      <c r="P10" s="126" t="str">
        <f ca="1">IF(ISERROR(VLOOKUP($Q10&amp;", "&amp;$P$4,Team_Matches!$J$7:$M$3322,4,FALSE)),"",VLOOKUP($Q10&amp;", "&amp;$P$4,Team_Matches!$J$7:$O$3322,6,FALSE))</f>
        <v>B-L</v>
      </c>
      <c r="Q10" s="124" t="s">
        <v>369</v>
      </c>
      <c r="R10" s="1"/>
      <c r="S10" s="112" t="str">
        <f t="shared" si="1"/>
        <v>(A)</v>
      </c>
      <c r="T10" s="112" t="str">
        <f t="shared" si="4"/>
        <v>A7</v>
      </c>
    </row>
    <row r="11" spans="1:20" ht="12.75" customHeight="1" thickBot="1" x14ac:dyDescent="0.35">
      <c r="A11" s="50" t="s">
        <v>63</v>
      </c>
      <c r="B11" s="57"/>
      <c r="C11" s="163"/>
      <c r="D11" s="133"/>
      <c r="E11" s="133"/>
      <c r="F11" s="164"/>
      <c r="G11" s="54">
        <f t="shared" si="2"/>
        <v>0</v>
      </c>
      <c r="H11" s="113" t="str">
        <f t="shared" si="0"/>
        <v>A8</v>
      </c>
      <c r="I11" s="121">
        <f t="shared" si="3"/>
        <v>0</v>
      </c>
      <c r="J11" s="123" t="str">
        <f ca="1">IF(ISERROR(VLOOKUP($Q11&amp;", "&amp;$K$4,Team_Matches!$J$7:$M$3322,4,FALSE)),"",VLOOKUP($Q11&amp;", "&amp;$K$4,Team_Matches!$J$7:$M$3322,4,FALSE))</f>
        <v/>
      </c>
      <c r="K11" s="126" t="str">
        <f ca="1">IF(ISERROR(VLOOKUP($Q11&amp;", "&amp;$K$4,Team_Matches!$J$7:$M$3322,4,FALSE)),"",VLOOKUP($Q11&amp;", "&amp;$K$4,Team_Matches!$J$7:$O$3322,6,FALSE))</f>
        <v>A-F</v>
      </c>
      <c r="L11" s="126" t="str">
        <f ca="1">IF(ISERROR(VLOOKUP($Q11&amp;", "&amp;$L$4,Team_Matches!$J$7:$M$3322,4,FALSE)),"",VLOOKUP($Q11&amp;", "&amp;$L$4,Team_Matches!$J$7:$O$3322,6,FALSE))</f>
        <v>E-G</v>
      </c>
      <c r="M11" s="126" t="str">
        <f ca="1">IF(ISERROR(VLOOKUP($Q11&amp;", "&amp;$M$4,Team_Matches!$J$7:$M$3322,4,FALSE)),"",VLOOKUP($Q11&amp;", "&amp;$M$4,Team_Matches!$J$7:$O$3322,6,FALSE))</f>
        <v>D-H</v>
      </c>
      <c r="N11" s="126" t="str">
        <f ca="1">IF(ISERROR(VLOOKUP($Q11&amp;", "&amp;$N$4,Team_Matches!$J$7:$M$3322,4,FALSE)),"",VLOOKUP($Q11&amp;", "&amp;$N$4,Team_Matches!$J$7:$O$3322,6,FALSE))</f>
        <v>C-I</v>
      </c>
      <c r="O11" s="126" t="str">
        <f ca="1">IF(ISERROR(VLOOKUP($Q11&amp;", "&amp;$O$4,Team_Matches!$J$7:$M$3322,4,FALSE)),"",VLOOKUP($Q11&amp;", "&amp;$O$4,Team_Matches!$J$7:$O$3322,6,FALSE))</f>
        <v>B-J</v>
      </c>
      <c r="P11" s="126" t="str">
        <f ca="1">IF(ISERROR(VLOOKUP($Q11&amp;", "&amp;$P$4,Team_Matches!$J$7:$M$3322,4,FALSE)),"",VLOOKUP($Q11&amp;", "&amp;$P$4,Team_Matches!$J$7:$O$3322,6,FALSE))</f>
        <v>K-L</v>
      </c>
      <c r="Q11" s="124" t="s">
        <v>370</v>
      </c>
      <c r="R11" s="1"/>
      <c r="S11" s="112" t="str">
        <f t="shared" si="1"/>
        <v>(A)</v>
      </c>
      <c r="T11" s="112" t="str">
        <f t="shared" si="4"/>
        <v>A8</v>
      </c>
    </row>
    <row r="12" spans="1:20" ht="12.75" customHeight="1" thickBot="1" x14ac:dyDescent="0.35">
      <c r="A12" s="40"/>
      <c r="B12" s="40"/>
      <c r="C12" s="40"/>
      <c r="D12" s="40"/>
      <c r="E12" s="1"/>
      <c r="F12" s="1"/>
      <c r="G12" s="54"/>
      <c r="H12" s="113"/>
      <c r="I12" s="121"/>
      <c r="J12" s="123" t="str">
        <f ca="1">IF(ISERROR(VLOOKUP($Q12&amp;", "&amp;$K$4,Team_Matches!$J$7:$M$3322,4,FALSE)),"",VLOOKUP($Q12&amp;", "&amp;$K$4,Team_Matches!$J$7:$M$3322,4,FALSE))</f>
        <v/>
      </c>
      <c r="K12" s="126" t="str">
        <f ca="1">IF(ISERROR(VLOOKUP($Q12&amp;", "&amp;$K$4,Team_Matches!$J$7:$M$3322,4,FALSE)),"",VLOOKUP($Q12&amp;", "&amp;$K$4,Team_Matches!$J$7:$O$3322,6,FALSE))</f>
        <v>A-E</v>
      </c>
      <c r="L12" s="126" t="str">
        <f ca="1">IF(ISERROR(VLOOKUP($Q12&amp;", "&amp;$L$4,Team_Matches!$J$7:$M$3322,4,FALSE)),"",VLOOKUP($Q12&amp;", "&amp;$L$4,Team_Matches!$J$7:$O$3322,6,FALSE))</f>
        <v>D-F</v>
      </c>
      <c r="M12" s="126" t="str">
        <f ca="1">IF(ISERROR(VLOOKUP($Q12&amp;", "&amp;$M$4,Team_Matches!$J$7:$M$3322,4,FALSE)),"",VLOOKUP($Q12&amp;", "&amp;$M$4,Team_Matches!$J$7:$O$3322,6,FALSE))</f>
        <v>C-G</v>
      </c>
      <c r="N12" s="126" t="str">
        <f ca="1">IF(ISERROR(VLOOKUP($Q12&amp;", "&amp;$N$4,Team_Matches!$J$7:$M$3322,4,FALSE)),"",VLOOKUP($Q12&amp;", "&amp;$N$4,Team_Matches!$J$7:$O$3322,6,FALSE))</f>
        <v>B-H</v>
      </c>
      <c r="O12" s="126" t="str">
        <f ca="1">IF(ISERROR(VLOOKUP($Q12&amp;", "&amp;$O$4,Team_Matches!$J$7:$M$3322,4,FALSE)),"",VLOOKUP($Q12&amp;", "&amp;$O$4,Team_Matches!$J$7:$O$3322,6,FALSE))</f>
        <v>I-L</v>
      </c>
      <c r="P12" s="126" t="str">
        <f ca="1">IF(ISERROR(VLOOKUP($Q12&amp;", "&amp;$P$4,Team_Matches!$J$7:$M$3322,4,FALSE)),"",VLOOKUP($Q12&amp;", "&amp;$P$4,Team_Matches!$J$7:$O$3322,6,FALSE))</f>
        <v>J-K</v>
      </c>
      <c r="Q12" s="124" t="s">
        <v>371</v>
      </c>
      <c r="R12" s="1"/>
      <c r="S12" s="112"/>
      <c r="T12" s="112"/>
    </row>
    <row r="13" spans="1:20" ht="12.75" customHeight="1" x14ac:dyDescent="0.3">
      <c r="A13" s="45" t="s">
        <v>45</v>
      </c>
      <c r="B13" s="211" t="str">
        <f>IF(Draw!B6&lt;&gt;"",Draw!B6,"")</f>
        <v/>
      </c>
      <c r="C13" s="211"/>
      <c r="D13" s="211"/>
      <c r="E13" s="160"/>
      <c r="F13" s="144" t="str">
        <f>IF(C15="","",ROUND(VLOOKUP(1,$K$26:$L$33,2,FALSE)*1.5+VLOOKUP(2,$K$26:$L$33,2,FALSE)*1.5+VLOOKUP(3,$K$26:$L$33,2,FALSE)+VLOOKUP(4,$K$26:$L$33,2,FALSE),0))</f>
        <v/>
      </c>
      <c r="G13" s="54"/>
      <c r="H13" s="113"/>
      <c r="I13" s="121"/>
      <c r="J13" s="123" t="str">
        <f ca="1">IF(ISERROR(VLOOKUP($Q13&amp;", "&amp;$K$4,Team_Matches!$J$7:$M$3322,4,FALSE)),"",VLOOKUP($Q13&amp;", "&amp;$K$4,Team_Matches!$J$7:$M$3322,4,FALSE))</f>
        <v/>
      </c>
      <c r="K13" s="126" t="str">
        <f ca="1">IF(ISERROR(VLOOKUP($Q13&amp;", "&amp;$K$4,Team_Matches!$J$7:$M$3322,4,FALSE)),"",VLOOKUP($Q13&amp;", "&amp;$K$4,Team_Matches!$J$7:$O$3322,6,FALSE))</f>
        <v>A-D</v>
      </c>
      <c r="L13" s="126" t="str">
        <f ca="1">IF(ISERROR(VLOOKUP($Q13&amp;", "&amp;$L$4,Team_Matches!$J$7:$M$3322,4,FALSE)),"",VLOOKUP($Q13&amp;", "&amp;$L$4,Team_Matches!$J$7:$O$3322,6,FALSE))</f>
        <v>C-E</v>
      </c>
      <c r="M13" s="126" t="str">
        <f ca="1">IF(ISERROR(VLOOKUP($Q13&amp;", "&amp;$M$4,Team_Matches!$J$7:$M$3322,4,FALSE)),"",VLOOKUP($Q13&amp;", "&amp;$M$4,Team_Matches!$J$7:$O$3322,6,FALSE))</f>
        <v>B-F</v>
      </c>
      <c r="N13" s="126" t="str">
        <f ca="1">IF(ISERROR(VLOOKUP($Q13&amp;", "&amp;$N$4,Team_Matches!$J$7:$M$3322,4,FALSE)),"",VLOOKUP($Q13&amp;", "&amp;$N$4,Team_Matches!$J$7:$O$3322,6,FALSE))</f>
        <v>G-L</v>
      </c>
      <c r="O13" s="126" t="str">
        <f ca="1">IF(ISERROR(VLOOKUP($Q13&amp;", "&amp;$O$4,Team_Matches!$J$7:$M$3322,4,FALSE)),"",VLOOKUP($Q13&amp;", "&amp;$O$4,Team_Matches!$J$7:$O$3322,6,FALSE))</f>
        <v>H-K</v>
      </c>
      <c r="P13" s="126" t="str">
        <f ca="1">IF(ISERROR(VLOOKUP($Q13&amp;", "&amp;$P$4,Team_Matches!$J$7:$M$3322,4,FALSE)),"",VLOOKUP($Q13&amp;", "&amp;$P$4,Team_Matches!$J$7:$O$3322,6,FALSE))</f>
        <v>I-J</v>
      </c>
      <c r="Q13" s="124" t="s">
        <v>372</v>
      </c>
      <c r="R13" s="1"/>
      <c r="S13" s="112"/>
      <c r="T13" s="112"/>
    </row>
    <row r="14" spans="1:20" ht="12.75" customHeight="1" x14ac:dyDescent="0.3">
      <c r="A14" s="46"/>
      <c r="B14" s="47" t="s">
        <v>56</v>
      </c>
      <c r="C14" s="47" t="s">
        <v>182</v>
      </c>
      <c r="D14" s="129" t="s">
        <v>57</v>
      </c>
      <c r="E14" s="129" t="s">
        <v>734</v>
      </c>
      <c r="F14" s="48" t="s">
        <v>183</v>
      </c>
      <c r="G14" s="54"/>
      <c r="H14" s="113"/>
      <c r="I14" s="121"/>
      <c r="J14" s="123" t="str">
        <f ca="1">IF(ISERROR(VLOOKUP($Q14&amp;", "&amp;$K$4,Team_Matches!$J$7:$M$3322,4,FALSE)),"",VLOOKUP($Q14&amp;", "&amp;$K$4,Team_Matches!$J$7:$M$3322,4,FALSE))</f>
        <v/>
      </c>
      <c r="K14" s="126" t="str">
        <f ca="1">IF(ISERROR(VLOOKUP($Q14&amp;", "&amp;$K$4,Team_Matches!$J$7:$M$3322,4,FALSE)),"",VLOOKUP($Q14&amp;", "&amp;$K$4,Team_Matches!$J$7:$O$3322,6,FALSE))</f>
        <v>A-C</v>
      </c>
      <c r="L14" s="126" t="str">
        <f ca="1">IF(ISERROR(VLOOKUP($Q14&amp;", "&amp;$L$4,Team_Matches!$J$7:$M$3322,4,FALSE)),"",VLOOKUP($Q14&amp;", "&amp;$L$4,Team_Matches!$J$7:$O$3322,6,FALSE))</f>
        <v>B-D</v>
      </c>
      <c r="M14" s="126" t="str">
        <f ca="1">IF(ISERROR(VLOOKUP($Q14&amp;", "&amp;$M$4,Team_Matches!$J$7:$M$3322,4,FALSE)),"",VLOOKUP($Q14&amp;", "&amp;$M$4,Team_Matches!$J$7:$O$3322,6,FALSE))</f>
        <v>E-L</v>
      </c>
      <c r="N14" s="126" t="str">
        <f ca="1">IF(ISERROR(VLOOKUP($Q14&amp;", "&amp;$N$4,Team_Matches!$J$7:$M$3322,4,FALSE)),"",VLOOKUP($Q14&amp;", "&amp;$N$4,Team_Matches!$J$7:$O$3322,6,FALSE))</f>
        <v>F-K</v>
      </c>
      <c r="O14" s="126" t="str">
        <f ca="1">IF(ISERROR(VLOOKUP($Q14&amp;", "&amp;$O$4,Team_Matches!$J$7:$M$3322,4,FALSE)),"",VLOOKUP($Q14&amp;", "&amp;$O$4,Team_Matches!$J$7:$O$3322,6,FALSE))</f>
        <v>G-J</v>
      </c>
      <c r="P14" s="126" t="str">
        <f ca="1">IF(ISERROR(VLOOKUP($Q14&amp;", "&amp;$P$4,Team_Matches!$J$7:$M$3322,4,FALSE)),"",VLOOKUP($Q14&amp;", "&amp;$P$4,Team_Matches!$J$7:$O$3322,6,FALSE))</f>
        <v>H-I</v>
      </c>
      <c r="Q14" s="124" t="s">
        <v>373</v>
      </c>
      <c r="R14" s="1"/>
      <c r="S14" s="112"/>
      <c r="T14" s="112"/>
    </row>
    <row r="15" spans="1:20" ht="12.75" customHeight="1" x14ac:dyDescent="0.3">
      <c r="A15" s="49" t="s">
        <v>67</v>
      </c>
      <c r="B15" s="56"/>
      <c r="C15" s="161"/>
      <c r="D15" s="132"/>
      <c r="E15" s="56"/>
      <c r="F15" s="162"/>
      <c r="G15" s="54">
        <f>B15</f>
        <v>0</v>
      </c>
      <c r="H15" s="113" t="str">
        <f t="shared" ref="H15:H22" si="5">A15</f>
        <v>B1</v>
      </c>
      <c r="I15" s="121">
        <f t="shared" si="3"/>
        <v>0</v>
      </c>
      <c r="J15" s="123" t="str">
        <f ca="1">IF(ISERROR(VLOOKUP($Q15&amp;", "&amp;$K$4,Team_Matches!$J$7:$M$3322,4,FALSE)),"",VLOOKUP($Q15&amp;", "&amp;$K$4,Team_Matches!$J$7:$M$3322,4,FALSE))</f>
        <v/>
      </c>
      <c r="K15" s="126" t="str">
        <f ca="1">IF(ISERROR(VLOOKUP($Q15&amp;", "&amp;$K$4,Team_Matches!$J$7:$M$3322,4,FALSE)),"",VLOOKUP($Q15&amp;", "&amp;$K$4,Team_Matches!$J$7:$O$3322,6,FALSE))</f>
        <v>A-H</v>
      </c>
      <c r="L15" s="126" t="str">
        <f ca="1">IF(ISERROR(VLOOKUP($Q15&amp;", "&amp;$L$4,Team_Matches!$J$7:$M$3322,4,FALSE)),"",VLOOKUP($Q15&amp;", "&amp;$L$4,Team_Matches!$J$7:$O$3322,6,FALSE))</f>
        <v>G-I</v>
      </c>
      <c r="M15" s="126" t="str">
        <f ca="1">IF(ISERROR(VLOOKUP($Q15&amp;", "&amp;$M$4,Team_Matches!$J$7:$M$3322,4,FALSE)),"",VLOOKUP($Q15&amp;", "&amp;$M$4,Team_Matches!$J$7:$O$3322,6,FALSE))</f>
        <v>F-J</v>
      </c>
      <c r="N15" s="126" t="str">
        <f ca="1">IF(ISERROR(VLOOKUP($Q15&amp;", "&amp;$N$4,Team_Matches!$J$7:$M$3322,4,FALSE)),"",VLOOKUP($Q15&amp;", "&amp;$N$4,Team_Matches!$J$7:$O$3322,6,FALSE))</f>
        <v>E-K</v>
      </c>
      <c r="O15" s="126" t="str">
        <f ca="1">IF(ISERROR(VLOOKUP($Q15&amp;", "&amp;$O$4,Team_Matches!$J$7:$M$3322,4,FALSE)),"",VLOOKUP($Q15&amp;", "&amp;$O$4,Team_Matches!$J$7:$O$3322,6,FALSE))</f>
        <v>D-L</v>
      </c>
      <c r="P15" s="126" t="str">
        <f ca="1">IF(ISERROR(VLOOKUP($Q15&amp;", "&amp;$P$4,Team_Matches!$J$7:$M$3322,4,FALSE)),"",VLOOKUP($Q15&amp;", "&amp;$P$4,Team_Matches!$J$7:$O$3322,6,FALSE))</f>
        <v>B-C</v>
      </c>
      <c r="Q15" s="124" t="s">
        <v>365</v>
      </c>
      <c r="R15" s="1"/>
      <c r="S15" s="112" t="str">
        <f t="shared" ref="S15:S22" si="6">C15&amp;"("&amp;$A$13&amp;")"</f>
        <v>(B)</v>
      </c>
      <c r="T15" s="112" t="str">
        <f>$A15</f>
        <v>B1</v>
      </c>
    </row>
    <row r="16" spans="1:20" ht="12.75" customHeight="1" x14ac:dyDescent="0.25">
      <c r="A16" s="49" t="s">
        <v>68</v>
      </c>
      <c r="B16" s="56"/>
      <c r="C16" s="161"/>
      <c r="D16" s="132"/>
      <c r="E16" s="56"/>
      <c r="F16" s="162"/>
      <c r="G16" s="54">
        <f t="shared" ref="G16:G22" si="7">B16</f>
        <v>0</v>
      </c>
      <c r="H16" s="113" t="str">
        <f t="shared" si="5"/>
        <v>B2</v>
      </c>
      <c r="I16" s="121">
        <f t="shared" si="3"/>
        <v>0</v>
      </c>
      <c r="J16" s="1"/>
      <c r="K16" s="1"/>
      <c r="L16" s="1"/>
      <c r="M16" s="1"/>
      <c r="N16" s="1"/>
      <c r="P16" s="4"/>
      <c r="Q16" s="1"/>
      <c r="R16" s="1"/>
      <c r="S16" s="112" t="str">
        <f t="shared" si="6"/>
        <v>(B)</v>
      </c>
      <c r="T16" s="112" t="str">
        <f t="shared" ref="T16:T22" si="8">$A16</f>
        <v>B2</v>
      </c>
    </row>
    <row r="17" spans="1:20" ht="12.75" customHeight="1" x14ac:dyDescent="0.25">
      <c r="A17" s="49" t="s">
        <v>69</v>
      </c>
      <c r="B17" s="56"/>
      <c r="C17" s="161"/>
      <c r="D17" s="132"/>
      <c r="E17" s="56"/>
      <c r="F17" s="162"/>
      <c r="G17" s="54">
        <f t="shared" si="7"/>
        <v>0</v>
      </c>
      <c r="H17" s="113" t="str">
        <f t="shared" si="5"/>
        <v>B3</v>
      </c>
      <c r="I17" s="121">
        <f t="shared" si="3"/>
        <v>0</v>
      </c>
      <c r="J17" s="1"/>
      <c r="K17" s="145" t="str">
        <f t="shared" ref="K17:K24" si="9">IF($C$4="","",RANK(L17,$L$17:$L$24,0))</f>
        <v/>
      </c>
      <c r="L17" s="145">
        <f>IF(ISERROR(D4),"",D4)</f>
        <v>0</v>
      </c>
      <c r="M17" s="1"/>
      <c r="N17" s="1"/>
      <c r="P17" s="4"/>
      <c r="Q17" s="1"/>
      <c r="R17" s="1"/>
      <c r="S17" s="112" t="str">
        <f t="shared" si="6"/>
        <v>(B)</v>
      </c>
      <c r="T17" s="112" t="str">
        <f t="shared" si="8"/>
        <v>B3</v>
      </c>
    </row>
    <row r="18" spans="1:20" ht="12.75" customHeight="1" x14ac:dyDescent="0.25">
      <c r="A18" s="49" t="s">
        <v>70</v>
      </c>
      <c r="B18" s="56"/>
      <c r="C18" s="161"/>
      <c r="D18" s="132"/>
      <c r="E18" s="56"/>
      <c r="F18" s="162"/>
      <c r="G18" s="54">
        <f t="shared" si="7"/>
        <v>0</v>
      </c>
      <c r="H18" s="113" t="str">
        <f t="shared" si="5"/>
        <v>B4</v>
      </c>
      <c r="I18" s="121">
        <f t="shared" si="3"/>
        <v>0</v>
      </c>
      <c r="J18" s="1"/>
      <c r="K18" s="145" t="str">
        <f t="shared" si="9"/>
        <v/>
      </c>
      <c r="L18" s="145">
        <f t="shared" ref="L18:L24" si="10">IF(ISERROR(D5),"",D5)</f>
        <v>0</v>
      </c>
      <c r="M18" s="1"/>
      <c r="N18" s="1"/>
      <c r="P18" s="4"/>
      <c r="Q18" s="1"/>
      <c r="R18" s="1"/>
      <c r="S18" s="112" t="str">
        <f t="shared" si="6"/>
        <v>(B)</v>
      </c>
      <c r="T18" s="112" t="str">
        <f t="shared" si="8"/>
        <v>B4</v>
      </c>
    </row>
    <row r="19" spans="1:20" ht="12.75" customHeight="1" x14ac:dyDescent="0.25">
      <c r="A19" s="49" t="s">
        <v>71</v>
      </c>
      <c r="B19" s="56"/>
      <c r="C19" s="161"/>
      <c r="D19" s="132"/>
      <c r="E19" s="56"/>
      <c r="F19" s="162"/>
      <c r="G19" s="54">
        <f t="shared" si="7"/>
        <v>0</v>
      </c>
      <c r="H19" s="113" t="str">
        <f t="shared" si="5"/>
        <v>B5</v>
      </c>
      <c r="I19" s="121">
        <f t="shared" si="3"/>
        <v>0</v>
      </c>
      <c r="J19" s="1"/>
      <c r="K19" s="145" t="str">
        <f t="shared" si="9"/>
        <v/>
      </c>
      <c r="L19" s="145">
        <f t="shared" si="10"/>
        <v>0</v>
      </c>
      <c r="M19" s="1"/>
      <c r="N19" s="1"/>
      <c r="P19" s="4"/>
      <c r="Q19" s="1"/>
      <c r="R19" s="1"/>
      <c r="S19" s="112" t="str">
        <f t="shared" si="6"/>
        <v>(B)</v>
      </c>
      <c r="T19" s="112" t="str">
        <f t="shared" si="8"/>
        <v>B5</v>
      </c>
    </row>
    <row r="20" spans="1:20" ht="12.75" customHeight="1" x14ac:dyDescent="0.25">
      <c r="A20" s="49" t="s">
        <v>72</v>
      </c>
      <c r="B20" s="56"/>
      <c r="C20" s="161"/>
      <c r="D20" s="132"/>
      <c r="E20" s="56"/>
      <c r="F20" s="162"/>
      <c r="G20" s="54">
        <f t="shared" si="7"/>
        <v>0</v>
      </c>
      <c r="H20" s="113" t="str">
        <f t="shared" si="5"/>
        <v>B6</v>
      </c>
      <c r="I20" s="121">
        <f t="shared" si="3"/>
        <v>0</v>
      </c>
      <c r="J20" s="1"/>
      <c r="K20" s="145" t="str">
        <f t="shared" si="9"/>
        <v/>
      </c>
      <c r="L20" s="145">
        <f t="shared" si="10"/>
        <v>0</v>
      </c>
      <c r="M20" s="1"/>
      <c r="N20" s="1"/>
      <c r="P20" s="4"/>
      <c r="Q20" s="1"/>
      <c r="R20" s="1"/>
      <c r="S20" s="112" t="str">
        <f t="shared" si="6"/>
        <v>(B)</v>
      </c>
      <c r="T20" s="112" t="str">
        <f t="shared" si="8"/>
        <v>B6</v>
      </c>
    </row>
    <row r="21" spans="1:20" ht="12.75" customHeight="1" x14ac:dyDescent="0.25">
      <c r="A21" s="49" t="s">
        <v>73</v>
      </c>
      <c r="B21" s="56"/>
      <c r="C21" s="161"/>
      <c r="D21" s="132"/>
      <c r="E21" s="56"/>
      <c r="F21" s="162"/>
      <c r="G21" s="54">
        <f t="shared" si="7"/>
        <v>0</v>
      </c>
      <c r="H21" s="113" t="str">
        <f t="shared" si="5"/>
        <v>B7</v>
      </c>
      <c r="I21" s="121">
        <f t="shared" si="3"/>
        <v>0</v>
      </c>
      <c r="J21" s="1"/>
      <c r="K21" s="145" t="str">
        <f t="shared" si="9"/>
        <v/>
      </c>
      <c r="L21" s="145">
        <f t="shared" si="10"/>
        <v>0</v>
      </c>
      <c r="M21" s="1"/>
      <c r="N21" s="1"/>
      <c r="P21" s="4"/>
      <c r="Q21" s="1"/>
      <c r="R21" s="1"/>
      <c r="S21" s="112" t="str">
        <f t="shared" si="6"/>
        <v>(B)</v>
      </c>
      <c r="T21" s="112" t="str">
        <f t="shared" si="8"/>
        <v>B7</v>
      </c>
    </row>
    <row r="22" spans="1:20" ht="12.75" customHeight="1" thickBot="1" x14ac:dyDescent="0.3">
      <c r="A22" s="50" t="s">
        <v>74</v>
      </c>
      <c r="B22" s="57"/>
      <c r="C22" s="163"/>
      <c r="D22" s="133"/>
      <c r="E22" s="133"/>
      <c r="F22" s="164"/>
      <c r="G22" s="54">
        <f t="shared" si="7"/>
        <v>0</v>
      </c>
      <c r="H22" s="113" t="str">
        <f t="shared" si="5"/>
        <v>B8</v>
      </c>
      <c r="I22" s="121">
        <f t="shared" si="3"/>
        <v>0</v>
      </c>
      <c r="J22" s="1"/>
      <c r="K22" s="145" t="str">
        <f t="shared" si="9"/>
        <v/>
      </c>
      <c r="L22" s="145">
        <f t="shared" si="10"/>
        <v>0</v>
      </c>
      <c r="M22" s="1"/>
      <c r="N22" s="1"/>
      <c r="P22" s="4"/>
      <c r="Q22" s="1"/>
      <c r="R22" s="1"/>
      <c r="S22" s="112" t="str">
        <f t="shared" si="6"/>
        <v>(B)</v>
      </c>
      <c r="T22" s="112" t="str">
        <f t="shared" si="8"/>
        <v>B8</v>
      </c>
    </row>
    <row r="23" spans="1:20" ht="12.75" customHeight="1" thickBot="1" x14ac:dyDescent="0.3">
      <c r="A23" s="40"/>
      <c r="B23" s="40"/>
      <c r="C23" s="40"/>
      <c r="D23" s="40"/>
      <c r="E23" s="1"/>
      <c r="F23" s="1"/>
      <c r="G23" s="54"/>
      <c r="H23" s="113"/>
      <c r="I23" s="121"/>
      <c r="J23" s="1"/>
      <c r="K23" s="145" t="str">
        <f t="shared" si="9"/>
        <v/>
      </c>
      <c r="L23" s="145">
        <f t="shared" si="10"/>
        <v>0</v>
      </c>
      <c r="M23" s="1"/>
      <c r="N23" s="1"/>
      <c r="P23" s="4"/>
      <c r="Q23" s="1"/>
      <c r="R23" s="1"/>
      <c r="S23" s="112"/>
      <c r="T23" s="112"/>
    </row>
    <row r="24" spans="1:20" ht="12.75" customHeight="1" x14ac:dyDescent="0.25">
      <c r="A24" s="45" t="s">
        <v>46</v>
      </c>
      <c r="B24" s="211" t="str">
        <f>IF(Draw!B8&lt;&gt;"",Draw!B8,"")</f>
        <v/>
      </c>
      <c r="C24" s="211"/>
      <c r="D24" s="211"/>
      <c r="E24" s="160"/>
      <c r="F24" s="144" t="str">
        <f>IF(C26="","",ROUND(VLOOKUP(1,$K$35:$L$42,2,FALSE)*1.5+VLOOKUP(2,$K$35:$L$42,2,FALSE)*1.5+VLOOKUP(3,$K$35:$L$42,2,FALSE)+VLOOKUP(4,$K$35:$L$42,2,FALSE),0))</f>
        <v/>
      </c>
      <c r="G24" s="54"/>
      <c r="H24" s="113"/>
      <c r="I24" s="121"/>
      <c r="J24" s="1"/>
      <c r="K24" s="145" t="str">
        <f t="shared" si="9"/>
        <v/>
      </c>
      <c r="L24" s="145">
        <f t="shared" si="10"/>
        <v>0</v>
      </c>
      <c r="M24" s="1"/>
      <c r="N24" s="1"/>
      <c r="P24" s="4"/>
      <c r="Q24" s="1"/>
      <c r="R24" s="1"/>
      <c r="S24" s="112"/>
      <c r="T24" s="112"/>
    </row>
    <row r="25" spans="1:20" ht="12.75" customHeight="1" x14ac:dyDescent="0.25">
      <c r="A25" s="46"/>
      <c r="B25" s="47" t="s">
        <v>56</v>
      </c>
      <c r="C25" s="47" t="s">
        <v>182</v>
      </c>
      <c r="D25" s="129" t="s">
        <v>57</v>
      </c>
      <c r="E25" s="129" t="s">
        <v>734</v>
      </c>
      <c r="F25" s="48" t="s">
        <v>183</v>
      </c>
      <c r="G25" s="54"/>
      <c r="H25" s="113"/>
      <c r="I25" s="121"/>
      <c r="J25" s="1"/>
      <c r="K25" s="145"/>
      <c r="L25" s="145"/>
      <c r="M25" s="1"/>
      <c r="N25" s="1"/>
      <c r="P25" s="4"/>
      <c r="Q25" s="1"/>
      <c r="R25" s="1"/>
      <c r="S25" s="112"/>
      <c r="T25" s="112"/>
    </row>
    <row r="26" spans="1:20" ht="12.75" customHeight="1" x14ac:dyDescent="0.25">
      <c r="A26" s="46" t="s">
        <v>75</v>
      </c>
      <c r="B26" s="56"/>
      <c r="C26" s="161"/>
      <c r="D26" s="132"/>
      <c r="E26" s="56"/>
      <c r="F26" s="162"/>
      <c r="G26" s="54">
        <f>B26</f>
        <v>0</v>
      </c>
      <c r="H26" s="113" t="str">
        <f t="shared" ref="H26:H33" si="11">A26</f>
        <v>C1</v>
      </c>
      <c r="I26" s="121">
        <f t="shared" si="3"/>
        <v>0</v>
      </c>
      <c r="J26" s="1"/>
      <c r="K26" s="145" t="str">
        <f t="shared" ref="K26:K33" si="12">IF($C$15="","",RANK(L26,$L$26:$L$33,0))</f>
        <v/>
      </c>
      <c r="L26" s="145">
        <f>IF(ISERROR(D15),"",D15)</f>
        <v>0</v>
      </c>
      <c r="M26" s="1"/>
      <c r="N26" s="1"/>
      <c r="P26" s="4"/>
      <c r="Q26" s="1"/>
      <c r="R26" s="1"/>
      <c r="S26" s="112" t="str">
        <f>C26&amp;"("&amp;$A$24&amp;")"</f>
        <v>(C)</v>
      </c>
      <c r="T26" s="112" t="str">
        <f>$A26</f>
        <v>C1</v>
      </c>
    </row>
    <row r="27" spans="1:20" ht="12.75" customHeight="1" x14ac:dyDescent="0.25">
      <c r="A27" s="46" t="s">
        <v>76</v>
      </c>
      <c r="B27" s="56"/>
      <c r="C27" s="161"/>
      <c r="D27" s="132"/>
      <c r="E27" s="56"/>
      <c r="F27" s="162"/>
      <c r="G27" s="54">
        <f t="shared" ref="G27:G33" si="13">B27</f>
        <v>0</v>
      </c>
      <c r="H27" s="113" t="str">
        <f t="shared" si="11"/>
        <v>C2</v>
      </c>
      <c r="I27" s="121">
        <f t="shared" si="3"/>
        <v>0</v>
      </c>
      <c r="J27" s="1"/>
      <c r="K27" s="145" t="str">
        <f t="shared" si="12"/>
        <v/>
      </c>
      <c r="L27" s="145">
        <f t="shared" ref="L27:L33" si="14">IF(ISERROR(D16),"",D16)</f>
        <v>0</v>
      </c>
      <c r="M27" s="1"/>
      <c r="N27" s="1"/>
      <c r="P27" s="4"/>
      <c r="Q27" s="1"/>
      <c r="R27" s="1"/>
      <c r="S27" s="112" t="str">
        <f t="shared" ref="S27:S33" si="15">C27&amp;"("&amp;$A$24&amp;")"</f>
        <v>(C)</v>
      </c>
      <c r="T27" s="112" t="str">
        <f t="shared" ref="T27:T33" si="16">$A27</f>
        <v>C2</v>
      </c>
    </row>
    <row r="28" spans="1:20" ht="12.75" customHeight="1" x14ac:dyDescent="0.25">
      <c r="A28" s="46" t="s">
        <v>77</v>
      </c>
      <c r="B28" s="56"/>
      <c r="C28" s="161"/>
      <c r="D28" s="132"/>
      <c r="E28" s="56"/>
      <c r="F28" s="162"/>
      <c r="G28" s="54">
        <f t="shared" si="13"/>
        <v>0</v>
      </c>
      <c r="H28" s="113" t="str">
        <f t="shared" si="11"/>
        <v>C3</v>
      </c>
      <c r="I28" s="121">
        <f t="shared" si="3"/>
        <v>0</v>
      </c>
      <c r="K28" s="145" t="str">
        <f t="shared" si="12"/>
        <v/>
      </c>
      <c r="L28" s="145">
        <f t="shared" si="14"/>
        <v>0</v>
      </c>
      <c r="S28" s="112" t="str">
        <f t="shared" si="15"/>
        <v>(C)</v>
      </c>
      <c r="T28" s="112" t="str">
        <f t="shared" si="16"/>
        <v>C3</v>
      </c>
    </row>
    <row r="29" spans="1:20" ht="12.75" customHeight="1" x14ac:dyDescent="0.25">
      <c r="A29" s="46" t="s">
        <v>78</v>
      </c>
      <c r="B29" s="56"/>
      <c r="C29" s="161"/>
      <c r="D29" s="132"/>
      <c r="E29" s="56"/>
      <c r="F29" s="162"/>
      <c r="G29" s="54">
        <f t="shared" si="13"/>
        <v>0</v>
      </c>
      <c r="H29" s="113" t="str">
        <f t="shared" si="11"/>
        <v>C4</v>
      </c>
      <c r="I29" s="121">
        <f t="shared" si="3"/>
        <v>0</v>
      </c>
      <c r="K29" s="145" t="str">
        <f t="shared" si="12"/>
        <v/>
      </c>
      <c r="L29" s="145">
        <f t="shared" si="14"/>
        <v>0</v>
      </c>
      <c r="S29" s="112" t="str">
        <f t="shared" si="15"/>
        <v>(C)</v>
      </c>
      <c r="T29" s="112" t="str">
        <f t="shared" si="16"/>
        <v>C4</v>
      </c>
    </row>
    <row r="30" spans="1:20" ht="12.75" customHeight="1" x14ac:dyDescent="0.25">
      <c r="A30" s="46" t="s">
        <v>79</v>
      </c>
      <c r="B30" s="56"/>
      <c r="C30" s="161"/>
      <c r="D30" s="132"/>
      <c r="E30" s="56"/>
      <c r="F30" s="162"/>
      <c r="G30" s="54">
        <f t="shared" si="13"/>
        <v>0</v>
      </c>
      <c r="H30" s="113" t="str">
        <f t="shared" si="11"/>
        <v>C5</v>
      </c>
      <c r="I30" s="121">
        <f t="shared" si="3"/>
        <v>0</v>
      </c>
      <c r="K30" s="145" t="str">
        <f t="shared" si="12"/>
        <v/>
      </c>
      <c r="L30" s="145">
        <f t="shared" si="14"/>
        <v>0</v>
      </c>
      <c r="S30" s="112" t="str">
        <f t="shared" si="15"/>
        <v>(C)</v>
      </c>
      <c r="T30" s="112" t="str">
        <f t="shared" si="16"/>
        <v>C5</v>
      </c>
    </row>
    <row r="31" spans="1:20" ht="12.75" customHeight="1" x14ac:dyDescent="0.25">
      <c r="A31" s="46" t="s">
        <v>80</v>
      </c>
      <c r="B31" s="56"/>
      <c r="C31" s="161"/>
      <c r="D31" s="132"/>
      <c r="E31" s="56"/>
      <c r="F31" s="162"/>
      <c r="G31" s="54">
        <f t="shared" si="13"/>
        <v>0</v>
      </c>
      <c r="H31" s="113" t="str">
        <f t="shared" si="11"/>
        <v>C6</v>
      </c>
      <c r="I31" s="121">
        <f t="shared" si="3"/>
        <v>0</v>
      </c>
      <c r="K31" s="145" t="str">
        <f t="shared" si="12"/>
        <v/>
      </c>
      <c r="L31" s="145">
        <f t="shared" si="14"/>
        <v>0</v>
      </c>
      <c r="S31" s="112" t="str">
        <f t="shared" si="15"/>
        <v>(C)</v>
      </c>
      <c r="T31" s="112" t="str">
        <f t="shared" si="16"/>
        <v>C6</v>
      </c>
    </row>
    <row r="32" spans="1:20" ht="12.75" customHeight="1" x14ac:dyDescent="0.25">
      <c r="A32" s="46" t="s">
        <v>81</v>
      </c>
      <c r="B32" s="56"/>
      <c r="C32" s="161"/>
      <c r="D32" s="132"/>
      <c r="E32" s="56"/>
      <c r="F32" s="162"/>
      <c r="G32" s="54">
        <f t="shared" si="13"/>
        <v>0</v>
      </c>
      <c r="H32" s="113" t="str">
        <f t="shared" si="11"/>
        <v>C7</v>
      </c>
      <c r="I32" s="121">
        <f t="shared" si="3"/>
        <v>0</v>
      </c>
      <c r="K32" s="145" t="str">
        <f t="shared" si="12"/>
        <v/>
      </c>
      <c r="L32" s="145">
        <f t="shared" si="14"/>
        <v>0</v>
      </c>
      <c r="S32" s="112" t="str">
        <f t="shared" si="15"/>
        <v>(C)</v>
      </c>
      <c r="T32" s="112" t="str">
        <f t="shared" si="16"/>
        <v>C7</v>
      </c>
    </row>
    <row r="33" spans="1:20" ht="12.75" customHeight="1" thickBot="1" x14ac:dyDescent="0.3">
      <c r="A33" s="51" t="s">
        <v>82</v>
      </c>
      <c r="B33" s="57"/>
      <c r="C33" s="163"/>
      <c r="D33" s="133"/>
      <c r="E33" s="133"/>
      <c r="F33" s="164"/>
      <c r="G33" s="54">
        <f t="shared" si="13"/>
        <v>0</v>
      </c>
      <c r="H33" s="113" t="str">
        <f t="shared" si="11"/>
        <v>C8</v>
      </c>
      <c r="I33" s="121">
        <f t="shared" si="3"/>
        <v>0</v>
      </c>
      <c r="K33" s="145" t="str">
        <f t="shared" si="12"/>
        <v/>
      </c>
      <c r="L33" s="145">
        <f t="shared" si="14"/>
        <v>0</v>
      </c>
      <c r="S33" s="112" t="str">
        <f t="shared" si="15"/>
        <v>(C)</v>
      </c>
      <c r="T33" s="112" t="str">
        <f t="shared" si="16"/>
        <v>C8</v>
      </c>
    </row>
    <row r="34" spans="1:20" ht="12.75" customHeight="1" thickBot="1" x14ac:dyDescent="0.3">
      <c r="A34" s="40"/>
      <c r="B34" s="40"/>
      <c r="C34" s="40"/>
      <c r="D34" s="40"/>
      <c r="E34" s="1"/>
      <c r="F34" s="1"/>
      <c r="G34" s="54"/>
      <c r="H34" s="113"/>
      <c r="I34" s="121"/>
      <c r="K34" s="143"/>
      <c r="L34" s="143"/>
      <c r="S34" s="112"/>
      <c r="T34" s="112"/>
    </row>
    <row r="35" spans="1:20" ht="12.75" customHeight="1" x14ac:dyDescent="0.25">
      <c r="A35" s="45" t="s">
        <v>47</v>
      </c>
      <c r="B35" s="211" t="str">
        <f>IF(Draw!B10&lt;&gt;"",Draw!B10,"")</f>
        <v/>
      </c>
      <c r="C35" s="211"/>
      <c r="D35" s="211"/>
      <c r="E35" s="160"/>
      <c r="F35" s="144" t="str">
        <f>IF(C37="","",ROUND(VLOOKUP(1,$K$44:$L$51,2,FALSE)*1.5+VLOOKUP(2,$K$44:$L$51,2,FALSE)*1.5+VLOOKUP(3,$K$44:$L$51,2,FALSE)+VLOOKUP(4,$K$44:$L$51,2,FALSE),0))</f>
        <v/>
      </c>
      <c r="G35" s="54"/>
      <c r="H35" s="113"/>
      <c r="I35" s="121"/>
      <c r="K35" s="145" t="str">
        <f>IF($C$26="","",RANK(L35,$L$35:$L$42,0))</f>
        <v/>
      </c>
      <c r="L35" s="145">
        <f>IF(ISERROR(D26),"",D26)</f>
        <v>0</v>
      </c>
      <c r="S35" s="112"/>
      <c r="T35" s="112"/>
    </row>
    <row r="36" spans="1:20" ht="12.75" customHeight="1" x14ac:dyDescent="0.25">
      <c r="A36" s="46"/>
      <c r="B36" s="47" t="s">
        <v>56</v>
      </c>
      <c r="C36" s="47" t="s">
        <v>182</v>
      </c>
      <c r="D36" s="129" t="s">
        <v>57</v>
      </c>
      <c r="E36" s="129" t="s">
        <v>734</v>
      </c>
      <c r="F36" s="48" t="s">
        <v>183</v>
      </c>
      <c r="G36" s="54"/>
      <c r="H36" s="113"/>
      <c r="I36" s="121"/>
      <c r="K36" s="145" t="str">
        <f t="shared" ref="K36:K42" si="17">IF($C$26="","",RANK(L36,$L$35:$L$42,0))</f>
        <v/>
      </c>
      <c r="L36" s="145">
        <f t="shared" ref="L36:L42" si="18">IF(ISERROR(D27),"",D27)</f>
        <v>0</v>
      </c>
      <c r="S36" s="112"/>
      <c r="T36" s="112"/>
    </row>
    <row r="37" spans="1:20" ht="12.75" customHeight="1" x14ac:dyDescent="0.25">
      <c r="A37" s="46" t="s">
        <v>83</v>
      </c>
      <c r="B37" s="56"/>
      <c r="C37" s="161"/>
      <c r="D37" s="132"/>
      <c r="E37" s="56"/>
      <c r="F37" s="162"/>
      <c r="G37" s="54">
        <f>B37</f>
        <v>0</v>
      </c>
      <c r="H37" s="113" t="str">
        <f t="shared" ref="H37:H44" si="19">A37</f>
        <v>D1</v>
      </c>
      <c r="I37" s="121">
        <f t="shared" si="3"/>
        <v>0</v>
      </c>
      <c r="K37" s="145" t="str">
        <f t="shared" si="17"/>
        <v/>
      </c>
      <c r="L37" s="145">
        <f t="shared" si="18"/>
        <v>0</v>
      </c>
      <c r="S37" s="112" t="str">
        <f>C37&amp;"("&amp;$A$35&amp;")"</f>
        <v>(D)</v>
      </c>
      <c r="T37" s="112" t="str">
        <f>$A37</f>
        <v>D1</v>
      </c>
    </row>
    <row r="38" spans="1:20" ht="12.75" customHeight="1" x14ac:dyDescent="0.25">
      <c r="A38" s="46" t="s">
        <v>84</v>
      </c>
      <c r="B38" s="56"/>
      <c r="C38" s="161"/>
      <c r="D38" s="132"/>
      <c r="E38" s="56"/>
      <c r="F38" s="162"/>
      <c r="G38" s="54">
        <f t="shared" ref="G38:G44" si="20">B38</f>
        <v>0</v>
      </c>
      <c r="H38" s="113" t="str">
        <f t="shared" si="19"/>
        <v>D2</v>
      </c>
      <c r="I38" s="121">
        <f t="shared" si="3"/>
        <v>0</v>
      </c>
      <c r="K38" s="145" t="str">
        <f t="shared" si="17"/>
        <v/>
      </c>
      <c r="L38" s="145">
        <f t="shared" si="18"/>
        <v>0</v>
      </c>
      <c r="S38" s="112" t="str">
        <f t="shared" ref="S38:S44" si="21">C38&amp;"("&amp;$A$35&amp;")"</f>
        <v>(D)</v>
      </c>
      <c r="T38" s="112" t="str">
        <f t="shared" ref="T38:T44" si="22">$A38</f>
        <v>D2</v>
      </c>
    </row>
    <row r="39" spans="1:20" ht="12.75" customHeight="1" x14ac:dyDescent="0.25">
      <c r="A39" s="46" t="s">
        <v>85</v>
      </c>
      <c r="B39" s="56"/>
      <c r="C39" s="161"/>
      <c r="D39" s="132"/>
      <c r="E39" s="56"/>
      <c r="F39" s="162"/>
      <c r="G39" s="54">
        <f t="shared" si="20"/>
        <v>0</v>
      </c>
      <c r="H39" s="113" t="str">
        <f t="shared" si="19"/>
        <v>D3</v>
      </c>
      <c r="I39" s="121">
        <f t="shared" si="3"/>
        <v>0</v>
      </c>
      <c r="K39" s="145" t="str">
        <f t="shared" si="17"/>
        <v/>
      </c>
      <c r="L39" s="145">
        <f t="shared" si="18"/>
        <v>0</v>
      </c>
      <c r="S39" s="112" t="str">
        <f t="shared" si="21"/>
        <v>(D)</v>
      </c>
      <c r="T39" s="112" t="str">
        <f t="shared" si="22"/>
        <v>D3</v>
      </c>
    </row>
    <row r="40" spans="1:20" ht="12.75" customHeight="1" x14ac:dyDescent="0.25">
      <c r="A40" s="46" t="s">
        <v>86</v>
      </c>
      <c r="B40" s="56"/>
      <c r="C40" s="161"/>
      <c r="D40" s="132"/>
      <c r="E40" s="56"/>
      <c r="F40" s="162"/>
      <c r="G40" s="54">
        <f t="shared" si="20"/>
        <v>0</v>
      </c>
      <c r="H40" s="113" t="str">
        <f t="shared" si="19"/>
        <v>D4</v>
      </c>
      <c r="I40" s="121">
        <f t="shared" si="3"/>
        <v>0</v>
      </c>
      <c r="K40" s="145" t="str">
        <f t="shared" si="17"/>
        <v/>
      </c>
      <c r="L40" s="145">
        <f t="shared" si="18"/>
        <v>0</v>
      </c>
      <c r="S40" s="112" t="str">
        <f t="shared" si="21"/>
        <v>(D)</v>
      </c>
      <c r="T40" s="112" t="str">
        <f t="shared" si="22"/>
        <v>D4</v>
      </c>
    </row>
    <row r="41" spans="1:20" ht="12.75" customHeight="1" x14ac:dyDescent="0.25">
      <c r="A41" s="46" t="s">
        <v>87</v>
      </c>
      <c r="B41" s="56"/>
      <c r="C41" s="161"/>
      <c r="D41" s="132"/>
      <c r="E41" s="56"/>
      <c r="F41" s="162"/>
      <c r="G41" s="54">
        <f t="shared" si="20"/>
        <v>0</v>
      </c>
      <c r="H41" s="113" t="str">
        <f t="shared" si="19"/>
        <v>D5</v>
      </c>
      <c r="I41" s="121">
        <f t="shared" si="3"/>
        <v>0</v>
      </c>
      <c r="K41" s="145" t="str">
        <f t="shared" si="17"/>
        <v/>
      </c>
      <c r="L41" s="145">
        <f t="shared" si="18"/>
        <v>0</v>
      </c>
      <c r="S41" s="112" t="str">
        <f t="shared" si="21"/>
        <v>(D)</v>
      </c>
      <c r="T41" s="112" t="str">
        <f t="shared" si="22"/>
        <v>D5</v>
      </c>
    </row>
    <row r="42" spans="1:20" ht="12.75" customHeight="1" x14ac:dyDescent="0.25">
      <c r="A42" s="46" t="s">
        <v>88</v>
      </c>
      <c r="B42" s="56"/>
      <c r="C42" s="161"/>
      <c r="D42" s="132"/>
      <c r="E42" s="56"/>
      <c r="F42" s="162"/>
      <c r="G42" s="54">
        <f t="shared" si="20"/>
        <v>0</v>
      </c>
      <c r="H42" s="113" t="str">
        <f t="shared" si="19"/>
        <v>D6</v>
      </c>
      <c r="I42" s="121">
        <f t="shared" si="3"/>
        <v>0</v>
      </c>
      <c r="K42" s="145" t="str">
        <f t="shared" si="17"/>
        <v/>
      </c>
      <c r="L42" s="145">
        <f t="shared" si="18"/>
        <v>0</v>
      </c>
      <c r="S42" s="112" t="str">
        <f t="shared" si="21"/>
        <v>(D)</v>
      </c>
      <c r="T42" s="112" t="str">
        <f t="shared" si="22"/>
        <v>D6</v>
      </c>
    </row>
    <row r="43" spans="1:20" ht="12.75" customHeight="1" x14ac:dyDescent="0.25">
      <c r="A43" s="46" t="s">
        <v>89</v>
      </c>
      <c r="B43" s="56"/>
      <c r="C43" s="161"/>
      <c r="D43" s="132"/>
      <c r="E43" s="56"/>
      <c r="F43" s="162"/>
      <c r="G43" s="54">
        <f t="shared" si="20"/>
        <v>0</v>
      </c>
      <c r="H43" s="113" t="str">
        <f t="shared" si="19"/>
        <v>D7</v>
      </c>
      <c r="I43" s="121">
        <f t="shared" si="3"/>
        <v>0</v>
      </c>
      <c r="K43" s="143"/>
      <c r="L43" s="143"/>
      <c r="S43" s="112" t="str">
        <f t="shared" si="21"/>
        <v>(D)</v>
      </c>
      <c r="T43" s="112" t="str">
        <f t="shared" si="22"/>
        <v>D7</v>
      </c>
    </row>
    <row r="44" spans="1:20" ht="12.75" customHeight="1" thickBot="1" x14ac:dyDescent="0.3">
      <c r="A44" s="51" t="s">
        <v>90</v>
      </c>
      <c r="B44" s="57"/>
      <c r="C44" s="163"/>
      <c r="D44" s="133"/>
      <c r="E44" s="133"/>
      <c r="F44" s="164"/>
      <c r="G44" s="54">
        <f t="shared" si="20"/>
        <v>0</v>
      </c>
      <c r="H44" s="113" t="str">
        <f t="shared" si="19"/>
        <v>D8</v>
      </c>
      <c r="I44" s="121">
        <f t="shared" si="3"/>
        <v>0</v>
      </c>
      <c r="K44" s="145" t="str">
        <f>IF($C$37="","",RANK(L44,$L$44:$L$51,0))</f>
        <v/>
      </c>
      <c r="L44" s="145">
        <f>IF(ISERROR(D37),"",D37)</f>
        <v>0</v>
      </c>
      <c r="S44" s="112" t="str">
        <f t="shared" si="21"/>
        <v>(D)</v>
      </c>
      <c r="T44" s="112" t="str">
        <f t="shared" si="22"/>
        <v>D8</v>
      </c>
    </row>
    <row r="45" spans="1:20" ht="12.75" customHeight="1" thickBot="1" x14ac:dyDescent="0.3">
      <c r="A45" s="40"/>
      <c r="B45"/>
      <c r="C45"/>
      <c r="D45"/>
      <c r="G45" s="54"/>
      <c r="H45" s="113"/>
      <c r="I45" s="121"/>
      <c r="K45" s="145" t="str">
        <f t="shared" ref="K45:K51" si="23">IF($C$37="","",RANK(L45,$L$44:$L$51,0))</f>
        <v/>
      </c>
      <c r="L45" s="145">
        <f t="shared" ref="L45:L51" si="24">IF(ISERROR(D38),"",D38)</f>
        <v>0</v>
      </c>
      <c r="S45" s="112"/>
      <c r="T45" s="112"/>
    </row>
    <row r="46" spans="1:20" ht="12.75" customHeight="1" x14ac:dyDescent="0.25">
      <c r="A46" s="45" t="s">
        <v>48</v>
      </c>
      <c r="B46" s="211" t="str">
        <f>IF(Draw!B12&lt;&gt;"",Draw!B12,"")</f>
        <v/>
      </c>
      <c r="C46" s="211"/>
      <c r="D46" s="211"/>
      <c r="E46" s="160"/>
      <c r="F46" s="144" t="str">
        <f>IF(C48="","",ROUND(VLOOKUP(1,$K$53:$L$60,2,FALSE)*1.5+VLOOKUP(2,$K$53:$L$60,2,FALSE)*1.5+VLOOKUP(3,$K$53:$L$60,2,FALSE)+VLOOKUP(4,$K$53:$L$60,2,FALSE),0))</f>
        <v/>
      </c>
      <c r="G46" s="54"/>
      <c r="H46" s="113"/>
      <c r="I46" s="121"/>
      <c r="K46" s="145" t="str">
        <f t="shared" si="23"/>
        <v/>
      </c>
      <c r="L46" s="145">
        <f t="shared" si="24"/>
        <v>0</v>
      </c>
      <c r="S46" s="112"/>
      <c r="T46" s="112"/>
    </row>
    <row r="47" spans="1:20" ht="12.75" customHeight="1" x14ac:dyDescent="0.25">
      <c r="A47" s="46"/>
      <c r="B47" s="47" t="s">
        <v>56</v>
      </c>
      <c r="C47" s="47" t="s">
        <v>182</v>
      </c>
      <c r="D47" s="129" t="s">
        <v>57</v>
      </c>
      <c r="E47" s="129" t="s">
        <v>734</v>
      </c>
      <c r="F47" s="48" t="s">
        <v>183</v>
      </c>
      <c r="G47" s="54"/>
      <c r="H47" s="113"/>
      <c r="I47" s="121"/>
      <c r="K47" s="145" t="str">
        <f t="shared" si="23"/>
        <v/>
      </c>
      <c r="L47" s="145">
        <f t="shared" si="24"/>
        <v>0</v>
      </c>
      <c r="S47" s="112"/>
      <c r="T47" s="112"/>
    </row>
    <row r="48" spans="1:20" ht="12.75" customHeight="1" x14ac:dyDescent="0.25">
      <c r="A48" s="46" t="s">
        <v>91</v>
      </c>
      <c r="B48" s="56"/>
      <c r="C48" s="161"/>
      <c r="D48" s="132"/>
      <c r="E48" s="56"/>
      <c r="F48" s="162"/>
      <c r="G48" s="54">
        <f>B48</f>
        <v>0</v>
      </c>
      <c r="H48" s="113" t="str">
        <f t="shared" ref="H48:H55" si="25">A48</f>
        <v>E1</v>
      </c>
      <c r="I48" s="121">
        <f t="shared" si="3"/>
        <v>0</v>
      </c>
      <c r="K48" s="145" t="str">
        <f t="shared" si="23"/>
        <v/>
      </c>
      <c r="L48" s="145">
        <f t="shared" si="24"/>
        <v>0</v>
      </c>
      <c r="S48" s="112" t="str">
        <f>C48&amp;"("&amp;$A$46&amp;")"</f>
        <v>(E)</v>
      </c>
      <c r="T48" s="112" t="str">
        <f>$A48</f>
        <v>E1</v>
      </c>
    </row>
    <row r="49" spans="1:20" ht="12.75" customHeight="1" x14ac:dyDescent="0.25">
      <c r="A49" s="46" t="s">
        <v>92</v>
      </c>
      <c r="B49" s="56"/>
      <c r="C49" s="161"/>
      <c r="D49" s="132"/>
      <c r="E49" s="56"/>
      <c r="F49" s="162"/>
      <c r="G49" s="54">
        <f t="shared" ref="G49:G55" si="26">B49</f>
        <v>0</v>
      </c>
      <c r="H49" s="113" t="str">
        <f t="shared" si="25"/>
        <v>E2</v>
      </c>
      <c r="I49" s="121">
        <f t="shared" si="3"/>
        <v>0</v>
      </c>
      <c r="K49" s="145" t="str">
        <f t="shared" si="23"/>
        <v/>
      </c>
      <c r="L49" s="145">
        <f t="shared" si="24"/>
        <v>0</v>
      </c>
      <c r="S49" s="112" t="str">
        <f t="shared" ref="S49:S55" si="27">C49&amp;"("&amp;$A$46&amp;")"</f>
        <v>(E)</v>
      </c>
      <c r="T49" s="112" t="str">
        <f t="shared" ref="T49:T55" si="28">$A49</f>
        <v>E2</v>
      </c>
    </row>
    <row r="50" spans="1:20" ht="12.75" customHeight="1" x14ac:dyDescent="0.25">
      <c r="A50" s="46" t="s">
        <v>93</v>
      </c>
      <c r="B50" s="56"/>
      <c r="C50" s="161"/>
      <c r="D50" s="132"/>
      <c r="E50" s="56"/>
      <c r="F50" s="162"/>
      <c r="G50" s="54">
        <f t="shared" si="26"/>
        <v>0</v>
      </c>
      <c r="H50" s="113" t="str">
        <f t="shared" si="25"/>
        <v>E3</v>
      </c>
      <c r="I50" s="121">
        <f t="shared" si="3"/>
        <v>0</v>
      </c>
      <c r="K50" s="145" t="str">
        <f t="shared" si="23"/>
        <v/>
      </c>
      <c r="L50" s="145">
        <f t="shared" si="24"/>
        <v>0</v>
      </c>
      <c r="S50" s="112" t="str">
        <f t="shared" si="27"/>
        <v>(E)</v>
      </c>
      <c r="T50" s="112" t="str">
        <f t="shared" si="28"/>
        <v>E3</v>
      </c>
    </row>
    <row r="51" spans="1:20" ht="12.75" customHeight="1" x14ac:dyDescent="0.25">
      <c r="A51" s="46" t="s">
        <v>94</v>
      </c>
      <c r="B51" s="56"/>
      <c r="C51" s="161"/>
      <c r="D51" s="132"/>
      <c r="E51" s="56"/>
      <c r="F51" s="162"/>
      <c r="G51" s="54">
        <f t="shared" si="26"/>
        <v>0</v>
      </c>
      <c r="H51" s="113" t="str">
        <f t="shared" si="25"/>
        <v>E4</v>
      </c>
      <c r="I51" s="121">
        <f t="shared" si="3"/>
        <v>0</v>
      </c>
      <c r="K51" s="145" t="str">
        <f t="shared" si="23"/>
        <v/>
      </c>
      <c r="L51" s="145">
        <f t="shared" si="24"/>
        <v>0</v>
      </c>
      <c r="S51" s="112" t="str">
        <f t="shared" si="27"/>
        <v>(E)</v>
      </c>
      <c r="T51" s="112" t="str">
        <f t="shared" si="28"/>
        <v>E4</v>
      </c>
    </row>
    <row r="52" spans="1:20" x14ac:dyDescent="0.25">
      <c r="A52" s="46" t="s">
        <v>95</v>
      </c>
      <c r="B52" s="56"/>
      <c r="C52" s="161"/>
      <c r="D52" s="132"/>
      <c r="E52" s="56"/>
      <c r="F52" s="162"/>
      <c r="G52" s="54">
        <f t="shared" si="26"/>
        <v>0</v>
      </c>
      <c r="H52" s="113" t="str">
        <f t="shared" si="25"/>
        <v>E5</v>
      </c>
      <c r="I52" s="121">
        <f t="shared" si="3"/>
        <v>0</v>
      </c>
      <c r="K52" s="143"/>
      <c r="L52" s="143"/>
      <c r="S52" s="112" t="str">
        <f t="shared" si="27"/>
        <v>(E)</v>
      </c>
      <c r="T52" s="112" t="str">
        <f t="shared" si="28"/>
        <v>E5</v>
      </c>
    </row>
    <row r="53" spans="1:20" x14ac:dyDescent="0.25">
      <c r="A53" s="46" t="s">
        <v>96</v>
      </c>
      <c r="B53" s="56"/>
      <c r="C53" s="161"/>
      <c r="D53" s="132"/>
      <c r="E53" s="56"/>
      <c r="F53" s="162"/>
      <c r="G53" s="54">
        <f t="shared" si="26"/>
        <v>0</v>
      </c>
      <c r="H53" s="113" t="str">
        <f t="shared" si="25"/>
        <v>E6</v>
      </c>
      <c r="I53" s="121">
        <f t="shared" si="3"/>
        <v>0</v>
      </c>
      <c r="K53" s="145" t="str">
        <f>IF($C$48="","",RANK(L53,$L$53:$L$60,0))</f>
        <v/>
      </c>
      <c r="L53" s="145">
        <f>IF(ISERROR(D48),"",D48)</f>
        <v>0</v>
      </c>
      <c r="S53" s="112" t="str">
        <f t="shared" si="27"/>
        <v>(E)</v>
      </c>
      <c r="T53" s="112" t="str">
        <f t="shared" si="28"/>
        <v>E6</v>
      </c>
    </row>
    <row r="54" spans="1:20" x14ac:dyDescent="0.25">
      <c r="A54" s="46" t="s">
        <v>97</v>
      </c>
      <c r="B54" s="56"/>
      <c r="C54" s="161"/>
      <c r="D54" s="132"/>
      <c r="E54" s="56"/>
      <c r="F54" s="162"/>
      <c r="G54" s="54">
        <f t="shared" si="26"/>
        <v>0</v>
      </c>
      <c r="H54" s="113" t="str">
        <f t="shared" si="25"/>
        <v>E7</v>
      </c>
      <c r="I54" s="121">
        <f t="shared" si="3"/>
        <v>0</v>
      </c>
      <c r="K54" s="145" t="str">
        <f t="shared" ref="K54:K60" si="29">IF($C$48="","",RANK(L54,$L$53:$L$60,0))</f>
        <v/>
      </c>
      <c r="L54" s="145">
        <f t="shared" ref="L54:L60" si="30">IF(ISERROR(D49),"",D49)</f>
        <v>0</v>
      </c>
      <c r="S54" s="112" t="str">
        <f t="shared" si="27"/>
        <v>(E)</v>
      </c>
      <c r="T54" s="112" t="str">
        <f t="shared" si="28"/>
        <v>E7</v>
      </c>
    </row>
    <row r="55" spans="1:20" ht="13.8" thickBot="1" x14ac:dyDescent="0.3">
      <c r="A55" s="51" t="s">
        <v>98</v>
      </c>
      <c r="B55" s="57"/>
      <c r="C55" s="163"/>
      <c r="D55" s="133"/>
      <c r="E55" s="133"/>
      <c r="F55" s="164"/>
      <c r="G55" s="54">
        <f t="shared" si="26"/>
        <v>0</v>
      </c>
      <c r="H55" s="113" t="str">
        <f t="shared" si="25"/>
        <v>E8</v>
      </c>
      <c r="I55" s="121">
        <f t="shared" si="3"/>
        <v>0</v>
      </c>
      <c r="K55" s="145" t="str">
        <f t="shared" si="29"/>
        <v/>
      </c>
      <c r="L55" s="145">
        <f t="shared" si="30"/>
        <v>0</v>
      </c>
      <c r="S55" s="112" t="str">
        <f t="shared" si="27"/>
        <v>(E)</v>
      </c>
      <c r="T55" s="112" t="str">
        <f t="shared" si="28"/>
        <v>E8</v>
      </c>
    </row>
    <row r="56" spans="1:20" ht="13.8" thickBot="1" x14ac:dyDescent="0.3">
      <c r="A56" s="40"/>
      <c r="B56" s="40"/>
      <c r="C56" s="40"/>
      <c r="D56" s="40"/>
      <c r="E56" s="1"/>
      <c r="F56" s="1"/>
      <c r="G56" s="54"/>
      <c r="H56" s="113"/>
      <c r="I56" s="121"/>
      <c r="K56" s="145" t="str">
        <f t="shared" si="29"/>
        <v/>
      </c>
      <c r="L56" s="145">
        <f t="shared" si="30"/>
        <v>0</v>
      </c>
      <c r="S56" s="112"/>
      <c r="T56" s="112"/>
    </row>
    <row r="57" spans="1:20" x14ac:dyDescent="0.25">
      <c r="A57" s="45" t="s">
        <v>49</v>
      </c>
      <c r="B57" s="211" t="str">
        <f>IF(Draw!B14&lt;&gt;"",Draw!B14,"")</f>
        <v/>
      </c>
      <c r="C57" s="211"/>
      <c r="D57" s="211"/>
      <c r="E57" s="160"/>
      <c r="F57" s="144" t="str">
        <f>IF(C59="","",ROUND(VLOOKUP(1,$K$62:$L$69,2,FALSE)*1.5+VLOOKUP(2,$K$62:$L$69,2,FALSE)*1.5+VLOOKUP(3,$K$62:$L$69,2,FALSE)+VLOOKUP(4,$K$62:$L$69,2,FALSE),0))</f>
        <v/>
      </c>
      <c r="G57" s="54"/>
      <c r="H57" s="113"/>
      <c r="I57" s="121"/>
      <c r="K57" s="145" t="str">
        <f t="shared" si="29"/>
        <v/>
      </c>
      <c r="L57" s="145">
        <f t="shared" si="30"/>
        <v>0</v>
      </c>
      <c r="S57" s="112"/>
      <c r="T57" s="112"/>
    </row>
    <row r="58" spans="1:20" x14ac:dyDescent="0.25">
      <c r="A58" s="46"/>
      <c r="B58" s="47" t="s">
        <v>56</v>
      </c>
      <c r="C58" s="47" t="s">
        <v>182</v>
      </c>
      <c r="D58" s="129" t="s">
        <v>57</v>
      </c>
      <c r="E58" s="129" t="s">
        <v>734</v>
      </c>
      <c r="F58" s="48" t="s">
        <v>183</v>
      </c>
      <c r="G58" s="54"/>
      <c r="H58" s="113"/>
      <c r="I58" s="121"/>
      <c r="K58" s="145" t="str">
        <f t="shared" si="29"/>
        <v/>
      </c>
      <c r="L58" s="145">
        <f t="shared" si="30"/>
        <v>0</v>
      </c>
      <c r="S58" s="112"/>
      <c r="T58" s="112"/>
    </row>
    <row r="59" spans="1:20" x14ac:dyDescent="0.25">
      <c r="A59" s="46" t="s">
        <v>99</v>
      </c>
      <c r="B59" s="56"/>
      <c r="C59" s="161"/>
      <c r="D59" s="132"/>
      <c r="E59" s="56"/>
      <c r="F59" s="162"/>
      <c r="G59" s="54">
        <f>B59</f>
        <v>0</v>
      </c>
      <c r="H59" s="113" t="str">
        <f t="shared" ref="H59:H66" si="31">A59</f>
        <v>F1</v>
      </c>
      <c r="I59" s="121">
        <f t="shared" si="3"/>
        <v>0</v>
      </c>
      <c r="K59" s="145" t="str">
        <f t="shared" si="29"/>
        <v/>
      </c>
      <c r="L59" s="145">
        <f t="shared" si="30"/>
        <v>0</v>
      </c>
      <c r="S59" s="112" t="str">
        <f>C59&amp;"("&amp;$A$57&amp;")"</f>
        <v>(F)</v>
      </c>
      <c r="T59" s="112" t="str">
        <f>$A59</f>
        <v>F1</v>
      </c>
    </row>
    <row r="60" spans="1:20" x14ac:dyDescent="0.25">
      <c r="A60" s="46" t="s">
        <v>100</v>
      </c>
      <c r="B60" s="56"/>
      <c r="C60" s="161"/>
      <c r="D60" s="132"/>
      <c r="E60" s="56"/>
      <c r="F60" s="162"/>
      <c r="G60" s="54">
        <f t="shared" ref="G60:G66" si="32">B60</f>
        <v>0</v>
      </c>
      <c r="H60" s="113" t="str">
        <f t="shared" si="31"/>
        <v>F2</v>
      </c>
      <c r="I60" s="121">
        <f t="shared" si="3"/>
        <v>0</v>
      </c>
      <c r="K60" s="145" t="str">
        <f t="shared" si="29"/>
        <v/>
      </c>
      <c r="L60" s="145">
        <f t="shared" si="30"/>
        <v>0</v>
      </c>
      <c r="S60" s="112" t="str">
        <f t="shared" ref="S60:S66" si="33">C60&amp;"("&amp;$A$57&amp;")"</f>
        <v>(F)</v>
      </c>
      <c r="T60" s="112" t="str">
        <f t="shared" ref="T60:T66" si="34">$A60</f>
        <v>F2</v>
      </c>
    </row>
    <row r="61" spans="1:20" x14ac:dyDescent="0.25">
      <c r="A61" s="46" t="s">
        <v>101</v>
      </c>
      <c r="B61" s="56"/>
      <c r="C61" s="161"/>
      <c r="D61" s="132"/>
      <c r="E61" s="56"/>
      <c r="F61" s="162"/>
      <c r="G61" s="54">
        <f t="shared" si="32"/>
        <v>0</v>
      </c>
      <c r="H61" s="113" t="str">
        <f t="shared" si="31"/>
        <v>F3</v>
      </c>
      <c r="I61" s="121">
        <f t="shared" si="3"/>
        <v>0</v>
      </c>
      <c r="K61" s="143"/>
      <c r="L61" s="143"/>
      <c r="S61" s="112" t="str">
        <f t="shared" si="33"/>
        <v>(F)</v>
      </c>
      <c r="T61" s="112" t="str">
        <f t="shared" si="34"/>
        <v>F3</v>
      </c>
    </row>
    <row r="62" spans="1:20" x14ac:dyDescent="0.25">
      <c r="A62" s="46" t="s">
        <v>102</v>
      </c>
      <c r="B62" s="56"/>
      <c r="C62" s="161"/>
      <c r="D62" s="132"/>
      <c r="E62" s="56"/>
      <c r="F62" s="162"/>
      <c r="G62" s="54">
        <f t="shared" si="32"/>
        <v>0</v>
      </c>
      <c r="H62" s="113" t="str">
        <f t="shared" si="31"/>
        <v>F4</v>
      </c>
      <c r="I62" s="121">
        <f t="shared" si="3"/>
        <v>0</v>
      </c>
      <c r="K62" s="145" t="str">
        <f>IF($C$59="","",RANK(L62,$L$62:$L$69,0))</f>
        <v/>
      </c>
      <c r="L62" s="145">
        <f>IF(ISERROR(D59),"",D59)</f>
        <v>0</v>
      </c>
      <c r="S62" s="112" t="str">
        <f t="shared" si="33"/>
        <v>(F)</v>
      </c>
      <c r="T62" s="112" t="str">
        <f t="shared" si="34"/>
        <v>F4</v>
      </c>
    </row>
    <row r="63" spans="1:20" x14ac:dyDescent="0.25">
      <c r="A63" s="46" t="s">
        <v>103</v>
      </c>
      <c r="B63" s="56"/>
      <c r="C63" s="161"/>
      <c r="D63" s="132"/>
      <c r="E63" s="56"/>
      <c r="F63" s="162"/>
      <c r="G63" s="54">
        <f t="shared" si="32"/>
        <v>0</v>
      </c>
      <c r="H63" s="113" t="str">
        <f t="shared" si="31"/>
        <v>F5</v>
      </c>
      <c r="I63" s="121">
        <f t="shared" si="3"/>
        <v>0</v>
      </c>
      <c r="K63" s="145" t="str">
        <f t="shared" ref="K63:K69" si="35">IF($C$59="","",RANK(L63,$L$62:$L$69,0))</f>
        <v/>
      </c>
      <c r="L63" s="145">
        <f t="shared" ref="L63:L69" si="36">IF(ISERROR(D60),"",D60)</f>
        <v>0</v>
      </c>
      <c r="S63" s="112" t="str">
        <f t="shared" si="33"/>
        <v>(F)</v>
      </c>
      <c r="T63" s="112" t="str">
        <f t="shared" si="34"/>
        <v>F5</v>
      </c>
    </row>
    <row r="64" spans="1:20" x14ac:dyDescent="0.25">
      <c r="A64" s="46" t="s">
        <v>104</v>
      </c>
      <c r="B64" s="56"/>
      <c r="C64" s="161"/>
      <c r="D64" s="132"/>
      <c r="E64" s="56"/>
      <c r="F64" s="162"/>
      <c r="G64" s="54">
        <f t="shared" si="32"/>
        <v>0</v>
      </c>
      <c r="H64" s="113" t="str">
        <f t="shared" si="31"/>
        <v>F6</v>
      </c>
      <c r="I64" s="121">
        <f t="shared" si="3"/>
        <v>0</v>
      </c>
      <c r="K64" s="145" t="str">
        <f t="shared" si="35"/>
        <v/>
      </c>
      <c r="L64" s="145">
        <f t="shared" si="36"/>
        <v>0</v>
      </c>
      <c r="S64" s="112" t="str">
        <f t="shared" si="33"/>
        <v>(F)</v>
      </c>
      <c r="T64" s="112" t="str">
        <f t="shared" si="34"/>
        <v>F6</v>
      </c>
    </row>
    <row r="65" spans="1:20" x14ac:dyDescent="0.25">
      <c r="A65" s="46" t="s">
        <v>105</v>
      </c>
      <c r="B65" s="56"/>
      <c r="C65" s="161"/>
      <c r="D65" s="132"/>
      <c r="E65" s="56"/>
      <c r="F65" s="162"/>
      <c r="G65" s="54">
        <f t="shared" si="32"/>
        <v>0</v>
      </c>
      <c r="H65" s="113" t="str">
        <f t="shared" si="31"/>
        <v>F7</v>
      </c>
      <c r="I65" s="121">
        <f t="shared" si="3"/>
        <v>0</v>
      </c>
      <c r="K65" s="145" t="str">
        <f t="shared" si="35"/>
        <v/>
      </c>
      <c r="L65" s="145">
        <f t="shared" si="36"/>
        <v>0</v>
      </c>
      <c r="S65" s="112" t="str">
        <f t="shared" si="33"/>
        <v>(F)</v>
      </c>
      <c r="T65" s="112" t="str">
        <f t="shared" si="34"/>
        <v>F7</v>
      </c>
    </row>
    <row r="66" spans="1:20" ht="13.8" thickBot="1" x14ac:dyDescent="0.3">
      <c r="A66" s="51" t="s">
        <v>106</v>
      </c>
      <c r="B66" s="57"/>
      <c r="C66" s="163"/>
      <c r="D66" s="133"/>
      <c r="E66" s="133"/>
      <c r="F66" s="164"/>
      <c r="G66" s="54">
        <f t="shared" si="32"/>
        <v>0</v>
      </c>
      <c r="H66" s="113" t="str">
        <f t="shared" si="31"/>
        <v>F8</v>
      </c>
      <c r="I66" s="121">
        <f t="shared" si="3"/>
        <v>0</v>
      </c>
      <c r="K66" s="145" t="str">
        <f t="shared" si="35"/>
        <v/>
      </c>
      <c r="L66" s="145">
        <f t="shared" si="36"/>
        <v>0</v>
      </c>
      <c r="S66" s="112" t="str">
        <f t="shared" si="33"/>
        <v>(F)</v>
      </c>
      <c r="T66" s="112" t="str">
        <f t="shared" si="34"/>
        <v>F8</v>
      </c>
    </row>
    <row r="67" spans="1:20" ht="13.8" thickBot="1" x14ac:dyDescent="0.3">
      <c r="A67" s="40"/>
      <c r="B67" s="40"/>
      <c r="C67" s="40"/>
      <c r="D67" s="40"/>
      <c r="E67" s="1"/>
      <c r="F67" s="1"/>
      <c r="G67" s="54"/>
      <c r="H67" s="113"/>
      <c r="I67" s="121"/>
      <c r="K67" s="145" t="str">
        <f t="shared" si="35"/>
        <v/>
      </c>
      <c r="L67" s="145">
        <f t="shared" si="36"/>
        <v>0</v>
      </c>
      <c r="S67" s="112"/>
      <c r="T67" s="112"/>
    </row>
    <row r="68" spans="1:20" x14ac:dyDescent="0.25">
      <c r="A68" s="45" t="s">
        <v>50</v>
      </c>
      <c r="B68" s="211" t="str">
        <f>IF(Draw!B16&lt;&gt;"",Draw!B16,"")</f>
        <v/>
      </c>
      <c r="C68" s="211"/>
      <c r="D68" s="211"/>
      <c r="E68" s="160"/>
      <c r="F68" s="144" t="str">
        <f>IF(C70="","",ROUND(VLOOKUP(1,$K$71:$L$78,2,FALSE)*1.5+VLOOKUP(2,$K$71:$L$78,2,FALSE)*1.5+VLOOKUP(3,$K$71:$L$78,2,FALSE)+VLOOKUP(4,$K$71:$L$78,2,FALSE),0))</f>
        <v/>
      </c>
      <c r="G68" s="54"/>
      <c r="H68" s="113"/>
      <c r="I68" s="121"/>
      <c r="K68" s="145" t="str">
        <f t="shared" si="35"/>
        <v/>
      </c>
      <c r="L68" s="145">
        <f t="shared" si="36"/>
        <v>0</v>
      </c>
      <c r="S68" s="112"/>
      <c r="T68" s="112"/>
    </row>
    <row r="69" spans="1:20" x14ac:dyDescent="0.25">
      <c r="A69" s="46"/>
      <c r="B69" s="47" t="s">
        <v>56</v>
      </c>
      <c r="C69" s="47" t="s">
        <v>182</v>
      </c>
      <c r="D69" s="129" t="s">
        <v>57</v>
      </c>
      <c r="E69" s="129" t="s">
        <v>734</v>
      </c>
      <c r="F69" s="48" t="s">
        <v>183</v>
      </c>
      <c r="G69" s="54"/>
      <c r="H69" s="113"/>
      <c r="I69" s="121"/>
      <c r="K69" s="145" t="str">
        <f t="shared" si="35"/>
        <v/>
      </c>
      <c r="L69" s="145">
        <f t="shared" si="36"/>
        <v>0</v>
      </c>
      <c r="S69" s="112"/>
      <c r="T69" s="112"/>
    </row>
    <row r="70" spans="1:20" x14ac:dyDescent="0.25">
      <c r="A70" s="46" t="s">
        <v>107</v>
      </c>
      <c r="B70" s="56"/>
      <c r="C70" s="161"/>
      <c r="D70" s="132"/>
      <c r="E70" s="56"/>
      <c r="F70" s="162"/>
      <c r="G70" s="54">
        <f>B70</f>
        <v>0</v>
      </c>
      <c r="H70" s="113" t="str">
        <f t="shared" ref="H70:H77" si="37">A70</f>
        <v>G1</v>
      </c>
      <c r="I70" s="121">
        <f t="shared" ref="I70:I132" si="38">IF(ISERROR($B70),"",$B70)</f>
        <v>0</v>
      </c>
      <c r="K70" s="143"/>
      <c r="L70" s="143"/>
      <c r="S70" s="112" t="str">
        <f>C70&amp;"("&amp;$A$68&amp;")"</f>
        <v>(G)</v>
      </c>
      <c r="T70" s="112" t="str">
        <f>$A70</f>
        <v>G1</v>
      </c>
    </row>
    <row r="71" spans="1:20" x14ac:dyDescent="0.25">
      <c r="A71" s="46" t="s">
        <v>108</v>
      </c>
      <c r="B71" s="56"/>
      <c r="C71" s="161"/>
      <c r="D71" s="132"/>
      <c r="E71" s="56"/>
      <c r="F71" s="162"/>
      <c r="G71" s="54">
        <f t="shared" ref="G71:G77" si="39">B71</f>
        <v>0</v>
      </c>
      <c r="H71" s="113" t="str">
        <f t="shared" si="37"/>
        <v>G2</v>
      </c>
      <c r="I71" s="121">
        <f t="shared" si="38"/>
        <v>0</v>
      </c>
      <c r="K71" s="145" t="str">
        <f t="shared" ref="K71:K78" si="40">IF($C$70="","",RANK(L71,$L$71:$L$78,0))</f>
        <v/>
      </c>
      <c r="L71" s="145">
        <f>IF(ISERROR(D70),"",D70)</f>
        <v>0</v>
      </c>
      <c r="S71" s="112" t="str">
        <f t="shared" ref="S71:S77" si="41">C71&amp;"("&amp;$A$68&amp;")"</f>
        <v>(G)</v>
      </c>
      <c r="T71" s="112" t="str">
        <f t="shared" ref="T71:T77" si="42">$A71</f>
        <v>G2</v>
      </c>
    </row>
    <row r="72" spans="1:20" x14ac:dyDescent="0.25">
      <c r="A72" s="46" t="s">
        <v>109</v>
      </c>
      <c r="B72" s="56"/>
      <c r="C72" s="161"/>
      <c r="D72" s="132"/>
      <c r="E72" s="56"/>
      <c r="F72" s="162"/>
      <c r="G72" s="54">
        <f t="shared" si="39"/>
        <v>0</v>
      </c>
      <c r="H72" s="113" t="str">
        <f t="shared" si="37"/>
        <v>G3</v>
      </c>
      <c r="I72" s="121">
        <f t="shared" si="38"/>
        <v>0</v>
      </c>
      <c r="K72" s="145" t="str">
        <f t="shared" si="40"/>
        <v/>
      </c>
      <c r="L72" s="145">
        <f t="shared" ref="L72:L78" si="43">IF(ISERROR(D71),"",D71)</f>
        <v>0</v>
      </c>
      <c r="S72" s="112" t="str">
        <f t="shared" si="41"/>
        <v>(G)</v>
      </c>
      <c r="T72" s="112" t="str">
        <f t="shared" si="42"/>
        <v>G3</v>
      </c>
    </row>
    <row r="73" spans="1:20" x14ac:dyDescent="0.25">
      <c r="A73" s="46" t="s">
        <v>110</v>
      </c>
      <c r="B73" s="56"/>
      <c r="C73" s="161"/>
      <c r="D73" s="132"/>
      <c r="E73" s="56"/>
      <c r="F73" s="162"/>
      <c r="G73" s="54">
        <f t="shared" si="39"/>
        <v>0</v>
      </c>
      <c r="H73" s="113" t="str">
        <f t="shared" si="37"/>
        <v>G4</v>
      </c>
      <c r="I73" s="121">
        <f t="shared" si="38"/>
        <v>0</v>
      </c>
      <c r="K73" s="145" t="str">
        <f t="shared" si="40"/>
        <v/>
      </c>
      <c r="L73" s="145">
        <f t="shared" si="43"/>
        <v>0</v>
      </c>
      <c r="S73" s="112" t="str">
        <f t="shared" si="41"/>
        <v>(G)</v>
      </c>
      <c r="T73" s="112" t="str">
        <f t="shared" si="42"/>
        <v>G4</v>
      </c>
    </row>
    <row r="74" spans="1:20" x14ac:dyDescent="0.25">
      <c r="A74" s="46" t="s">
        <v>111</v>
      </c>
      <c r="B74" s="56"/>
      <c r="C74" s="161"/>
      <c r="D74" s="132"/>
      <c r="E74" s="56"/>
      <c r="F74" s="162"/>
      <c r="G74" s="54">
        <f t="shared" si="39"/>
        <v>0</v>
      </c>
      <c r="H74" s="113" t="str">
        <f t="shared" si="37"/>
        <v>G5</v>
      </c>
      <c r="I74" s="121">
        <f t="shared" si="38"/>
        <v>0</v>
      </c>
      <c r="K74" s="145" t="str">
        <f t="shared" si="40"/>
        <v/>
      </c>
      <c r="L74" s="145">
        <f t="shared" si="43"/>
        <v>0</v>
      </c>
      <c r="S74" s="112" t="str">
        <f t="shared" si="41"/>
        <v>(G)</v>
      </c>
      <c r="T74" s="112" t="str">
        <f t="shared" si="42"/>
        <v>G5</v>
      </c>
    </row>
    <row r="75" spans="1:20" x14ac:dyDescent="0.25">
      <c r="A75" s="46" t="s">
        <v>112</v>
      </c>
      <c r="B75" s="56"/>
      <c r="C75" s="161"/>
      <c r="D75" s="132"/>
      <c r="E75" s="56"/>
      <c r="F75" s="162"/>
      <c r="G75" s="54">
        <f t="shared" si="39"/>
        <v>0</v>
      </c>
      <c r="H75" s="113" t="str">
        <f t="shared" si="37"/>
        <v>G6</v>
      </c>
      <c r="I75" s="121">
        <f t="shared" si="38"/>
        <v>0</v>
      </c>
      <c r="K75" s="145" t="str">
        <f t="shared" si="40"/>
        <v/>
      </c>
      <c r="L75" s="145">
        <f t="shared" si="43"/>
        <v>0</v>
      </c>
      <c r="S75" s="112" t="str">
        <f t="shared" si="41"/>
        <v>(G)</v>
      </c>
      <c r="T75" s="112" t="str">
        <f t="shared" si="42"/>
        <v>G6</v>
      </c>
    </row>
    <row r="76" spans="1:20" x14ac:dyDescent="0.25">
      <c r="A76" s="46" t="s">
        <v>113</v>
      </c>
      <c r="B76" s="56"/>
      <c r="C76" s="161"/>
      <c r="D76" s="132"/>
      <c r="E76" s="56"/>
      <c r="F76" s="162"/>
      <c r="G76" s="54">
        <f t="shared" si="39"/>
        <v>0</v>
      </c>
      <c r="H76" s="113" t="str">
        <f t="shared" si="37"/>
        <v>G7</v>
      </c>
      <c r="I76" s="121">
        <f t="shared" si="38"/>
        <v>0</v>
      </c>
      <c r="K76" s="145" t="str">
        <f t="shared" si="40"/>
        <v/>
      </c>
      <c r="L76" s="145">
        <f t="shared" si="43"/>
        <v>0</v>
      </c>
      <c r="S76" s="112" t="str">
        <f t="shared" si="41"/>
        <v>(G)</v>
      </c>
      <c r="T76" s="112" t="str">
        <f t="shared" si="42"/>
        <v>G7</v>
      </c>
    </row>
    <row r="77" spans="1:20" ht="13.8" thickBot="1" x14ac:dyDescent="0.3">
      <c r="A77" s="51" t="s">
        <v>114</v>
      </c>
      <c r="B77" s="57"/>
      <c r="C77" s="163"/>
      <c r="D77" s="133"/>
      <c r="E77" s="133"/>
      <c r="F77" s="164"/>
      <c r="G77" s="54">
        <f t="shared" si="39"/>
        <v>0</v>
      </c>
      <c r="H77" s="113" t="str">
        <f t="shared" si="37"/>
        <v>G8</v>
      </c>
      <c r="I77" s="121">
        <f t="shared" si="38"/>
        <v>0</v>
      </c>
      <c r="K77" s="145" t="str">
        <f t="shared" si="40"/>
        <v/>
      </c>
      <c r="L77" s="145">
        <f t="shared" si="43"/>
        <v>0</v>
      </c>
      <c r="S77" s="112" t="str">
        <f t="shared" si="41"/>
        <v>(G)</v>
      </c>
      <c r="T77" s="112" t="str">
        <f t="shared" si="42"/>
        <v>G8</v>
      </c>
    </row>
    <row r="78" spans="1:20" ht="13.8" thickBot="1" x14ac:dyDescent="0.3">
      <c r="A78" s="40"/>
      <c r="B78" s="40"/>
      <c r="C78" s="40"/>
      <c r="D78" s="40"/>
      <c r="E78" s="1"/>
      <c r="F78" s="1"/>
      <c r="G78" s="54"/>
      <c r="H78" s="113"/>
      <c r="I78" s="121"/>
      <c r="K78" s="145" t="str">
        <f t="shared" si="40"/>
        <v/>
      </c>
      <c r="L78" s="145">
        <f t="shared" si="43"/>
        <v>0</v>
      </c>
      <c r="S78" s="112"/>
      <c r="T78" s="112"/>
    </row>
    <row r="79" spans="1:20" x14ac:dyDescent="0.25">
      <c r="A79" s="45" t="s">
        <v>51</v>
      </c>
      <c r="B79" s="211" t="str">
        <f>IF(Draw!B18&lt;&gt;"",Draw!B18,"")</f>
        <v/>
      </c>
      <c r="C79" s="211"/>
      <c r="D79" s="211"/>
      <c r="E79" s="160"/>
      <c r="F79" s="144" t="str">
        <f>IF(C81="","",ROUND(VLOOKUP(1,$K$80:$L$87,2,FALSE)*1.5+VLOOKUP(2,$K$80:$L$87,2,FALSE)*1.5+VLOOKUP(3,$K$80:$L$87,2,FALSE)+VLOOKUP(4,$K$80:$L$87,2,FALSE),0))</f>
        <v/>
      </c>
      <c r="G79" s="54"/>
      <c r="H79" s="113"/>
      <c r="I79" s="121"/>
      <c r="K79" s="143"/>
      <c r="L79" s="143"/>
      <c r="S79" s="112"/>
      <c r="T79" s="112"/>
    </row>
    <row r="80" spans="1:20" x14ac:dyDescent="0.25">
      <c r="A80" s="46"/>
      <c r="B80" s="47" t="s">
        <v>56</v>
      </c>
      <c r="C80" s="47" t="s">
        <v>182</v>
      </c>
      <c r="D80" s="129" t="s">
        <v>57</v>
      </c>
      <c r="E80" s="129" t="s">
        <v>734</v>
      </c>
      <c r="F80" s="48" t="s">
        <v>183</v>
      </c>
      <c r="G80" s="54"/>
      <c r="H80" s="113"/>
      <c r="I80" s="121"/>
      <c r="K80" s="145" t="str">
        <f>IF($C$81="","",RANK(L80,$L$80:$L$87,0))</f>
        <v/>
      </c>
      <c r="L80" s="145">
        <f>IF(ISERROR(D81),"",D81)</f>
        <v>0</v>
      </c>
      <c r="S80" s="112"/>
      <c r="T80" s="112"/>
    </row>
    <row r="81" spans="1:20" x14ac:dyDescent="0.25">
      <c r="A81" s="46" t="s">
        <v>115</v>
      </c>
      <c r="B81" s="56"/>
      <c r="C81" s="161"/>
      <c r="D81" s="132"/>
      <c r="E81" s="56"/>
      <c r="F81" s="162"/>
      <c r="G81" s="54">
        <f>B81</f>
        <v>0</v>
      </c>
      <c r="H81" s="113" t="str">
        <f t="shared" ref="H81:H88" si="44">A81</f>
        <v>H1</v>
      </c>
      <c r="I81" s="121">
        <f t="shared" si="38"/>
        <v>0</v>
      </c>
      <c r="K81" s="145" t="str">
        <f t="shared" ref="K81:K87" si="45">IF($C$81="","",RANK(L81,$L$80:$L$87,0))</f>
        <v/>
      </c>
      <c r="L81" s="145">
        <f t="shared" ref="L81:L87" si="46">IF(ISERROR(D82),"",D82)</f>
        <v>0</v>
      </c>
      <c r="S81" s="112" t="str">
        <f>C81&amp;"("&amp;$A$79&amp;")"</f>
        <v>(H)</v>
      </c>
      <c r="T81" s="112" t="str">
        <f>$A81</f>
        <v>H1</v>
      </c>
    </row>
    <row r="82" spans="1:20" x14ac:dyDescent="0.25">
      <c r="A82" s="46" t="s">
        <v>116</v>
      </c>
      <c r="B82" s="56"/>
      <c r="C82" s="161"/>
      <c r="D82" s="132"/>
      <c r="E82" s="56"/>
      <c r="F82" s="162"/>
      <c r="G82" s="54">
        <f t="shared" ref="G82:G88" si="47">B82</f>
        <v>0</v>
      </c>
      <c r="H82" s="113" t="str">
        <f t="shared" si="44"/>
        <v>H2</v>
      </c>
      <c r="I82" s="121">
        <f t="shared" si="38"/>
        <v>0</v>
      </c>
      <c r="K82" s="145" t="str">
        <f t="shared" si="45"/>
        <v/>
      </c>
      <c r="L82" s="145">
        <f t="shared" si="46"/>
        <v>0</v>
      </c>
      <c r="S82" s="112" t="str">
        <f t="shared" ref="S82:S88" si="48">C82&amp;"("&amp;$A$79&amp;")"</f>
        <v>(H)</v>
      </c>
      <c r="T82" s="112" t="str">
        <f t="shared" ref="T82:T88" si="49">$A82</f>
        <v>H2</v>
      </c>
    </row>
    <row r="83" spans="1:20" x14ac:dyDescent="0.25">
      <c r="A83" s="46" t="s">
        <v>117</v>
      </c>
      <c r="B83" s="56"/>
      <c r="C83" s="161"/>
      <c r="D83" s="132"/>
      <c r="E83" s="56"/>
      <c r="F83" s="162"/>
      <c r="G83" s="54">
        <f t="shared" si="47"/>
        <v>0</v>
      </c>
      <c r="H83" s="113" t="str">
        <f t="shared" si="44"/>
        <v>H3</v>
      </c>
      <c r="I83" s="121">
        <f t="shared" si="38"/>
        <v>0</v>
      </c>
      <c r="K83" s="145" t="str">
        <f t="shared" si="45"/>
        <v/>
      </c>
      <c r="L83" s="145">
        <f t="shared" si="46"/>
        <v>0</v>
      </c>
      <c r="S83" s="112" t="str">
        <f t="shared" si="48"/>
        <v>(H)</v>
      </c>
      <c r="T83" s="112" t="str">
        <f t="shared" si="49"/>
        <v>H3</v>
      </c>
    </row>
    <row r="84" spans="1:20" x14ac:dyDescent="0.25">
      <c r="A84" s="46" t="s">
        <v>118</v>
      </c>
      <c r="B84" s="56"/>
      <c r="C84" s="161"/>
      <c r="D84" s="132"/>
      <c r="E84" s="56"/>
      <c r="F84" s="162"/>
      <c r="G84" s="54">
        <f t="shared" si="47"/>
        <v>0</v>
      </c>
      <c r="H84" s="113" t="str">
        <f t="shared" si="44"/>
        <v>H4</v>
      </c>
      <c r="I84" s="121">
        <f t="shared" si="38"/>
        <v>0</v>
      </c>
      <c r="K84" s="145" t="str">
        <f t="shared" si="45"/>
        <v/>
      </c>
      <c r="L84" s="145">
        <f t="shared" si="46"/>
        <v>0</v>
      </c>
      <c r="S84" s="112" t="str">
        <f t="shared" si="48"/>
        <v>(H)</v>
      </c>
      <c r="T84" s="112" t="str">
        <f t="shared" si="49"/>
        <v>H4</v>
      </c>
    </row>
    <row r="85" spans="1:20" x14ac:dyDescent="0.25">
      <c r="A85" s="46" t="s">
        <v>119</v>
      </c>
      <c r="B85" s="56"/>
      <c r="C85" s="161"/>
      <c r="D85" s="132"/>
      <c r="E85" s="56"/>
      <c r="F85" s="162"/>
      <c r="G85" s="54">
        <f t="shared" si="47"/>
        <v>0</v>
      </c>
      <c r="H85" s="113" t="str">
        <f t="shared" si="44"/>
        <v>H5</v>
      </c>
      <c r="I85" s="121">
        <f t="shared" si="38"/>
        <v>0</v>
      </c>
      <c r="K85" s="145" t="str">
        <f t="shared" si="45"/>
        <v/>
      </c>
      <c r="L85" s="145">
        <f t="shared" si="46"/>
        <v>0</v>
      </c>
      <c r="S85" s="112" t="str">
        <f t="shared" si="48"/>
        <v>(H)</v>
      </c>
      <c r="T85" s="112" t="str">
        <f t="shared" si="49"/>
        <v>H5</v>
      </c>
    </row>
    <row r="86" spans="1:20" x14ac:dyDescent="0.25">
      <c r="A86" s="46" t="s">
        <v>120</v>
      </c>
      <c r="B86" s="56"/>
      <c r="C86" s="161"/>
      <c r="D86" s="132"/>
      <c r="E86" s="56"/>
      <c r="F86" s="162"/>
      <c r="G86" s="54">
        <f t="shared" si="47"/>
        <v>0</v>
      </c>
      <c r="H86" s="113" t="str">
        <f t="shared" si="44"/>
        <v>H6</v>
      </c>
      <c r="I86" s="121">
        <f t="shared" si="38"/>
        <v>0</v>
      </c>
      <c r="K86" s="145" t="str">
        <f t="shared" si="45"/>
        <v/>
      </c>
      <c r="L86" s="145">
        <f t="shared" si="46"/>
        <v>0</v>
      </c>
      <c r="S86" s="112" t="str">
        <f t="shared" si="48"/>
        <v>(H)</v>
      </c>
      <c r="T86" s="112" t="str">
        <f t="shared" si="49"/>
        <v>H6</v>
      </c>
    </row>
    <row r="87" spans="1:20" x14ac:dyDescent="0.25">
      <c r="A87" s="46" t="s">
        <v>121</v>
      </c>
      <c r="B87" s="56"/>
      <c r="C87" s="161"/>
      <c r="D87" s="132"/>
      <c r="E87" s="56"/>
      <c r="F87" s="162"/>
      <c r="G87" s="54">
        <f t="shared" si="47"/>
        <v>0</v>
      </c>
      <c r="H87" s="113" t="str">
        <f t="shared" si="44"/>
        <v>H7</v>
      </c>
      <c r="I87" s="121">
        <f t="shared" si="38"/>
        <v>0</v>
      </c>
      <c r="K87" s="145" t="str">
        <f t="shared" si="45"/>
        <v/>
      </c>
      <c r="L87" s="145">
        <f t="shared" si="46"/>
        <v>0</v>
      </c>
      <c r="S87" s="112" t="str">
        <f t="shared" si="48"/>
        <v>(H)</v>
      </c>
      <c r="T87" s="112" t="str">
        <f t="shared" si="49"/>
        <v>H7</v>
      </c>
    </row>
    <row r="88" spans="1:20" ht="13.8" thickBot="1" x14ac:dyDescent="0.3">
      <c r="A88" s="51" t="s">
        <v>122</v>
      </c>
      <c r="B88" s="57"/>
      <c r="C88" s="163"/>
      <c r="D88" s="133"/>
      <c r="E88" s="133"/>
      <c r="F88" s="164"/>
      <c r="G88" s="54">
        <f t="shared" si="47"/>
        <v>0</v>
      </c>
      <c r="H88" s="113" t="str">
        <f t="shared" si="44"/>
        <v>H8</v>
      </c>
      <c r="I88" s="121">
        <f t="shared" si="38"/>
        <v>0</v>
      </c>
      <c r="K88" s="143"/>
      <c r="L88" s="143"/>
      <c r="S88" s="112" t="str">
        <f t="shared" si="48"/>
        <v>(H)</v>
      </c>
      <c r="T88" s="112" t="str">
        <f t="shared" si="49"/>
        <v>H8</v>
      </c>
    </row>
    <row r="89" spans="1:20" ht="13.8" thickBot="1" x14ac:dyDescent="0.3">
      <c r="A89" s="40"/>
      <c r="B89"/>
      <c r="C89"/>
      <c r="D89"/>
      <c r="G89" s="54"/>
      <c r="H89" s="113"/>
      <c r="I89" s="121"/>
      <c r="K89" s="145" t="str">
        <f>IF($C$92="","",RANK(L89,$L$89:$L$96,0))</f>
        <v/>
      </c>
      <c r="L89" s="145">
        <f>IF(ISERROR(D92),"",D92)</f>
        <v>0</v>
      </c>
      <c r="S89" s="112"/>
      <c r="T89" s="112"/>
    </row>
    <row r="90" spans="1:20" x14ac:dyDescent="0.25">
      <c r="A90" s="45" t="s">
        <v>52</v>
      </c>
      <c r="B90" s="211" t="str">
        <f>IF(Draw!B20&lt;&gt;"",Draw!B20,"")</f>
        <v/>
      </c>
      <c r="C90" s="211"/>
      <c r="D90" s="211"/>
      <c r="E90" s="160"/>
      <c r="F90" s="144" t="str">
        <f>IF(C92="","",ROUND(VLOOKUP(1,$K$89:$L$96,2,FALSE)*1.5+VLOOKUP(2,$K$89:$L$96,2,FALSE)*1.5+VLOOKUP(3,$K$89:$L$96,2,FALSE)+VLOOKUP(4,$K$89:$L$96,2,FALSE),0))</f>
        <v/>
      </c>
      <c r="G90" s="54"/>
      <c r="H90" s="113"/>
      <c r="I90" s="121"/>
      <c r="K90" s="145" t="str">
        <f t="shared" ref="K90:K96" si="50">IF($C$92="","",RANK(L90,$L$89:$L$96,0))</f>
        <v/>
      </c>
      <c r="L90" s="145">
        <f t="shared" ref="L90:L96" si="51">IF(ISERROR(D93),"",D93)</f>
        <v>0</v>
      </c>
      <c r="S90" s="112"/>
      <c r="T90" s="112"/>
    </row>
    <row r="91" spans="1:20" x14ac:dyDescent="0.25">
      <c r="A91" s="46"/>
      <c r="B91" s="47" t="s">
        <v>56</v>
      </c>
      <c r="C91" s="47" t="s">
        <v>182</v>
      </c>
      <c r="D91" s="129" t="s">
        <v>57</v>
      </c>
      <c r="E91" s="129" t="s">
        <v>734</v>
      </c>
      <c r="F91" s="48" t="s">
        <v>183</v>
      </c>
      <c r="G91" s="54"/>
      <c r="H91" s="113"/>
      <c r="I91" s="121"/>
      <c r="K91" s="145" t="str">
        <f t="shared" si="50"/>
        <v/>
      </c>
      <c r="L91" s="145">
        <f t="shared" si="51"/>
        <v>0</v>
      </c>
      <c r="S91" s="112"/>
      <c r="T91" s="112"/>
    </row>
    <row r="92" spans="1:20" x14ac:dyDescent="0.25">
      <c r="A92" s="46" t="s">
        <v>123</v>
      </c>
      <c r="B92" s="56"/>
      <c r="C92" s="161"/>
      <c r="D92" s="132"/>
      <c r="E92" s="56"/>
      <c r="F92" s="162"/>
      <c r="G92" s="54">
        <f>B92</f>
        <v>0</v>
      </c>
      <c r="H92" s="113" t="str">
        <f t="shared" ref="H92:H99" si="52">A92</f>
        <v>I1</v>
      </c>
      <c r="I92" s="121">
        <f t="shared" si="38"/>
        <v>0</v>
      </c>
      <c r="K92" s="145" t="str">
        <f t="shared" si="50"/>
        <v/>
      </c>
      <c r="L92" s="145">
        <f t="shared" si="51"/>
        <v>0</v>
      </c>
      <c r="S92" s="112" t="str">
        <f>C92&amp;"("&amp;$A$90&amp;")"</f>
        <v>(I)</v>
      </c>
      <c r="T92" s="112" t="str">
        <f>$A92</f>
        <v>I1</v>
      </c>
    </row>
    <row r="93" spans="1:20" x14ac:dyDescent="0.25">
      <c r="A93" s="46" t="s">
        <v>124</v>
      </c>
      <c r="B93" s="56"/>
      <c r="C93" s="161"/>
      <c r="D93" s="132"/>
      <c r="E93" s="56"/>
      <c r="F93" s="162"/>
      <c r="G93" s="54">
        <f t="shared" ref="G93:G99" si="53">B93</f>
        <v>0</v>
      </c>
      <c r="H93" s="113" t="str">
        <f t="shared" si="52"/>
        <v>I2</v>
      </c>
      <c r="I93" s="121">
        <f t="shared" si="38"/>
        <v>0</v>
      </c>
      <c r="K93" s="145" t="str">
        <f t="shared" si="50"/>
        <v/>
      </c>
      <c r="L93" s="145">
        <f t="shared" si="51"/>
        <v>0</v>
      </c>
      <c r="S93" s="112" t="str">
        <f t="shared" ref="S93:S99" si="54">C93&amp;"("&amp;$A$90&amp;")"</f>
        <v>(I)</v>
      </c>
      <c r="T93" s="112" t="str">
        <f t="shared" ref="T93:T99" si="55">$A93</f>
        <v>I2</v>
      </c>
    </row>
    <row r="94" spans="1:20" x14ac:dyDescent="0.25">
      <c r="A94" s="46" t="s">
        <v>125</v>
      </c>
      <c r="B94" s="56"/>
      <c r="C94" s="161"/>
      <c r="D94" s="132"/>
      <c r="E94" s="56"/>
      <c r="F94" s="162"/>
      <c r="G94" s="54">
        <f t="shared" si="53"/>
        <v>0</v>
      </c>
      <c r="H94" s="113" t="str">
        <f t="shared" si="52"/>
        <v>I3</v>
      </c>
      <c r="I94" s="121">
        <f t="shared" si="38"/>
        <v>0</v>
      </c>
      <c r="K94" s="145" t="str">
        <f t="shared" si="50"/>
        <v/>
      </c>
      <c r="L94" s="145">
        <f t="shared" si="51"/>
        <v>0</v>
      </c>
      <c r="S94" s="112" t="str">
        <f t="shared" si="54"/>
        <v>(I)</v>
      </c>
      <c r="T94" s="112" t="str">
        <f t="shared" si="55"/>
        <v>I3</v>
      </c>
    </row>
    <row r="95" spans="1:20" x14ac:dyDescent="0.25">
      <c r="A95" s="46" t="s">
        <v>126</v>
      </c>
      <c r="B95" s="56"/>
      <c r="C95" s="161"/>
      <c r="D95" s="132"/>
      <c r="E95" s="56"/>
      <c r="F95" s="162"/>
      <c r="G95" s="54">
        <f t="shared" si="53"/>
        <v>0</v>
      </c>
      <c r="H95" s="113" t="str">
        <f t="shared" si="52"/>
        <v>I4</v>
      </c>
      <c r="I95" s="121">
        <f t="shared" si="38"/>
        <v>0</v>
      </c>
      <c r="K95" s="145" t="str">
        <f t="shared" si="50"/>
        <v/>
      </c>
      <c r="L95" s="145">
        <f t="shared" si="51"/>
        <v>0</v>
      </c>
      <c r="S95" s="112" t="str">
        <f t="shared" si="54"/>
        <v>(I)</v>
      </c>
      <c r="T95" s="112" t="str">
        <f t="shared" si="55"/>
        <v>I4</v>
      </c>
    </row>
    <row r="96" spans="1:20" x14ac:dyDescent="0.25">
      <c r="A96" s="46" t="s">
        <v>127</v>
      </c>
      <c r="B96" s="56"/>
      <c r="C96" s="161"/>
      <c r="D96" s="132"/>
      <c r="E96" s="56"/>
      <c r="F96" s="162"/>
      <c r="G96" s="54">
        <f t="shared" si="53"/>
        <v>0</v>
      </c>
      <c r="H96" s="113" t="str">
        <f t="shared" si="52"/>
        <v>I5</v>
      </c>
      <c r="I96" s="121">
        <f t="shared" si="38"/>
        <v>0</v>
      </c>
      <c r="K96" s="145" t="str">
        <f t="shared" si="50"/>
        <v/>
      </c>
      <c r="L96" s="145">
        <f t="shared" si="51"/>
        <v>0</v>
      </c>
      <c r="S96" s="112" t="str">
        <f t="shared" si="54"/>
        <v>(I)</v>
      </c>
      <c r="T96" s="112" t="str">
        <f t="shared" si="55"/>
        <v>I5</v>
      </c>
    </row>
    <row r="97" spans="1:20" x14ac:dyDescent="0.25">
      <c r="A97" s="46" t="s">
        <v>128</v>
      </c>
      <c r="B97" s="56"/>
      <c r="C97" s="161"/>
      <c r="D97" s="132"/>
      <c r="E97" s="56"/>
      <c r="F97" s="162"/>
      <c r="G97" s="54">
        <f t="shared" si="53"/>
        <v>0</v>
      </c>
      <c r="H97" s="113" t="str">
        <f t="shared" si="52"/>
        <v>I6</v>
      </c>
      <c r="I97" s="121">
        <f t="shared" si="38"/>
        <v>0</v>
      </c>
      <c r="K97" s="143"/>
      <c r="L97" s="143"/>
      <c r="S97" s="112" t="str">
        <f t="shared" si="54"/>
        <v>(I)</v>
      </c>
      <c r="T97" s="112" t="str">
        <f t="shared" si="55"/>
        <v>I6</v>
      </c>
    </row>
    <row r="98" spans="1:20" x14ac:dyDescent="0.25">
      <c r="A98" s="46" t="s">
        <v>129</v>
      </c>
      <c r="B98" s="56"/>
      <c r="C98" s="161"/>
      <c r="D98" s="132"/>
      <c r="E98" s="56"/>
      <c r="F98" s="162"/>
      <c r="G98" s="54">
        <f t="shared" si="53"/>
        <v>0</v>
      </c>
      <c r="H98" s="113" t="str">
        <f t="shared" si="52"/>
        <v>I7</v>
      </c>
      <c r="I98" s="121">
        <f t="shared" si="38"/>
        <v>0</v>
      </c>
      <c r="K98" s="145" t="str">
        <f>IF($C$103="","",RANK(L98,$L$98:$L$105,0))</f>
        <v/>
      </c>
      <c r="L98" s="145">
        <f>IF(ISERROR(D103),"",D103)</f>
        <v>0</v>
      </c>
      <c r="S98" s="112" t="str">
        <f t="shared" si="54"/>
        <v>(I)</v>
      </c>
      <c r="T98" s="112" t="str">
        <f t="shared" si="55"/>
        <v>I7</v>
      </c>
    </row>
    <row r="99" spans="1:20" ht="13.8" thickBot="1" x14ac:dyDescent="0.3">
      <c r="A99" s="51" t="s">
        <v>130</v>
      </c>
      <c r="B99" s="57"/>
      <c r="C99" s="163"/>
      <c r="D99" s="133"/>
      <c r="E99" s="133"/>
      <c r="F99" s="164"/>
      <c r="G99" s="54">
        <f t="shared" si="53"/>
        <v>0</v>
      </c>
      <c r="H99" s="113" t="str">
        <f t="shared" si="52"/>
        <v>I8</v>
      </c>
      <c r="I99" s="121">
        <f t="shared" si="38"/>
        <v>0</v>
      </c>
      <c r="K99" s="145" t="str">
        <f t="shared" ref="K99:K105" si="56">IF($C$103="","",RANK(L99,$L$98:$L$105,0))</f>
        <v/>
      </c>
      <c r="L99" s="145">
        <f t="shared" ref="L99:L105" si="57">IF(ISERROR(D104),"",D104)</f>
        <v>0</v>
      </c>
      <c r="S99" s="112" t="str">
        <f t="shared" si="54"/>
        <v>(I)</v>
      </c>
      <c r="T99" s="112" t="str">
        <f t="shared" si="55"/>
        <v>I8</v>
      </c>
    </row>
    <row r="100" spans="1:20" ht="13.8" thickBot="1" x14ac:dyDescent="0.3">
      <c r="A100" s="40"/>
      <c r="B100" s="40"/>
      <c r="C100" s="40"/>
      <c r="D100" s="40"/>
      <c r="E100" s="1"/>
      <c r="F100" s="1"/>
      <c r="G100" s="54"/>
      <c r="H100" s="113"/>
      <c r="I100" s="121"/>
      <c r="K100" s="145" t="str">
        <f t="shared" si="56"/>
        <v/>
      </c>
      <c r="L100" s="145">
        <f t="shared" si="57"/>
        <v>0</v>
      </c>
      <c r="S100" s="112"/>
      <c r="T100" s="112"/>
    </row>
    <row r="101" spans="1:20" x14ac:dyDescent="0.25">
      <c r="A101" s="45" t="s">
        <v>53</v>
      </c>
      <c r="B101" s="211" t="str">
        <f>IF(Draw!B22&lt;&gt;"",Draw!B22,"")</f>
        <v/>
      </c>
      <c r="C101" s="211"/>
      <c r="D101" s="211"/>
      <c r="E101" s="160"/>
      <c r="F101" s="144" t="str">
        <f>IF(C103="","",ROUND(VLOOKUP(1,$K$98:$L$105,2,FALSE)*1.5+VLOOKUP(2,$K$98:$L$105,2,FALSE)*1.5+VLOOKUP(3,$K$98:$L$105,2,FALSE)+VLOOKUP(4,$K$98:$L$105,2,FALSE),0))</f>
        <v/>
      </c>
      <c r="G101" s="54"/>
      <c r="H101" s="113"/>
      <c r="I101" s="121"/>
      <c r="K101" s="145" t="str">
        <f t="shared" si="56"/>
        <v/>
      </c>
      <c r="L101" s="145">
        <f t="shared" si="57"/>
        <v>0</v>
      </c>
      <c r="S101" s="112"/>
      <c r="T101" s="112"/>
    </row>
    <row r="102" spans="1:20" x14ac:dyDescent="0.25">
      <c r="A102" s="46"/>
      <c r="B102" s="47" t="s">
        <v>56</v>
      </c>
      <c r="C102" s="47" t="s">
        <v>182</v>
      </c>
      <c r="D102" s="129" t="s">
        <v>57</v>
      </c>
      <c r="E102" s="129" t="s">
        <v>734</v>
      </c>
      <c r="F102" s="48" t="s">
        <v>183</v>
      </c>
      <c r="G102" s="54"/>
      <c r="H102" s="113"/>
      <c r="I102" s="121"/>
      <c r="K102" s="145" t="str">
        <f t="shared" si="56"/>
        <v/>
      </c>
      <c r="L102" s="145">
        <f t="shared" si="57"/>
        <v>0</v>
      </c>
      <c r="S102" s="112"/>
      <c r="T102" s="112"/>
    </row>
    <row r="103" spans="1:20" x14ac:dyDescent="0.25">
      <c r="A103" s="46" t="s">
        <v>131</v>
      </c>
      <c r="B103" s="56"/>
      <c r="C103" s="161"/>
      <c r="D103" s="132"/>
      <c r="E103" s="56"/>
      <c r="F103" s="162"/>
      <c r="G103" s="54">
        <f>B103</f>
        <v>0</v>
      </c>
      <c r="H103" s="113" t="str">
        <f t="shared" ref="H103:H110" si="58">A103</f>
        <v>J1</v>
      </c>
      <c r="I103" s="121">
        <f t="shared" si="38"/>
        <v>0</v>
      </c>
      <c r="K103" s="145" t="str">
        <f t="shared" si="56"/>
        <v/>
      </c>
      <c r="L103" s="145">
        <f t="shared" si="57"/>
        <v>0</v>
      </c>
      <c r="S103" s="112" t="str">
        <f>C103&amp;"("&amp;$A$101&amp;")"</f>
        <v>(J)</v>
      </c>
      <c r="T103" s="112" t="str">
        <f>$A103</f>
        <v>J1</v>
      </c>
    </row>
    <row r="104" spans="1:20" x14ac:dyDescent="0.25">
      <c r="A104" s="46" t="s">
        <v>132</v>
      </c>
      <c r="B104" s="56"/>
      <c r="C104" s="161"/>
      <c r="D104" s="132"/>
      <c r="E104" s="56"/>
      <c r="F104" s="162"/>
      <c r="G104" s="54">
        <f t="shared" ref="G104:G110" si="59">B104</f>
        <v>0</v>
      </c>
      <c r="H104" s="113" t="str">
        <f t="shared" si="58"/>
        <v>J2</v>
      </c>
      <c r="I104" s="121">
        <f t="shared" si="38"/>
        <v>0</v>
      </c>
      <c r="K104" s="145" t="str">
        <f t="shared" si="56"/>
        <v/>
      </c>
      <c r="L104" s="145">
        <f t="shared" si="57"/>
        <v>0</v>
      </c>
      <c r="S104" s="112" t="str">
        <f t="shared" ref="S104:S110" si="60">C104&amp;"("&amp;$A$101&amp;")"</f>
        <v>(J)</v>
      </c>
      <c r="T104" s="112" t="str">
        <f t="shared" ref="T104:T110" si="61">$A104</f>
        <v>J2</v>
      </c>
    </row>
    <row r="105" spans="1:20" x14ac:dyDescent="0.25">
      <c r="A105" s="46" t="s">
        <v>133</v>
      </c>
      <c r="B105" s="56"/>
      <c r="C105" s="161"/>
      <c r="D105" s="132"/>
      <c r="E105" s="56"/>
      <c r="F105" s="162"/>
      <c r="G105" s="54">
        <f t="shared" si="59"/>
        <v>0</v>
      </c>
      <c r="H105" s="113" t="str">
        <f t="shared" si="58"/>
        <v>J3</v>
      </c>
      <c r="I105" s="121">
        <f t="shared" si="38"/>
        <v>0</v>
      </c>
      <c r="K105" s="145" t="str">
        <f t="shared" si="56"/>
        <v/>
      </c>
      <c r="L105" s="145">
        <f t="shared" si="57"/>
        <v>0</v>
      </c>
      <c r="S105" s="112" t="str">
        <f t="shared" si="60"/>
        <v>(J)</v>
      </c>
      <c r="T105" s="112" t="str">
        <f t="shared" si="61"/>
        <v>J3</v>
      </c>
    </row>
    <row r="106" spans="1:20" x14ac:dyDescent="0.25">
      <c r="A106" s="46" t="s">
        <v>134</v>
      </c>
      <c r="B106" s="56"/>
      <c r="C106" s="161"/>
      <c r="D106" s="132"/>
      <c r="E106" s="56"/>
      <c r="F106" s="162"/>
      <c r="G106" s="54">
        <f t="shared" si="59"/>
        <v>0</v>
      </c>
      <c r="H106" s="113" t="str">
        <f t="shared" si="58"/>
        <v>J4</v>
      </c>
      <c r="I106" s="121">
        <f t="shared" si="38"/>
        <v>0</v>
      </c>
      <c r="K106" s="143"/>
      <c r="L106" s="143"/>
      <c r="S106" s="112" t="str">
        <f t="shared" si="60"/>
        <v>(J)</v>
      </c>
      <c r="T106" s="112" t="str">
        <f t="shared" si="61"/>
        <v>J4</v>
      </c>
    </row>
    <row r="107" spans="1:20" x14ac:dyDescent="0.25">
      <c r="A107" s="46" t="s">
        <v>135</v>
      </c>
      <c r="B107" s="56"/>
      <c r="C107" s="161"/>
      <c r="D107" s="132"/>
      <c r="E107" s="56"/>
      <c r="F107" s="162"/>
      <c r="G107" s="54">
        <f t="shared" si="59"/>
        <v>0</v>
      </c>
      <c r="H107" s="113" t="str">
        <f t="shared" si="58"/>
        <v>J5</v>
      </c>
      <c r="I107" s="121">
        <f t="shared" si="38"/>
        <v>0</v>
      </c>
      <c r="K107" s="145" t="str">
        <f>IF($C$114="","",RANK(L107,$L$107:$L$114,0))</f>
        <v/>
      </c>
      <c r="L107" s="145">
        <f>IF(ISERROR(D114),"",D114)</f>
        <v>0</v>
      </c>
      <c r="S107" s="112" t="str">
        <f t="shared" si="60"/>
        <v>(J)</v>
      </c>
      <c r="T107" s="112" t="str">
        <f t="shared" si="61"/>
        <v>J5</v>
      </c>
    </row>
    <row r="108" spans="1:20" x14ac:dyDescent="0.25">
      <c r="A108" s="46" t="s">
        <v>136</v>
      </c>
      <c r="B108" s="56"/>
      <c r="C108" s="161"/>
      <c r="D108" s="132"/>
      <c r="E108" s="56"/>
      <c r="F108" s="162"/>
      <c r="G108" s="54">
        <f t="shared" si="59"/>
        <v>0</v>
      </c>
      <c r="H108" s="113" t="str">
        <f t="shared" si="58"/>
        <v>J6</v>
      </c>
      <c r="I108" s="121">
        <f t="shared" si="38"/>
        <v>0</v>
      </c>
      <c r="K108" s="145" t="str">
        <f t="shared" ref="K108:K114" si="62">IF($C$114="","",RANK(L108,$L$107:$L$114,0))</f>
        <v/>
      </c>
      <c r="L108" s="145">
        <f t="shared" ref="L108:L114" si="63">IF(ISERROR(D115),"",D115)</f>
        <v>0</v>
      </c>
      <c r="S108" s="112" t="str">
        <f t="shared" si="60"/>
        <v>(J)</v>
      </c>
      <c r="T108" s="112" t="str">
        <f t="shared" si="61"/>
        <v>J6</v>
      </c>
    </row>
    <row r="109" spans="1:20" x14ac:dyDescent="0.25">
      <c r="A109" s="46" t="s">
        <v>137</v>
      </c>
      <c r="B109" s="56"/>
      <c r="C109" s="161"/>
      <c r="D109" s="132"/>
      <c r="E109" s="56"/>
      <c r="F109" s="162"/>
      <c r="G109" s="54">
        <f t="shared" si="59"/>
        <v>0</v>
      </c>
      <c r="H109" s="113" t="str">
        <f t="shared" si="58"/>
        <v>J7</v>
      </c>
      <c r="I109" s="121">
        <f t="shared" si="38"/>
        <v>0</v>
      </c>
      <c r="K109" s="145" t="str">
        <f t="shared" si="62"/>
        <v/>
      </c>
      <c r="L109" s="145">
        <f t="shared" si="63"/>
        <v>0</v>
      </c>
      <c r="S109" s="112" t="str">
        <f t="shared" si="60"/>
        <v>(J)</v>
      </c>
      <c r="T109" s="112" t="str">
        <f t="shared" si="61"/>
        <v>J7</v>
      </c>
    </row>
    <row r="110" spans="1:20" ht="13.8" thickBot="1" x14ac:dyDescent="0.3">
      <c r="A110" s="51" t="s">
        <v>138</v>
      </c>
      <c r="B110" s="57"/>
      <c r="C110" s="163"/>
      <c r="D110" s="133"/>
      <c r="E110" s="133"/>
      <c r="F110" s="164"/>
      <c r="G110" s="54">
        <f t="shared" si="59"/>
        <v>0</v>
      </c>
      <c r="H110" s="113" t="str">
        <f t="shared" si="58"/>
        <v>J8</v>
      </c>
      <c r="I110" s="121">
        <f t="shared" si="38"/>
        <v>0</v>
      </c>
      <c r="K110" s="145" t="str">
        <f t="shared" si="62"/>
        <v/>
      </c>
      <c r="L110" s="145">
        <f t="shared" si="63"/>
        <v>0</v>
      </c>
      <c r="S110" s="112" t="str">
        <f t="shared" si="60"/>
        <v>(J)</v>
      </c>
      <c r="T110" s="112" t="str">
        <f t="shared" si="61"/>
        <v>J8</v>
      </c>
    </row>
    <row r="111" spans="1:20" ht="13.8" thickBot="1" x14ac:dyDescent="0.3">
      <c r="A111" s="40"/>
      <c r="B111" s="40"/>
      <c r="C111" s="40"/>
      <c r="D111" s="40"/>
      <c r="E111" s="1"/>
      <c r="F111" s="1"/>
      <c r="G111" s="54"/>
      <c r="H111" s="113"/>
      <c r="I111" s="121"/>
      <c r="K111" s="145" t="str">
        <f t="shared" si="62"/>
        <v/>
      </c>
      <c r="L111" s="145">
        <f t="shared" si="63"/>
        <v>0</v>
      </c>
      <c r="S111" s="112"/>
      <c r="T111" s="112"/>
    </row>
    <row r="112" spans="1:20" x14ac:dyDescent="0.25">
      <c r="A112" s="45" t="s">
        <v>54</v>
      </c>
      <c r="B112" s="211" t="str">
        <f>IF(Draw!B24&lt;&gt;"",Draw!B24,"")</f>
        <v/>
      </c>
      <c r="C112" s="211"/>
      <c r="D112" s="211"/>
      <c r="E112" s="160"/>
      <c r="F112" s="144" t="str">
        <f>IF(C114="","",ROUND(VLOOKUP(1,$K$107:$L$114,2,FALSE)*1.5+VLOOKUP(2,$K$107:$L$114,2,FALSE)*1.5+VLOOKUP(3,$K$107:$L$114,2,FALSE)+VLOOKUP(4,$K$107:$L$114,2,FALSE),0))</f>
        <v/>
      </c>
      <c r="G112" s="54"/>
      <c r="H112" s="113"/>
      <c r="I112" s="121"/>
      <c r="K112" s="145" t="str">
        <f t="shared" si="62"/>
        <v/>
      </c>
      <c r="L112" s="145">
        <f t="shared" si="63"/>
        <v>0</v>
      </c>
      <c r="S112" s="112"/>
      <c r="T112" s="112"/>
    </row>
    <row r="113" spans="1:20" x14ac:dyDescent="0.25">
      <c r="A113" s="46"/>
      <c r="B113" s="47" t="s">
        <v>56</v>
      </c>
      <c r="C113" s="47" t="s">
        <v>182</v>
      </c>
      <c r="D113" s="129" t="s">
        <v>57</v>
      </c>
      <c r="E113" s="129" t="s">
        <v>734</v>
      </c>
      <c r="F113" s="48" t="s">
        <v>183</v>
      </c>
      <c r="G113" s="54"/>
      <c r="H113" s="113"/>
      <c r="I113" s="121"/>
      <c r="K113" s="145" t="str">
        <f t="shared" si="62"/>
        <v/>
      </c>
      <c r="L113" s="145">
        <f t="shared" si="63"/>
        <v>0</v>
      </c>
      <c r="S113" s="112"/>
      <c r="T113" s="112"/>
    </row>
    <row r="114" spans="1:20" x14ac:dyDescent="0.25">
      <c r="A114" s="46" t="s">
        <v>139</v>
      </c>
      <c r="B114" s="56"/>
      <c r="C114" s="161"/>
      <c r="D114" s="132"/>
      <c r="E114" s="56"/>
      <c r="F114" s="162"/>
      <c r="G114" s="54">
        <f>B114</f>
        <v>0</v>
      </c>
      <c r="H114" s="113" t="str">
        <f t="shared" ref="H114:H121" si="64">A114</f>
        <v>K1</v>
      </c>
      <c r="I114" s="121">
        <f t="shared" si="38"/>
        <v>0</v>
      </c>
      <c r="K114" s="145" t="str">
        <f t="shared" si="62"/>
        <v/>
      </c>
      <c r="L114" s="145">
        <f t="shared" si="63"/>
        <v>0</v>
      </c>
      <c r="S114" s="112" t="str">
        <f>C114&amp;"("&amp;$A$112&amp;")"</f>
        <v>(K)</v>
      </c>
      <c r="T114" s="112" t="str">
        <f>$A114</f>
        <v>K1</v>
      </c>
    </row>
    <row r="115" spans="1:20" x14ac:dyDescent="0.25">
      <c r="A115" s="46" t="s">
        <v>140</v>
      </c>
      <c r="B115" s="56"/>
      <c r="C115" s="161"/>
      <c r="D115" s="132"/>
      <c r="E115" s="56"/>
      <c r="F115" s="162"/>
      <c r="G115" s="54">
        <f t="shared" ref="G115:G121" si="65">B115</f>
        <v>0</v>
      </c>
      <c r="H115" s="113" t="str">
        <f t="shared" si="64"/>
        <v>K2</v>
      </c>
      <c r="I115" s="121">
        <f t="shared" si="38"/>
        <v>0</v>
      </c>
      <c r="K115" s="143"/>
      <c r="L115" s="143"/>
      <c r="S115" s="112" t="str">
        <f t="shared" ref="S115:S121" si="66">C115&amp;"("&amp;$A$112&amp;")"</f>
        <v>(K)</v>
      </c>
      <c r="T115" s="112" t="str">
        <f t="shared" ref="T115:T121" si="67">$A115</f>
        <v>K2</v>
      </c>
    </row>
    <row r="116" spans="1:20" x14ac:dyDescent="0.25">
      <c r="A116" s="46" t="s">
        <v>141</v>
      </c>
      <c r="B116" s="56"/>
      <c r="C116" s="161"/>
      <c r="D116" s="132"/>
      <c r="E116" s="56"/>
      <c r="F116" s="162"/>
      <c r="G116" s="54">
        <f t="shared" si="65"/>
        <v>0</v>
      </c>
      <c r="H116" s="113" t="str">
        <f t="shared" si="64"/>
        <v>K3</v>
      </c>
      <c r="I116" s="121">
        <f t="shared" si="38"/>
        <v>0</v>
      </c>
      <c r="K116" s="145" t="str">
        <f>IF($C$125="","",RANK(L116,$L$116:$L$123,0))</f>
        <v/>
      </c>
      <c r="L116" s="145">
        <f>IF(ISERROR(D125),"",D125)</f>
        <v>0</v>
      </c>
      <c r="S116" s="112" t="str">
        <f t="shared" si="66"/>
        <v>(K)</v>
      </c>
      <c r="T116" s="112" t="str">
        <f t="shared" si="67"/>
        <v>K3</v>
      </c>
    </row>
    <row r="117" spans="1:20" x14ac:dyDescent="0.25">
      <c r="A117" s="46" t="s">
        <v>142</v>
      </c>
      <c r="B117" s="56"/>
      <c r="C117" s="161"/>
      <c r="D117" s="132"/>
      <c r="E117" s="56"/>
      <c r="F117" s="162"/>
      <c r="G117" s="54">
        <f t="shared" si="65"/>
        <v>0</v>
      </c>
      <c r="H117" s="113" t="str">
        <f t="shared" si="64"/>
        <v>K4</v>
      </c>
      <c r="I117" s="121">
        <f t="shared" si="38"/>
        <v>0</v>
      </c>
      <c r="K117" s="145" t="str">
        <f t="shared" ref="K117:K123" si="68">IF($C$125="","",RANK(L117,$L$116:$L$123,0))</f>
        <v/>
      </c>
      <c r="L117" s="145">
        <f t="shared" ref="L117:L123" si="69">IF(ISERROR(D126),"",D126)</f>
        <v>0</v>
      </c>
      <c r="S117" s="112" t="str">
        <f t="shared" si="66"/>
        <v>(K)</v>
      </c>
      <c r="T117" s="112" t="str">
        <f t="shared" si="67"/>
        <v>K4</v>
      </c>
    </row>
    <row r="118" spans="1:20" x14ac:dyDescent="0.25">
      <c r="A118" s="46" t="s">
        <v>143</v>
      </c>
      <c r="B118" s="56"/>
      <c r="C118" s="161"/>
      <c r="D118" s="132"/>
      <c r="E118" s="56"/>
      <c r="F118" s="162"/>
      <c r="G118" s="54">
        <f t="shared" si="65"/>
        <v>0</v>
      </c>
      <c r="H118" s="113" t="str">
        <f t="shared" si="64"/>
        <v>K5</v>
      </c>
      <c r="I118" s="121">
        <f t="shared" si="38"/>
        <v>0</v>
      </c>
      <c r="K118" s="145" t="str">
        <f t="shared" si="68"/>
        <v/>
      </c>
      <c r="L118" s="145">
        <f t="shared" si="69"/>
        <v>0</v>
      </c>
      <c r="S118" s="112" t="str">
        <f t="shared" si="66"/>
        <v>(K)</v>
      </c>
      <c r="T118" s="112" t="str">
        <f t="shared" si="67"/>
        <v>K5</v>
      </c>
    </row>
    <row r="119" spans="1:20" x14ac:dyDescent="0.25">
      <c r="A119" s="46" t="s">
        <v>144</v>
      </c>
      <c r="B119" s="56"/>
      <c r="C119" s="161"/>
      <c r="D119" s="132"/>
      <c r="E119" s="56"/>
      <c r="F119" s="162"/>
      <c r="G119" s="54">
        <f t="shared" si="65"/>
        <v>0</v>
      </c>
      <c r="H119" s="113" t="str">
        <f t="shared" si="64"/>
        <v>K6</v>
      </c>
      <c r="I119" s="121">
        <f t="shared" si="38"/>
        <v>0</v>
      </c>
      <c r="K119" s="145" t="str">
        <f t="shared" si="68"/>
        <v/>
      </c>
      <c r="L119" s="145">
        <f t="shared" si="69"/>
        <v>0</v>
      </c>
      <c r="S119" s="112" t="str">
        <f t="shared" si="66"/>
        <v>(K)</v>
      </c>
      <c r="T119" s="112" t="str">
        <f t="shared" si="67"/>
        <v>K6</v>
      </c>
    </row>
    <row r="120" spans="1:20" x14ac:dyDescent="0.25">
      <c r="A120" s="46" t="s">
        <v>145</v>
      </c>
      <c r="B120" s="56"/>
      <c r="C120" s="161"/>
      <c r="D120" s="132"/>
      <c r="E120" s="56"/>
      <c r="F120" s="162"/>
      <c r="G120" s="54">
        <f t="shared" si="65"/>
        <v>0</v>
      </c>
      <c r="H120" s="113" t="str">
        <f t="shared" si="64"/>
        <v>K7</v>
      </c>
      <c r="I120" s="121">
        <f t="shared" si="38"/>
        <v>0</v>
      </c>
      <c r="K120" s="145" t="str">
        <f t="shared" si="68"/>
        <v/>
      </c>
      <c r="L120" s="145">
        <f t="shared" si="69"/>
        <v>0</v>
      </c>
      <c r="S120" s="112" t="str">
        <f t="shared" si="66"/>
        <v>(K)</v>
      </c>
      <c r="T120" s="112" t="str">
        <f t="shared" si="67"/>
        <v>K7</v>
      </c>
    </row>
    <row r="121" spans="1:20" ht="13.8" thickBot="1" x14ac:dyDescent="0.3">
      <c r="A121" s="51" t="s">
        <v>146</v>
      </c>
      <c r="B121" s="57"/>
      <c r="C121" s="163"/>
      <c r="D121" s="133"/>
      <c r="E121" s="133"/>
      <c r="F121" s="164"/>
      <c r="G121" s="54">
        <f t="shared" si="65"/>
        <v>0</v>
      </c>
      <c r="H121" s="113" t="str">
        <f t="shared" si="64"/>
        <v>K8</v>
      </c>
      <c r="I121" s="121">
        <f t="shared" si="38"/>
        <v>0</v>
      </c>
      <c r="K121" s="145" t="str">
        <f t="shared" si="68"/>
        <v/>
      </c>
      <c r="L121" s="145">
        <f t="shared" si="69"/>
        <v>0</v>
      </c>
      <c r="S121" s="112" t="str">
        <f t="shared" si="66"/>
        <v>(K)</v>
      </c>
      <c r="T121" s="112" t="str">
        <f t="shared" si="67"/>
        <v>K8</v>
      </c>
    </row>
    <row r="122" spans="1:20" ht="13.8" thickBot="1" x14ac:dyDescent="0.3">
      <c r="A122" s="40"/>
      <c r="B122" s="40"/>
      <c r="C122" s="40"/>
      <c r="D122" s="40"/>
      <c r="E122" s="1"/>
      <c r="F122" s="1"/>
      <c r="G122" s="54"/>
      <c r="H122" s="113"/>
      <c r="I122" s="121"/>
      <c r="K122" s="145" t="str">
        <f t="shared" si="68"/>
        <v/>
      </c>
      <c r="L122" s="145">
        <f t="shared" si="69"/>
        <v>0</v>
      </c>
      <c r="S122" s="112"/>
      <c r="T122" s="112"/>
    </row>
    <row r="123" spans="1:20" x14ac:dyDescent="0.25">
      <c r="A123" s="45" t="s">
        <v>55</v>
      </c>
      <c r="B123" s="211" t="str">
        <f>IF(Draw!B26&lt;&gt;"",Draw!B26,"")</f>
        <v/>
      </c>
      <c r="C123" s="211"/>
      <c r="D123" s="211"/>
      <c r="E123" s="160"/>
      <c r="F123" s="144" t="str">
        <f>IF(C125="","",ROUND(VLOOKUP(1,$K$116:$L$123,2,FALSE)*1.5+VLOOKUP(2,$K$116:$L$123,2,FALSE)*1.5+VLOOKUP(3,$K$116:$L$123,2,FALSE)+VLOOKUP(4,$K$116:$L$123,2,FALSE),0))</f>
        <v/>
      </c>
      <c r="G123" s="54"/>
      <c r="H123" s="113"/>
      <c r="I123" s="121"/>
      <c r="K123" s="145" t="str">
        <f t="shared" si="68"/>
        <v/>
      </c>
      <c r="L123" s="145">
        <f t="shared" si="69"/>
        <v>0</v>
      </c>
      <c r="S123" s="112"/>
      <c r="T123" s="112"/>
    </row>
    <row r="124" spans="1:20" x14ac:dyDescent="0.25">
      <c r="A124" s="46"/>
      <c r="B124" s="47" t="s">
        <v>56</v>
      </c>
      <c r="C124" s="47" t="s">
        <v>182</v>
      </c>
      <c r="D124" s="129" t="s">
        <v>57</v>
      </c>
      <c r="E124" s="129" t="s">
        <v>734</v>
      </c>
      <c r="F124" s="48" t="s">
        <v>183</v>
      </c>
      <c r="G124" s="54"/>
      <c r="H124" s="113"/>
      <c r="I124" s="121"/>
      <c r="S124" s="112"/>
      <c r="T124" s="112"/>
    </row>
    <row r="125" spans="1:20" x14ac:dyDescent="0.25">
      <c r="A125" s="46" t="s">
        <v>147</v>
      </c>
      <c r="B125" s="56"/>
      <c r="C125" s="161"/>
      <c r="D125" s="132"/>
      <c r="E125" s="56"/>
      <c r="F125" s="162"/>
      <c r="G125" s="54">
        <f>B125</f>
        <v>0</v>
      </c>
      <c r="H125" s="113" t="str">
        <f t="shared" ref="H125:H132" si="70">A125</f>
        <v>L1</v>
      </c>
      <c r="I125" s="121">
        <f t="shared" si="38"/>
        <v>0</v>
      </c>
      <c r="S125" s="112" t="str">
        <f>C125&amp;"("&amp;$A$123&amp;")"</f>
        <v>(L)</v>
      </c>
      <c r="T125" s="112" t="str">
        <f>$A125</f>
        <v>L1</v>
      </c>
    </row>
    <row r="126" spans="1:20" x14ac:dyDescent="0.25">
      <c r="A126" s="46" t="s">
        <v>148</v>
      </c>
      <c r="B126" s="56"/>
      <c r="C126" s="161"/>
      <c r="D126" s="132"/>
      <c r="E126" s="56"/>
      <c r="F126" s="162"/>
      <c r="G126" s="54">
        <f t="shared" ref="G126:G132" si="71">B126</f>
        <v>0</v>
      </c>
      <c r="H126" s="113" t="str">
        <f t="shared" si="70"/>
        <v>L2</v>
      </c>
      <c r="I126" s="121">
        <f t="shared" si="38"/>
        <v>0</v>
      </c>
      <c r="S126" s="112" t="str">
        <f t="shared" ref="S126:S132" si="72">C126&amp;"("&amp;$A$123&amp;")"</f>
        <v>(L)</v>
      </c>
      <c r="T126" s="112" t="str">
        <f t="shared" ref="T126:T132" si="73">$A126</f>
        <v>L2</v>
      </c>
    </row>
    <row r="127" spans="1:20" x14ac:dyDescent="0.25">
      <c r="A127" s="46" t="s">
        <v>149</v>
      </c>
      <c r="B127" s="56"/>
      <c r="C127" s="161"/>
      <c r="D127" s="132"/>
      <c r="E127" s="56"/>
      <c r="F127" s="162"/>
      <c r="G127" s="54">
        <f t="shared" si="71"/>
        <v>0</v>
      </c>
      <c r="H127" s="113" t="str">
        <f t="shared" si="70"/>
        <v>L3</v>
      </c>
      <c r="I127" s="121">
        <f t="shared" si="38"/>
        <v>0</v>
      </c>
      <c r="S127" s="112" t="str">
        <f t="shared" si="72"/>
        <v>(L)</v>
      </c>
      <c r="T127" s="112" t="str">
        <f t="shared" si="73"/>
        <v>L3</v>
      </c>
    </row>
    <row r="128" spans="1:20" x14ac:dyDescent="0.25">
      <c r="A128" s="46" t="s">
        <v>150</v>
      </c>
      <c r="B128" s="56"/>
      <c r="C128" s="161"/>
      <c r="D128" s="132"/>
      <c r="E128" s="56"/>
      <c r="F128" s="162"/>
      <c r="G128" s="54">
        <f t="shared" si="71"/>
        <v>0</v>
      </c>
      <c r="H128" s="113" t="str">
        <f t="shared" si="70"/>
        <v>L4</v>
      </c>
      <c r="I128" s="121">
        <f t="shared" si="38"/>
        <v>0</v>
      </c>
      <c r="S128" s="112" t="str">
        <f t="shared" si="72"/>
        <v>(L)</v>
      </c>
      <c r="T128" s="112" t="str">
        <f t="shared" si="73"/>
        <v>L4</v>
      </c>
    </row>
    <row r="129" spans="1:20" x14ac:dyDescent="0.25">
      <c r="A129" s="46" t="s">
        <v>151</v>
      </c>
      <c r="B129" s="56"/>
      <c r="C129" s="161"/>
      <c r="D129" s="132"/>
      <c r="E129" s="56"/>
      <c r="F129" s="162"/>
      <c r="G129" s="54">
        <f t="shared" si="71"/>
        <v>0</v>
      </c>
      <c r="H129" s="113" t="str">
        <f t="shared" si="70"/>
        <v>L5</v>
      </c>
      <c r="I129" s="121">
        <f t="shared" si="38"/>
        <v>0</v>
      </c>
      <c r="S129" s="112" t="str">
        <f t="shared" si="72"/>
        <v>(L)</v>
      </c>
      <c r="T129" s="112" t="str">
        <f t="shared" si="73"/>
        <v>L5</v>
      </c>
    </row>
    <row r="130" spans="1:20" x14ac:dyDescent="0.25">
      <c r="A130" s="46" t="s">
        <v>152</v>
      </c>
      <c r="B130" s="56"/>
      <c r="C130" s="161"/>
      <c r="D130" s="132"/>
      <c r="E130" s="56"/>
      <c r="F130" s="162"/>
      <c r="G130" s="54">
        <f t="shared" si="71"/>
        <v>0</v>
      </c>
      <c r="H130" s="113" t="str">
        <f t="shared" si="70"/>
        <v>L6</v>
      </c>
      <c r="I130" s="121">
        <f t="shared" si="38"/>
        <v>0</v>
      </c>
      <c r="S130" s="112" t="str">
        <f t="shared" si="72"/>
        <v>(L)</v>
      </c>
      <c r="T130" s="112" t="str">
        <f t="shared" si="73"/>
        <v>L6</v>
      </c>
    </row>
    <row r="131" spans="1:20" x14ac:dyDescent="0.25">
      <c r="A131" s="46" t="s">
        <v>153</v>
      </c>
      <c r="B131" s="56"/>
      <c r="C131" s="161"/>
      <c r="D131" s="132"/>
      <c r="E131" s="56"/>
      <c r="F131" s="162"/>
      <c r="G131" s="54">
        <f t="shared" si="71"/>
        <v>0</v>
      </c>
      <c r="H131" s="113" t="str">
        <f t="shared" si="70"/>
        <v>L7</v>
      </c>
      <c r="I131" s="121">
        <f t="shared" si="38"/>
        <v>0</v>
      </c>
      <c r="S131" s="112" t="str">
        <f t="shared" si="72"/>
        <v>(L)</v>
      </c>
      <c r="T131" s="112" t="str">
        <f t="shared" si="73"/>
        <v>L7</v>
      </c>
    </row>
    <row r="132" spans="1:20" ht="13.8" thickBot="1" x14ac:dyDescent="0.3">
      <c r="A132" s="51" t="s">
        <v>154</v>
      </c>
      <c r="B132" s="57"/>
      <c r="C132" s="163"/>
      <c r="D132" s="133"/>
      <c r="E132" s="133"/>
      <c r="F132" s="164"/>
      <c r="G132" s="54">
        <f t="shared" si="71"/>
        <v>0</v>
      </c>
      <c r="H132" s="113" t="str">
        <f t="shared" si="70"/>
        <v>L8</v>
      </c>
      <c r="I132" s="121">
        <f t="shared" si="38"/>
        <v>0</v>
      </c>
      <c r="S132" s="112" t="str">
        <f t="shared" si="72"/>
        <v>(L)</v>
      </c>
      <c r="T132" s="112" t="str">
        <f t="shared" si="73"/>
        <v>L8</v>
      </c>
    </row>
    <row r="133" spans="1:20" x14ac:dyDescent="0.25">
      <c r="G133" s="40"/>
      <c r="M133" s="40"/>
    </row>
  </sheetData>
  <sheetProtection sheet="1" objects="1" scenarios="1"/>
  <mergeCells count="14">
    <mergeCell ref="B123:D123"/>
    <mergeCell ref="B68:D68"/>
    <mergeCell ref="B79:D79"/>
    <mergeCell ref="M1:N1"/>
    <mergeCell ref="B2:D2"/>
    <mergeCell ref="B13:D13"/>
    <mergeCell ref="B112:D112"/>
    <mergeCell ref="B90:D90"/>
    <mergeCell ref="B101:D101"/>
    <mergeCell ref="B24:D24"/>
    <mergeCell ref="M2:N2"/>
    <mergeCell ref="B35:D35"/>
    <mergeCell ref="B46:D46"/>
    <mergeCell ref="B57:D57"/>
  </mergeCells>
  <phoneticPr fontId="1" type="noConversion"/>
  <dataValidations xWindow="495" yWindow="236" count="2">
    <dataValidation type="custom" allowBlank="1" showInputMessage="1" showErrorMessage="1" errorTitle="Team Type" error="Valid entries are &quot;C&quot;, &quot;W&quot;, or &quot;JV&quot;" promptTitle="Valid Team Types" prompt="Valid entries are &quot;C&quot; for Coed, &quot;W&quot; for Women, and &quot;JV&quot; for Junior Varsity." sqref="E13 E24 E35 E46 E57 E68 E79 E90 E101 E112 E123 E2" xr:uid="{00000000-0002-0000-0100-000000000000}">
      <formula1>OR($E2="C",$E2="W",$E2="JV")</formula1>
    </dataValidation>
    <dataValidation type="custom" allowBlank="1" showInputMessage="1" showErrorMessage="1" errorTitle="Gender" error="Validate entries are &quot;M&quot; for Male or &quot;F&quot; for Female." promptTitle="Gender" prompt="Enter &quot;M&quot; for Male or &quot;F&quot; for Female." sqref="E103:E110 E4:E11 E114:E121 E15:E22 E26:E33 E37:E44 E48:E55 E59:E66 E70:E77 E81:E88 E92:E99 E125:E132" xr:uid="{00000000-0002-0000-0100-000001000000}">
      <formula1>OR($E4="M",$E4="F")</formula1>
    </dataValidation>
  </dataValidations>
  <printOptions horizontalCentered="1"/>
  <pageMargins left="0.5" right="0.25" top="0.5" bottom="0.5" header="0.5" footer="0.5"/>
  <pageSetup orientation="portrait" r:id="rId1"/>
  <headerFooter alignWithMargins="0"/>
  <rowBreaks count="2" manualBreakCount="2">
    <brk id="45" max="16383" man="1"/>
    <brk id="89" max="16383" man="1"/>
  </rowBreaks>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4488"/>
  <sheetViews>
    <sheetView zoomScale="90" zoomScaleNormal="90" workbookViewId="0">
      <selection activeCell="B6" sqref="B6:E6"/>
    </sheetView>
  </sheetViews>
  <sheetFormatPr defaultRowHeight="13.2" x14ac:dyDescent="0.25"/>
  <cols>
    <col min="1" max="1" width="7.6640625" customWidth="1"/>
    <col min="6" max="6" width="10.21875" customWidth="1"/>
    <col min="8" max="9" width="8.77734375" customWidth="1"/>
  </cols>
  <sheetData>
    <row r="1" spans="1:10" ht="15.6" x14ac:dyDescent="0.3">
      <c r="A1" s="33" t="s">
        <v>155</v>
      </c>
      <c r="J1" s="82" t="s">
        <v>470</v>
      </c>
    </row>
    <row r="2" spans="1:10" ht="12.75" customHeight="1" x14ac:dyDescent="0.3">
      <c r="A2" s="33"/>
      <c r="G2" t="str">
        <f ca="1">Team_Matches!$J$6</f>
        <v>[NCTTA Teams Template (v3.4).xlsx]</v>
      </c>
      <c r="J2" s="55"/>
    </row>
    <row r="3" spans="1:10" ht="12.75" customHeight="1" x14ac:dyDescent="0.3">
      <c r="A3" s="33"/>
      <c r="G3" s="229" t="str">
        <f>Team_Matches!$J7</f>
        <v>Round 1, Match 1</v>
      </c>
      <c r="H3" s="229"/>
      <c r="I3" s="127" t="str">
        <f>Team_Matches!$M7</f>
        <v/>
      </c>
      <c r="J3" s="127"/>
    </row>
    <row r="4" spans="1:10" ht="15.6" x14ac:dyDescent="0.3">
      <c r="A4" s="33"/>
    </row>
    <row r="5" spans="1:10" x14ac:dyDescent="0.25">
      <c r="C5" s="7" t="s">
        <v>160</v>
      </c>
      <c r="D5" s="39" t="str">
        <f>Team_Matches!$B9</f>
        <v>A</v>
      </c>
      <c r="F5" s="83" t="str">
        <f>CONCATENATE($D5,"-","-",$I5)</f>
        <v>A--L</v>
      </c>
      <c r="H5" s="7" t="s">
        <v>160</v>
      </c>
      <c r="I5" s="3" t="str">
        <f>Team_Matches!$K9</f>
        <v>L</v>
      </c>
    </row>
    <row r="6" spans="1:10" ht="25.5" customHeight="1" x14ac:dyDescent="0.25">
      <c r="A6" s="34"/>
      <c r="B6" s="220" t="str">
        <f>IF(VLOOKUP($D5,Draw!$A$4:$B$27,2)&lt;&gt;0,VLOOKUP($D5,Draw!$A$4:$B$27,2),"")</f>
        <v/>
      </c>
      <c r="C6" s="220"/>
      <c r="D6" s="220"/>
      <c r="E6" s="221"/>
      <c r="F6" s="35"/>
      <c r="G6" s="223" t="str">
        <f>IF(VLOOKUP($I5,Draw!$A$4:$B$27,2)&lt;&gt;0,VLOOKUP($I5,Draw!$A$4:$B$27,2),"")</f>
        <v/>
      </c>
      <c r="H6" s="223"/>
      <c r="I6" s="223"/>
      <c r="J6" s="224"/>
    </row>
    <row r="7" spans="1:10" ht="25.5" customHeight="1" x14ac:dyDescent="0.25"/>
    <row r="8" spans="1:10" ht="25.5" customHeight="1" x14ac:dyDescent="0.25"/>
    <row r="9" spans="1:10" ht="24" customHeight="1" x14ac:dyDescent="0.25">
      <c r="A9" s="9" t="s">
        <v>178</v>
      </c>
    </row>
    <row r="10" spans="1:10" ht="24" customHeight="1" x14ac:dyDescent="0.25">
      <c r="A10" s="9"/>
    </row>
    <row r="11" spans="1:10" x14ac:dyDescent="0.25">
      <c r="A11" s="9" t="s">
        <v>156</v>
      </c>
      <c r="G11" s="226" t="s">
        <v>873</v>
      </c>
      <c r="H11" s="226"/>
      <c r="I11" s="226"/>
      <c r="J11" s="226"/>
    </row>
    <row r="12" spans="1:10" ht="24" customHeight="1" x14ac:dyDescent="0.4">
      <c r="A12" s="37" t="str">
        <f>CONCATENATE($D5,"1")</f>
        <v>A1</v>
      </c>
      <c r="B12" s="222" t="str">
        <f>IF(VLOOKUP($A12,Players!$A$2:$C$132,3)&lt;&gt;0,VLOOKUP($A12,Players!$A$2:$C$132,3),"")</f>
        <v/>
      </c>
      <c r="C12" s="222"/>
      <c r="D12" s="222"/>
      <c r="E12" s="222"/>
      <c r="F12" s="222"/>
      <c r="G12" s="225" t="str">
        <f>IF(VLOOKUP($I5&amp;RIGHT($A12,1),Players!$A$2:$D$132,3)&lt;&gt;0,VLOOKUP($I5&amp;RIGHT($A12,1),Players!$A$2:$D$132,3),"")</f>
        <v/>
      </c>
      <c r="H12" s="225"/>
      <c r="I12" s="225"/>
      <c r="J12" s="168" t="str">
        <f>IF(VLOOKUP($I5&amp;RIGHT($A12,1),Players!$A$2:$D$132,3)&lt;&gt;0,"("&amp;VLOOKUP($I5&amp;RIGHT($A12,1),Players!$A$2:$D$132,4)&amp;")","")</f>
        <v/>
      </c>
    </row>
    <row r="13" spans="1:10" ht="25.5" customHeight="1" x14ac:dyDescent="0.4">
      <c r="A13" s="37" t="str">
        <f>CONCATENATE($D5,"2")</f>
        <v>A2</v>
      </c>
      <c r="B13" s="222" t="str">
        <f>IF(VLOOKUP($A13,Players!$A$2:$C$132,3)&lt;&gt;0,VLOOKUP($A13,Players!$A$2:$C$132,3),"")</f>
        <v/>
      </c>
      <c r="C13" s="222"/>
      <c r="D13" s="222"/>
      <c r="E13" s="222"/>
      <c r="F13" s="222"/>
      <c r="G13" s="225" t="str">
        <f>IF(VLOOKUP($I5&amp;RIGHT($A13,1),Players!$A$2:$D$132,3)&lt;&gt;0,VLOOKUP($I5&amp;RIGHT($A13,1),Players!$A$2:$D$132,3),"")</f>
        <v/>
      </c>
      <c r="H13" s="225"/>
      <c r="I13" s="225"/>
      <c r="J13" s="168" t="str">
        <f>IF(VLOOKUP($I5&amp;RIGHT($A13,1),Players!$A$2:$D$132,3)&lt;&gt;0,"("&amp;VLOOKUP($I5&amp;RIGHT($A13,1),Players!$A$2:$D$132,4)&amp;")","")</f>
        <v/>
      </c>
    </row>
    <row r="14" spans="1:10" ht="25.5" customHeight="1" x14ac:dyDescent="0.4">
      <c r="A14" s="37" t="str">
        <f>CONCATENATE($D5,"3")</f>
        <v>A3</v>
      </c>
      <c r="B14" s="222" t="str">
        <f>IF(VLOOKUP($A14,Players!$A$2:$C$132,3)&lt;&gt;0,VLOOKUP($A14,Players!$A$2:$C$132,3),"")</f>
        <v/>
      </c>
      <c r="C14" s="222"/>
      <c r="D14" s="222"/>
      <c r="E14" s="222"/>
      <c r="F14" s="222"/>
      <c r="G14" s="225" t="str">
        <f>IF(VLOOKUP($I5&amp;RIGHT($A14,1),Players!$A$2:$D$132,3)&lt;&gt;0,VLOOKUP($I5&amp;RIGHT($A14,1),Players!$A$2:$D$132,3),"")</f>
        <v/>
      </c>
      <c r="H14" s="225"/>
      <c r="I14" s="225"/>
      <c r="J14" s="168" t="str">
        <f>IF(VLOOKUP($I5&amp;RIGHT($A14,1),Players!$A$2:$D$132,3)&lt;&gt;0,"("&amp;VLOOKUP($I5&amp;RIGHT($A14,1),Players!$A$2:$D$132,4)&amp;")","")</f>
        <v/>
      </c>
    </row>
    <row r="15" spans="1:10" ht="25.5" customHeight="1" x14ac:dyDescent="0.4">
      <c r="A15" s="37" t="str">
        <f>CONCATENATE($D5,"4")</f>
        <v>A4</v>
      </c>
      <c r="B15" s="222" t="str">
        <f>IF(VLOOKUP($A15,Players!$A$2:$C$132,3)&lt;&gt;0,VLOOKUP($A15,Players!$A$2:$C$132,3),"")</f>
        <v/>
      </c>
      <c r="C15" s="222"/>
      <c r="D15" s="222"/>
      <c r="E15" s="222"/>
      <c r="F15" s="222"/>
      <c r="G15" s="225" t="str">
        <f>IF(VLOOKUP($I5&amp;RIGHT($A15,1),Players!$A$2:$D$132,3)&lt;&gt;0,VLOOKUP($I5&amp;RIGHT($A15,1),Players!$A$2:$D$132,3),"")</f>
        <v/>
      </c>
      <c r="H15" s="225"/>
      <c r="I15" s="225"/>
      <c r="J15" s="168" t="str">
        <f>IF(VLOOKUP($I5&amp;RIGHT($A15,1),Players!$A$2:$D$132,3)&lt;&gt;0,"("&amp;VLOOKUP($I5&amp;RIGHT($A15,1),Players!$A$2:$D$132,4)&amp;")","")</f>
        <v/>
      </c>
    </row>
    <row r="16" spans="1:10" ht="25.5" customHeight="1" x14ac:dyDescent="0.4">
      <c r="A16" s="37" t="str">
        <f>CONCATENATE($D5,"5")</f>
        <v>A5</v>
      </c>
      <c r="B16" s="222" t="str">
        <f>IF(VLOOKUP($A16,Players!$A$2:$C$132,3)&lt;&gt;0,VLOOKUP($A16,Players!$A$2:$C$132,3),"")</f>
        <v/>
      </c>
      <c r="C16" s="222"/>
      <c r="D16" s="222"/>
      <c r="E16" s="222"/>
      <c r="F16" s="222"/>
      <c r="G16" s="225" t="str">
        <f>IF(VLOOKUP($I5&amp;RIGHT($A16,1),Players!$A$2:$D$132,3)&lt;&gt;0,VLOOKUP($I5&amp;RIGHT($A16,1),Players!$A$2:$D$132,3),"")</f>
        <v/>
      </c>
      <c r="H16" s="225"/>
      <c r="I16" s="225"/>
      <c r="J16" s="168" t="str">
        <f>IF(VLOOKUP($I5&amp;RIGHT($A16,1),Players!$A$2:$D$132,3)&lt;&gt;0,"("&amp;VLOOKUP($I5&amp;RIGHT($A16,1),Players!$A$2:$D$132,4)&amp;")","")</f>
        <v/>
      </c>
    </row>
    <row r="17" spans="1:10" ht="25.5" customHeight="1" x14ac:dyDescent="0.4">
      <c r="A17" s="37" t="str">
        <f>CONCATENATE($D5,"6")</f>
        <v>A6</v>
      </c>
      <c r="B17" s="222" t="str">
        <f>IF(VLOOKUP($A17,Players!$A$2:$C$132,3)&lt;&gt;0,VLOOKUP($A17,Players!$A$2:$C$132,3),"")</f>
        <v/>
      </c>
      <c r="C17" s="222"/>
      <c r="D17" s="222"/>
      <c r="E17" s="222"/>
      <c r="F17" s="222"/>
      <c r="G17" s="225" t="str">
        <f>IF(VLOOKUP($I5&amp;RIGHT($A17,1),Players!$A$2:$D$132,3)&lt;&gt;0,VLOOKUP($I5&amp;RIGHT($A17,1),Players!$A$2:$D$132,3),"")</f>
        <v/>
      </c>
      <c r="H17" s="225"/>
      <c r="I17" s="225"/>
      <c r="J17" s="168" t="str">
        <f>IF(VLOOKUP($I5&amp;RIGHT($A17,1),Players!$A$2:$D$132,3)&lt;&gt;0,"("&amp;VLOOKUP($I5&amp;RIGHT($A17,1),Players!$A$2:$D$132,4)&amp;")","")</f>
        <v/>
      </c>
    </row>
    <row r="18" spans="1:10" ht="25.5" customHeight="1" x14ac:dyDescent="0.4">
      <c r="A18" s="37" t="str">
        <f>CONCATENATE($D5,"7")</f>
        <v>A7</v>
      </c>
      <c r="B18" s="222" t="str">
        <f>IF(VLOOKUP($A18,Players!$A$2:$C$132,3)&lt;&gt;0,VLOOKUP($A18,Players!$A$2:$C$132,3),"")</f>
        <v/>
      </c>
      <c r="C18" s="222"/>
      <c r="D18" s="222"/>
      <c r="E18" s="222"/>
      <c r="F18" s="222"/>
      <c r="G18" s="225" t="str">
        <f>IF(VLOOKUP($I5&amp;RIGHT($A18,1),Players!$A$2:$D$132,3)&lt;&gt;0,VLOOKUP($I5&amp;RIGHT($A18,1),Players!$A$2:$D$132,3),"")</f>
        <v/>
      </c>
      <c r="H18" s="225"/>
      <c r="I18" s="225"/>
      <c r="J18" s="168" t="str">
        <f>IF(VLOOKUP($I5&amp;RIGHT($A18,1),Players!$A$2:$D$132,3)&lt;&gt;0,"("&amp;VLOOKUP($I5&amp;RIGHT($A18,1),Players!$A$2:$D$132,4)&amp;")","")</f>
        <v/>
      </c>
    </row>
    <row r="19" spans="1:10" ht="25.5" customHeight="1" x14ac:dyDescent="0.4">
      <c r="A19" s="37" t="str">
        <f>CONCATENATE($D5,"8")</f>
        <v>A8</v>
      </c>
      <c r="B19" s="222" t="str">
        <f>IF(VLOOKUP($A19,Players!$A$2:$C$132,3)&lt;&gt;0,VLOOKUP($A19,Players!$A$2:$C$132,3),"")</f>
        <v/>
      </c>
      <c r="C19" s="222"/>
      <c r="D19" s="222"/>
      <c r="E19" s="222"/>
      <c r="F19" s="222"/>
      <c r="G19" s="225" t="str">
        <f>IF(VLOOKUP($I5&amp;RIGHT($A19,1),Players!$A$2:$D$132,3)&lt;&gt;0,VLOOKUP($I5&amp;RIGHT($A19,1),Players!$A$2:$D$132,3),"")</f>
        <v/>
      </c>
      <c r="H19" s="225"/>
      <c r="I19" s="225"/>
      <c r="J19" s="168" t="str">
        <f>IF(VLOOKUP($I5&amp;RIGHT($A19,1),Players!$A$2:$D$132,3)&lt;&gt;0,"("&amp;VLOOKUP($I5&amp;RIGHT($A19,1),Players!$A$2:$D$132,4)&amp;")","")</f>
        <v/>
      </c>
    </row>
    <row r="20" spans="1:10" ht="25.5" customHeight="1" x14ac:dyDescent="0.25">
      <c r="A20" s="37"/>
      <c r="B20" s="7"/>
      <c r="C20" s="7"/>
      <c r="D20" s="7"/>
      <c r="E20" s="7"/>
    </row>
    <row r="21" spans="1:10" x14ac:dyDescent="0.25">
      <c r="A21" s="9" t="s">
        <v>157</v>
      </c>
    </row>
    <row r="22" spans="1:10" x14ac:dyDescent="0.25">
      <c r="A22" t="s">
        <v>179</v>
      </c>
    </row>
    <row r="23" spans="1:10" x14ac:dyDescent="0.25">
      <c r="A23" s="55" t="s">
        <v>918</v>
      </c>
    </row>
    <row r="24" spans="1:10" x14ac:dyDescent="0.25">
      <c r="A24" t="s">
        <v>919</v>
      </c>
    </row>
    <row r="25" spans="1:10" ht="25.5" customHeight="1" thickBot="1" x14ac:dyDescent="0.3">
      <c r="A25" s="37"/>
    </row>
    <row r="26" spans="1:10" x14ac:dyDescent="0.25">
      <c r="B26" s="213"/>
      <c r="C26" s="214"/>
      <c r="D26" s="214"/>
      <c r="E26" s="214"/>
      <c r="F26" s="215"/>
    </row>
    <row r="27" spans="1:10" ht="13.8" thickBot="1" x14ac:dyDescent="0.3">
      <c r="B27" s="216"/>
      <c r="C27" s="217"/>
      <c r="D27" s="217"/>
      <c r="E27" s="217"/>
      <c r="F27" s="218"/>
    </row>
    <row r="31" spans="1:10" ht="25.5" customHeight="1" x14ac:dyDescent="0.25">
      <c r="A31" s="36"/>
      <c r="B31" s="36"/>
      <c r="C31" s="36"/>
      <c r="D31" s="36"/>
      <c r="E31" s="36"/>
      <c r="G31" s="38"/>
      <c r="H31" s="227" t="s">
        <v>159</v>
      </c>
      <c r="I31" s="228"/>
    </row>
    <row r="32" spans="1:10" x14ac:dyDescent="0.25">
      <c r="A32" t="s">
        <v>158</v>
      </c>
    </row>
    <row r="34" spans="1:10" x14ac:dyDescent="0.25">
      <c r="E34" s="219" t="str">
        <f>CONCATENATE("(",$D5," vs ",$I5,")")</f>
        <v>(A vs L)</v>
      </c>
      <c r="F34" s="219"/>
    </row>
    <row r="35" spans="1:10" ht="15.6" x14ac:dyDescent="0.3">
      <c r="A35" s="33" t="s">
        <v>155</v>
      </c>
      <c r="J35" s="82" t="s">
        <v>472</v>
      </c>
    </row>
    <row r="36" spans="1:10" ht="12.75" customHeight="1" x14ac:dyDescent="0.3">
      <c r="A36" s="33"/>
      <c r="G36" t="str">
        <f ca="1">Team_Matches!$J$6</f>
        <v>[NCTTA Teams Template (v3.4).xlsx]</v>
      </c>
      <c r="J36" s="55"/>
    </row>
    <row r="37" spans="1:10" ht="12.75" customHeight="1" x14ac:dyDescent="0.3">
      <c r="A37" s="33"/>
      <c r="G37" s="229" t="str">
        <f>Team_Matches!$J7</f>
        <v>Round 1, Match 1</v>
      </c>
      <c r="H37" s="229"/>
      <c r="I37" s="127" t="str">
        <f>Team_Matches!$M7</f>
        <v/>
      </c>
      <c r="J37" s="127"/>
    </row>
    <row r="38" spans="1:10" ht="15.6" x14ac:dyDescent="0.3">
      <c r="A38" s="33"/>
    </row>
    <row r="39" spans="1:10" x14ac:dyDescent="0.25">
      <c r="C39" s="7" t="s">
        <v>160</v>
      </c>
      <c r="D39" s="3" t="str">
        <f>Team_Matches!$B9</f>
        <v>A</v>
      </c>
      <c r="F39" s="83" t="str">
        <f>CONCATENATE($D39,"-","-",$I39)</f>
        <v>A--L</v>
      </c>
      <c r="H39" s="7" t="s">
        <v>160</v>
      </c>
      <c r="I39" s="39" t="str">
        <f>Team_Matches!$K9</f>
        <v>L</v>
      </c>
    </row>
    <row r="40" spans="1:10" ht="25.5" customHeight="1" x14ac:dyDescent="0.25">
      <c r="A40" s="34"/>
      <c r="B40" s="223" t="str">
        <f>IF(VLOOKUP($D39,Draw!$A$4:$B$27,2)&lt;&gt;0,VLOOKUP($D39,Draw!$A$4:$B$27,2),"")</f>
        <v/>
      </c>
      <c r="C40" s="223"/>
      <c r="D40" s="223"/>
      <c r="E40" s="224"/>
      <c r="F40" s="35"/>
      <c r="G40" s="220" t="str">
        <f>IF(VLOOKUP($I39,Draw!$A$4:$B$27,2)&lt;&gt;0,VLOOKUP($I39,Draw!$A$4:$B$27,2),"")</f>
        <v/>
      </c>
      <c r="H40" s="220"/>
      <c r="I40" s="220"/>
      <c r="J40" s="221"/>
    </row>
    <row r="41" spans="1:10" ht="25.5" customHeight="1" x14ac:dyDescent="0.25"/>
    <row r="42" spans="1:10" ht="25.5" customHeight="1" x14ac:dyDescent="0.25"/>
    <row r="43" spans="1:10" ht="24" customHeight="1" x14ac:dyDescent="0.25">
      <c r="A43" s="9" t="s">
        <v>178</v>
      </c>
    </row>
    <row r="44" spans="1:10" ht="24" customHeight="1" x14ac:dyDescent="0.25">
      <c r="A44" s="9"/>
    </row>
    <row r="45" spans="1:10" x14ac:dyDescent="0.25">
      <c r="A45" s="9" t="s">
        <v>156</v>
      </c>
      <c r="G45" s="226" t="s">
        <v>873</v>
      </c>
      <c r="H45" s="226"/>
      <c r="I45" s="226"/>
      <c r="J45" s="226"/>
    </row>
    <row r="46" spans="1:10" ht="24" customHeight="1" x14ac:dyDescent="0.4">
      <c r="A46" s="37" t="str">
        <f>CONCATENATE($I39,"1")</f>
        <v>L1</v>
      </c>
      <c r="B46" s="222" t="str">
        <f>IF(VLOOKUP($A46,Players!$A$2:$C$132,3)&lt;&gt;0,VLOOKUP($A46,Players!$A$2:$C$132,3),"")</f>
        <v/>
      </c>
      <c r="C46" s="222"/>
      <c r="D46" s="222"/>
      <c r="E46" s="222"/>
      <c r="F46" s="222"/>
      <c r="G46" s="225" t="str">
        <f>IF(VLOOKUP($D39&amp;RIGHT($A46,1),Players!$A$2:$D$132,3)&lt;&gt;0,VLOOKUP($D39&amp;RIGHT($A46,1),Players!$A$2:$D$132,3),"")</f>
        <v/>
      </c>
      <c r="H46" s="225"/>
      <c r="I46" s="225"/>
      <c r="J46" s="168" t="str">
        <f>IF(VLOOKUP($D39&amp;RIGHT($A46,1),Players!$A$2:$D$132,3)&lt;&gt;0,"("&amp;VLOOKUP($D39&amp;RIGHT($A46,1),Players!$A$2:$D$132,4)&amp;")","")</f>
        <v/>
      </c>
    </row>
    <row r="47" spans="1:10" ht="25.5" customHeight="1" x14ac:dyDescent="0.4">
      <c r="A47" s="37" t="str">
        <f>CONCATENATE($I39,"2")</f>
        <v>L2</v>
      </c>
      <c r="B47" s="222" t="str">
        <f>IF(VLOOKUP($A47,Players!$A$2:$C$132,3)&lt;&gt;0,VLOOKUP($A47,Players!$A$2:$C$132,3),"")</f>
        <v/>
      </c>
      <c r="C47" s="222"/>
      <c r="D47" s="222"/>
      <c r="E47" s="222"/>
      <c r="F47" s="222"/>
      <c r="G47" s="225" t="str">
        <f>IF(VLOOKUP($D39&amp;RIGHT($A47,1),Players!$A$2:$D$132,3)&lt;&gt;0,VLOOKUP($D39&amp;RIGHT($A47,1),Players!$A$2:$D$132,3),"")</f>
        <v/>
      </c>
      <c r="H47" s="225"/>
      <c r="I47" s="225"/>
      <c r="J47" s="168" t="str">
        <f>IF(VLOOKUP($D39&amp;RIGHT($A47,1),Players!$A$2:$D$132,3)&lt;&gt;0,"("&amp;VLOOKUP($D39&amp;RIGHT($A47,1),Players!$A$2:$D$132,4)&amp;")","")</f>
        <v/>
      </c>
    </row>
    <row r="48" spans="1:10" ht="25.5" customHeight="1" x14ac:dyDescent="0.4">
      <c r="A48" s="37" t="str">
        <f>CONCATENATE($I39,"3")</f>
        <v>L3</v>
      </c>
      <c r="B48" s="222" t="str">
        <f>IF(VLOOKUP($A48,Players!$A$2:$C$132,3)&lt;&gt;0,VLOOKUP($A48,Players!$A$2:$C$132,3),"")</f>
        <v/>
      </c>
      <c r="C48" s="222"/>
      <c r="D48" s="222"/>
      <c r="E48" s="222"/>
      <c r="F48" s="222"/>
      <c r="G48" s="225" t="str">
        <f>IF(VLOOKUP($D39&amp;RIGHT($A48,1),Players!$A$2:$D$132,3)&lt;&gt;0,VLOOKUP($D39&amp;RIGHT($A48,1),Players!$A$2:$D$132,3),"")</f>
        <v/>
      </c>
      <c r="H48" s="225"/>
      <c r="I48" s="225"/>
      <c r="J48" s="168" t="str">
        <f>IF(VLOOKUP($D39&amp;RIGHT($A48,1),Players!$A$2:$D$132,3)&lt;&gt;0,"("&amp;VLOOKUP($D39&amp;RIGHT($A48,1),Players!$A$2:$D$132,4)&amp;")","")</f>
        <v/>
      </c>
    </row>
    <row r="49" spans="1:10" ht="25.5" customHeight="1" x14ac:dyDescent="0.4">
      <c r="A49" s="37" t="str">
        <f>CONCATENATE($I39,"4")</f>
        <v>L4</v>
      </c>
      <c r="B49" s="222" t="str">
        <f>IF(VLOOKUP($A49,Players!$A$2:$C$132,3)&lt;&gt;0,VLOOKUP($A49,Players!$A$2:$C$132,3),"")</f>
        <v/>
      </c>
      <c r="C49" s="222"/>
      <c r="D49" s="222"/>
      <c r="E49" s="222"/>
      <c r="F49" s="222"/>
      <c r="G49" s="225" t="str">
        <f>IF(VLOOKUP($D39&amp;RIGHT($A49,1),Players!$A$2:$D$132,3)&lt;&gt;0,VLOOKUP($D39&amp;RIGHT($A49,1),Players!$A$2:$D$132,3),"")</f>
        <v/>
      </c>
      <c r="H49" s="225"/>
      <c r="I49" s="225"/>
      <c r="J49" s="168" t="str">
        <f>IF(VLOOKUP($D39&amp;RIGHT($A49,1),Players!$A$2:$D$132,3)&lt;&gt;0,"("&amp;VLOOKUP($D39&amp;RIGHT($A49,1),Players!$A$2:$D$132,4)&amp;")","")</f>
        <v/>
      </c>
    </row>
    <row r="50" spans="1:10" ht="25.5" customHeight="1" x14ac:dyDescent="0.4">
      <c r="A50" s="37" t="str">
        <f>CONCATENATE($I39,"5")</f>
        <v>L5</v>
      </c>
      <c r="B50" s="222" t="str">
        <f>IF(VLOOKUP($A50,Players!$A$2:$C$132,3)&lt;&gt;0,VLOOKUP($A50,Players!$A$2:$C$132,3),"")</f>
        <v/>
      </c>
      <c r="C50" s="222"/>
      <c r="D50" s="222"/>
      <c r="E50" s="222"/>
      <c r="F50" s="222"/>
      <c r="G50" s="225" t="str">
        <f>IF(VLOOKUP($D39&amp;RIGHT($A50,1),Players!$A$2:$D$132,3)&lt;&gt;0,VLOOKUP($D39&amp;RIGHT($A50,1),Players!$A$2:$D$132,3),"")</f>
        <v/>
      </c>
      <c r="H50" s="225"/>
      <c r="I50" s="225"/>
      <c r="J50" s="168" t="str">
        <f>IF(VLOOKUP($D39&amp;RIGHT($A50,1),Players!$A$2:$D$132,3)&lt;&gt;0,"("&amp;VLOOKUP($D39&amp;RIGHT($A50,1),Players!$A$2:$D$132,4)&amp;")","")</f>
        <v/>
      </c>
    </row>
    <row r="51" spans="1:10" ht="25.5" customHeight="1" x14ac:dyDescent="0.4">
      <c r="A51" s="37" t="str">
        <f>CONCATENATE($I39,"6")</f>
        <v>L6</v>
      </c>
      <c r="B51" s="222" t="str">
        <f>IF(VLOOKUP($A51,Players!$A$2:$C$132,3)&lt;&gt;0,VLOOKUP($A51,Players!$A$2:$C$132,3),"")</f>
        <v/>
      </c>
      <c r="C51" s="222"/>
      <c r="D51" s="222"/>
      <c r="E51" s="222"/>
      <c r="F51" s="222"/>
      <c r="G51" s="225" t="str">
        <f>IF(VLOOKUP($D39&amp;RIGHT($A51,1),Players!$A$2:$D$132,3)&lt;&gt;0,VLOOKUP($D39&amp;RIGHT($A51,1),Players!$A$2:$D$132,3),"")</f>
        <v/>
      </c>
      <c r="H51" s="225"/>
      <c r="I51" s="225"/>
      <c r="J51" s="168" t="str">
        <f>IF(VLOOKUP($D39&amp;RIGHT($A51,1),Players!$A$2:$D$132,3)&lt;&gt;0,"("&amp;VLOOKUP($D39&amp;RIGHT($A51,1),Players!$A$2:$D$132,4)&amp;")","")</f>
        <v/>
      </c>
    </row>
    <row r="52" spans="1:10" ht="25.5" customHeight="1" x14ac:dyDescent="0.4">
      <c r="A52" s="37" t="str">
        <f>CONCATENATE($I39,"7")</f>
        <v>L7</v>
      </c>
      <c r="B52" s="222" t="str">
        <f>IF(VLOOKUP($A52,Players!$A$2:$C$132,3)&lt;&gt;0,VLOOKUP($A52,Players!$A$2:$C$132,3),"")</f>
        <v/>
      </c>
      <c r="C52" s="222"/>
      <c r="D52" s="222"/>
      <c r="E52" s="222"/>
      <c r="F52" s="222"/>
      <c r="G52" s="225" t="str">
        <f>IF(VLOOKUP($D39&amp;RIGHT($A52,1),Players!$A$2:$D$132,3)&lt;&gt;0,VLOOKUP($D39&amp;RIGHT($A52,1),Players!$A$2:$D$132,3),"")</f>
        <v/>
      </c>
      <c r="H52" s="225"/>
      <c r="I52" s="225"/>
      <c r="J52" s="168" t="str">
        <f>IF(VLOOKUP($D39&amp;RIGHT($A52,1),Players!$A$2:$D$132,3)&lt;&gt;0,"("&amp;VLOOKUP($D39&amp;RIGHT($A52,1),Players!$A$2:$D$132,4)&amp;")","")</f>
        <v/>
      </c>
    </row>
    <row r="53" spans="1:10" ht="25.5" customHeight="1" x14ac:dyDescent="0.4">
      <c r="A53" s="37" t="str">
        <f>CONCATENATE($I39,"8")</f>
        <v>L8</v>
      </c>
      <c r="B53" s="222" t="str">
        <f>IF(VLOOKUP($A53,Players!$A$2:$C$132,3)&lt;&gt;0,VLOOKUP($A53,Players!$A$2:$C$132,3),"")</f>
        <v/>
      </c>
      <c r="C53" s="222"/>
      <c r="D53" s="222"/>
      <c r="E53" s="222"/>
      <c r="F53" s="222"/>
      <c r="G53" s="225" t="str">
        <f>IF(VLOOKUP($D39&amp;RIGHT($A53,1),Players!$A$2:$D$132,3)&lt;&gt;0,VLOOKUP($D39&amp;RIGHT($A53,1),Players!$A$2:$D$132,3),"")</f>
        <v/>
      </c>
      <c r="H53" s="225"/>
      <c r="I53" s="225"/>
      <c r="J53" s="168" t="str">
        <f>IF(VLOOKUP($D39&amp;RIGHT($A53,1),Players!$A$2:$D$132,3)&lt;&gt;0,"("&amp;VLOOKUP($D39&amp;RIGHT($A53,1),Players!$A$2:$D$132,4)&amp;")","")</f>
        <v/>
      </c>
    </row>
    <row r="54" spans="1:10" ht="25.5" customHeight="1" x14ac:dyDescent="0.25">
      <c r="A54" s="37"/>
      <c r="B54" s="7"/>
      <c r="C54" s="7"/>
      <c r="D54" s="7"/>
      <c r="E54" s="7"/>
    </row>
    <row r="55" spans="1:10" x14ac:dyDescent="0.25">
      <c r="A55" s="9" t="s">
        <v>157</v>
      </c>
    </row>
    <row r="56" spans="1:10" x14ac:dyDescent="0.25">
      <c r="A56" t="s">
        <v>179</v>
      </c>
    </row>
    <row r="57" spans="1:10" x14ac:dyDescent="0.25">
      <c r="A57" s="55" t="s">
        <v>918</v>
      </c>
    </row>
    <row r="58" spans="1:10" x14ac:dyDescent="0.25">
      <c r="A58" t="s">
        <v>919</v>
      </c>
    </row>
    <row r="59" spans="1:10" ht="25.5" customHeight="1" thickBot="1" x14ac:dyDescent="0.3">
      <c r="A59" s="37"/>
    </row>
    <row r="60" spans="1:10" x14ac:dyDescent="0.25">
      <c r="B60" s="213"/>
      <c r="C60" s="214"/>
      <c r="D60" s="214"/>
      <c r="E60" s="214"/>
      <c r="F60" s="215"/>
    </row>
    <row r="61" spans="1:10" ht="13.8" thickBot="1" x14ac:dyDescent="0.3">
      <c r="B61" s="216"/>
      <c r="C61" s="217"/>
      <c r="D61" s="217"/>
      <c r="E61" s="217"/>
      <c r="F61" s="218"/>
    </row>
    <row r="65" spans="1:10" ht="25.5" customHeight="1" x14ac:dyDescent="0.25">
      <c r="A65" s="36"/>
      <c r="B65" s="36"/>
      <c r="C65" s="36"/>
      <c r="D65" s="36"/>
      <c r="E65" s="36"/>
      <c r="G65" s="38"/>
      <c r="H65" s="227" t="s">
        <v>159</v>
      </c>
      <c r="I65" s="228"/>
    </row>
    <row r="66" spans="1:10" x14ac:dyDescent="0.25">
      <c r="A66" t="s">
        <v>158</v>
      </c>
    </row>
    <row r="68" spans="1:10" x14ac:dyDescent="0.25">
      <c r="E68" s="219" t="str">
        <f>CONCATENATE("(",$D39," vs ",$I39,")")</f>
        <v>(A vs L)</v>
      </c>
      <c r="F68" s="219"/>
    </row>
    <row r="69" spans="1:10" ht="15.6" x14ac:dyDescent="0.3">
      <c r="A69" s="33" t="s">
        <v>155</v>
      </c>
      <c r="J69" s="82" t="s">
        <v>473</v>
      </c>
    </row>
    <row r="70" spans="1:10" ht="12.75" customHeight="1" x14ac:dyDescent="0.3">
      <c r="A70" s="33"/>
      <c r="G70" t="str">
        <f ca="1">Team_Matches!$J$6</f>
        <v>[NCTTA Teams Template (v3.4).xlsx]</v>
      </c>
      <c r="J70" s="55"/>
    </row>
    <row r="71" spans="1:10" ht="12.75" customHeight="1" x14ac:dyDescent="0.3">
      <c r="A71" s="33"/>
      <c r="G71" s="229" t="str">
        <f>Team_Matches!$J58</f>
        <v>Round 1, Match 2</v>
      </c>
      <c r="H71" s="229"/>
      <c r="I71" s="127" t="str">
        <f>Team_Matches!$M58</f>
        <v/>
      </c>
      <c r="J71" s="127"/>
    </row>
    <row r="72" spans="1:10" ht="15.6" x14ac:dyDescent="0.3">
      <c r="A72" s="33"/>
    </row>
    <row r="73" spans="1:10" x14ac:dyDescent="0.25">
      <c r="C73" s="7" t="s">
        <v>160</v>
      </c>
      <c r="D73" s="3" t="str">
        <f>Team_Matches!$B60</f>
        <v>B</v>
      </c>
      <c r="F73" s="83" t="str">
        <f>CONCATENATE($D73,"-",$I73)</f>
        <v>B-K</v>
      </c>
      <c r="H73" s="7" t="s">
        <v>160</v>
      </c>
      <c r="I73" s="3" t="str">
        <f>Team_Matches!$K60</f>
        <v>K</v>
      </c>
    </row>
    <row r="74" spans="1:10" ht="25.5" customHeight="1" x14ac:dyDescent="0.25">
      <c r="A74" s="34"/>
      <c r="B74" s="220" t="str">
        <f>IF(VLOOKUP($D73,Draw!$A$4:$B$27,2)&lt;&gt;0,VLOOKUP($D73,Draw!$A$4:$B$27,2),"")</f>
        <v/>
      </c>
      <c r="C74" s="220"/>
      <c r="D74" s="220"/>
      <c r="E74" s="221"/>
      <c r="F74" s="35"/>
      <c r="G74" s="223" t="str">
        <f>IF(VLOOKUP($I73,Draw!$A$4:$B$27,2)&lt;&gt;0,VLOOKUP($I73,Draw!$A$4:$B$27,2),"")</f>
        <v/>
      </c>
      <c r="H74" s="223"/>
      <c r="I74" s="223"/>
      <c r="J74" s="224"/>
    </row>
    <row r="75" spans="1:10" ht="25.5" customHeight="1" x14ac:dyDescent="0.25"/>
    <row r="76" spans="1:10" ht="25.5" customHeight="1" x14ac:dyDescent="0.25"/>
    <row r="77" spans="1:10" ht="24" customHeight="1" x14ac:dyDescent="0.25">
      <c r="A77" s="9" t="s">
        <v>178</v>
      </c>
    </row>
    <row r="78" spans="1:10" ht="24" customHeight="1" x14ac:dyDescent="0.25">
      <c r="A78" s="9"/>
    </row>
    <row r="79" spans="1:10" x14ac:dyDescent="0.25">
      <c r="A79" s="9" t="s">
        <v>156</v>
      </c>
      <c r="G79" s="226" t="s">
        <v>873</v>
      </c>
      <c r="H79" s="226"/>
      <c r="I79" s="226"/>
      <c r="J79" s="226"/>
    </row>
    <row r="80" spans="1:10" ht="24" customHeight="1" x14ac:dyDescent="0.4">
      <c r="A80" s="37" t="str">
        <f>CONCATENATE($D73,"1")</f>
        <v>B1</v>
      </c>
      <c r="B80" s="222" t="str">
        <f>IF(VLOOKUP($A80,Players!$A$2:$C$132,3)&lt;&gt;0,VLOOKUP($A80,Players!$A$2:$C$132,3),"")</f>
        <v/>
      </c>
      <c r="C80" s="222"/>
      <c r="D80" s="222"/>
      <c r="E80" s="222"/>
      <c r="F80" s="222"/>
      <c r="G80" s="225" t="str">
        <f>IF(VLOOKUP($I73&amp;RIGHT($A80,1),Players!$A$2:$D$132,3)&lt;&gt;0,VLOOKUP($I73&amp;RIGHT($A80,1),Players!$A$2:$D$132,3),"")</f>
        <v/>
      </c>
      <c r="H80" s="225"/>
      <c r="I80" s="225"/>
      <c r="J80" s="168" t="str">
        <f>IF(VLOOKUP($I73&amp;RIGHT($A80,1),Players!$A$2:$D$132,3)&lt;&gt;0,"("&amp;VLOOKUP($I73&amp;RIGHT($A80,1),Players!$A$2:$D$132,4)&amp;")","")</f>
        <v/>
      </c>
    </row>
    <row r="81" spans="1:10" ht="25.5" customHeight="1" x14ac:dyDescent="0.4">
      <c r="A81" s="37" t="str">
        <f>CONCATENATE($D73,"2")</f>
        <v>B2</v>
      </c>
      <c r="B81" s="222" t="str">
        <f>IF(VLOOKUP($A81,Players!$A$2:$C$132,3)&lt;&gt;0,VLOOKUP($A81,Players!$A$2:$C$132,3),"")</f>
        <v/>
      </c>
      <c r="C81" s="222"/>
      <c r="D81" s="222"/>
      <c r="E81" s="222"/>
      <c r="F81" s="222"/>
      <c r="G81" s="225" t="str">
        <f>IF(VLOOKUP($I73&amp;RIGHT($A81,1),Players!$A$2:$D$132,3)&lt;&gt;0,VLOOKUP($I73&amp;RIGHT($A81,1),Players!$A$2:$D$132,3),"")</f>
        <v/>
      </c>
      <c r="H81" s="225"/>
      <c r="I81" s="225"/>
      <c r="J81" s="168" t="str">
        <f>IF(VLOOKUP($I73&amp;RIGHT($A81,1),Players!$A$2:$D$132,3)&lt;&gt;0,"("&amp;VLOOKUP($I73&amp;RIGHT($A81,1),Players!$A$2:$D$132,4)&amp;")","")</f>
        <v/>
      </c>
    </row>
    <row r="82" spans="1:10" ht="25.5" customHeight="1" x14ac:dyDescent="0.4">
      <c r="A82" s="37" t="str">
        <f>CONCATENATE($D73,"3")</f>
        <v>B3</v>
      </c>
      <c r="B82" s="222" t="str">
        <f>IF(VLOOKUP($A82,Players!$A$2:$C$132,3)&lt;&gt;0,VLOOKUP($A82,Players!$A$2:$C$132,3),"")</f>
        <v/>
      </c>
      <c r="C82" s="222"/>
      <c r="D82" s="222"/>
      <c r="E82" s="222"/>
      <c r="F82" s="222"/>
      <c r="G82" s="225" t="str">
        <f>IF(VLOOKUP($I73&amp;RIGHT($A82,1),Players!$A$2:$D$132,3)&lt;&gt;0,VLOOKUP($I73&amp;RIGHT($A82,1),Players!$A$2:$D$132,3),"")</f>
        <v/>
      </c>
      <c r="H82" s="225"/>
      <c r="I82" s="225"/>
      <c r="J82" s="168" t="str">
        <f>IF(VLOOKUP($I73&amp;RIGHT($A82,1),Players!$A$2:$D$132,3)&lt;&gt;0,"("&amp;VLOOKUP($I73&amp;RIGHT($A82,1),Players!$A$2:$D$132,4)&amp;")","")</f>
        <v/>
      </c>
    </row>
    <row r="83" spans="1:10" ht="25.5" customHeight="1" x14ac:dyDescent="0.4">
      <c r="A83" s="37" t="str">
        <f>CONCATENATE($D73,"4")</f>
        <v>B4</v>
      </c>
      <c r="B83" s="222" t="str">
        <f>IF(VLOOKUP($A83,Players!$A$2:$C$132,3)&lt;&gt;0,VLOOKUP($A83,Players!$A$2:$C$132,3),"")</f>
        <v/>
      </c>
      <c r="C83" s="222"/>
      <c r="D83" s="222"/>
      <c r="E83" s="222"/>
      <c r="F83" s="222"/>
      <c r="G83" s="225" t="str">
        <f>IF(VLOOKUP($I73&amp;RIGHT($A83,1),Players!$A$2:$D$132,3)&lt;&gt;0,VLOOKUP($I73&amp;RIGHT($A83,1),Players!$A$2:$D$132,3),"")</f>
        <v/>
      </c>
      <c r="H83" s="225"/>
      <c r="I83" s="225"/>
      <c r="J83" s="168" t="str">
        <f>IF(VLOOKUP($I73&amp;RIGHT($A83,1),Players!$A$2:$D$132,3)&lt;&gt;0,"("&amp;VLOOKUP($I73&amp;RIGHT($A83,1),Players!$A$2:$D$132,4)&amp;")","")</f>
        <v/>
      </c>
    </row>
    <row r="84" spans="1:10" ht="25.5" customHeight="1" x14ac:dyDescent="0.4">
      <c r="A84" s="37" t="str">
        <f>CONCATENATE($D73,"5")</f>
        <v>B5</v>
      </c>
      <c r="B84" s="222" t="str">
        <f>IF(VLOOKUP($A84,Players!$A$2:$C$132,3)&lt;&gt;0,VLOOKUP($A84,Players!$A$2:$C$132,3),"")</f>
        <v/>
      </c>
      <c r="C84" s="222"/>
      <c r="D84" s="222"/>
      <c r="E84" s="222"/>
      <c r="F84" s="222"/>
      <c r="G84" s="225" t="str">
        <f>IF(VLOOKUP($I73&amp;RIGHT($A84,1),Players!$A$2:$D$132,3)&lt;&gt;0,VLOOKUP($I73&amp;RIGHT($A84,1),Players!$A$2:$D$132,3),"")</f>
        <v/>
      </c>
      <c r="H84" s="225"/>
      <c r="I84" s="225"/>
      <c r="J84" s="168" t="str">
        <f>IF(VLOOKUP($I73&amp;RIGHT($A84,1),Players!$A$2:$D$132,3)&lt;&gt;0,"("&amp;VLOOKUP($I73&amp;RIGHT($A84,1),Players!$A$2:$D$132,4)&amp;")","")</f>
        <v/>
      </c>
    </row>
    <row r="85" spans="1:10" ht="25.5" customHeight="1" x14ac:dyDescent="0.4">
      <c r="A85" s="37" t="str">
        <f>CONCATENATE($D73,"6")</f>
        <v>B6</v>
      </c>
      <c r="B85" s="222" t="str">
        <f>IF(VLOOKUP($A85,Players!$A$2:$C$132,3)&lt;&gt;0,VLOOKUP($A85,Players!$A$2:$C$132,3),"")</f>
        <v/>
      </c>
      <c r="C85" s="222"/>
      <c r="D85" s="222"/>
      <c r="E85" s="222"/>
      <c r="F85" s="222"/>
      <c r="G85" s="225" t="str">
        <f>IF(VLOOKUP($I73&amp;RIGHT($A85,1),Players!$A$2:$D$132,3)&lt;&gt;0,VLOOKUP($I73&amp;RIGHT($A85,1),Players!$A$2:$D$132,3),"")</f>
        <v/>
      </c>
      <c r="H85" s="225"/>
      <c r="I85" s="225"/>
      <c r="J85" s="168" t="str">
        <f>IF(VLOOKUP($I73&amp;RIGHT($A85,1),Players!$A$2:$D$132,3)&lt;&gt;0,"("&amp;VLOOKUP($I73&amp;RIGHT($A85,1),Players!$A$2:$D$132,4)&amp;")","")</f>
        <v/>
      </c>
    </row>
    <row r="86" spans="1:10" ht="25.5" customHeight="1" x14ac:dyDescent="0.4">
      <c r="A86" s="37" t="str">
        <f>CONCATENATE($D73,"7")</f>
        <v>B7</v>
      </c>
      <c r="B86" s="222" t="str">
        <f>IF(VLOOKUP($A86,Players!$A$2:$C$132,3)&lt;&gt;0,VLOOKUP($A86,Players!$A$2:$C$132,3),"")</f>
        <v/>
      </c>
      <c r="C86" s="222"/>
      <c r="D86" s="222"/>
      <c r="E86" s="222"/>
      <c r="F86" s="222"/>
      <c r="G86" s="225" t="str">
        <f>IF(VLOOKUP($I73&amp;RIGHT($A86,1),Players!$A$2:$D$132,3)&lt;&gt;0,VLOOKUP($I73&amp;RIGHT($A86,1),Players!$A$2:$D$132,3),"")</f>
        <v/>
      </c>
      <c r="H86" s="225"/>
      <c r="I86" s="225"/>
      <c r="J86" s="168" t="str">
        <f>IF(VLOOKUP($I73&amp;RIGHT($A86,1),Players!$A$2:$D$132,3)&lt;&gt;0,"("&amp;VLOOKUP($I73&amp;RIGHT($A86,1),Players!$A$2:$D$132,4)&amp;")","")</f>
        <v/>
      </c>
    </row>
    <row r="87" spans="1:10" ht="25.5" customHeight="1" x14ac:dyDescent="0.4">
      <c r="A87" s="37" t="str">
        <f>CONCATENATE($D73,"8")</f>
        <v>B8</v>
      </c>
      <c r="B87" s="222" t="str">
        <f>IF(VLOOKUP($A87,Players!$A$2:$C$132,3)&lt;&gt;0,VLOOKUP($A87,Players!$A$2:$C$132,3),"")</f>
        <v/>
      </c>
      <c r="C87" s="222"/>
      <c r="D87" s="222"/>
      <c r="E87" s="222"/>
      <c r="F87" s="222"/>
      <c r="G87" s="225" t="str">
        <f>IF(VLOOKUP($I73&amp;RIGHT($A87,1),Players!$A$2:$D$132,3)&lt;&gt;0,VLOOKUP($I73&amp;RIGHT($A87,1),Players!$A$2:$D$132,3),"")</f>
        <v/>
      </c>
      <c r="H87" s="225"/>
      <c r="I87" s="225"/>
      <c r="J87" s="168" t="str">
        <f>IF(VLOOKUP($I73&amp;RIGHT($A87,1),Players!$A$2:$D$132,3)&lt;&gt;0,"("&amp;VLOOKUP($I73&amp;RIGHT($A87,1),Players!$A$2:$D$132,4)&amp;")","")</f>
        <v/>
      </c>
    </row>
    <row r="88" spans="1:10" ht="25.5" customHeight="1" x14ac:dyDescent="0.25">
      <c r="A88" s="37"/>
      <c r="B88" s="7"/>
      <c r="C88" s="7"/>
      <c r="D88" s="7"/>
      <c r="E88" s="7"/>
    </row>
    <row r="89" spans="1:10" x14ac:dyDescent="0.25">
      <c r="A89" s="9" t="s">
        <v>157</v>
      </c>
    </row>
    <row r="90" spans="1:10" x14ac:dyDescent="0.25">
      <c r="A90" t="s">
        <v>179</v>
      </c>
    </row>
    <row r="91" spans="1:10" x14ac:dyDescent="0.25">
      <c r="A91" s="55" t="s">
        <v>918</v>
      </c>
    </row>
    <row r="92" spans="1:10" x14ac:dyDescent="0.25">
      <c r="A92" t="s">
        <v>919</v>
      </c>
    </row>
    <row r="93" spans="1:10" ht="25.5" customHeight="1" thickBot="1" x14ac:dyDescent="0.3">
      <c r="A93" s="37"/>
    </row>
    <row r="94" spans="1:10" x14ac:dyDescent="0.25">
      <c r="B94" s="213"/>
      <c r="C94" s="214"/>
      <c r="D94" s="214"/>
      <c r="E94" s="214"/>
      <c r="F94" s="215"/>
    </row>
    <row r="95" spans="1:10" ht="13.8" thickBot="1" x14ac:dyDescent="0.3">
      <c r="B95" s="216"/>
      <c r="C95" s="217"/>
      <c r="D95" s="217"/>
      <c r="E95" s="217"/>
      <c r="F95" s="218"/>
    </row>
    <row r="99" spans="1:10" ht="25.5" customHeight="1" x14ac:dyDescent="0.25">
      <c r="A99" s="36"/>
      <c r="B99" s="36"/>
      <c r="C99" s="36"/>
      <c r="D99" s="36"/>
      <c r="E99" s="36"/>
      <c r="G99" s="38"/>
      <c r="H99" s="227" t="s">
        <v>159</v>
      </c>
      <c r="I99" s="228"/>
    </row>
    <row r="100" spans="1:10" x14ac:dyDescent="0.25">
      <c r="A100" t="s">
        <v>158</v>
      </c>
    </row>
    <row r="102" spans="1:10" x14ac:dyDescent="0.25">
      <c r="E102" s="219" t="str">
        <f>CONCATENATE("(",$D73," vs ",$I73,")")</f>
        <v>(B vs K)</v>
      </c>
      <c r="F102" s="219"/>
    </row>
    <row r="103" spans="1:10" ht="15.6" x14ac:dyDescent="0.3">
      <c r="A103" s="33" t="s">
        <v>155</v>
      </c>
      <c r="J103" s="82" t="s">
        <v>474</v>
      </c>
    </row>
    <row r="104" spans="1:10" ht="12.75" customHeight="1" x14ac:dyDescent="0.3">
      <c r="A104" s="33"/>
      <c r="G104" t="str">
        <f ca="1">Team_Matches!$J$6</f>
        <v>[NCTTA Teams Template (v3.4).xlsx]</v>
      </c>
      <c r="J104" s="55"/>
    </row>
    <row r="105" spans="1:10" ht="12.75" customHeight="1" x14ac:dyDescent="0.3">
      <c r="A105" s="33"/>
      <c r="G105" s="229" t="str">
        <f>Team_Matches!$J58</f>
        <v>Round 1, Match 2</v>
      </c>
      <c r="H105" s="229"/>
      <c r="I105" s="127" t="str">
        <f>Team_Matches!$M58</f>
        <v/>
      </c>
      <c r="J105" s="127"/>
    </row>
    <row r="106" spans="1:10" ht="15.6" x14ac:dyDescent="0.3">
      <c r="A106" s="33"/>
    </row>
    <row r="107" spans="1:10" x14ac:dyDescent="0.25">
      <c r="C107" s="7" t="s">
        <v>160</v>
      </c>
      <c r="D107" s="3" t="str">
        <f>Team_Matches!$B60</f>
        <v>B</v>
      </c>
      <c r="F107" s="83" t="str">
        <f>CONCATENATE($D107,"-",$I107)</f>
        <v>B-K</v>
      </c>
      <c r="H107" s="7" t="s">
        <v>160</v>
      </c>
      <c r="I107" s="3" t="str">
        <f>Team_Matches!$K60</f>
        <v>K</v>
      </c>
    </row>
    <row r="108" spans="1:10" ht="25.5" customHeight="1" x14ac:dyDescent="0.25">
      <c r="A108" s="34"/>
      <c r="B108" s="223" t="str">
        <f>IF(VLOOKUP($D107,Draw!$A$4:$B$27,2)&lt;&gt;0,VLOOKUP($D107,Draw!$A$4:$B$27,2),"")</f>
        <v/>
      </c>
      <c r="C108" s="223"/>
      <c r="D108" s="223"/>
      <c r="E108" s="224"/>
      <c r="F108" s="35"/>
      <c r="G108" s="220" t="str">
        <f>IF(VLOOKUP($I107,Draw!$A$4:$B$27,2)&lt;&gt;0,VLOOKUP($I107,Draw!$A$4:$B$27,2),"")</f>
        <v/>
      </c>
      <c r="H108" s="220"/>
      <c r="I108" s="220"/>
      <c r="J108" s="221"/>
    </row>
    <row r="109" spans="1:10" ht="25.5" customHeight="1" x14ac:dyDescent="0.25"/>
    <row r="110" spans="1:10" ht="25.5" customHeight="1" x14ac:dyDescent="0.25"/>
    <row r="111" spans="1:10" ht="24" customHeight="1" x14ac:dyDescent="0.25">
      <c r="A111" s="9" t="s">
        <v>178</v>
      </c>
    </row>
    <row r="112" spans="1:10" ht="24" customHeight="1" x14ac:dyDescent="0.25">
      <c r="A112" s="9"/>
    </row>
    <row r="113" spans="1:10" x14ac:dyDescent="0.25">
      <c r="A113" s="9" t="s">
        <v>156</v>
      </c>
      <c r="G113" s="226" t="s">
        <v>873</v>
      </c>
      <c r="H113" s="226"/>
      <c r="I113" s="226"/>
      <c r="J113" s="226"/>
    </row>
    <row r="114" spans="1:10" ht="24" customHeight="1" x14ac:dyDescent="0.4">
      <c r="A114" s="37" t="str">
        <f>CONCATENATE($I107,"1")</f>
        <v>K1</v>
      </c>
      <c r="B114" s="222" t="str">
        <f>IF(VLOOKUP($A114,Players!$A$2:$C$132,3)&lt;&gt;0,VLOOKUP($A114,Players!$A$2:$C$132,3),"")</f>
        <v/>
      </c>
      <c r="C114" s="222"/>
      <c r="D114" s="222"/>
      <c r="E114" s="222"/>
      <c r="F114" s="222"/>
      <c r="G114" s="225" t="str">
        <f>IF(VLOOKUP($D107&amp;RIGHT($A114,1),Players!$A$2:$D$132,3)&lt;&gt;0,VLOOKUP($D107&amp;RIGHT($A114,1),Players!$A$2:$D$132,3),"")</f>
        <v/>
      </c>
      <c r="H114" s="225"/>
      <c r="I114" s="225"/>
      <c r="J114" s="168" t="str">
        <f>IF(VLOOKUP($D107&amp;RIGHT($A114,1),Players!$A$2:$D$132,3)&lt;&gt;0,"("&amp;VLOOKUP($D107&amp;RIGHT($A114,1),Players!$A$2:$D$132,4)&amp;")","")</f>
        <v/>
      </c>
    </row>
    <row r="115" spans="1:10" ht="25.5" customHeight="1" x14ac:dyDescent="0.4">
      <c r="A115" s="37" t="str">
        <f>CONCATENATE($I107,"2")</f>
        <v>K2</v>
      </c>
      <c r="B115" s="222" t="str">
        <f>IF(VLOOKUP($A115,Players!$A$2:$C$132,3)&lt;&gt;0,VLOOKUP($A115,Players!$A$2:$C$132,3),"")</f>
        <v/>
      </c>
      <c r="C115" s="222"/>
      <c r="D115" s="222"/>
      <c r="E115" s="222"/>
      <c r="F115" s="222"/>
      <c r="G115" s="225" t="str">
        <f>IF(VLOOKUP($D107&amp;RIGHT($A115,1),Players!$A$2:$D$132,3)&lt;&gt;0,VLOOKUP($D107&amp;RIGHT($A115,1),Players!$A$2:$D$132,3),"")</f>
        <v/>
      </c>
      <c r="H115" s="225"/>
      <c r="I115" s="225"/>
      <c r="J115" s="168" t="str">
        <f>IF(VLOOKUP($D107&amp;RIGHT($A115,1),Players!$A$2:$D$132,3)&lt;&gt;0,"("&amp;VLOOKUP($D107&amp;RIGHT($A115,1),Players!$A$2:$D$132,4)&amp;")","")</f>
        <v/>
      </c>
    </row>
    <row r="116" spans="1:10" ht="25.5" customHeight="1" x14ac:dyDescent="0.4">
      <c r="A116" s="37" t="str">
        <f>CONCATENATE($I107,"3")</f>
        <v>K3</v>
      </c>
      <c r="B116" s="222" t="str">
        <f>IF(VLOOKUP($A116,Players!$A$2:$C$132,3)&lt;&gt;0,VLOOKUP($A116,Players!$A$2:$C$132,3),"")</f>
        <v/>
      </c>
      <c r="C116" s="222"/>
      <c r="D116" s="222"/>
      <c r="E116" s="222"/>
      <c r="F116" s="222"/>
      <c r="G116" s="225" t="str">
        <f>IF(VLOOKUP($D107&amp;RIGHT($A116,1),Players!$A$2:$D$132,3)&lt;&gt;0,VLOOKUP($D107&amp;RIGHT($A116,1),Players!$A$2:$D$132,3),"")</f>
        <v/>
      </c>
      <c r="H116" s="225"/>
      <c r="I116" s="225"/>
      <c r="J116" s="168" t="str">
        <f>IF(VLOOKUP($D107&amp;RIGHT($A116,1),Players!$A$2:$D$132,3)&lt;&gt;0,"("&amp;VLOOKUP($D107&amp;RIGHT($A116,1),Players!$A$2:$D$132,4)&amp;")","")</f>
        <v/>
      </c>
    </row>
    <row r="117" spans="1:10" ht="25.5" customHeight="1" x14ac:dyDescent="0.4">
      <c r="A117" s="37" t="str">
        <f>CONCATENATE($I107,"4")</f>
        <v>K4</v>
      </c>
      <c r="B117" s="222" t="str">
        <f>IF(VLOOKUP($A117,Players!$A$2:$C$132,3)&lt;&gt;0,VLOOKUP($A117,Players!$A$2:$C$132,3),"")</f>
        <v/>
      </c>
      <c r="C117" s="222"/>
      <c r="D117" s="222"/>
      <c r="E117" s="222"/>
      <c r="F117" s="222"/>
      <c r="G117" s="225" t="str">
        <f>IF(VLOOKUP($D107&amp;RIGHT($A117,1),Players!$A$2:$D$132,3)&lt;&gt;0,VLOOKUP($D107&amp;RIGHT($A117,1),Players!$A$2:$D$132,3),"")</f>
        <v/>
      </c>
      <c r="H117" s="225"/>
      <c r="I117" s="225"/>
      <c r="J117" s="168" t="str">
        <f>IF(VLOOKUP($D107&amp;RIGHT($A117,1),Players!$A$2:$D$132,3)&lt;&gt;0,"("&amp;VLOOKUP($D107&amp;RIGHT($A117,1),Players!$A$2:$D$132,4)&amp;")","")</f>
        <v/>
      </c>
    </row>
    <row r="118" spans="1:10" ht="25.5" customHeight="1" x14ac:dyDescent="0.4">
      <c r="A118" s="37" t="str">
        <f>CONCATENATE($I107,"5")</f>
        <v>K5</v>
      </c>
      <c r="B118" s="222" t="str">
        <f>IF(VLOOKUP($A118,Players!$A$2:$C$132,3)&lt;&gt;0,VLOOKUP($A118,Players!$A$2:$C$132,3),"")</f>
        <v/>
      </c>
      <c r="C118" s="222"/>
      <c r="D118" s="222"/>
      <c r="E118" s="222"/>
      <c r="F118" s="222"/>
      <c r="G118" s="225" t="str">
        <f>IF(VLOOKUP($D107&amp;RIGHT($A118,1),Players!$A$2:$D$132,3)&lt;&gt;0,VLOOKUP($D107&amp;RIGHT($A118,1),Players!$A$2:$D$132,3),"")</f>
        <v/>
      </c>
      <c r="H118" s="225"/>
      <c r="I118" s="225"/>
      <c r="J118" s="168" t="str">
        <f>IF(VLOOKUP($D107&amp;RIGHT($A118,1),Players!$A$2:$D$132,3)&lt;&gt;0,"("&amp;VLOOKUP($D107&amp;RIGHT($A118,1),Players!$A$2:$D$132,4)&amp;")","")</f>
        <v/>
      </c>
    </row>
    <row r="119" spans="1:10" ht="25.5" customHeight="1" x14ac:dyDescent="0.4">
      <c r="A119" s="37" t="str">
        <f>CONCATENATE($I107,"6")</f>
        <v>K6</v>
      </c>
      <c r="B119" s="222" t="str">
        <f>IF(VLOOKUP($A119,Players!$A$2:$C$132,3)&lt;&gt;0,VLOOKUP($A119,Players!$A$2:$C$132,3),"")</f>
        <v/>
      </c>
      <c r="C119" s="222"/>
      <c r="D119" s="222"/>
      <c r="E119" s="222"/>
      <c r="F119" s="222"/>
      <c r="G119" s="225" t="str">
        <f>IF(VLOOKUP($D107&amp;RIGHT($A119,1),Players!$A$2:$D$132,3)&lt;&gt;0,VLOOKUP($D107&amp;RIGHT($A119,1),Players!$A$2:$D$132,3),"")</f>
        <v/>
      </c>
      <c r="H119" s="225"/>
      <c r="I119" s="225"/>
      <c r="J119" s="168" t="str">
        <f>IF(VLOOKUP($D107&amp;RIGHT($A119,1),Players!$A$2:$D$132,3)&lt;&gt;0,"("&amp;VLOOKUP($D107&amp;RIGHT($A119,1),Players!$A$2:$D$132,4)&amp;")","")</f>
        <v/>
      </c>
    </row>
    <row r="120" spans="1:10" ht="25.5" customHeight="1" x14ac:dyDescent="0.4">
      <c r="A120" s="37" t="str">
        <f>CONCATENATE($I107,"7")</f>
        <v>K7</v>
      </c>
      <c r="B120" s="222" t="str">
        <f>IF(VLOOKUP($A120,Players!$A$2:$C$132,3)&lt;&gt;0,VLOOKUP($A120,Players!$A$2:$C$132,3),"")</f>
        <v/>
      </c>
      <c r="C120" s="222"/>
      <c r="D120" s="222"/>
      <c r="E120" s="222"/>
      <c r="F120" s="222"/>
      <c r="G120" s="225" t="str">
        <f>IF(VLOOKUP($D107&amp;RIGHT($A120,1),Players!$A$2:$D$132,3)&lt;&gt;0,VLOOKUP($D107&amp;RIGHT($A120,1),Players!$A$2:$D$132,3),"")</f>
        <v/>
      </c>
      <c r="H120" s="225"/>
      <c r="I120" s="225"/>
      <c r="J120" s="168" t="str">
        <f>IF(VLOOKUP($D107&amp;RIGHT($A120,1),Players!$A$2:$D$132,3)&lt;&gt;0,"("&amp;VLOOKUP($D107&amp;RIGHT($A120,1),Players!$A$2:$D$132,4)&amp;")","")</f>
        <v/>
      </c>
    </row>
    <row r="121" spans="1:10" ht="25.5" customHeight="1" x14ac:dyDescent="0.4">
      <c r="A121" s="37" t="str">
        <f>CONCATENATE($I107,"8")</f>
        <v>K8</v>
      </c>
      <c r="B121" s="222" t="str">
        <f>IF(VLOOKUP($A121,Players!$A$2:$C$132,3)&lt;&gt;0,VLOOKUP($A121,Players!$A$2:$C$132,3),"")</f>
        <v/>
      </c>
      <c r="C121" s="222"/>
      <c r="D121" s="222"/>
      <c r="E121" s="222"/>
      <c r="F121" s="222"/>
      <c r="G121" s="225" t="str">
        <f>IF(VLOOKUP($D107&amp;RIGHT($A121,1),Players!$A$2:$D$132,3)&lt;&gt;0,VLOOKUP($D107&amp;RIGHT($A121,1),Players!$A$2:$D$132,3),"")</f>
        <v/>
      </c>
      <c r="H121" s="225"/>
      <c r="I121" s="225"/>
      <c r="J121" s="168" t="str">
        <f>IF(VLOOKUP($D107&amp;RIGHT($A121,1),Players!$A$2:$D$132,3)&lt;&gt;0,"("&amp;VLOOKUP($D107&amp;RIGHT($A121,1),Players!$A$2:$D$132,4)&amp;")","")</f>
        <v/>
      </c>
    </row>
    <row r="122" spans="1:10" ht="25.5" customHeight="1" x14ac:dyDescent="0.4">
      <c r="A122" s="37"/>
      <c r="B122" s="222"/>
      <c r="C122" s="222"/>
      <c r="D122" s="222"/>
      <c r="E122" s="222"/>
      <c r="F122" s="222"/>
      <c r="G122" s="81"/>
    </row>
    <row r="123" spans="1:10" x14ac:dyDescent="0.25">
      <c r="A123" s="9" t="s">
        <v>157</v>
      </c>
    </row>
    <row r="124" spans="1:10" x14ac:dyDescent="0.25">
      <c r="A124" t="s">
        <v>179</v>
      </c>
    </row>
    <row r="125" spans="1:10" x14ac:dyDescent="0.25">
      <c r="A125" s="55" t="s">
        <v>918</v>
      </c>
    </row>
    <row r="126" spans="1:10" x14ac:dyDescent="0.25">
      <c r="A126" t="s">
        <v>919</v>
      </c>
    </row>
    <row r="127" spans="1:10" ht="25.5" customHeight="1" thickBot="1" x14ac:dyDescent="0.3">
      <c r="A127" s="37"/>
    </row>
    <row r="128" spans="1:10" x14ac:dyDescent="0.25">
      <c r="B128" s="213"/>
      <c r="C128" s="214"/>
      <c r="D128" s="214"/>
      <c r="E128" s="214"/>
      <c r="F128" s="215"/>
    </row>
    <row r="129" spans="1:10" ht="13.8" thickBot="1" x14ac:dyDescent="0.3">
      <c r="B129" s="216"/>
      <c r="C129" s="217"/>
      <c r="D129" s="217"/>
      <c r="E129" s="217"/>
      <c r="F129" s="218"/>
    </row>
    <row r="133" spans="1:10" ht="25.5" customHeight="1" x14ac:dyDescent="0.25">
      <c r="A133" s="36"/>
      <c r="B133" s="36"/>
      <c r="C133" s="36"/>
      <c r="D133" s="36"/>
      <c r="E133" s="36"/>
      <c r="G133" s="38"/>
      <c r="H133" s="227" t="s">
        <v>159</v>
      </c>
      <c r="I133" s="228"/>
    </row>
    <row r="134" spans="1:10" x14ac:dyDescent="0.25">
      <c r="A134" t="s">
        <v>158</v>
      </c>
    </row>
    <row r="136" spans="1:10" x14ac:dyDescent="0.25">
      <c r="E136" s="219" t="str">
        <f>CONCATENATE("(",$D107," vs ",$I107,")")</f>
        <v>(B vs K)</v>
      </c>
      <c r="F136" s="219"/>
    </row>
    <row r="137" spans="1:10" ht="15.6" x14ac:dyDescent="0.3">
      <c r="A137" s="33" t="s">
        <v>155</v>
      </c>
      <c r="J137" s="82" t="s">
        <v>475</v>
      </c>
    </row>
    <row r="138" spans="1:10" ht="12.75" customHeight="1" x14ac:dyDescent="0.3">
      <c r="A138" s="33"/>
      <c r="G138" t="str">
        <f ca="1">Team_Matches!$J$6</f>
        <v>[NCTTA Teams Template (v3.4).xlsx]</v>
      </c>
      <c r="J138" s="55"/>
    </row>
    <row r="139" spans="1:10" ht="12.75" customHeight="1" x14ac:dyDescent="0.3">
      <c r="A139" s="33"/>
      <c r="G139" s="229" t="str">
        <f>Team_Matches!$J109</f>
        <v>Round 1, Match 3</v>
      </c>
      <c r="H139" s="229"/>
      <c r="I139" s="127" t="str">
        <f>Team_Matches!$M109</f>
        <v/>
      </c>
      <c r="J139" s="127"/>
    </row>
    <row r="140" spans="1:10" ht="15.6" x14ac:dyDescent="0.3">
      <c r="A140" s="33"/>
    </row>
    <row r="141" spans="1:10" x14ac:dyDescent="0.25">
      <c r="C141" s="7" t="s">
        <v>160</v>
      </c>
      <c r="D141" s="39" t="str">
        <f>Team_Matches!$B111</f>
        <v>C</v>
      </c>
      <c r="F141" s="83" t="str">
        <f>CONCATENATE($D141,"-",$I141)</f>
        <v>C-J</v>
      </c>
      <c r="H141" s="7" t="s">
        <v>160</v>
      </c>
      <c r="I141" s="39" t="str">
        <f>Team_Matches!$K111</f>
        <v>J</v>
      </c>
    </row>
    <row r="142" spans="1:10" ht="25.5" customHeight="1" x14ac:dyDescent="0.25">
      <c r="A142" s="34"/>
      <c r="B142" s="220" t="str">
        <f>IF(VLOOKUP($D141,Draw!$A$4:$B$27,2)&lt;&gt;0,VLOOKUP($D141,Draw!$A$4:$B$27,2),"")</f>
        <v/>
      </c>
      <c r="C142" s="220"/>
      <c r="D142" s="220"/>
      <c r="E142" s="221"/>
      <c r="F142" s="35"/>
      <c r="G142" s="223" t="str">
        <f>IF(VLOOKUP($I141,Draw!$A$4:$B$27,2)&lt;&gt;0,VLOOKUP($I141,Draw!$A$4:$B$27,2),"")</f>
        <v/>
      </c>
      <c r="H142" s="223"/>
      <c r="I142" s="223"/>
      <c r="J142" s="224"/>
    </row>
    <row r="143" spans="1:10" ht="25.5" customHeight="1" x14ac:dyDescent="0.25"/>
    <row r="144" spans="1:10" ht="25.5" customHeight="1" x14ac:dyDescent="0.25"/>
    <row r="145" spans="1:10" ht="24" customHeight="1" x14ac:dyDescent="0.25">
      <c r="A145" s="9" t="s">
        <v>178</v>
      </c>
    </row>
    <row r="146" spans="1:10" ht="24" customHeight="1" x14ac:dyDescent="0.25">
      <c r="A146" s="9"/>
    </row>
    <row r="147" spans="1:10" x14ac:dyDescent="0.25">
      <c r="A147" s="9" t="s">
        <v>156</v>
      </c>
      <c r="G147" s="226" t="s">
        <v>873</v>
      </c>
      <c r="H147" s="226"/>
      <c r="I147" s="226"/>
      <c r="J147" s="226"/>
    </row>
    <row r="148" spans="1:10" ht="24" customHeight="1" x14ac:dyDescent="0.4">
      <c r="A148" s="37" t="str">
        <f>CONCATENATE($D141,"1")</f>
        <v>C1</v>
      </c>
      <c r="B148" s="222" t="str">
        <f>IF(VLOOKUP($A148,Players!$A$2:$C$132,3)&lt;&gt;0,VLOOKUP($A148,Players!$A$2:$C$132,3),"")</f>
        <v/>
      </c>
      <c r="C148" s="222"/>
      <c r="D148" s="222"/>
      <c r="E148" s="222"/>
      <c r="F148" s="222"/>
      <c r="G148" s="225" t="str">
        <f>IF(VLOOKUP($I141&amp;RIGHT($A148,1),Players!$A$2:$D$132,3)&lt;&gt;0,VLOOKUP($I141&amp;RIGHT($A148,1),Players!$A$2:$D$132,3),"")</f>
        <v/>
      </c>
      <c r="H148" s="225"/>
      <c r="I148" s="225"/>
      <c r="J148" s="168" t="str">
        <f>IF(VLOOKUP($I141&amp;RIGHT($A148,1),Players!$A$2:$D$132,3)&lt;&gt;0,"("&amp;VLOOKUP($I141&amp;RIGHT($A148,1),Players!$A$2:$D$132,4)&amp;")","")</f>
        <v/>
      </c>
    </row>
    <row r="149" spans="1:10" ht="25.5" customHeight="1" x14ac:dyDescent="0.4">
      <c r="A149" s="37" t="str">
        <f>CONCATENATE($D141,"2")</f>
        <v>C2</v>
      </c>
      <c r="B149" s="222" t="str">
        <f>IF(VLOOKUP($A149,Players!$A$2:$C$132,3)&lt;&gt;0,VLOOKUP($A149,Players!$A$2:$C$132,3),"")</f>
        <v/>
      </c>
      <c r="C149" s="222"/>
      <c r="D149" s="222"/>
      <c r="E149" s="222"/>
      <c r="F149" s="222"/>
      <c r="G149" s="225" t="str">
        <f>IF(VLOOKUP($I141&amp;RIGHT($A149,1),Players!$A$2:$D$132,3)&lt;&gt;0,VLOOKUP($I141&amp;RIGHT($A149,1),Players!$A$2:$D$132,3),"")</f>
        <v/>
      </c>
      <c r="H149" s="225"/>
      <c r="I149" s="225"/>
      <c r="J149" s="168" t="str">
        <f>IF(VLOOKUP($I141&amp;RIGHT($A149,1),Players!$A$2:$D$132,3)&lt;&gt;0,"("&amp;VLOOKUP($I141&amp;RIGHT($A149,1),Players!$A$2:$D$132,4)&amp;")","")</f>
        <v/>
      </c>
    </row>
    <row r="150" spans="1:10" ht="25.5" customHeight="1" x14ac:dyDescent="0.4">
      <c r="A150" s="37" t="str">
        <f>CONCATENATE($D141,"3")</f>
        <v>C3</v>
      </c>
      <c r="B150" s="222" t="str">
        <f>IF(VLOOKUP($A150,Players!$A$2:$C$132,3)&lt;&gt;0,VLOOKUP($A150,Players!$A$2:$C$132,3),"")</f>
        <v/>
      </c>
      <c r="C150" s="222"/>
      <c r="D150" s="222"/>
      <c r="E150" s="222"/>
      <c r="F150" s="222"/>
      <c r="G150" s="225" t="str">
        <f>IF(VLOOKUP($I141&amp;RIGHT($A150,1),Players!$A$2:$D$132,3)&lt;&gt;0,VLOOKUP($I141&amp;RIGHT($A150,1),Players!$A$2:$D$132,3),"")</f>
        <v/>
      </c>
      <c r="H150" s="225"/>
      <c r="I150" s="225"/>
      <c r="J150" s="168" t="str">
        <f>IF(VLOOKUP($I141&amp;RIGHT($A150,1),Players!$A$2:$D$132,3)&lt;&gt;0,"("&amp;VLOOKUP($I141&amp;RIGHT($A150,1),Players!$A$2:$D$132,4)&amp;")","")</f>
        <v/>
      </c>
    </row>
    <row r="151" spans="1:10" ht="25.5" customHeight="1" x14ac:dyDescent="0.4">
      <c r="A151" s="37" t="str">
        <f>CONCATENATE($D141,"4")</f>
        <v>C4</v>
      </c>
      <c r="B151" s="222" t="str">
        <f>IF(VLOOKUP($A151,Players!$A$2:$C$132,3)&lt;&gt;0,VLOOKUP($A151,Players!$A$2:$C$132,3),"")</f>
        <v/>
      </c>
      <c r="C151" s="222"/>
      <c r="D151" s="222"/>
      <c r="E151" s="222"/>
      <c r="F151" s="222"/>
      <c r="G151" s="225" t="str">
        <f>IF(VLOOKUP($I141&amp;RIGHT($A151,1),Players!$A$2:$D$132,3)&lt;&gt;0,VLOOKUP($I141&amp;RIGHT($A151,1),Players!$A$2:$D$132,3),"")</f>
        <v/>
      </c>
      <c r="H151" s="225"/>
      <c r="I151" s="225"/>
      <c r="J151" s="168" t="str">
        <f>IF(VLOOKUP($I141&amp;RIGHT($A151,1),Players!$A$2:$D$132,3)&lt;&gt;0,"("&amp;VLOOKUP($I141&amp;RIGHT($A151,1),Players!$A$2:$D$132,4)&amp;")","")</f>
        <v/>
      </c>
    </row>
    <row r="152" spans="1:10" ht="25.5" customHeight="1" x14ac:dyDescent="0.4">
      <c r="A152" s="37" t="str">
        <f>CONCATENATE($D141,"5")</f>
        <v>C5</v>
      </c>
      <c r="B152" s="222" t="str">
        <f>IF(VLOOKUP($A152,Players!$A$2:$C$132,3)&lt;&gt;0,VLOOKUP($A152,Players!$A$2:$C$132,3),"")</f>
        <v/>
      </c>
      <c r="C152" s="222"/>
      <c r="D152" s="222"/>
      <c r="E152" s="222"/>
      <c r="F152" s="222"/>
      <c r="G152" s="225" t="str">
        <f>IF(VLOOKUP($I141&amp;RIGHT($A152,1),Players!$A$2:$D$132,3)&lt;&gt;0,VLOOKUP($I141&amp;RIGHT($A152,1),Players!$A$2:$D$132,3),"")</f>
        <v/>
      </c>
      <c r="H152" s="225"/>
      <c r="I152" s="225"/>
      <c r="J152" s="168" t="str">
        <f>IF(VLOOKUP($I141&amp;RIGHT($A152,1),Players!$A$2:$D$132,3)&lt;&gt;0,"("&amp;VLOOKUP($I141&amp;RIGHT($A152,1),Players!$A$2:$D$132,4)&amp;")","")</f>
        <v/>
      </c>
    </row>
    <row r="153" spans="1:10" ht="25.5" customHeight="1" x14ac:dyDescent="0.4">
      <c r="A153" s="37" t="str">
        <f>CONCATENATE($D141,"6")</f>
        <v>C6</v>
      </c>
      <c r="B153" s="222" t="str">
        <f>IF(VLOOKUP($A153,Players!$A$2:$C$132,3)&lt;&gt;0,VLOOKUP($A153,Players!$A$2:$C$132,3),"")</f>
        <v/>
      </c>
      <c r="C153" s="222"/>
      <c r="D153" s="222"/>
      <c r="E153" s="222"/>
      <c r="F153" s="222"/>
      <c r="G153" s="225" t="str">
        <f>IF(VLOOKUP($I141&amp;RIGHT($A153,1),Players!$A$2:$D$132,3)&lt;&gt;0,VLOOKUP($I141&amp;RIGHT($A153,1),Players!$A$2:$D$132,3),"")</f>
        <v/>
      </c>
      <c r="H153" s="225"/>
      <c r="I153" s="225"/>
      <c r="J153" s="168" t="str">
        <f>IF(VLOOKUP($I141&amp;RIGHT($A153,1),Players!$A$2:$D$132,3)&lt;&gt;0,"("&amp;VLOOKUP($I141&amp;RIGHT($A153,1),Players!$A$2:$D$132,4)&amp;")","")</f>
        <v/>
      </c>
    </row>
    <row r="154" spans="1:10" ht="25.5" customHeight="1" x14ac:dyDescent="0.4">
      <c r="A154" s="37" t="str">
        <f>CONCATENATE($D141,"7")</f>
        <v>C7</v>
      </c>
      <c r="B154" s="222" t="str">
        <f>IF(VLOOKUP($A154,Players!$A$2:$C$132,3)&lt;&gt;0,VLOOKUP($A154,Players!$A$2:$C$132,3),"")</f>
        <v/>
      </c>
      <c r="C154" s="222"/>
      <c r="D154" s="222"/>
      <c r="E154" s="222"/>
      <c r="F154" s="222"/>
      <c r="G154" s="225" t="str">
        <f>IF(VLOOKUP($I141&amp;RIGHT($A154,1),Players!$A$2:$D$132,3)&lt;&gt;0,VLOOKUP($I141&amp;RIGHT($A154,1),Players!$A$2:$D$132,3),"")</f>
        <v/>
      </c>
      <c r="H154" s="225"/>
      <c r="I154" s="225"/>
      <c r="J154" s="168" t="str">
        <f>IF(VLOOKUP($I141&amp;RIGHT($A154,1),Players!$A$2:$D$132,3)&lt;&gt;0,"("&amp;VLOOKUP($I141&amp;RIGHT($A154,1),Players!$A$2:$D$132,4)&amp;")","")</f>
        <v/>
      </c>
    </row>
    <row r="155" spans="1:10" ht="25.5" customHeight="1" x14ac:dyDescent="0.4">
      <c r="A155" s="37" t="str">
        <f>CONCATENATE($D141,"8")</f>
        <v>C8</v>
      </c>
      <c r="B155" s="222" t="str">
        <f>IF(VLOOKUP($A155,Players!$A$2:$C$132,3)&lt;&gt;0,VLOOKUP($A155,Players!$A$2:$C$132,3),"")</f>
        <v/>
      </c>
      <c r="C155" s="222"/>
      <c r="D155" s="222"/>
      <c r="E155" s="222"/>
      <c r="F155" s="222"/>
      <c r="G155" s="225" t="str">
        <f>IF(VLOOKUP($I141&amp;RIGHT($A155,1),Players!$A$2:$D$132,3)&lt;&gt;0,VLOOKUP($I141&amp;RIGHT($A155,1),Players!$A$2:$D$132,3),"")</f>
        <v/>
      </c>
      <c r="H155" s="225"/>
      <c r="I155" s="225"/>
      <c r="J155" s="168" t="str">
        <f>IF(VLOOKUP($I141&amp;RIGHT($A155,1),Players!$A$2:$D$132,3)&lt;&gt;0,"("&amp;VLOOKUP($I141&amp;RIGHT($A155,1),Players!$A$2:$D$132,4)&amp;")","")</f>
        <v/>
      </c>
    </row>
    <row r="156" spans="1:10" ht="25.5" customHeight="1" x14ac:dyDescent="0.25">
      <c r="A156" s="37"/>
      <c r="B156" s="7"/>
      <c r="C156" s="7"/>
      <c r="D156" s="7"/>
      <c r="E156" s="7"/>
    </row>
    <row r="157" spans="1:10" x14ac:dyDescent="0.25">
      <c r="A157" s="9" t="s">
        <v>157</v>
      </c>
    </row>
    <row r="158" spans="1:10" x14ac:dyDescent="0.25">
      <c r="A158" t="s">
        <v>179</v>
      </c>
    </row>
    <row r="159" spans="1:10" x14ac:dyDescent="0.25">
      <c r="A159" s="55" t="s">
        <v>918</v>
      </c>
    </row>
    <row r="160" spans="1:10" x14ac:dyDescent="0.25">
      <c r="A160" t="s">
        <v>919</v>
      </c>
    </row>
    <row r="161" spans="1:10" ht="25.5" customHeight="1" thickBot="1" x14ac:dyDescent="0.3">
      <c r="A161" s="37"/>
    </row>
    <row r="162" spans="1:10" x14ac:dyDescent="0.25">
      <c r="B162" s="213"/>
      <c r="C162" s="214"/>
      <c r="D162" s="214"/>
      <c r="E162" s="214"/>
      <c r="F162" s="215"/>
    </row>
    <row r="163" spans="1:10" ht="13.8" thickBot="1" x14ac:dyDescent="0.3">
      <c r="B163" s="216"/>
      <c r="C163" s="217"/>
      <c r="D163" s="217"/>
      <c r="E163" s="217"/>
      <c r="F163" s="218"/>
    </row>
    <row r="167" spans="1:10" ht="25.5" customHeight="1" x14ac:dyDescent="0.25">
      <c r="A167" s="36"/>
      <c r="B167" s="36"/>
      <c r="C167" s="36"/>
      <c r="D167" s="36"/>
      <c r="E167" s="36"/>
      <c r="G167" s="38"/>
      <c r="H167" s="227" t="s">
        <v>159</v>
      </c>
      <c r="I167" s="228"/>
    </row>
    <row r="168" spans="1:10" x14ac:dyDescent="0.25">
      <c r="A168" t="s">
        <v>158</v>
      </c>
    </row>
    <row r="170" spans="1:10" x14ac:dyDescent="0.25">
      <c r="E170" s="219" t="str">
        <f>CONCATENATE("(",$D141," vs ",$I141,")")</f>
        <v>(C vs J)</v>
      </c>
      <c r="F170" s="219"/>
    </row>
    <row r="171" spans="1:10" ht="15.6" x14ac:dyDescent="0.3">
      <c r="A171" s="33" t="s">
        <v>155</v>
      </c>
      <c r="J171" s="82" t="s">
        <v>476</v>
      </c>
    </row>
    <row r="172" spans="1:10" ht="12.75" customHeight="1" x14ac:dyDescent="0.3">
      <c r="A172" s="33"/>
      <c r="G172" t="str">
        <f ca="1">Team_Matches!$J$6</f>
        <v>[NCTTA Teams Template (v3.4).xlsx]</v>
      </c>
      <c r="J172" s="55"/>
    </row>
    <row r="173" spans="1:10" ht="12.75" customHeight="1" x14ac:dyDescent="0.3">
      <c r="A173" s="33"/>
      <c r="G173" s="229" t="str">
        <f>Team_Matches!$J109</f>
        <v>Round 1, Match 3</v>
      </c>
      <c r="H173" s="229"/>
      <c r="I173" s="127" t="str">
        <f>Team_Matches!$M109</f>
        <v/>
      </c>
      <c r="J173" s="127"/>
    </row>
    <row r="174" spans="1:10" ht="15.6" x14ac:dyDescent="0.3">
      <c r="A174" s="33"/>
    </row>
    <row r="175" spans="1:10" x14ac:dyDescent="0.25">
      <c r="C175" s="7" t="s">
        <v>160</v>
      </c>
      <c r="D175" s="39" t="str">
        <f>Team_Matches!$B111</f>
        <v>C</v>
      </c>
      <c r="F175" s="83" t="str">
        <f>CONCATENATE($D175,"-",$I175)</f>
        <v>C-J</v>
      </c>
      <c r="H175" s="7" t="s">
        <v>160</v>
      </c>
      <c r="I175" s="39" t="str">
        <f>Team_Matches!$K111</f>
        <v>J</v>
      </c>
    </row>
    <row r="176" spans="1:10" ht="25.5" customHeight="1" x14ac:dyDescent="0.25">
      <c r="A176" s="34"/>
      <c r="B176" s="223" t="str">
        <f>IF(VLOOKUP($D175,Draw!$A$4:$B$27,2)&lt;&gt;0,VLOOKUP($D175,Draw!$A$4:$B$27,2),"")</f>
        <v/>
      </c>
      <c r="C176" s="223"/>
      <c r="D176" s="223"/>
      <c r="E176" s="224"/>
      <c r="F176" s="35"/>
      <c r="G176" s="220" t="str">
        <f>IF(VLOOKUP($I175,Draw!$A$4:$B$27,2)&lt;&gt;0,VLOOKUP($I175,Draw!$A$4:$B$27,2),"")</f>
        <v/>
      </c>
      <c r="H176" s="220"/>
      <c r="I176" s="220"/>
      <c r="J176" s="221"/>
    </row>
    <row r="177" spans="1:10" ht="25.5" customHeight="1" x14ac:dyDescent="0.25"/>
    <row r="178" spans="1:10" ht="25.5" customHeight="1" x14ac:dyDescent="0.25"/>
    <row r="179" spans="1:10" ht="24" customHeight="1" x14ac:dyDescent="0.25">
      <c r="A179" s="9" t="s">
        <v>178</v>
      </c>
    </row>
    <row r="180" spans="1:10" ht="24" customHeight="1" x14ac:dyDescent="0.25">
      <c r="A180" s="9"/>
    </row>
    <row r="181" spans="1:10" x14ac:dyDescent="0.25">
      <c r="A181" s="9" t="s">
        <v>156</v>
      </c>
      <c r="G181" s="226" t="s">
        <v>873</v>
      </c>
      <c r="H181" s="226"/>
      <c r="I181" s="226"/>
      <c r="J181" s="226"/>
    </row>
    <row r="182" spans="1:10" ht="24" customHeight="1" x14ac:dyDescent="0.4">
      <c r="A182" s="37" t="str">
        <f>CONCATENATE($I175,"1")</f>
        <v>J1</v>
      </c>
      <c r="B182" s="222" t="str">
        <f>IF(VLOOKUP($A182,Players!$A$2:$C$132,3)&lt;&gt;0,VLOOKUP($A182,Players!$A$2:$C$132,3),"")</f>
        <v/>
      </c>
      <c r="C182" s="222"/>
      <c r="D182" s="222"/>
      <c r="E182" s="222"/>
      <c r="F182" s="222"/>
      <c r="G182" s="225" t="str">
        <f>IF(VLOOKUP($D175&amp;RIGHT($A182,1),Players!$A$2:$D$132,3)&lt;&gt;0,VLOOKUP($D175&amp;RIGHT($A182,1),Players!$A$2:$D$132,3),"")</f>
        <v/>
      </c>
      <c r="H182" s="225"/>
      <c r="I182" s="225"/>
      <c r="J182" s="168" t="str">
        <f>IF(VLOOKUP($D175&amp;RIGHT($A182,1),Players!$A$2:$D$132,3)&lt;&gt;0,"("&amp;VLOOKUP($D175&amp;RIGHT($A182,1),Players!$A$2:$D$132,4)&amp;")","")</f>
        <v/>
      </c>
    </row>
    <row r="183" spans="1:10" ht="25.5" customHeight="1" x14ac:dyDescent="0.4">
      <c r="A183" s="37" t="str">
        <f>CONCATENATE($I175,"2")</f>
        <v>J2</v>
      </c>
      <c r="B183" s="222" t="str">
        <f>IF(VLOOKUP($A183,Players!$A$2:$C$132,3)&lt;&gt;0,VLOOKUP($A183,Players!$A$2:$C$132,3),"")</f>
        <v/>
      </c>
      <c r="C183" s="222"/>
      <c r="D183" s="222"/>
      <c r="E183" s="222"/>
      <c r="F183" s="222"/>
      <c r="G183" s="225" t="str">
        <f>IF(VLOOKUP($D175&amp;RIGHT($A183,1),Players!$A$2:$D$132,3)&lt;&gt;0,VLOOKUP($D175&amp;RIGHT($A183,1),Players!$A$2:$D$132,3),"")</f>
        <v/>
      </c>
      <c r="H183" s="225"/>
      <c r="I183" s="225"/>
      <c r="J183" s="168" t="str">
        <f>IF(VLOOKUP($D175&amp;RIGHT($A183,1),Players!$A$2:$D$132,3)&lt;&gt;0,"("&amp;VLOOKUP($D175&amp;RIGHT($A183,1),Players!$A$2:$D$132,4)&amp;")","")</f>
        <v/>
      </c>
    </row>
    <row r="184" spans="1:10" ht="25.5" customHeight="1" x14ac:dyDescent="0.4">
      <c r="A184" s="37" t="str">
        <f>CONCATENATE($I175,"3")</f>
        <v>J3</v>
      </c>
      <c r="B184" s="222" t="str">
        <f>IF(VLOOKUP($A184,Players!$A$2:$C$132,3)&lt;&gt;0,VLOOKUP($A184,Players!$A$2:$C$132,3),"")</f>
        <v/>
      </c>
      <c r="C184" s="222"/>
      <c r="D184" s="222"/>
      <c r="E184" s="222"/>
      <c r="F184" s="222"/>
      <c r="G184" s="225" t="str">
        <f>IF(VLOOKUP($D175&amp;RIGHT($A184,1),Players!$A$2:$D$132,3)&lt;&gt;0,VLOOKUP($D175&amp;RIGHT($A184,1),Players!$A$2:$D$132,3),"")</f>
        <v/>
      </c>
      <c r="H184" s="225"/>
      <c r="I184" s="225"/>
      <c r="J184" s="168" t="str">
        <f>IF(VLOOKUP($D175&amp;RIGHT($A184,1),Players!$A$2:$D$132,3)&lt;&gt;0,"("&amp;VLOOKUP($D175&amp;RIGHT($A184,1),Players!$A$2:$D$132,4)&amp;")","")</f>
        <v/>
      </c>
    </row>
    <row r="185" spans="1:10" ht="25.5" customHeight="1" x14ac:dyDescent="0.4">
      <c r="A185" s="37" t="str">
        <f>CONCATENATE($I175,"4")</f>
        <v>J4</v>
      </c>
      <c r="B185" s="222" t="str">
        <f>IF(VLOOKUP($A185,Players!$A$2:$C$132,3)&lt;&gt;0,VLOOKUP($A185,Players!$A$2:$C$132,3),"")</f>
        <v/>
      </c>
      <c r="C185" s="222"/>
      <c r="D185" s="222"/>
      <c r="E185" s="222"/>
      <c r="F185" s="222"/>
      <c r="G185" s="225" t="str">
        <f>IF(VLOOKUP($D175&amp;RIGHT($A185,1),Players!$A$2:$D$132,3)&lt;&gt;0,VLOOKUP($D175&amp;RIGHT($A185,1),Players!$A$2:$D$132,3),"")</f>
        <v/>
      </c>
      <c r="H185" s="225"/>
      <c r="I185" s="225"/>
      <c r="J185" s="168" t="str">
        <f>IF(VLOOKUP($D175&amp;RIGHT($A185,1),Players!$A$2:$D$132,3)&lt;&gt;0,"("&amp;VLOOKUP($D175&amp;RIGHT($A185,1),Players!$A$2:$D$132,4)&amp;")","")</f>
        <v/>
      </c>
    </row>
    <row r="186" spans="1:10" ht="25.5" customHeight="1" x14ac:dyDescent="0.4">
      <c r="A186" s="37" t="str">
        <f>CONCATENATE($I175,"5")</f>
        <v>J5</v>
      </c>
      <c r="B186" s="222" t="str">
        <f>IF(VLOOKUP($A186,Players!$A$2:$C$132,3)&lt;&gt;0,VLOOKUP($A186,Players!$A$2:$C$132,3),"")</f>
        <v/>
      </c>
      <c r="C186" s="222"/>
      <c r="D186" s="222"/>
      <c r="E186" s="222"/>
      <c r="F186" s="222"/>
      <c r="G186" s="225" t="str">
        <f>IF(VLOOKUP($D175&amp;RIGHT($A186,1),Players!$A$2:$D$132,3)&lt;&gt;0,VLOOKUP($D175&amp;RIGHT($A186,1),Players!$A$2:$D$132,3),"")</f>
        <v/>
      </c>
      <c r="H186" s="225"/>
      <c r="I186" s="225"/>
      <c r="J186" s="168" t="str">
        <f>IF(VLOOKUP($D175&amp;RIGHT($A186,1),Players!$A$2:$D$132,3)&lt;&gt;0,"("&amp;VLOOKUP($D175&amp;RIGHT($A186,1),Players!$A$2:$D$132,4)&amp;")","")</f>
        <v/>
      </c>
    </row>
    <row r="187" spans="1:10" ht="25.5" customHeight="1" x14ac:dyDescent="0.4">
      <c r="A187" s="37" t="str">
        <f>CONCATENATE($I175,"6")</f>
        <v>J6</v>
      </c>
      <c r="B187" s="222" t="str">
        <f>IF(VLOOKUP($A187,Players!$A$2:$C$132,3)&lt;&gt;0,VLOOKUP($A187,Players!$A$2:$C$132,3),"")</f>
        <v/>
      </c>
      <c r="C187" s="222"/>
      <c r="D187" s="222"/>
      <c r="E187" s="222"/>
      <c r="F187" s="222"/>
      <c r="G187" s="225" t="str">
        <f>IF(VLOOKUP($D175&amp;RIGHT($A187,1),Players!$A$2:$D$132,3)&lt;&gt;0,VLOOKUP($D175&amp;RIGHT($A187,1),Players!$A$2:$D$132,3),"")</f>
        <v/>
      </c>
      <c r="H187" s="225"/>
      <c r="I187" s="225"/>
      <c r="J187" s="168" t="str">
        <f>IF(VLOOKUP($D175&amp;RIGHT($A187,1),Players!$A$2:$D$132,3)&lt;&gt;0,"("&amp;VLOOKUP($D175&amp;RIGHT($A187,1),Players!$A$2:$D$132,4)&amp;")","")</f>
        <v/>
      </c>
    </row>
    <row r="188" spans="1:10" ht="25.5" customHeight="1" x14ac:dyDescent="0.4">
      <c r="A188" s="37" t="str">
        <f>CONCATENATE($I175,"7")</f>
        <v>J7</v>
      </c>
      <c r="B188" s="222" t="str">
        <f>IF(VLOOKUP($A188,Players!$A$2:$C$132,3)&lt;&gt;0,VLOOKUP($A188,Players!$A$2:$C$132,3),"")</f>
        <v/>
      </c>
      <c r="C188" s="222"/>
      <c r="D188" s="222"/>
      <c r="E188" s="222"/>
      <c r="F188" s="222"/>
      <c r="G188" s="225" t="str">
        <f>IF(VLOOKUP($D175&amp;RIGHT($A188,1),Players!$A$2:$D$132,3)&lt;&gt;0,VLOOKUP($D175&amp;RIGHT($A188,1),Players!$A$2:$D$132,3),"")</f>
        <v/>
      </c>
      <c r="H188" s="225"/>
      <c r="I188" s="225"/>
      <c r="J188" s="168" t="str">
        <f>IF(VLOOKUP($D175&amp;RIGHT($A188,1),Players!$A$2:$D$132,3)&lt;&gt;0,"("&amp;VLOOKUP($D175&amp;RIGHT($A188,1),Players!$A$2:$D$132,4)&amp;")","")</f>
        <v/>
      </c>
    </row>
    <row r="189" spans="1:10" ht="25.5" customHeight="1" x14ac:dyDescent="0.4">
      <c r="A189" s="37" t="str">
        <f>CONCATENATE($I175,"8")</f>
        <v>J8</v>
      </c>
      <c r="B189" s="222" t="str">
        <f>IF(VLOOKUP($A189,Players!$A$2:$C$132,3)&lt;&gt;0,VLOOKUP($A189,Players!$A$2:$C$132,3),"")</f>
        <v/>
      </c>
      <c r="C189" s="222"/>
      <c r="D189" s="222"/>
      <c r="E189" s="222"/>
      <c r="F189" s="222"/>
      <c r="G189" s="225" t="str">
        <f>IF(VLOOKUP($D175&amp;RIGHT($A189,1),Players!$A$2:$D$132,3)&lt;&gt;0,VLOOKUP($D175&amp;RIGHT($A189,1),Players!$A$2:$D$132,3),"")</f>
        <v/>
      </c>
      <c r="H189" s="225"/>
      <c r="I189" s="225"/>
      <c r="J189" s="168" t="str">
        <f>IF(VLOOKUP($D175&amp;RIGHT($A189,1),Players!$A$2:$D$132,3)&lt;&gt;0,"("&amp;VLOOKUP($D175&amp;RIGHT($A189,1),Players!$A$2:$D$132,4)&amp;")","")</f>
        <v/>
      </c>
    </row>
    <row r="190" spans="1:10" ht="25.5" customHeight="1" x14ac:dyDescent="0.25">
      <c r="A190" s="37"/>
      <c r="B190" s="7"/>
      <c r="C190" s="7"/>
      <c r="D190" s="7"/>
      <c r="E190" s="7"/>
    </row>
    <row r="191" spans="1:10" x14ac:dyDescent="0.25">
      <c r="A191" s="9" t="s">
        <v>157</v>
      </c>
    </row>
    <row r="192" spans="1:10" x14ac:dyDescent="0.25">
      <c r="A192" t="s">
        <v>179</v>
      </c>
    </row>
    <row r="193" spans="1:10" x14ac:dyDescent="0.25">
      <c r="A193" s="55" t="s">
        <v>918</v>
      </c>
    </row>
    <row r="194" spans="1:10" x14ac:dyDescent="0.25">
      <c r="A194" t="s">
        <v>919</v>
      </c>
    </row>
    <row r="195" spans="1:10" ht="25.5" customHeight="1" thickBot="1" x14ac:dyDescent="0.3">
      <c r="A195" s="37"/>
    </row>
    <row r="196" spans="1:10" x14ac:dyDescent="0.25">
      <c r="B196" s="213"/>
      <c r="C196" s="214"/>
      <c r="D196" s="214"/>
      <c r="E196" s="214"/>
      <c r="F196" s="215"/>
    </row>
    <row r="197" spans="1:10" ht="13.8" thickBot="1" x14ac:dyDescent="0.3">
      <c r="B197" s="216"/>
      <c r="C197" s="217"/>
      <c r="D197" s="217"/>
      <c r="E197" s="217"/>
      <c r="F197" s="218"/>
    </row>
    <row r="201" spans="1:10" ht="25.5" customHeight="1" x14ac:dyDescent="0.25">
      <c r="A201" s="36"/>
      <c r="B201" s="36"/>
      <c r="C201" s="36"/>
      <c r="D201" s="36"/>
      <c r="E201" s="36"/>
      <c r="G201" s="38"/>
      <c r="H201" s="227" t="s">
        <v>159</v>
      </c>
      <c r="I201" s="228"/>
    </row>
    <row r="202" spans="1:10" x14ac:dyDescent="0.25">
      <c r="A202" t="s">
        <v>158</v>
      </c>
    </row>
    <row r="204" spans="1:10" x14ac:dyDescent="0.25">
      <c r="E204" s="219" t="str">
        <f>CONCATENATE("(",$D175," vs ",$I175,")")</f>
        <v>(C vs J)</v>
      </c>
      <c r="F204" s="219"/>
    </row>
    <row r="205" spans="1:10" ht="15.6" x14ac:dyDescent="0.3">
      <c r="A205" s="33" t="s">
        <v>155</v>
      </c>
      <c r="J205" s="82" t="s">
        <v>477</v>
      </c>
    </row>
    <row r="206" spans="1:10" ht="12.75" customHeight="1" x14ac:dyDescent="0.3">
      <c r="A206" s="33"/>
      <c r="G206" t="str">
        <f ca="1">Team_Matches!$J$6</f>
        <v>[NCTTA Teams Template (v3.4).xlsx]</v>
      </c>
      <c r="J206" s="55"/>
    </row>
    <row r="207" spans="1:10" ht="12.75" customHeight="1" x14ac:dyDescent="0.3">
      <c r="A207" s="33"/>
      <c r="G207" s="229" t="str">
        <f>Team_Matches!$J160</f>
        <v>Round 1, Match 4</v>
      </c>
      <c r="H207" s="229"/>
      <c r="I207" s="127" t="str">
        <f>Team_Matches!$M160</f>
        <v/>
      </c>
      <c r="J207" s="127"/>
    </row>
    <row r="208" spans="1:10" ht="15.6" x14ac:dyDescent="0.3">
      <c r="A208" s="33"/>
    </row>
    <row r="209" spans="1:10" x14ac:dyDescent="0.25">
      <c r="C209" s="7" t="s">
        <v>160</v>
      </c>
      <c r="D209" s="3" t="str">
        <f>Team_Matches!$B162</f>
        <v>D</v>
      </c>
      <c r="F209" s="83" t="str">
        <f>CONCATENATE($D209,"-",$I209)</f>
        <v>D-I</v>
      </c>
      <c r="H209" s="7" t="s">
        <v>160</v>
      </c>
      <c r="I209" s="39" t="str">
        <f>Team_Matches!$K162</f>
        <v>I</v>
      </c>
    </row>
    <row r="210" spans="1:10" ht="25.5" customHeight="1" x14ac:dyDescent="0.25">
      <c r="A210" s="34"/>
      <c r="B210" s="220" t="str">
        <f>IF(VLOOKUP($D209,Draw!$A$4:$B$27,2)&lt;&gt;0,VLOOKUP($D209,Draw!$A$4:$B$27,2),"")</f>
        <v/>
      </c>
      <c r="C210" s="220"/>
      <c r="D210" s="220"/>
      <c r="E210" s="221"/>
      <c r="F210" s="35"/>
      <c r="G210" s="223" t="str">
        <f>IF(VLOOKUP($I209,Draw!$A$4:$B$27,2)&lt;&gt;0,VLOOKUP($I209,Draw!$A$4:$B$27,2),"")</f>
        <v/>
      </c>
      <c r="H210" s="223"/>
      <c r="I210" s="223"/>
      <c r="J210" s="224"/>
    </row>
    <row r="211" spans="1:10" ht="25.5" customHeight="1" x14ac:dyDescent="0.25"/>
    <row r="212" spans="1:10" ht="25.5" customHeight="1" x14ac:dyDescent="0.25"/>
    <row r="213" spans="1:10" ht="24" customHeight="1" x14ac:dyDescent="0.25">
      <c r="A213" s="9" t="s">
        <v>178</v>
      </c>
    </row>
    <row r="214" spans="1:10" ht="24" customHeight="1" x14ac:dyDescent="0.25">
      <c r="A214" s="9"/>
    </row>
    <row r="215" spans="1:10" x14ac:dyDescent="0.25">
      <c r="A215" s="9" t="s">
        <v>156</v>
      </c>
      <c r="G215" s="226" t="s">
        <v>873</v>
      </c>
      <c r="H215" s="226"/>
      <c r="I215" s="226"/>
      <c r="J215" s="226"/>
    </row>
    <row r="216" spans="1:10" ht="24" customHeight="1" x14ac:dyDescent="0.4">
      <c r="A216" s="37" t="str">
        <f>CONCATENATE($D209,"1")</f>
        <v>D1</v>
      </c>
      <c r="B216" s="222" t="str">
        <f>IF(VLOOKUP($A216,Players!$A$2:$C$132,3)&lt;&gt;0,VLOOKUP($A216,Players!$A$2:$C$132,3),"")</f>
        <v/>
      </c>
      <c r="C216" s="222"/>
      <c r="D216" s="222"/>
      <c r="E216" s="222"/>
      <c r="F216" s="222"/>
      <c r="G216" s="225" t="str">
        <f>IF(VLOOKUP($I209&amp;RIGHT($A216,1),Players!$A$2:$D$132,3)&lt;&gt;0,VLOOKUP($I209&amp;RIGHT($A216,1),Players!$A$2:$D$132,3),"")</f>
        <v/>
      </c>
      <c r="H216" s="225"/>
      <c r="I216" s="225"/>
      <c r="J216" s="168" t="str">
        <f>IF(VLOOKUP($I209&amp;RIGHT($A216,1),Players!$A$2:$D$132,3)&lt;&gt;0,"("&amp;VLOOKUP($I209&amp;RIGHT($A216,1),Players!$A$2:$D$132,4)&amp;")","")</f>
        <v/>
      </c>
    </row>
    <row r="217" spans="1:10" ht="25.5" customHeight="1" x14ac:dyDescent="0.4">
      <c r="A217" s="37" t="str">
        <f>CONCATENATE($D209,"2")</f>
        <v>D2</v>
      </c>
      <c r="B217" s="222" t="str">
        <f>IF(VLOOKUP($A217,Players!$A$2:$C$132,3)&lt;&gt;0,VLOOKUP($A217,Players!$A$2:$C$132,3),"")</f>
        <v/>
      </c>
      <c r="C217" s="222"/>
      <c r="D217" s="222"/>
      <c r="E217" s="222"/>
      <c r="F217" s="222"/>
      <c r="G217" s="225" t="str">
        <f>IF(VLOOKUP($I209&amp;RIGHT($A217,1),Players!$A$2:$D$132,3)&lt;&gt;0,VLOOKUP($I209&amp;RIGHT($A217,1),Players!$A$2:$D$132,3),"")</f>
        <v/>
      </c>
      <c r="H217" s="225"/>
      <c r="I217" s="225"/>
      <c r="J217" s="168" t="str">
        <f>IF(VLOOKUP($I209&amp;RIGHT($A217,1),Players!$A$2:$D$132,3)&lt;&gt;0,"("&amp;VLOOKUP($I209&amp;RIGHT($A217,1),Players!$A$2:$D$132,4)&amp;")","")</f>
        <v/>
      </c>
    </row>
    <row r="218" spans="1:10" ht="25.5" customHeight="1" x14ac:dyDescent="0.4">
      <c r="A218" s="37" t="str">
        <f>CONCATENATE($D209,"3")</f>
        <v>D3</v>
      </c>
      <c r="B218" s="222" t="str">
        <f>IF(VLOOKUP($A218,Players!$A$2:$C$132,3)&lt;&gt;0,VLOOKUP($A218,Players!$A$2:$C$132,3),"")</f>
        <v/>
      </c>
      <c r="C218" s="222"/>
      <c r="D218" s="222"/>
      <c r="E218" s="222"/>
      <c r="F218" s="222"/>
      <c r="G218" s="225" t="str">
        <f>IF(VLOOKUP($I209&amp;RIGHT($A218,1),Players!$A$2:$D$132,3)&lt;&gt;0,VLOOKUP($I209&amp;RIGHT($A218,1),Players!$A$2:$D$132,3),"")</f>
        <v/>
      </c>
      <c r="H218" s="225"/>
      <c r="I218" s="225"/>
      <c r="J218" s="168" t="str">
        <f>IF(VLOOKUP($I209&amp;RIGHT($A218,1),Players!$A$2:$D$132,3)&lt;&gt;0,"("&amp;VLOOKUP($I209&amp;RIGHT($A218,1),Players!$A$2:$D$132,4)&amp;")","")</f>
        <v/>
      </c>
    </row>
    <row r="219" spans="1:10" ht="25.5" customHeight="1" x14ac:dyDescent="0.4">
      <c r="A219" s="37" t="str">
        <f>CONCATENATE($D209,"4")</f>
        <v>D4</v>
      </c>
      <c r="B219" s="222" t="str">
        <f>IF(VLOOKUP($A219,Players!$A$2:$C$132,3)&lt;&gt;0,VLOOKUP($A219,Players!$A$2:$C$132,3),"")</f>
        <v/>
      </c>
      <c r="C219" s="222"/>
      <c r="D219" s="222"/>
      <c r="E219" s="222"/>
      <c r="F219" s="222"/>
      <c r="G219" s="225" t="str">
        <f>IF(VLOOKUP($I209&amp;RIGHT($A219,1),Players!$A$2:$D$132,3)&lt;&gt;0,VLOOKUP($I209&amp;RIGHT($A219,1),Players!$A$2:$D$132,3),"")</f>
        <v/>
      </c>
      <c r="H219" s="225"/>
      <c r="I219" s="225"/>
      <c r="J219" s="168" t="str">
        <f>IF(VLOOKUP($I209&amp;RIGHT($A219,1),Players!$A$2:$D$132,3)&lt;&gt;0,"("&amp;VLOOKUP($I209&amp;RIGHT($A219,1),Players!$A$2:$D$132,4)&amp;")","")</f>
        <v/>
      </c>
    </row>
    <row r="220" spans="1:10" ht="25.5" customHeight="1" x14ac:dyDescent="0.4">
      <c r="A220" s="37" t="str">
        <f>CONCATENATE($D209,"5")</f>
        <v>D5</v>
      </c>
      <c r="B220" s="222" t="str">
        <f>IF(VLOOKUP($A220,Players!$A$2:$C$132,3)&lt;&gt;0,VLOOKUP($A220,Players!$A$2:$C$132,3),"")</f>
        <v/>
      </c>
      <c r="C220" s="222"/>
      <c r="D220" s="222"/>
      <c r="E220" s="222"/>
      <c r="F220" s="222"/>
      <c r="G220" s="225" t="str">
        <f>IF(VLOOKUP($I209&amp;RIGHT($A220,1),Players!$A$2:$D$132,3)&lt;&gt;0,VLOOKUP($I209&amp;RIGHT($A220,1),Players!$A$2:$D$132,3),"")</f>
        <v/>
      </c>
      <c r="H220" s="225"/>
      <c r="I220" s="225"/>
      <c r="J220" s="168" t="str">
        <f>IF(VLOOKUP($I209&amp;RIGHT($A220,1),Players!$A$2:$D$132,3)&lt;&gt;0,"("&amp;VLOOKUP($I209&amp;RIGHT($A220,1),Players!$A$2:$D$132,4)&amp;")","")</f>
        <v/>
      </c>
    </row>
    <row r="221" spans="1:10" ht="25.5" customHeight="1" x14ac:dyDescent="0.4">
      <c r="A221" s="37" t="str">
        <f>CONCATENATE($D209,"6")</f>
        <v>D6</v>
      </c>
      <c r="B221" s="222" t="str">
        <f>IF(VLOOKUP($A221,Players!$A$2:$C$132,3)&lt;&gt;0,VLOOKUP($A221,Players!$A$2:$C$132,3),"")</f>
        <v/>
      </c>
      <c r="C221" s="222"/>
      <c r="D221" s="222"/>
      <c r="E221" s="222"/>
      <c r="F221" s="222"/>
      <c r="G221" s="225" t="str">
        <f>IF(VLOOKUP($I209&amp;RIGHT($A221,1),Players!$A$2:$D$132,3)&lt;&gt;0,VLOOKUP($I209&amp;RIGHT($A221,1),Players!$A$2:$D$132,3),"")</f>
        <v/>
      </c>
      <c r="H221" s="225"/>
      <c r="I221" s="225"/>
      <c r="J221" s="168" t="str">
        <f>IF(VLOOKUP($I209&amp;RIGHT($A221,1),Players!$A$2:$D$132,3)&lt;&gt;0,"("&amp;VLOOKUP($I209&amp;RIGHT($A221,1),Players!$A$2:$D$132,4)&amp;")","")</f>
        <v/>
      </c>
    </row>
    <row r="222" spans="1:10" ht="25.5" customHeight="1" x14ac:dyDescent="0.4">
      <c r="A222" s="37" t="str">
        <f>CONCATENATE($D209,"7")</f>
        <v>D7</v>
      </c>
      <c r="B222" s="222" t="str">
        <f>IF(VLOOKUP($A222,Players!$A$2:$C$132,3)&lt;&gt;0,VLOOKUP($A222,Players!$A$2:$C$132,3),"")</f>
        <v/>
      </c>
      <c r="C222" s="222"/>
      <c r="D222" s="222"/>
      <c r="E222" s="222"/>
      <c r="F222" s="222"/>
      <c r="G222" s="225" t="str">
        <f>IF(VLOOKUP($I209&amp;RIGHT($A222,1),Players!$A$2:$D$132,3)&lt;&gt;0,VLOOKUP($I209&amp;RIGHT($A222,1),Players!$A$2:$D$132,3),"")</f>
        <v/>
      </c>
      <c r="H222" s="225"/>
      <c r="I222" s="225"/>
      <c r="J222" s="168" t="str">
        <f>IF(VLOOKUP($I209&amp;RIGHT($A222,1),Players!$A$2:$D$132,3)&lt;&gt;0,"("&amp;VLOOKUP($I209&amp;RIGHT($A222,1),Players!$A$2:$D$132,4)&amp;")","")</f>
        <v/>
      </c>
    </row>
    <row r="223" spans="1:10" ht="25.5" customHeight="1" x14ac:dyDescent="0.4">
      <c r="A223" s="37" t="str">
        <f>CONCATENATE($D209,"8")</f>
        <v>D8</v>
      </c>
      <c r="B223" s="222" t="str">
        <f>IF(VLOOKUP($A223,Players!$A$2:$C$132,3)&lt;&gt;0,VLOOKUP($A223,Players!$A$2:$C$132,3),"")</f>
        <v/>
      </c>
      <c r="C223" s="222"/>
      <c r="D223" s="222"/>
      <c r="E223" s="222"/>
      <c r="F223" s="222"/>
      <c r="G223" s="225" t="str">
        <f>IF(VLOOKUP($I209&amp;RIGHT($A223,1),Players!$A$2:$D$132,3)&lt;&gt;0,VLOOKUP($I209&amp;RIGHT($A223,1),Players!$A$2:$D$132,3),"")</f>
        <v/>
      </c>
      <c r="H223" s="225"/>
      <c r="I223" s="225"/>
      <c r="J223" s="168" t="str">
        <f>IF(VLOOKUP($I209&amp;RIGHT($A223,1),Players!$A$2:$D$132,3)&lt;&gt;0,"("&amp;VLOOKUP($I209&amp;RIGHT($A223,1),Players!$A$2:$D$132,4)&amp;")","")</f>
        <v/>
      </c>
    </row>
    <row r="224" spans="1:10" ht="25.5" customHeight="1" x14ac:dyDescent="0.25">
      <c r="A224" s="37"/>
      <c r="B224" s="7"/>
      <c r="C224" s="7"/>
      <c r="D224" s="7"/>
      <c r="E224" s="7"/>
    </row>
    <row r="225" spans="1:10" x14ac:dyDescent="0.25">
      <c r="A225" s="9" t="s">
        <v>157</v>
      </c>
    </row>
    <row r="226" spans="1:10" x14ac:dyDescent="0.25">
      <c r="A226" t="s">
        <v>179</v>
      </c>
    </row>
    <row r="227" spans="1:10" x14ac:dyDescent="0.25">
      <c r="A227" s="55" t="s">
        <v>918</v>
      </c>
    </row>
    <row r="228" spans="1:10" x14ac:dyDescent="0.25">
      <c r="A228" t="s">
        <v>919</v>
      </c>
    </row>
    <row r="229" spans="1:10" ht="25.5" customHeight="1" thickBot="1" x14ac:dyDescent="0.3">
      <c r="A229" s="37"/>
    </row>
    <row r="230" spans="1:10" x14ac:dyDescent="0.25">
      <c r="B230" s="213"/>
      <c r="C230" s="214"/>
      <c r="D230" s="214"/>
      <c r="E230" s="214"/>
      <c r="F230" s="215"/>
    </row>
    <row r="231" spans="1:10" ht="13.8" thickBot="1" x14ac:dyDescent="0.3">
      <c r="B231" s="216"/>
      <c r="C231" s="217"/>
      <c r="D231" s="217"/>
      <c r="E231" s="217"/>
      <c r="F231" s="218"/>
    </row>
    <row r="235" spans="1:10" ht="25.5" customHeight="1" x14ac:dyDescent="0.25">
      <c r="A235" s="36"/>
      <c r="B235" s="36"/>
      <c r="C235" s="36"/>
      <c r="D235" s="36"/>
      <c r="E235" s="36"/>
      <c r="G235" s="38"/>
      <c r="H235" s="227" t="s">
        <v>159</v>
      </c>
      <c r="I235" s="228"/>
    </row>
    <row r="236" spans="1:10" x14ac:dyDescent="0.25">
      <c r="A236" t="s">
        <v>158</v>
      </c>
    </row>
    <row r="238" spans="1:10" x14ac:dyDescent="0.25">
      <c r="E238" s="219" t="str">
        <f>CONCATENATE("(",$D209," vs ",$I209,")")</f>
        <v>(D vs I)</v>
      </c>
      <c r="F238" s="219"/>
    </row>
    <row r="239" spans="1:10" ht="15.6" x14ac:dyDescent="0.3">
      <c r="A239" s="33" t="s">
        <v>155</v>
      </c>
      <c r="J239" s="82" t="s">
        <v>478</v>
      </c>
    </row>
    <row r="240" spans="1:10" ht="12.75" customHeight="1" x14ac:dyDescent="0.3">
      <c r="A240" s="33"/>
      <c r="G240" t="str">
        <f ca="1">Team_Matches!$J$6</f>
        <v>[NCTTA Teams Template (v3.4).xlsx]</v>
      </c>
      <c r="J240" s="55"/>
    </row>
    <row r="241" spans="1:10" ht="12.75" customHeight="1" x14ac:dyDescent="0.3">
      <c r="A241" s="33"/>
      <c r="G241" s="229" t="str">
        <f>Team_Matches!$J160</f>
        <v>Round 1, Match 4</v>
      </c>
      <c r="H241" s="229"/>
      <c r="I241" s="127" t="str">
        <f>Team_Matches!$M160</f>
        <v/>
      </c>
      <c r="J241" s="127"/>
    </row>
    <row r="242" spans="1:10" ht="15.6" x14ac:dyDescent="0.3">
      <c r="A242" s="33"/>
    </row>
    <row r="243" spans="1:10" x14ac:dyDescent="0.25">
      <c r="C243" s="7" t="s">
        <v>160</v>
      </c>
      <c r="D243" s="3" t="str">
        <f>Team_Matches!$B162</f>
        <v>D</v>
      </c>
      <c r="F243" s="83" t="str">
        <f>CONCATENATE($D243,"-",$I243)</f>
        <v>D-I</v>
      </c>
      <c r="H243" s="7" t="s">
        <v>160</v>
      </c>
      <c r="I243" s="39" t="str">
        <f>Team_Matches!$K162</f>
        <v>I</v>
      </c>
    </row>
    <row r="244" spans="1:10" ht="25.5" customHeight="1" x14ac:dyDescent="0.25">
      <c r="A244" s="34"/>
      <c r="B244" s="223" t="str">
        <f>IF(VLOOKUP($D243,Draw!$A$4:$B$27,2)&lt;&gt;0,VLOOKUP($D243,Draw!$A$4:$B$27,2),"")</f>
        <v/>
      </c>
      <c r="C244" s="223"/>
      <c r="D244" s="223"/>
      <c r="E244" s="224"/>
      <c r="F244" s="35"/>
      <c r="G244" s="220" t="str">
        <f>IF(VLOOKUP($I243,Draw!$A$4:$B$27,2)&lt;&gt;0,VLOOKUP($I243,Draw!$A$4:$B$27,2),"")</f>
        <v/>
      </c>
      <c r="H244" s="220"/>
      <c r="I244" s="220"/>
      <c r="J244" s="221"/>
    </row>
    <row r="245" spans="1:10" ht="25.5" customHeight="1" x14ac:dyDescent="0.25"/>
    <row r="246" spans="1:10" ht="25.5" customHeight="1" x14ac:dyDescent="0.25"/>
    <row r="247" spans="1:10" ht="24" customHeight="1" x14ac:dyDescent="0.25">
      <c r="A247" s="9" t="s">
        <v>178</v>
      </c>
    </row>
    <row r="248" spans="1:10" ht="24" customHeight="1" x14ac:dyDescent="0.25">
      <c r="A248" s="9"/>
    </row>
    <row r="249" spans="1:10" x14ac:dyDescent="0.25">
      <c r="A249" s="9" t="s">
        <v>156</v>
      </c>
      <c r="G249" s="226" t="s">
        <v>873</v>
      </c>
      <c r="H249" s="226"/>
      <c r="I249" s="226"/>
      <c r="J249" s="226"/>
    </row>
    <row r="250" spans="1:10" ht="24" customHeight="1" x14ac:dyDescent="0.4">
      <c r="A250" s="37" t="str">
        <f>CONCATENATE($I243,"1")</f>
        <v>I1</v>
      </c>
      <c r="B250" s="222" t="str">
        <f>IF(VLOOKUP($A250,Players!$A$2:$C$132,3)&lt;&gt;0,VLOOKUP($A250,Players!$A$2:$C$132,3),"")</f>
        <v/>
      </c>
      <c r="C250" s="222"/>
      <c r="D250" s="222"/>
      <c r="E250" s="222"/>
      <c r="F250" s="222"/>
      <c r="G250" s="225" t="str">
        <f>IF(VLOOKUP($D243&amp;RIGHT($A250,1),Players!$A$2:$D$132,3)&lt;&gt;0,VLOOKUP($D243&amp;RIGHT($A250,1),Players!$A$2:$D$132,3),"")</f>
        <v/>
      </c>
      <c r="H250" s="225"/>
      <c r="I250" s="225"/>
      <c r="J250" s="168" t="str">
        <f>IF(VLOOKUP($D243&amp;RIGHT($A250,1),Players!$A$2:$D$132,3)&lt;&gt;0,"("&amp;VLOOKUP($D243&amp;RIGHT($A250,1),Players!$A$2:$D$132,4)&amp;")","")</f>
        <v/>
      </c>
    </row>
    <row r="251" spans="1:10" ht="25.5" customHeight="1" x14ac:dyDescent="0.4">
      <c r="A251" s="37" t="str">
        <f>CONCATENATE($I243,"2")</f>
        <v>I2</v>
      </c>
      <c r="B251" s="222" t="str">
        <f>IF(VLOOKUP($A251,Players!$A$2:$C$132,3)&lt;&gt;0,VLOOKUP($A251,Players!$A$2:$C$132,3),"")</f>
        <v/>
      </c>
      <c r="C251" s="222"/>
      <c r="D251" s="222"/>
      <c r="E251" s="222"/>
      <c r="F251" s="222"/>
      <c r="G251" s="225" t="str">
        <f>IF(VLOOKUP($D243&amp;RIGHT($A251,1),Players!$A$2:$D$132,3)&lt;&gt;0,VLOOKUP($D243&amp;RIGHT($A251,1),Players!$A$2:$D$132,3),"")</f>
        <v/>
      </c>
      <c r="H251" s="225"/>
      <c r="I251" s="225"/>
      <c r="J251" s="168" t="str">
        <f>IF(VLOOKUP($D243&amp;RIGHT($A251,1),Players!$A$2:$D$132,3)&lt;&gt;0,"("&amp;VLOOKUP($D243&amp;RIGHT($A251,1),Players!$A$2:$D$132,4)&amp;")","")</f>
        <v/>
      </c>
    </row>
    <row r="252" spans="1:10" ht="25.5" customHeight="1" x14ac:dyDescent="0.4">
      <c r="A252" s="37" t="str">
        <f>CONCATENATE($I243,"3")</f>
        <v>I3</v>
      </c>
      <c r="B252" s="222" t="str">
        <f>IF(VLOOKUP($A252,Players!$A$2:$C$132,3)&lt;&gt;0,VLOOKUP($A252,Players!$A$2:$C$132,3),"")</f>
        <v/>
      </c>
      <c r="C252" s="222"/>
      <c r="D252" s="222"/>
      <c r="E252" s="222"/>
      <c r="F252" s="222"/>
      <c r="G252" s="225" t="str">
        <f>IF(VLOOKUP($D243&amp;RIGHT($A252,1),Players!$A$2:$D$132,3)&lt;&gt;0,VLOOKUP($D243&amp;RIGHT($A252,1),Players!$A$2:$D$132,3),"")</f>
        <v/>
      </c>
      <c r="H252" s="225"/>
      <c r="I252" s="225"/>
      <c r="J252" s="168" t="str">
        <f>IF(VLOOKUP($D243&amp;RIGHT($A252,1),Players!$A$2:$D$132,3)&lt;&gt;0,"("&amp;VLOOKUP($D243&amp;RIGHT($A252,1),Players!$A$2:$D$132,4)&amp;")","")</f>
        <v/>
      </c>
    </row>
    <row r="253" spans="1:10" ht="25.5" customHeight="1" x14ac:dyDescent="0.4">
      <c r="A253" s="37" t="str">
        <f>CONCATENATE($I243,"4")</f>
        <v>I4</v>
      </c>
      <c r="B253" s="222" t="str">
        <f>IF(VLOOKUP($A253,Players!$A$2:$C$132,3)&lt;&gt;0,VLOOKUP($A253,Players!$A$2:$C$132,3),"")</f>
        <v/>
      </c>
      <c r="C253" s="222"/>
      <c r="D253" s="222"/>
      <c r="E253" s="222"/>
      <c r="F253" s="222"/>
      <c r="G253" s="225" t="str">
        <f>IF(VLOOKUP($D243&amp;RIGHT($A253,1),Players!$A$2:$D$132,3)&lt;&gt;0,VLOOKUP($D243&amp;RIGHT($A253,1),Players!$A$2:$D$132,3),"")</f>
        <v/>
      </c>
      <c r="H253" s="225"/>
      <c r="I253" s="225"/>
      <c r="J253" s="168" t="str">
        <f>IF(VLOOKUP($D243&amp;RIGHT($A253,1),Players!$A$2:$D$132,3)&lt;&gt;0,"("&amp;VLOOKUP($D243&amp;RIGHT($A253,1),Players!$A$2:$D$132,4)&amp;")","")</f>
        <v/>
      </c>
    </row>
    <row r="254" spans="1:10" ht="25.5" customHeight="1" x14ac:dyDescent="0.4">
      <c r="A254" s="37" t="str">
        <f>CONCATENATE($I243,"5")</f>
        <v>I5</v>
      </c>
      <c r="B254" s="222" t="str">
        <f>IF(VLOOKUP($A254,Players!$A$2:$C$132,3)&lt;&gt;0,VLOOKUP($A254,Players!$A$2:$C$132,3),"")</f>
        <v/>
      </c>
      <c r="C254" s="222"/>
      <c r="D254" s="222"/>
      <c r="E254" s="222"/>
      <c r="F254" s="222"/>
      <c r="G254" s="225" t="str">
        <f>IF(VLOOKUP($D243&amp;RIGHT($A254,1),Players!$A$2:$D$132,3)&lt;&gt;0,VLOOKUP($D243&amp;RIGHT($A254,1),Players!$A$2:$D$132,3),"")</f>
        <v/>
      </c>
      <c r="H254" s="225"/>
      <c r="I254" s="225"/>
      <c r="J254" s="168" t="str">
        <f>IF(VLOOKUP($D243&amp;RIGHT($A254,1),Players!$A$2:$D$132,3)&lt;&gt;0,"("&amp;VLOOKUP($D243&amp;RIGHT($A254,1),Players!$A$2:$D$132,4)&amp;")","")</f>
        <v/>
      </c>
    </row>
    <row r="255" spans="1:10" ht="25.5" customHeight="1" x14ac:dyDescent="0.4">
      <c r="A255" s="37" t="str">
        <f>CONCATENATE($I243,"6")</f>
        <v>I6</v>
      </c>
      <c r="B255" s="222" t="str">
        <f>IF(VLOOKUP($A255,Players!$A$2:$C$132,3)&lt;&gt;0,VLOOKUP($A255,Players!$A$2:$C$132,3),"")</f>
        <v/>
      </c>
      <c r="C255" s="222"/>
      <c r="D255" s="222"/>
      <c r="E255" s="222"/>
      <c r="F255" s="222"/>
      <c r="G255" s="225" t="str">
        <f>IF(VLOOKUP($D243&amp;RIGHT($A255,1),Players!$A$2:$D$132,3)&lt;&gt;0,VLOOKUP($D243&amp;RIGHT($A255,1),Players!$A$2:$D$132,3),"")</f>
        <v/>
      </c>
      <c r="H255" s="225"/>
      <c r="I255" s="225"/>
      <c r="J255" s="168" t="str">
        <f>IF(VLOOKUP($D243&amp;RIGHT($A255,1),Players!$A$2:$D$132,3)&lt;&gt;0,"("&amp;VLOOKUP($D243&amp;RIGHT($A255,1),Players!$A$2:$D$132,4)&amp;")","")</f>
        <v/>
      </c>
    </row>
    <row r="256" spans="1:10" ht="25.5" customHeight="1" x14ac:dyDescent="0.4">
      <c r="A256" s="37" t="str">
        <f>CONCATENATE($I243,"7")</f>
        <v>I7</v>
      </c>
      <c r="B256" s="222" t="str">
        <f>IF(VLOOKUP($A256,Players!$A$2:$C$132,3)&lt;&gt;0,VLOOKUP($A256,Players!$A$2:$C$132,3),"")</f>
        <v/>
      </c>
      <c r="C256" s="222"/>
      <c r="D256" s="222"/>
      <c r="E256" s="222"/>
      <c r="F256" s="222"/>
      <c r="G256" s="225" t="str">
        <f>IF(VLOOKUP($D243&amp;RIGHT($A256,1),Players!$A$2:$D$132,3)&lt;&gt;0,VLOOKUP($D243&amp;RIGHT($A256,1),Players!$A$2:$D$132,3),"")</f>
        <v/>
      </c>
      <c r="H256" s="225"/>
      <c r="I256" s="225"/>
      <c r="J256" s="168" t="str">
        <f>IF(VLOOKUP($D243&amp;RIGHT($A256,1),Players!$A$2:$D$132,3)&lt;&gt;0,"("&amp;VLOOKUP($D243&amp;RIGHT($A256,1),Players!$A$2:$D$132,4)&amp;")","")</f>
        <v/>
      </c>
    </row>
    <row r="257" spans="1:10" ht="25.5" customHeight="1" x14ac:dyDescent="0.4">
      <c r="A257" s="37" t="str">
        <f>CONCATENATE($I243,"8")</f>
        <v>I8</v>
      </c>
      <c r="B257" s="222" t="str">
        <f>IF(VLOOKUP($A257,Players!$A$2:$C$132,3)&lt;&gt;0,VLOOKUP($A257,Players!$A$2:$C$132,3),"")</f>
        <v/>
      </c>
      <c r="C257" s="222"/>
      <c r="D257" s="222"/>
      <c r="E257" s="222"/>
      <c r="F257" s="222"/>
      <c r="G257" s="225" t="str">
        <f>IF(VLOOKUP($D243&amp;RIGHT($A257,1),Players!$A$2:$D$132,3)&lt;&gt;0,VLOOKUP($D243&amp;RIGHT($A257,1),Players!$A$2:$D$132,3),"")</f>
        <v/>
      </c>
      <c r="H257" s="225"/>
      <c r="I257" s="225"/>
      <c r="J257" s="168" t="str">
        <f>IF(VLOOKUP($D243&amp;RIGHT($A257,1),Players!$A$2:$D$132,3)&lt;&gt;0,"("&amp;VLOOKUP($D243&amp;RIGHT($A257,1),Players!$A$2:$D$132,4)&amp;")","")</f>
        <v/>
      </c>
    </row>
    <row r="258" spans="1:10" ht="25.5" customHeight="1" x14ac:dyDescent="0.25">
      <c r="A258" s="37"/>
      <c r="B258" s="7"/>
      <c r="C258" s="7"/>
      <c r="D258" s="7"/>
      <c r="E258" s="7"/>
    </row>
    <row r="259" spans="1:10" x14ac:dyDescent="0.25">
      <c r="A259" s="9" t="s">
        <v>157</v>
      </c>
    </row>
    <row r="260" spans="1:10" x14ac:dyDescent="0.25">
      <c r="A260" t="s">
        <v>179</v>
      </c>
    </row>
    <row r="261" spans="1:10" x14ac:dyDescent="0.25">
      <c r="A261" s="55" t="s">
        <v>918</v>
      </c>
    </row>
    <row r="262" spans="1:10" x14ac:dyDescent="0.25">
      <c r="A262" t="s">
        <v>919</v>
      </c>
    </row>
    <row r="263" spans="1:10" ht="25.5" customHeight="1" thickBot="1" x14ac:dyDescent="0.3">
      <c r="A263" s="37"/>
    </row>
    <row r="264" spans="1:10" x14ac:dyDescent="0.25">
      <c r="B264" s="213"/>
      <c r="C264" s="214"/>
      <c r="D264" s="214"/>
      <c r="E264" s="214"/>
      <c r="F264" s="215"/>
    </row>
    <row r="265" spans="1:10" ht="13.8" thickBot="1" x14ac:dyDescent="0.3">
      <c r="B265" s="216"/>
      <c r="C265" s="217"/>
      <c r="D265" s="217"/>
      <c r="E265" s="217"/>
      <c r="F265" s="218"/>
    </row>
    <row r="269" spans="1:10" ht="25.5" customHeight="1" x14ac:dyDescent="0.25">
      <c r="A269" s="36"/>
      <c r="B269" s="36"/>
      <c r="C269" s="36"/>
      <c r="D269" s="36"/>
      <c r="E269" s="36"/>
      <c r="G269" s="38"/>
      <c r="H269" s="227" t="s">
        <v>159</v>
      </c>
      <c r="I269" s="228"/>
    </row>
    <row r="270" spans="1:10" x14ac:dyDescent="0.25">
      <c r="A270" t="s">
        <v>158</v>
      </c>
    </row>
    <row r="272" spans="1:10" x14ac:dyDescent="0.25">
      <c r="E272" s="219" t="str">
        <f>CONCATENATE("(",$D243," vs ",$I243,")")</f>
        <v>(D vs I)</v>
      </c>
      <c r="F272" s="219"/>
    </row>
    <row r="273" spans="1:10" ht="15.6" x14ac:dyDescent="0.3">
      <c r="A273" s="33" t="s">
        <v>155</v>
      </c>
      <c r="J273" s="82" t="s">
        <v>479</v>
      </c>
    </row>
    <row r="274" spans="1:10" ht="12.75" customHeight="1" x14ac:dyDescent="0.3">
      <c r="A274" s="33"/>
      <c r="G274" t="str">
        <f ca="1">Team_Matches!$J$6</f>
        <v>[NCTTA Teams Template (v3.4).xlsx]</v>
      </c>
      <c r="J274" s="55"/>
    </row>
    <row r="275" spans="1:10" ht="12.75" customHeight="1" x14ac:dyDescent="0.3">
      <c r="A275" s="33"/>
      <c r="G275" s="229" t="str">
        <f>Team_Matches!$J211</f>
        <v>Round 1, Match 5</v>
      </c>
      <c r="H275" s="229"/>
      <c r="I275" s="127" t="str">
        <f>Team_Matches!$M211</f>
        <v/>
      </c>
      <c r="J275" s="127"/>
    </row>
    <row r="276" spans="1:10" ht="15.6" x14ac:dyDescent="0.3">
      <c r="A276" s="33"/>
    </row>
    <row r="277" spans="1:10" x14ac:dyDescent="0.25">
      <c r="C277" s="7" t="s">
        <v>160</v>
      </c>
      <c r="D277" s="39" t="str">
        <f>Team_Matches!$B213</f>
        <v>E</v>
      </c>
      <c r="F277" s="83" t="str">
        <f>CONCATENATE($D277,"-",$I277)</f>
        <v>E-H</v>
      </c>
      <c r="H277" s="7" t="s">
        <v>160</v>
      </c>
      <c r="I277" s="39" t="str">
        <f>Team_Matches!$K213</f>
        <v>H</v>
      </c>
    </row>
    <row r="278" spans="1:10" ht="25.5" customHeight="1" x14ac:dyDescent="0.25">
      <c r="A278" s="34"/>
      <c r="B278" s="220" t="str">
        <f>IF(VLOOKUP($D277,Draw!$A$4:$B$27,2)&lt;&gt;0,VLOOKUP($D277,Draw!$A$4:$B$27,2),"")</f>
        <v/>
      </c>
      <c r="C278" s="220"/>
      <c r="D278" s="220"/>
      <c r="E278" s="221"/>
      <c r="F278" s="35"/>
      <c r="G278" s="223" t="str">
        <f>IF(VLOOKUP($I277,Draw!$A$4:$B$27,2)&lt;&gt;0,VLOOKUP($I277,Draw!$A$4:$B$27,2),"")</f>
        <v/>
      </c>
      <c r="H278" s="223"/>
      <c r="I278" s="223"/>
      <c r="J278" s="224"/>
    </row>
    <row r="279" spans="1:10" ht="25.5" customHeight="1" x14ac:dyDescent="0.25"/>
    <row r="280" spans="1:10" ht="25.5" customHeight="1" x14ac:dyDescent="0.25"/>
    <row r="281" spans="1:10" ht="24" customHeight="1" x14ac:dyDescent="0.25">
      <c r="A281" s="9" t="s">
        <v>178</v>
      </c>
    </row>
    <row r="282" spans="1:10" ht="24" customHeight="1" x14ac:dyDescent="0.25">
      <c r="A282" s="9"/>
    </row>
    <row r="283" spans="1:10" x14ac:dyDescent="0.25">
      <c r="A283" s="9" t="s">
        <v>156</v>
      </c>
      <c r="G283" s="226" t="s">
        <v>873</v>
      </c>
      <c r="H283" s="226"/>
      <c r="I283" s="226"/>
      <c r="J283" s="226"/>
    </row>
    <row r="284" spans="1:10" ht="24" customHeight="1" x14ac:dyDescent="0.4">
      <c r="A284" s="37" t="str">
        <f>CONCATENATE($D277,"1")</f>
        <v>E1</v>
      </c>
      <c r="B284" s="222" t="str">
        <f>IF(VLOOKUP($A284,Players!$A$2:$C$132,3)&lt;&gt;0,VLOOKUP($A284,Players!$A$2:$C$132,3),"")</f>
        <v/>
      </c>
      <c r="C284" s="222"/>
      <c r="D284" s="222"/>
      <c r="E284" s="222"/>
      <c r="F284" s="222"/>
      <c r="G284" s="225" t="str">
        <f>IF(VLOOKUP($I277&amp;RIGHT($A284,1),Players!$A$2:$D$132,3)&lt;&gt;0,VLOOKUP($I277&amp;RIGHT($A284,1),Players!$A$2:$D$132,3),"")</f>
        <v/>
      </c>
      <c r="H284" s="225"/>
      <c r="I284" s="225"/>
      <c r="J284" s="168" t="str">
        <f>IF(VLOOKUP($I277&amp;RIGHT($A284,1),Players!$A$2:$D$132,3)&lt;&gt;0,"("&amp;VLOOKUP($I277&amp;RIGHT($A284,1),Players!$A$2:$D$132,4)&amp;")","")</f>
        <v/>
      </c>
    </row>
    <row r="285" spans="1:10" ht="25.5" customHeight="1" x14ac:dyDescent="0.4">
      <c r="A285" s="37" t="str">
        <f>CONCATENATE($D277,"2")</f>
        <v>E2</v>
      </c>
      <c r="B285" s="222" t="str">
        <f>IF(VLOOKUP($A285,Players!$A$2:$C$132,3)&lt;&gt;0,VLOOKUP($A285,Players!$A$2:$C$132,3),"")</f>
        <v/>
      </c>
      <c r="C285" s="222"/>
      <c r="D285" s="222"/>
      <c r="E285" s="222"/>
      <c r="F285" s="222"/>
      <c r="G285" s="225" t="str">
        <f>IF(VLOOKUP($I277&amp;RIGHT($A285,1),Players!$A$2:$D$132,3)&lt;&gt;0,VLOOKUP($I277&amp;RIGHT($A285,1),Players!$A$2:$D$132,3),"")</f>
        <v/>
      </c>
      <c r="H285" s="225"/>
      <c r="I285" s="225"/>
      <c r="J285" s="168" t="str">
        <f>IF(VLOOKUP($I277&amp;RIGHT($A285,1),Players!$A$2:$D$132,3)&lt;&gt;0,"("&amp;VLOOKUP($I277&amp;RIGHT($A285,1),Players!$A$2:$D$132,4)&amp;")","")</f>
        <v/>
      </c>
    </row>
    <row r="286" spans="1:10" ht="25.5" customHeight="1" x14ac:dyDescent="0.4">
      <c r="A286" s="37" t="str">
        <f>CONCATENATE($D277,"3")</f>
        <v>E3</v>
      </c>
      <c r="B286" s="222" t="str">
        <f>IF(VLOOKUP($A286,Players!$A$2:$C$132,3)&lt;&gt;0,VLOOKUP($A286,Players!$A$2:$C$132,3),"")</f>
        <v/>
      </c>
      <c r="C286" s="222"/>
      <c r="D286" s="222"/>
      <c r="E286" s="222"/>
      <c r="F286" s="222"/>
      <c r="G286" s="225" t="str">
        <f>IF(VLOOKUP($I277&amp;RIGHT($A286,1),Players!$A$2:$D$132,3)&lt;&gt;0,VLOOKUP($I277&amp;RIGHT($A286,1),Players!$A$2:$D$132,3),"")</f>
        <v/>
      </c>
      <c r="H286" s="225"/>
      <c r="I286" s="225"/>
      <c r="J286" s="168" t="str">
        <f>IF(VLOOKUP($I277&amp;RIGHT($A286,1),Players!$A$2:$D$132,3)&lt;&gt;0,"("&amp;VLOOKUP($I277&amp;RIGHT($A286,1),Players!$A$2:$D$132,4)&amp;")","")</f>
        <v/>
      </c>
    </row>
    <row r="287" spans="1:10" ht="25.5" customHeight="1" x14ac:dyDescent="0.4">
      <c r="A287" s="37" t="str">
        <f>CONCATENATE($D277,"4")</f>
        <v>E4</v>
      </c>
      <c r="B287" s="222" t="str">
        <f>IF(VLOOKUP($A287,Players!$A$2:$C$132,3)&lt;&gt;0,VLOOKUP($A287,Players!$A$2:$C$132,3),"")</f>
        <v/>
      </c>
      <c r="C287" s="222"/>
      <c r="D287" s="222"/>
      <c r="E287" s="222"/>
      <c r="F287" s="222"/>
      <c r="G287" s="225" t="str">
        <f>IF(VLOOKUP($I277&amp;RIGHT($A287,1),Players!$A$2:$D$132,3)&lt;&gt;0,VLOOKUP($I277&amp;RIGHT($A287,1),Players!$A$2:$D$132,3),"")</f>
        <v/>
      </c>
      <c r="H287" s="225"/>
      <c r="I287" s="225"/>
      <c r="J287" s="168" t="str">
        <f>IF(VLOOKUP($I277&amp;RIGHT($A287,1),Players!$A$2:$D$132,3)&lt;&gt;0,"("&amp;VLOOKUP($I277&amp;RIGHT($A287,1),Players!$A$2:$D$132,4)&amp;")","")</f>
        <v/>
      </c>
    </row>
    <row r="288" spans="1:10" ht="25.5" customHeight="1" x14ac:dyDescent="0.4">
      <c r="A288" s="37" t="str">
        <f>CONCATENATE($D277,"5")</f>
        <v>E5</v>
      </c>
      <c r="B288" s="222" t="str">
        <f>IF(VLOOKUP($A288,Players!$A$2:$C$132,3)&lt;&gt;0,VLOOKUP($A288,Players!$A$2:$C$132,3),"")</f>
        <v/>
      </c>
      <c r="C288" s="222"/>
      <c r="D288" s="222"/>
      <c r="E288" s="222"/>
      <c r="F288" s="222"/>
      <c r="G288" s="225" t="str">
        <f>IF(VLOOKUP($I277&amp;RIGHT($A288,1),Players!$A$2:$D$132,3)&lt;&gt;0,VLOOKUP($I277&amp;RIGHT($A288,1),Players!$A$2:$D$132,3),"")</f>
        <v/>
      </c>
      <c r="H288" s="225"/>
      <c r="I288" s="225"/>
      <c r="J288" s="168" t="str">
        <f>IF(VLOOKUP($I277&amp;RIGHT($A288,1),Players!$A$2:$D$132,3)&lt;&gt;0,"("&amp;VLOOKUP($I277&amp;RIGHT($A288,1),Players!$A$2:$D$132,4)&amp;")","")</f>
        <v/>
      </c>
    </row>
    <row r="289" spans="1:10" ht="25.5" customHeight="1" x14ac:dyDescent="0.4">
      <c r="A289" s="37" t="str">
        <f>CONCATENATE($D277,"6")</f>
        <v>E6</v>
      </c>
      <c r="B289" s="222" t="str">
        <f>IF(VLOOKUP($A289,Players!$A$2:$C$132,3)&lt;&gt;0,VLOOKUP($A289,Players!$A$2:$C$132,3),"")</f>
        <v/>
      </c>
      <c r="C289" s="222"/>
      <c r="D289" s="222"/>
      <c r="E289" s="222"/>
      <c r="F289" s="222"/>
      <c r="G289" s="225" t="str">
        <f>IF(VLOOKUP($I277&amp;RIGHT($A289,1),Players!$A$2:$D$132,3)&lt;&gt;0,VLOOKUP($I277&amp;RIGHT($A289,1),Players!$A$2:$D$132,3),"")</f>
        <v/>
      </c>
      <c r="H289" s="225"/>
      <c r="I289" s="225"/>
      <c r="J289" s="168" t="str">
        <f>IF(VLOOKUP($I277&amp;RIGHT($A289,1),Players!$A$2:$D$132,3)&lt;&gt;0,"("&amp;VLOOKUP($I277&amp;RIGHT($A289,1),Players!$A$2:$D$132,4)&amp;")","")</f>
        <v/>
      </c>
    </row>
    <row r="290" spans="1:10" ht="25.5" customHeight="1" x14ac:dyDescent="0.4">
      <c r="A290" s="37" t="str">
        <f>CONCATENATE($D277,"7")</f>
        <v>E7</v>
      </c>
      <c r="B290" s="222" t="str">
        <f>IF(VLOOKUP($A290,Players!$A$2:$C$132,3)&lt;&gt;0,VLOOKUP($A290,Players!$A$2:$C$132,3),"")</f>
        <v/>
      </c>
      <c r="C290" s="222"/>
      <c r="D290" s="222"/>
      <c r="E290" s="222"/>
      <c r="F290" s="222"/>
      <c r="G290" s="225" t="str">
        <f>IF(VLOOKUP($I277&amp;RIGHT($A290,1),Players!$A$2:$D$132,3)&lt;&gt;0,VLOOKUP($I277&amp;RIGHT($A290,1),Players!$A$2:$D$132,3),"")</f>
        <v/>
      </c>
      <c r="H290" s="225"/>
      <c r="I290" s="225"/>
      <c r="J290" s="168" t="str">
        <f>IF(VLOOKUP($I277&amp;RIGHT($A290,1),Players!$A$2:$D$132,3)&lt;&gt;0,"("&amp;VLOOKUP($I277&amp;RIGHT($A290,1),Players!$A$2:$D$132,4)&amp;")","")</f>
        <v/>
      </c>
    </row>
    <row r="291" spans="1:10" ht="25.5" customHeight="1" x14ac:dyDescent="0.4">
      <c r="A291" s="37" t="str">
        <f>CONCATENATE($D277,"8")</f>
        <v>E8</v>
      </c>
      <c r="B291" s="222" t="str">
        <f>IF(VLOOKUP($A291,Players!$A$2:$C$132,3)&lt;&gt;0,VLOOKUP($A291,Players!$A$2:$C$132,3),"")</f>
        <v/>
      </c>
      <c r="C291" s="222"/>
      <c r="D291" s="222"/>
      <c r="E291" s="222"/>
      <c r="F291" s="222"/>
      <c r="G291" s="225" t="str">
        <f>IF(VLOOKUP($I277&amp;RIGHT($A291,1),Players!$A$2:$D$132,3)&lt;&gt;0,VLOOKUP($I277&amp;RIGHT($A291,1),Players!$A$2:$D$132,3),"")</f>
        <v/>
      </c>
      <c r="H291" s="225"/>
      <c r="I291" s="225"/>
      <c r="J291" s="168" t="str">
        <f>IF(VLOOKUP($I277&amp;RIGHT($A291,1),Players!$A$2:$D$132,3)&lt;&gt;0,"("&amp;VLOOKUP($I277&amp;RIGHT($A291,1),Players!$A$2:$D$132,4)&amp;")","")</f>
        <v/>
      </c>
    </row>
    <row r="292" spans="1:10" ht="25.5" customHeight="1" x14ac:dyDescent="0.25">
      <c r="A292" s="37"/>
      <c r="B292" s="7"/>
      <c r="C292" s="7"/>
      <c r="D292" s="7"/>
      <c r="E292" s="7"/>
    </row>
    <row r="293" spans="1:10" x14ac:dyDescent="0.25">
      <c r="A293" s="9" t="s">
        <v>157</v>
      </c>
    </row>
    <row r="294" spans="1:10" x14ac:dyDescent="0.25">
      <c r="A294" t="s">
        <v>179</v>
      </c>
    </row>
    <row r="295" spans="1:10" x14ac:dyDescent="0.25">
      <c r="A295" s="55" t="s">
        <v>918</v>
      </c>
    </row>
    <row r="296" spans="1:10" x14ac:dyDescent="0.25">
      <c r="A296" t="s">
        <v>919</v>
      </c>
    </row>
    <row r="297" spans="1:10" ht="25.5" customHeight="1" thickBot="1" x14ac:dyDescent="0.3">
      <c r="A297" s="37"/>
    </row>
    <row r="298" spans="1:10" x14ac:dyDescent="0.25">
      <c r="B298" s="213"/>
      <c r="C298" s="214"/>
      <c r="D298" s="214"/>
      <c r="E298" s="214"/>
      <c r="F298" s="215"/>
    </row>
    <row r="299" spans="1:10" ht="13.8" thickBot="1" x14ac:dyDescent="0.3">
      <c r="B299" s="216"/>
      <c r="C299" s="217"/>
      <c r="D299" s="217"/>
      <c r="E299" s="217"/>
      <c r="F299" s="218"/>
    </row>
    <row r="303" spans="1:10" ht="25.5" customHeight="1" x14ac:dyDescent="0.25">
      <c r="A303" s="36"/>
      <c r="B303" s="36"/>
      <c r="C303" s="36"/>
      <c r="D303" s="36"/>
      <c r="E303" s="36"/>
      <c r="G303" s="38"/>
      <c r="H303" s="227" t="s">
        <v>159</v>
      </c>
      <c r="I303" s="228"/>
    </row>
    <row r="304" spans="1:10" x14ac:dyDescent="0.25">
      <c r="A304" t="s">
        <v>158</v>
      </c>
    </row>
    <row r="306" spans="1:10" x14ac:dyDescent="0.25">
      <c r="E306" s="219" t="str">
        <f>CONCATENATE("(",$D277," vs ",$I277,")")</f>
        <v>(E vs H)</v>
      </c>
      <c r="F306" s="219"/>
    </row>
    <row r="307" spans="1:10" ht="15.6" x14ac:dyDescent="0.3">
      <c r="A307" s="33" t="s">
        <v>155</v>
      </c>
      <c r="J307" s="82" t="s">
        <v>480</v>
      </c>
    </row>
    <row r="308" spans="1:10" ht="12.75" customHeight="1" x14ac:dyDescent="0.3">
      <c r="A308" s="33"/>
      <c r="G308" t="str">
        <f ca="1">Team_Matches!$J$6</f>
        <v>[NCTTA Teams Template (v3.4).xlsx]</v>
      </c>
      <c r="J308" s="55"/>
    </row>
    <row r="309" spans="1:10" ht="12.75" customHeight="1" x14ac:dyDescent="0.3">
      <c r="A309" s="33"/>
      <c r="G309" s="229" t="str">
        <f>Team_Matches!$J211</f>
        <v>Round 1, Match 5</v>
      </c>
      <c r="H309" s="229"/>
      <c r="I309" s="127" t="str">
        <f>Team_Matches!$M211</f>
        <v/>
      </c>
      <c r="J309" s="127"/>
    </row>
    <row r="310" spans="1:10" ht="15.6" x14ac:dyDescent="0.3">
      <c r="A310" s="33"/>
    </row>
    <row r="311" spans="1:10" x14ac:dyDescent="0.25">
      <c r="C311" s="7" t="s">
        <v>160</v>
      </c>
      <c r="D311" s="39" t="str">
        <f>Team_Matches!$B213</f>
        <v>E</v>
      </c>
      <c r="F311" s="83" t="str">
        <f>CONCATENATE($D311,"-",$I311)</f>
        <v>E-H</v>
      </c>
      <c r="H311" s="7" t="s">
        <v>160</v>
      </c>
      <c r="I311" s="39" t="str">
        <f>Team_Matches!$K213</f>
        <v>H</v>
      </c>
    </row>
    <row r="312" spans="1:10" ht="25.5" customHeight="1" x14ac:dyDescent="0.25">
      <c r="A312" s="34"/>
      <c r="B312" s="223" t="str">
        <f>IF(VLOOKUP($D311,Draw!$A$4:$B$27,2)&lt;&gt;0,VLOOKUP($D311,Draw!$A$4:$B$27,2),"")</f>
        <v/>
      </c>
      <c r="C312" s="223"/>
      <c r="D312" s="223"/>
      <c r="E312" s="224"/>
      <c r="F312" s="35"/>
      <c r="G312" s="220" t="str">
        <f>IF(VLOOKUP($I311,Draw!$A$4:$B$27,2)&lt;&gt;0,VLOOKUP($I311,Draw!$A$4:$B$27,2),"")</f>
        <v/>
      </c>
      <c r="H312" s="220"/>
      <c r="I312" s="220"/>
      <c r="J312" s="221"/>
    </row>
    <row r="313" spans="1:10" ht="25.5" customHeight="1" x14ac:dyDescent="0.25"/>
    <row r="314" spans="1:10" ht="25.5" customHeight="1" x14ac:dyDescent="0.25"/>
    <row r="315" spans="1:10" ht="24" customHeight="1" x14ac:dyDescent="0.25">
      <c r="A315" s="9" t="s">
        <v>178</v>
      </c>
    </row>
    <row r="316" spans="1:10" ht="24" customHeight="1" x14ac:dyDescent="0.25">
      <c r="A316" s="9"/>
    </row>
    <row r="317" spans="1:10" x14ac:dyDescent="0.25">
      <c r="A317" s="9" t="s">
        <v>156</v>
      </c>
      <c r="G317" s="226" t="s">
        <v>873</v>
      </c>
      <c r="H317" s="226"/>
      <c r="I317" s="226"/>
      <c r="J317" s="226"/>
    </row>
    <row r="318" spans="1:10" ht="24" customHeight="1" x14ac:dyDescent="0.4">
      <c r="A318" s="37" t="str">
        <f>CONCATENATE($I311,"1")</f>
        <v>H1</v>
      </c>
      <c r="B318" s="222" t="str">
        <f>IF(VLOOKUP($A318,Players!$A$2:$C$132,3)&lt;&gt;0,VLOOKUP($A318,Players!$A$2:$C$132,3),"")</f>
        <v/>
      </c>
      <c r="C318" s="222"/>
      <c r="D318" s="222"/>
      <c r="E318" s="222"/>
      <c r="F318" s="222"/>
      <c r="G318" s="225" t="str">
        <f>IF(VLOOKUP($D311&amp;RIGHT($A318,1),Players!$A$2:$D$132,3)&lt;&gt;0,VLOOKUP($D311&amp;RIGHT($A318,1),Players!$A$2:$D$132,3),"")</f>
        <v/>
      </c>
      <c r="H318" s="225"/>
      <c r="I318" s="225"/>
      <c r="J318" s="168" t="str">
        <f>IF(VLOOKUP($D311&amp;RIGHT($A318,1),Players!$A$2:$D$132,3)&lt;&gt;0,"("&amp;VLOOKUP($D311&amp;RIGHT($A318,1),Players!$A$2:$D$132,4)&amp;")","")</f>
        <v/>
      </c>
    </row>
    <row r="319" spans="1:10" ht="25.5" customHeight="1" x14ac:dyDescent="0.4">
      <c r="A319" s="37" t="str">
        <f>CONCATENATE($I311,"2")</f>
        <v>H2</v>
      </c>
      <c r="B319" s="222" t="str">
        <f>IF(VLOOKUP($A319,Players!$A$2:$C$132,3)&lt;&gt;0,VLOOKUP($A319,Players!$A$2:$C$132,3),"")</f>
        <v/>
      </c>
      <c r="C319" s="222"/>
      <c r="D319" s="222"/>
      <c r="E319" s="222"/>
      <c r="F319" s="222"/>
      <c r="G319" s="225" t="str">
        <f>IF(VLOOKUP($D311&amp;RIGHT($A319,1),Players!$A$2:$D$132,3)&lt;&gt;0,VLOOKUP($D311&amp;RIGHT($A319,1),Players!$A$2:$D$132,3),"")</f>
        <v/>
      </c>
      <c r="H319" s="225"/>
      <c r="I319" s="225"/>
      <c r="J319" s="168" t="str">
        <f>IF(VLOOKUP($D311&amp;RIGHT($A319,1),Players!$A$2:$D$132,3)&lt;&gt;0,"("&amp;VLOOKUP($D311&amp;RIGHT($A319,1),Players!$A$2:$D$132,4)&amp;")","")</f>
        <v/>
      </c>
    </row>
    <row r="320" spans="1:10" ht="25.5" customHeight="1" x14ac:dyDescent="0.4">
      <c r="A320" s="37" t="str">
        <f>CONCATENATE($I311,"3")</f>
        <v>H3</v>
      </c>
      <c r="B320" s="222" t="str">
        <f>IF(VLOOKUP($A320,Players!$A$2:$C$132,3)&lt;&gt;0,VLOOKUP($A320,Players!$A$2:$C$132,3),"")</f>
        <v/>
      </c>
      <c r="C320" s="222"/>
      <c r="D320" s="222"/>
      <c r="E320" s="222"/>
      <c r="F320" s="222"/>
      <c r="G320" s="225" t="str">
        <f>IF(VLOOKUP($D311&amp;RIGHT($A320,1),Players!$A$2:$D$132,3)&lt;&gt;0,VLOOKUP($D311&amp;RIGHT($A320,1),Players!$A$2:$D$132,3),"")</f>
        <v/>
      </c>
      <c r="H320" s="225"/>
      <c r="I320" s="225"/>
      <c r="J320" s="168" t="str">
        <f>IF(VLOOKUP($D311&amp;RIGHT($A320,1),Players!$A$2:$D$132,3)&lt;&gt;0,"("&amp;VLOOKUP($D311&amp;RIGHT($A320,1),Players!$A$2:$D$132,4)&amp;")","")</f>
        <v/>
      </c>
    </row>
    <row r="321" spans="1:10" ht="25.5" customHeight="1" x14ac:dyDescent="0.4">
      <c r="A321" s="37" t="str">
        <f>CONCATENATE($I311,"4")</f>
        <v>H4</v>
      </c>
      <c r="B321" s="222" t="str">
        <f>IF(VLOOKUP($A321,Players!$A$2:$C$132,3)&lt;&gt;0,VLOOKUP($A321,Players!$A$2:$C$132,3),"")</f>
        <v/>
      </c>
      <c r="C321" s="222"/>
      <c r="D321" s="222"/>
      <c r="E321" s="222"/>
      <c r="F321" s="222"/>
      <c r="G321" s="225" t="str">
        <f>IF(VLOOKUP($D311&amp;RIGHT($A321,1),Players!$A$2:$D$132,3)&lt;&gt;0,VLOOKUP($D311&amp;RIGHT($A321,1),Players!$A$2:$D$132,3),"")</f>
        <v/>
      </c>
      <c r="H321" s="225"/>
      <c r="I321" s="225"/>
      <c r="J321" s="168" t="str">
        <f>IF(VLOOKUP($D311&amp;RIGHT($A321,1),Players!$A$2:$D$132,3)&lt;&gt;0,"("&amp;VLOOKUP($D311&amp;RIGHT($A321,1),Players!$A$2:$D$132,4)&amp;")","")</f>
        <v/>
      </c>
    </row>
    <row r="322" spans="1:10" ht="25.5" customHeight="1" x14ac:dyDescent="0.4">
      <c r="A322" s="37" t="str">
        <f>CONCATENATE($I311,"5")</f>
        <v>H5</v>
      </c>
      <c r="B322" s="222" t="str">
        <f>IF(VLOOKUP($A322,Players!$A$2:$C$132,3)&lt;&gt;0,VLOOKUP($A322,Players!$A$2:$C$132,3),"")</f>
        <v/>
      </c>
      <c r="C322" s="222"/>
      <c r="D322" s="222"/>
      <c r="E322" s="222"/>
      <c r="F322" s="222"/>
      <c r="G322" s="225" t="str">
        <f>IF(VLOOKUP($D311&amp;RIGHT($A322,1),Players!$A$2:$D$132,3)&lt;&gt;0,VLOOKUP($D311&amp;RIGHT($A322,1),Players!$A$2:$D$132,3),"")</f>
        <v/>
      </c>
      <c r="H322" s="225"/>
      <c r="I322" s="225"/>
      <c r="J322" s="168" t="str">
        <f>IF(VLOOKUP($D311&amp;RIGHT($A322,1),Players!$A$2:$D$132,3)&lt;&gt;0,"("&amp;VLOOKUP($D311&amp;RIGHT($A322,1),Players!$A$2:$D$132,4)&amp;")","")</f>
        <v/>
      </c>
    </row>
    <row r="323" spans="1:10" ht="25.5" customHeight="1" x14ac:dyDescent="0.4">
      <c r="A323" s="37" t="str">
        <f>CONCATENATE($I311,"6")</f>
        <v>H6</v>
      </c>
      <c r="B323" s="222" t="str">
        <f>IF(VLOOKUP($A323,Players!$A$2:$C$132,3)&lt;&gt;0,VLOOKUP($A323,Players!$A$2:$C$132,3),"")</f>
        <v/>
      </c>
      <c r="C323" s="222"/>
      <c r="D323" s="222"/>
      <c r="E323" s="222"/>
      <c r="F323" s="222"/>
      <c r="G323" s="225" t="str">
        <f>IF(VLOOKUP($D311&amp;RIGHT($A323,1),Players!$A$2:$D$132,3)&lt;&gt;0,VLOOKUP($D311&amp;RIGHT($A323,1),Players!$A$2:$D$132,3),"")</f>
        <v/>
      </c>
      <c r="H323" s="225"/>
      <c r="I323" s="225"/>
      <c r="J323" s="168" t="str">
        <f>IF(VLOOKUP($D311&amp;RIGHT($A323,1),Players!$A$2:$D$132,3)&lt;&gt;0,"("&amp;VLOOKUP($D311&amp;RIGHT($A323,1),Players!$A$2:$D$132,4)&amp;")","")</f>
        <v/>
      </c>
    </row>
    <row r="324" spans="1:10" ht="25.5" customHeight="1" x14ac:dyDescent="0.4">
      <c r="A324" s="37" t="str">
        <f>CONCATENATE($I311,"7")</f>
        <v>H7</v>
      </c>
      <c r="B324" s="222" t="str">
        <f>IF(VLOOKUP($A324,Players!$A$2:$C$132,3)&lt;&gt;0,VLOOKUP($A324,Players!$A$2:$C$132,3),"")</f>
        <v/>
      </c>
      <c r="C324" s="222"/>
      <c r="D324" s="222"/>
      <c r="E324" s="222"/>
      <c r="F324" s="222"/>
      <c r="G324" s="225" t="str">
        <f>IF(VLOOKUP($D311&amp;RIGHT($A324,1),Players!$A$2:$D$132,3)&lt;&gt;0,VLOOKUP($D311&amp;RIGHT($A324,1),Players!$A$2:$D$132,3),"")</f>
        <v/>
      </c>
      <c r="H324" s="225"/>
      <c r="I324" s="225"/>
      <c r="J324" s="168" t="str">
        <f>IF(VLOOKUP($D311&amp;RIGHT($A324,1),Players!$A$2:$D$132,3)&lt;&gt;0,"("&amp;VLOOKUP($D311&amp;RIGHT($A324,1),Players!$A$2:$D$132,4)&amp;")","")</f>
        <v/>
      </c>
    </row>
    <row r="325" spans="1:10" ht="25.5" customHeight="1" x14ac:dyDescent="0.4">
      <c r="A325" s="37" t="str">
        <f>CONCATENATE($I311,"8")</f>
        <v>H8</v>
      </c>
      <c r="B325" s="222" t="str">
        <f>IF(VLOOKUP($A325,Players!$A$2:$C$132,3)&lt;&gt;0,VLOOKUP($A325,Players!$A$2:$C$132,3),"")</f>
        <v/>
      </c>
      <c r="C325" s="222"/>
      <c r="D325" s="222"/>
      <c r="E325" s="222"/>
      <c r="F325" s="222"/>
      <c r="G325" s="225" t="str">
        <f>IF(VLOOKUP($D311&amp;RIGHT($A325,1),Players!$A$2:$D$132,3)&lt;&gt;0,VLOOKUP($D311&amp;RIGHT($A325,1),Players!$A$2:$D$132,3),"")</f>
        <v/>
      </c>
      <c r="H325" s="225"/>
      <c r="I325" s="225"/>
      <c r="J325" s="168" t="str">
        <f>IF(VLOOKUP($D311&amp;RIGHT($A325,1),Players!$A$2:$D$132,3)&lt;&gt;0,"("&amp;VLOOKUP($D311&amp;RIGHT($A325,1),Players!$A$2:$D$132,4)&amp;")","")</f>
        <v/>
      </c>
    </row>
    <row r="326" spans="1:10" ht="25.5" customHeight="1" x14ac:dyDescent="0.25">
      <c r="A326" s="37"/>
      <c r="B326" s="7"/>
      <c r="C326" s="7"/>
      <c r="D326" s="7"/>
      <c r="E326" s="7"/>
    </row>
    <row r="327" spans="1:10" x14ac:dyDescent="0.25">
      <c r="A327" s="9" t="s">
        <v>157</v>
      </c>
    </row>
    <row r="328" spans="1:10" x14ac:dyDescent="0.25">
      <c r="A328" t="s">
        <v>179</v>
      </c>
    </row>
    <row r="329" spans="1:10" x14ac:dyDescent="0.25">
      <c r="A329" s="55" t="s">
        <v>918</v>
      </c>
    </row>
    <row r="330" spans="1:10" x14ac:dyDescent="0.25">
      <c r="A330" t="s">
        <v>919</v>
      </c>
    </row>
    <row r="331" spans="1:10" ht="25.5" customHeight="1" thickBot="1" x14ac:dyDescent="0.3">
      <c r="A331" s="37"/>
    </row>
    <row r="332" spans="1:10" x14ac:dyDescent="0.25">
      <c r="B332" s="213"/>
      <c r="C332" s="214"/>
      <c r="D332" s="214"/>
      <c r="E332" s="214"/>
      <c r="F332" s="215"/>
    </row>
    <row r="333" spans="1:10" ht="13.8" thickBot="1" x14ac:dyDescent="0.3">
      <c r="B333" s="216"/>
      <c r="C333" s="217"/>
      <c r="D333" s="217"/>
      <c r="E333" s="217"/>
      <c r="F333" s="218"/>
    </row>
    <row r="337" spans="1:10" ht="25.5" customHeight="1" x14ac:dyDescent="0.25">
      <c r="A337" s="36"/>
      <c r="B337" s="36"/>
      <c r="C337" s="36"/>
      <c r="D337" s="36"/>
      <c r="E337" s="36"/>
      <c r="G337" s="38"/>
      <c r="H337" s="227" t="s">
        <v>159</v>
      </c>
      <c r="I337" s="228"/>
    </row>
    <row r="338" spans="1:10" x14ac:dyDescent="0.25">
      <c r="A338" t="s">
        <v>158</v>
      </c>
    </row>
    <row r="340" spans="1:10" x14ac:dyDescent="0.25">
      <c r="E340" s="219" t="str">
        <f>CONCATENATE("(",$D311," vs ",$I311,")")</f>
        <v>(E vs H)</v>
      </c>
      <c r="F340" s="219"/>
    </row>
    <row r="341" spans="1:10" ht="15.6" x14ac:dyDescent="0.3">
      <c r="A341" s="33" t="s">
        <v>155</v>
      </c>
      <c r="J341" s="82" t="s">
        <v>481</v>
      </c>
    </row>
    <row r="342" spans="1:10" ht="12.75" customHeight="1" x14ac:dyDescent="0.3">
      <c r="A342" s="33"/>
      <c r="G342" t="str">
        <f ca="1">Team_Matches!$J$6</f>
        <v>[NCTTA Teams Template (v3.4).xlsx]</v>
      </c>
      <c r="J342" s="55"/>
    </row>
    <row r="343" spans="1:10" ht="12.75" customHeight="1" x14ac:dyDescent="0.3">
      <c r="A343" s="33"/>
      <c r="G343" s="229" t="str">
        <f>Team_Matches!$J262</f>
        <v>Round 1, Match 6</v>
      </c>
      <c r="H343" s="229"/>
      <c r="I343" s="127" t="str">
        <f>Team_Matches!$M262</f>
        <v/>
      </c>
      <c r="J343" s="127"/>
    </row>
    <row r="344" spans="1:10" ht="15.6" x14ac:dyDescent="0.3">
      <c r="A344" s="33"/>
    </row>
    <row r="345" spans="1:10" x14ac:dyDescent="0.25">
      <c r="C345" s="7" t="s">
        <v>160</v>
      </c>
      <c r="D345" s="39" t="str">
        <f>Team_Matches!$B264</f>
        <v>F</v>
      </c>
      <c r="F345" s="83" t="str">
        <f>CONCATENATE($D345,"-",$I345)</f>
        <v>F-G</v>
      </c>
      <c r="H345" s="7" t="s">
        <v>160</v>
      </c>
      <c r="I345" s="39" t="str">
        <f>Team_Matches!$K264</f>
        <v>G</v>
      </c>
    </row>
    <row r="346" spans="1:10" ht="25.5" customHeight="1" x14ac:dyDescent="0.25">
      <c r="A346" s="34"/>
      <c r="B346" s="220" t="str">
        <f>IF(VLOOKUP($D345,Draw!$A$4:$B$27,2)&lt;&gt;0,VLOOKUP($D345,Draw!$A$4:$B$27,2),"")</f>
        <v/>
      </c>
      <c r="C346" s="220"/>
      <c r="D346" s="220"/>
      <c r="E346" s="221"/>
      <c r="F346" s="35"/>
      <c r="G346" s="223" t="str">
        <f>IF(VLOOKUP($I345,Draw!$A$4:$B$27,2)&lt;&gt;0,VLOOKUP($I345,Draw!$A$4:$B$27,2),"")</f>
        <v/>
      </c>
      <c r="H346" s="223"/>
      <c r="I346" s="223"/>
      <c r="J346" s="224"/>
    </row>
    <row r="347" spans="1:10" ht="25.5" customHeight="1" x14ac:dyDescent="0.25"/>
    <row r="348" spans="1:10" ht="25.5" customHeight="1" x14ac:dyDescent="0.25"/>
    <row r="349" spans="1:10" ht="24" customHeight="1" x14ac:dyDescent="0.25">
      <c r="A349" s="9" t="s">
        <v>178</v>
      </c>
    </row>
    <row r="350" spans="1:10" ht="24" customHeight="1" x14ac:dyDescent="0.25">
      <c r="A350" s="9"/>
    </row>
    <row r="351" spans="1:10" x14ac:dyDescent="0.25">
      <c r="A351" s="9" t="s">
        <v>156</v>
      </c>
      <c r="G351" s="226" t="s">
        <v>873</v>
      </c>
      <c r="H351" s="226"/>
      <c r="I351" s="226"/>
      <c r="J351" s="226"/>
    </row>
    <row r="352" spans="1:10" ht="24" customHeight="1" x14ac:dyDescent="0.4">
      <c r="A352" s="37" t="str">
        <f>CONCATENATE($D345,"1")</f>
        <v>F1</v>
      </c>
      <c r="B352" s="222" t="str">
        <f>IF(VLOOKUP($A352,Players!$A$2:$C$132,3)&lt;&gt;0,VLOOKUP($A352,Players!$A$2:$C$132,3),"")</f>
        <v/>
      </c>
      <c r="C352" s="222"/>
      <c r="D352" s="222"/>
      <c r="E352" s="222"/>
      <c r="F352" s="222"/>
      <c r="G352" s="225" t="str">
        <f>IF(VLOOKUP($I345&amp;RIGHT($A352,1),Players!$A$2:$D$132,3)&lt;&gt;0,VLOOKUP($I345&amp;RIGHT($A352,1),Players!$A$2:$D$132,3),"")</f>
        <v/>
      </c>
      <c r="H352" s="225"/>
      <c r="I352" s="225"/>
      <c r="J352" s="168" t="str">
        <f>IF(VLOOKUP($I345&amp;RIGHT($A352,1),Players!$A$2:$D$132,3)&lt;&gt;0,"("&amp;VLOOKUP($I345&amp;RIGHT($A352,1),Players!$A$2:$D$132,4)&amp;")","")</f>
        <v/>
      </c>
    </row>
    <row r="353" spans="1:10" ht="25.5" customHeight="1" x14ac:dyDescent="0.4">
      <c r="A353" s="37" t="str">
        <f>CONCATENATE($D345,"2")</f>
        <v>F2</v>
      </c>
      <c r="B353" s="222" t="str">
        <f>IF(VLOOKUP($A353,Players!$A$2:$C$132,3)&lt;&gt;0,VLOOKUP($A353,Players!$A$2:$C$132,3),"")</f>
        <v/>
      </c>
      <c r="C353" s="222"/>
      <c r="D353" s="222"/>
      <c r="E353" s="222"/>
      <c r="F353" s="222"/>
      <c r="G353" s="225" t="str">
        <f>IF(VLOOKUP($I345&amp;RIGHT($A353,1),Players!$A$2:$D$132,3)&lt;&gt;0,VLOOKUP($I345&amp;RIGHT($A353,1),Players!$A$2:$D$132,3),"")</f>
        <v/>
      </c>
      <c r="H353" s="225"/>
      <c r="I353" s="225"/>
      <c r="J353" s="168" t="str">
        <f>IF(VLOOKUP($I345&amp;RIGHT($A353,1),Players!$A$2:$D$132,3)&lt;&gt;0,"("&amp;VLOOKUP($I345&amp;RIGHT($A353,1),Players!$A$2:$D$132,4)&amp;")","")</f>
        <v/>
      </c>
    </row>
    <row r="354" spans="1:10" ht="25.5" customHeight="1" x14ac:dyDescent="0.4">
      <c r="A354" s="37" t="str">
        <f>CONCATENATE($D345,"3")</f>
        <v>F3</v>
      </c>
      <c r="B354" s="222" t="str">
        <f>IF(VLOOKUP($A354,Players!$A$2:$C$132,3)&lt;&gt;0,VLOOKUP($A354,Players!$A$2:$C$132,3),"")</f>
        <v/>
      </c>
      <c r="C354" s="222"/>
      <c r="D354" s="222"/>
      <c r="E354" s="222"/>
      <c r="F354" s="222"/>
      <c r="G354" s="225" t="str">
        <f>IF(VLOOKUP($I345&amp;RIGHT($A354,1),Players!$A$2:$D$132,3)&lt;&gt;0,VLOOKUP($I345&amp;RIGHT($A354,1),Players!$A$2:$D$132,3),"")</f>
        <v/>
      </c>
      <c r="H354" s="225"/>
      <c r="I354" s="225"/>
      <c r="J354" s="168" t="str">
        <f>IF(VLOOKUP($I345&amp;RIGHT($A354,1),Players!$A$2:$D$132,3)&lt;&gt;0,"("&amp;VLOOKUP($I345&amp;RIGHT($A354,1),Players!$A$2:$D$132,4)&amp;")","")</f>
        <v/>
      </c>
    </row>
    <row r="355" spans="1:10" ht="25.5" customHeight="1" x14ac:dyDescent="0.4">
      <c r="A355" s="37" t="str">
        <f>CONCATENATE($D345,"4")</f>
        <v>F4</v>
      </c>
      <c r="B355" s="222" t="str">
        <f>IF(VLOOKUP($A355,Players!$A$2:$C$132,3)&lt;&gt;0,VLOOKUP($A355,Players!$A$2:$C$132,3),"")</f>
        <v/>
      </c>
      <c r="C355" s="222"/>
      <c r="D355" s="222"/>
      <c r="E355" s="222"/>
      <c r="F355" s="222"/>
      <c r="G355" s="225" t="str">
        <f>IF(VLOOKUP($I345&amp;RIGHT($A355,1),Players!$A$2:$D$132,3)&lt;&gt;0,VLOOKUP($I345&amp;RIGHT($A355,1),Players!$A$2:$D$132,3),"")</f>
        <v/>
      </c>
      <c r="H355" s="225"/>
      <c r="I355" s="225"/>
      <c r="J355" s="168" t="str">
        <f>IF(VLOOKUP($I345&amp;RIGHT($A355,1),Players!$A$2:$D$132,3)&lt;&gt;0,"("&amp;VLOOKUP($I345&amp;RIGHT($A355,1),Players!$A$2:$D$132,4)&amp;")","")</f>
        <v/>
      </c>
    </row>
    <row r="356" spans="1:10" ht="25.5" customHeight="1" x14ac:dyDescent="0.4">
      <c r="A356" s="37" t="str">
        <f>CONCATENATE($D345,"5")</f>
        <v>F5</v>
      </c>
      <c r="B356" s="222" t="str">
        <f>IF(VLOOKUP($A356,Players!$A$2:$C$132,3)&lt;&gt;0,VLOOKUP($A356,Players!$A$2:$C$132,3),"")</f>
        <v/>
      </c>
      <c r="C356" s="222"/>
      <c r="D356" s="222"/>
      <c r="E356" s="222"/>
      <c r="F356" s="222"/>
      <c r="G356" s="225" t="str">
        <f>IF(VLOOKUP($I345&amp;RIGHT($A356,1),Players!$A$2:$D$132,3)&lt;&gt;0,VLOOKUP($I345&amp;RIGHT($A356,1),Players!$A$2:$D$132,3),"")</f>
        <v/>
      </c>
      <c r="H356" s="225"/>
      <c r="I356" s="225"/>
      <c r="J356" s="168" t="str">
        <f>IF(VLOOKUP($I345&amp;RIGHT($A356,1),Players!$A$2:$D$132,3)&lt;&gt;0,"("&amp;VLOOKUP($I345&amp;RIGHT($A356,1),Players!$A$2:$D$132,4)&amp;")","")</f>
        <v/>
      </c>
    </row>
    <row r="357" spans="1:10" ht="25.5" customHeight="1" x14ac:dyDescent="0.4">
      <c r="A357" s="37" t="str">
        <f>CONCATENATE($D345,"6")</f>
        <v>F6</v>
      </c>
      <c r="B357" s="222" t="str">
        <f>IF(VLOOKUP($A357,Players!$A$2:$C$132,3)&lt;&gt;0,VLOOKUP($A357,Players!$A$2:$C$132,3),"")</f>
        <v/>
      </c>
      <c r="C357" s="222"/>
      <c r="D357" s="222"/>
      <c r="E357" s="222"/>
      <c r="F357" s="222"/>
      <c r="G357" s="225" t="str">
        <f>IF(VLOOKUP($I345&amp;RIGHT($A357,1),Players!$A$2:$D$132,3)&lt;&gt;0,VLOOKUP($I345&amp;RIGHT($A357,1),Players!$A$2:$D$132,3),"")</f>
        <v/>
      </c>
      <c r="H357" s="225"/>
      <c r="I357" s="225"/>
      <c r="J357" s="168" t="str">
        <f>IF(VLOOKUP($I345&amp;RIGHT($A357,1),Players!$A$2:$D$132,3)&lt;&gt;0,"("&amp;VLOOKUP($I345&amp;RIGHT($A357,1),Players!$A$2:$D$132,4)&amp;")","")</f>
        <v/>
      </c>
    </row>
    <row r="358" spans="1:10" ht="25.5" customHeight="1" x14ac:dyDescent="0.4">
      <c r="A358" s="37" t="str">
        <f>CONCATENATE($D345,"7")</f>
        <v>F7</v>
      </c>
      <c r="B358" s="222" t="str">
        <f>IF(VLOOKUP($A358,Players!$A$2:$C$132,3)&lt;&gt;0,VLOOKUP($A358,Players!$A$2:$C$132,3),"")</f>
        <v/>
      </c>
      <c r="C358" s="222"/>
      <c r="D358" s="222"/>
      <c r="E358" s="222"/>
      <c r="F358" s="222"/>
      <c r="G358" s="225" t="str">
        <f>IF(VLOOKUP($I345&amp;RIGHT($A358,1),Players!$A$2:$D$132,3)&lt;&gt;0,VLOOKUP($I345&amp;RIGHT($A358,1),Players!$A$2:$D$132,3),"")</f>
        <v/>
      </c>
      <c r="H358" s="225"/>
      <c r="I358" s="225"/>
      <c r="J358" s="168" t="str">
        <f>IF(VLOOKUP($I345&amp;RIGHT($A358,1),Players!$A$2:$D$132,3)&lt;&gt;0,"("&amp;VLOOKUP($I345&amp;RIGHT($A358,1),Players!$A$2:$D$132,4)&amp;")","")</f>
        <v/>
      </c>
    </row>
    <row r="359" spans="1:10" ht="25.5" customHeight="1" x14ac:dyDescent="0.4">
      <c r="A359" s="37" t="str">
        <f>CONCATENATE($D345,"8")</f>
        <v>F8</v>
      </c>
      <c r="B359" s="222" t="str">
        <f>IF(VLOOKUP($A359,Players!$A$2:$C$132,3)&lt;&gt;0,VLOOKUP($A359,Players!$A$2:$C$132,3),"")</f>
        <v/>
      </c>
      <c r="C359" s="222"/>
      <c r="D359" s="222"/>
      <c r="E359" s="222"/>
      <c r="F359" s="222"/>
      <c r="G359" s="225" t="str">
        <f>IF(VLOOKUP($I345&amp;RIGHT($A359,1),Players!$A$2:$D$132,3)&lt;&gt;0,VLOOKUP($I345&amp;RIGHT($A359,1),Players!$A$2:$D$132,3),"")</f>
        <v/>
      </c>
      <c r="H359" s="225"/>
      <c r="I359" s="225"/>
      <c r="J359" s="168" t="str">
        <f>IF(VLOOKUP($I345&amp;RIGHT($A359,1),Players!$A$2:$D$132,3)&lt;&gt;0,"("&amp;VLOOKUP($I345&amp;RIGHT($A359,1),Players!$A$2:$D$132,4)&amp;")","")</f>
        <v/>
      </c>
    </row>
    <row r="360" spans="1:10" ht="25.5" customHeight="1" x14ac:dyDescent="0.25">
      <c r="A360" s="37"/>
      <c r="B360" s="7"/>
      <c r="C360" s="7"/>
      <c r="D360" s="7"/>
      <c r="E360" s="7"/>
    </row>
    <row r="361" spans="1:10" x14ac:dyDescent="0.25">
      <c r="A361" s="9" t="s">
        <v>157</v>
      </c>
    </row>
    <row r="362" spans="1:10" x14ac:dyDescent="0.25">
      <c r="A362" t="s">
        <v>179</v>
      </c>
    </row>
    <row r="363" spans="1:10" x14ac:dyDescent="0.25">
      <c r="A363" s="55" t="s">
        <v>918</v>
      </c>
    </row>
    <row r="364" spans="1:10" x14ac:dyDescent="0.25">
      <c r="A364" t="s">
        <v>919</v>
      </c>
    </row>
    <row r="365" spans="1:10" ht="25.5" customHeight="1" thickBot="1" x14ac:dyDescent="0.3">
      <c r="A365" s="37"/>
    </row>
    <row r="366" spans="1:10" x14ac:dyDescent="0.25">
      <c r="B366" s="213"/>
      <c r="C366" s="214"/>
      <c r="D366" s="214"/>
      <c r="E366" s="214"/>
      <c r="F366" s="215"/>
    </row>
    <row r="367" spans="1:10" ht="13.8" thickBot="1" x14ac:dyDescent="0.3">
      <c r="B367" s="216"/>
      <c r="C367" s="217"/>
      <c r="D367" s="217"/>
      <c r="E367" s="217"/>
      <c r="F367" s="218"/>
    </row>
    <row r="371" spans="1:10" ht="25.5" customHeight="1" x14ac:dyDescent="0.25">
      <c r="A371" s="36"/>
      <c r="B371" s="36"/>
      <c r="C371" s="36"/>
      <c r="D371" s="36"/>
      <c r="E371" s="36"/>
      <c r="G371" s="38"/>
      <c r="H371" s="227" t="s">
        <v>159</v>
      </c>
      <c r="I371" s="228"/>
    </row>
    <row r="372" spans="1:10" x14ac:dyDescent="0.25">
      <c r="A372" t="s">
        <v>158</v>
      </c>
    </row>
    <row r="374" spans="1:10" x14ac:dyDescent="0.25">
      <c r="E374" s="219" t="str">
        <f>CONCATENATE("(",$D345," vs ",$I345,")")</f>
        <v>(F vs G)</v>
      </c>
      <c r="F374" s="219"/>
    </row>
    <row r="375" spans="1:10" ht="15.6" x14ac:dyDescent="0.3">
      <c r="A375" s="33" t="s">
        <v>155</v>
      </c>
      <c r="J375" s="82" t="s">
        <v>482</v>
      </c>
    </row>
    <row r="376" spans="1:10" ht="12.75" customHeight="1" x14ac:dyDescent="0.3">
      <c r="A376" s="33"/>
      <c r="G376" t="str">
        <f ca="1">Team_Matches!$J$6</f>
        <v>[NCTTA Teams Template (v3.4).xlsx]</v>
      </c>
      <c r="J376" s="55"/>
    </row>
    <row r="377" spans="1:10" ht="12.75" customHeight="1" x14ac:dyDescent="0.3">
      <c r="A377" s="33"/>
      <c r="G377" s="229" t="str">
        <f>Team_Matches!$J262</f>
        <v>Round 1, Match 6</v>
      </c>
      <c r="H377" s="229"/>
      <c r="I377" s="127" t="str">
        <f>Team_Matches!$M262</f>
        <v/>
      </c>
      <c r="J377" s="127"/>
    </row>
    <row r="378" spans="1:10" ht="15.6" x14ac:dyDescent="0.3">
      <c r="A378" s="33"/>
    </row>
    <row r="379" spans="1:10" x14ac:dyDescent="0.25">
      <c r="C379" s="7" t="s">
        <v>160</v>
      </c>
      <c r="D379" s="39" t="str">
        <f>Team_Matches!$B264</f>
        <v>F</v>
      </c>
      <c r="F379" s="83" t="str">
        <f>CONCATENATE($D379,"-",$I379)</f>
        <v>F-G</v>
      </c>
      <c r="H379" s="7" t="s">
        <v>160</v>
      </c>
      <c r="I379" s="39" t="str">
        <f>Team_Matches!$K264</f>
        <v>G</v>
      </c>
    </row>
    <row r="380" spans="1:10" ht="25.5" customHeight="1" x14ac:dyDescent="0.25">
      <c r="A380" s="34"/>
      <c r="B380" s="223" t="str">
        <f>IF(VLOOKUP($D379,Draw!$A$4:$B$27,2)&lt;&gt;0,VLOOKUP($D379,Draw!$A$4:$B$27,2),"")</f>
        <v/>
      </c>
      <c r="C380" s="223"/>
      <c r="D380" s="223"/>
      <c r="E380" s="224"/>
      <c r="F380" s="35"/>
      <c r="G380" s="220" t="str">
        <f>IF(VLOOKUP($I379,Draw!$A$4:$B$27,2)&lt;&gt;0,VLOOKUP($I379,Draw!$A$4:$B$27,2),"")</f>
        <v/>
      </c>
      <c r="H380" s="220"/>
      <c r="I380" s="220"/>
      <c r="J380" s="221"/>
    </row>
    <row r="381" spans="1:10" ht="25.5" customHeight="1" x14ac:dyDescent="0.25"/>
    <row r="382" spans="1:10" ht="25.5" customHeight="1" x14ac:dyDescent="0.25"/>
    <row r="383" spans="1:10" ht="24" customHeight="1" x14ac:dyDescent="0.25">
      <c r="A383" s="9" t="s">
        <v>178</v>
      </c>
    </row>
    <row r="384" spans="1:10" ht="24" customHeight="1" x14ac:dyDescent="0.25">
      <c r="A384" s="9"/>
    </row>
    <row r="385" spans="1:10" x14ac:dyDescent="0.25">
      <c r="A385" s="9" t="s">
        <v>156</v>
      </c>
      <c r="G385" s="226" t="s">
        <v>873</v>
      </c>
      <c r="H385" s="226"/>
      <c r="I385" s="226"/>
      <c r="J385" s="226"/>
    </row>
    <row r="386" spans="1:10" ht="24" customHeight="1" x14ac:dyDescent="0.4">
      <c r="A386" s="37" t="str">
        <f>CONCATENATE($I379,"1")</f>
        <v>G1</v>
      </c>
      <c r="B386" s="222" t="str">
        <f>IF(VLOOKUP($A386,Players!$A$2:$C$132,3)&lt;&gt;0,VLOOKUP($A386,Players!$A$2:$C$132,3),"")</f>
        <v/>
      </c>
      <c r="C386" s="222"/>
      <c r="D386" s="222"/>
      <c r="E386" s="222"/>
      <c r="F386" s="222"/>
      <c r="G386" s="225" t="str">
        <f>IF(VLOOKUP($D379&amp;RIGHT($A386,1),Players!$A$2:$D$132,3)&lt;&gt;0,VLOOKUP($D379&amp;RIGHT($A386,1),Players!$A$2:$D$132,3),"")</f>
        <v/>
      </c>
      <c r="H386" s="225"/>
      <c r="I386" s="225"/>
      <c r="J386" s="168" t="str">
        <f>IF(VLOOKUP($D379&amp;RIGHT($A386,1),Players!$A$2:$D$132,3)&lt;&gt;0,"("&amp;VLOOKUP($D379&amp;RIGHT($A386,1),Players!$A$2:$D$132,4)&amp;")","")</f>
        <v/>
      </c>
    </row>
    <row r="387" spans="1:10" ht="25.5" customHeight="1" x14ac:dyDescent="0.4">
      <c r="A387" s="37" t="str">
        <f>CONCATENATE($I379,"2")</f>
        <v>G2</v>
      </c>
      <c r="B387" s="222" t="str">
        <f>IF(VLOOKUP($A387,Players!$A$2:$C$132,3)&lt;&gt;0,VLOOKUP($A387,Players!$A$2:$C$132,3),"")</f>
        <v/>
      </c>
      <c r="C387" s="222"/>
      <c r="D387" s="222"/>
      <c r="E387" s="222"/>
      <c r="F387" s="222"/>
      <c r="G387" s="225" t="str">
        <f>IF(VLOOKUP($D379&amp;RIGHT($A387,1),Players!$A$2:$D$132,3)&lt;&gt;0,VLOOKUP($D379&amp;RIGHT($A387,1),Players!$A$2:$D$132,3),"")</f>
        <v/>
      </c>
      <c r="H387" s="225"/>
      <c r="I387" s="225"/>
      <c r="J387" s="168" t="str">
        <f>IF(VLOOKUP($D379&amp;RIGHT($A387,1),Players!$A$2:$D$132,3)&lt;&gt;0,"("&amp;VLOOKUP($D379&amp;RIGHT($A387,1),Players!$A$2:$D$132,4)&amp;")","")</f>
        <v/>
      </c>
    </row>
    <row r="388" spans="1:10" ht="25.5" customHeight="1" x14ac:dyDescent="0.4">
      <c r="A388" s="37" t="str">
        <f>CONCATENATE($I379,"3")</f>
        <v>G3</v>
      </c>
      <c r="B388" s="222" t="str">
        <f>IF(VLOOKUP($A388,Players!$A$2:$C$132,3)&lt;&gt;0,VLOOKUP($A388,Players!$A$2:$C$132,3),"")</f>
        <v/>
      </c>
      <c r="C388" s="222"/>
      <c r="D388" s="222"/>
      <c r="E388" s="222"/>
      <c r="F388" s="222"/>
      <c r="G388" s="225" t="str">
        <f>IF(VLOOKUP($D379&amp;RIGHT($A388,1),Players!$A$2:$D$132,3)&lt;&gt;0,VLOOKUP($D379&amp;RIGHT($A388,1),Players!$A$2:$D$132,3),"")</f>
        <v/>
      </c>
      <c r="H388" s="225"/>
      <c r="I388" s="225"/>
      <c r="J388" s="168" t="str">
        <f>IF(VLOOKUP($D379&amp;RIGHT($A388,1),Players!$A$2:$D$132,3)&lt;&gt;0,"("&amp;VLOOKUP($D379&amp;RIGHT($A388,1),Players!$A$2:$D$132,4)&amp;")","")</f>
        <v/>
      </c>
    </row>
    <row r="389" spans="1:10" ht="25.5" customHeight="1" x14ac:dyDescent="0.4">
      <c r="A389" s="37" t="str">
        <f>CONCATENATE($I379,"4")</f>
        <v>G4</v>
      </c>
      <c r="B389" s="222" t="str">
        <f>IF(VLOOKUP($A389,Players!$A$2:$C$132,3)&lt;&gt;0,VLOOKUP($A389,Players!$A$2:$C$132,3),"")</f>
        <v/>
      </c>
      <c r="C389" s="222"/>
      <c r="D389" s="222"/>
      <c r="E389" s="222"/>
      <c r="F389" s="222"/>
      <c r="G389" s="225" t="str">
        <f>IF(VLOOKUP($D379&amp;RIGHT($A389,1),Players!$A$2:$D$132,3)&lt;&gt;0,VLOOKUP($D379&amp;RIGHT($A389,1),Players!$A$2:$D$132,3),"")</f>
        <v/>
      </c>
      <c r="H389" s="225"/>
      <c r="I389" s="225"/>
      <c r="J389" s="168" t="str">
        <f>IF(VLOOKUP($D379&amp;RIGHT($A389,1),Players!$A$2:$D$132,3)&lt;&gt;0,"("&amp;VLOOKUP($D379&amp;RIGHT($A389,1),Players!$A$2:$D$132,4)&amp;")","")</f>
        <v/>
      </c>
    </row>
    <row r="390" spans="1:10" ht="25.5" customHeight="1" x14ac:dyDescent="0.4">
      <c r="A390" s="37" t="str">
        <f>CONCATENATE($I379,"5")</f>
        <v>G5</v>
      </c>
      <c r="B390" s="222" t="str">
        <f>IF(VLOOKUP($A390,Players!$A$2:$C$132,3)&lt;&gt;0,VLOOKUP($A390,Players!$A$2:$C$132,3),"")</f>
        <v/>
      </c>
      <c r="C390" s="222"/>
      <c r="D390" s="222"/>
      <c r="E390" s="222"/>
      <c r="F390" s="222"/>
      <c r="G390" s="225" t="str">
        <f>IF(VLOOKUP($D379&amp;RIGHT($A390,1),Players!$A$2:$D$132,3)&lt;&gt;0,VLOOKUP($D379&amp;RIGHT($A390,1),Players!$A$2:$D$132,3),"")</f>
        <v/>
      </c>
      <c r="H390" s="225"/>
      <c r="I390" s="225"/>
      <c r="J390" s="168" t="str">
        <f>IF(VLOOKUP($D379&amp;RIGHT($A390,1),Players!$A$2:$D$132,3)&lt;&gt;0,"("&amp;VLOOKUP($D379&amp;RIGHT($A390,1),Players!$A$2:$D$132,4)&amp;")","")</f>
        <v/>
      </c>
    </row>
    <row r="391" spans="1:10" ht="25.5" customHeight="1" x14ac:dyDescent="0.4">
      <c r="A391" s="37" t="str">
        <f>CONCATENATE($I379,"6")</f>
        <v>G6</v>
      </c>
      <c r="B391" s="222" t="str">
        <f>IF(VLOOKUP($A391,Players!$A$2:$C$132,3)&lt;&gt;0,VLOOKUP($A391,Players!$A$2:$C$132,3),"")</f>
        <v/>
      </c>
      <c r="C391" s="222"/>
      <c r="D391" s="222"/>
      <c r="E391" s="222"/>
      <c r="F391" s="222"/>
      <c r="G391" s="225" t="str">
        <f>IF(VLOOKUP($D379&amp;RIGHT($A391,1),Players!$A$2:$D$132,3)&lt;&gt;0,VLOOKUP($D379&amp;RIGHT($A391,1),Players!$A$2:$D$132,3),"")</f>
        <v/>
      </c>
      <c r="H391" s="225"/>
      <c r="I391" s="225"/>
      <c r="J391" s="168" t="str">
        <f>IF(VLOOKUP($D379&amp;RIGHT($A391,1),Players!$A$2:$D$132,3)&lt;&gt;0,"("&amp;VLOOKUP($D379&amp;RIGHT($A391,1),Players!$A$2:$D$132,4)&amp;")","")</f>
        <v/>
      </c>
    </row>
    <row r="392" spans="1:10" ht="25.5" customHeight="1" x14ac:dyDescent="0.4">
      <c r="A392" s="37" t="str">
        <f>CONCATENATE($I379,"7")</f>
        <v>G7</v>
      </c>
      <c r="B392" s="222" t="str">
        <f>IF(VLOOKUP($A392,Players!$A$2:$C$132,3)&lt;&gt;0,VLOOKUP($A392,Players!$A$2:$C$132,3),"")</f>
        <v/>
      </c>
      <c r="C392" s="222"/>
      <c r="D392" s="222"/>
      <c r="E392" s="222"/>
      <c r="F392" s="222"/>
      <c r="G392" s="225" t="str">
        <f>IF(VLOOKUP($D379&amp;RIGHT($A392,1),Players!$A$2:$D$132,3)&lt;&gt;0,VLOOKUP($D379&amp;RIGHT($A392,1),Players!$A$2:$D$132,3),"")</f>
        <v/>
      </c>
      <c r="H392" s="225"/>
      <c r="I392" s="225"/>
      <c r="J392" s="168" t="str">
        <f>IF(VLOOKUP($D379&amp;RIGHT($A392,1),Players!$A$2:$D$132,3)&lt;&gt;0,"("&amp;VLOOKUP($D379&amp;RIGHT($A392,1),Players!$A$2:$D$132,4)&amp;")","")</f>
        <v/>
      </c>
    </row>
    <row r="393" spans="1:10" ht="25.5" customHeight="1" x14ac:dyDescent="0.4">
      <c r="A393" s="37" t="str">
        <f>CONCATENATE($I379,"8")</f>
        <v>G8</v>
      </c>
      <c r="B393" s="222" t="str">
        <f>IF(VLOOKUP($A393,Players!$A$2:$C$132,3)&lt;&gt;0,VLOOKUP($A393,Players!$A$2:$C$132,3),"")</f>
        <v/>
      </c>
      <c r="C393" s="222"/>
      <c r="D393" s="222"/>
      <c r="E393" s="222"/>
      <c r="F393" s="222"/>
      <c r="G393" s="225" t="str">
        <f>IF(VLOOKUP($D379&amp;RIGHT($A393,1),Players!$A$2:$D$132,3)&lt;&gt;0,VLOOKUP($D379&amp;RIGHT($A393,1),Players!$A$2:$D$132,3),"")</f>
        <v/>
      </c>
      <c r="H393" s="225"/>
      <c r="I393" s="225"/>
      <c r="J393" s="168" t="str">
        <f>IF(VLOOKUP($D379&amp;RIGHT($A393,1),Players!$A$2:$D$132,3)&lt;&gt;0,"("&amp;VLOOKUP($D379&amp;RIGHT($A393,1),Players!$A$2:$D$132,4)&amp;")","")</f>
        <v/>
      </c>
    </row>
    <row r="394" spans="1:10" ht="25.5" customHeight="1" x14ac:dyDescent="0.25">
      <c r="A394" s="37"/>
      <c r="B394" s="7"/>
      <c r="C394" s="7"/>
      <c r="D394" s="7"/>
      <c r="E394" s="7"/>
    </row>
    <row r="395" spans="1:10" x14ac:dyDescent="0.25">
      <c r="A395" s="9" t="s">
        <v>157</v>
      </c>
    </row>
    <row r="396" spans="1:10" x14ac:dyDescent="0.25">
      <c r="A396" t="s">
        <v>179</v>
      </c>
    </row>
    <row r="397" spans="1:10" x14ac:dyDescent="0.25">
      <c r="A397" s="55" t="s">
        <v>918</v>
      </c>
    </row>
    <row r="398" spans="1:10" x14ac:dyDescent="0.25">
      <c r="A398" t="s">
        <v>919</v>
      </c>
    </row>
    <row r="399" spans="1:10" ht="25.5" customHeight="1" thickBot="1" x14ac:dyDescent="0.3">
      <c r="A399" s="37"/>
    </row>
    <row r="400" spans="1:10" x14ac:dyDescent="0.25">
      <c r="B400" s="213"/>
      <c r="C400" s="214"/>
      <c r="D400" s="214"/>
      <c r="E400" s="214"/>
      <c r="F400" s="215"/>
    </row>
    <row r="401" spans="1:10" ht="13.8" thickBot="1" x14ac:dyDescent="0.3">
      <c r="B401" s="216"/>
      <c r="C401" s="217"/>
      <c r="D401" s="217"/>
      <c r="E401" s="217"/>
      <c r="F401" s="218"/>
    </row>
    <row r="405" spans="1:10" ht="25.5" customHeight="1" x14ac:dyDescent="0.25">
      <c r="A405" s="36"/>
      <c r="B405" s="36"/>
      <c r="C405" s="36"/>
      <c r="D405" s="36"/>
      <c r="E405" s="36"/>
      <c r="G405" s="38"/>
      <c r="H405" s="227" t="s">
        <v>159</v>
      </c>
      <c r="I405" s="228"/>
    </row>
    <row r="406" spans="1:10" x14ac:dyDescent="0.25">
      <c r="A406" t="s">
        <v>158</v>
      </c>
    </row>
    <row r="408" spans="1:10" x14ac:dyDescent="0.25">
      <c r="E408" s="219" t="str">
        <f>CONCATENATE("(",$D379," vs ",$I379,")")</f>
        <v>(F vs G)</v>
      </c>
      <c r="F408" s="219"/>
    </row>
    <row r="409" spans="1:10" ht="15.6" x14ac:dyDescent="0.3">
      <c r="A409" s="33" t="s">
        <v>155</v>
      </c>
      <c r="J409" s="82" t="s">
        <v>483</v>
      </c>
    </row>
    <row r="410" spans="1:10" ht="12.75" customHeight="1" x14ac:dyDescent="0.3">
      <c r="A410" s="33"/>
      <c r="G410" t="str">
        <f ca="1">Team_Matches!$J$6</f>
        <v>[NCTTA Teams Template (v3.4).xlsx]</v>
      </c>
      <c r="J410" s="55"/>
    </row>
    <row r="411" spans="1:10" ht="12.75" customHeight="1" x14ac:dyDescent="0.3">
      <c r="A411" s="33"/>
      <c r="G411" s="229" t="str">
        <f>Team_Matches!$J313</f>
        <v>Round 2, Match 1</v>
      </c>
      <c r="H411" s="229"/>
      <c r="I411" s="127" t="str">
        <f>Team_Matches!$M313</f>
        <v/>
      </c>
      <c r="J411" s="127"/>
    </row>
    <row r="412" spans="1:10" ht="15.6" x14ac:dyDescent="0.3">
      <c r="A412" s="33"/>
    </row>
    <row r="413" spans="1:10" x14ac:dyDescent="0.25">
      <c r="C413" s="7" t="s">
        <v>160</v>
      </c>
      <c r="D413" s="3" t="str">
        <f>Team_Matches!$B315</f>
        <v>A</v>
      </c>
      <c r="F413" s="83" t="str">
        <f>CONCATENATE($D413,"-",$I413)</f>
        <v>A-K</v>
      </c>
      <c r="H413" s="7" t="s">
        <v>160</v>
      </c>
      <c r="I413" s="39" t="str">
        <f>Team_Matches!$K315</f>
        <v>K</v>
      </c>
    </row>
    <row r="414" spans="1:10" ht="25.5" customHeight="1" x14ac:dyDescent="0.25">
      <c r="A414" s="34"/>
      <c r="B414" s="220" t="str">
        <f>IF(VLOOKUP($D413,Draw!$A$4:$B$27,2)&lt;&gt;0,VLOOKUP($D413,Draw!$A$4:$B$27,2),"")</f>
        <v/>
      </c>
      <c r="C414" s="220"/>
      <c r="D414" s="220"/>
      <c r="E414" s="221"/>
      <c r="F414" s="35"/>
      <c r="G414" s="223" t="str">
        <f>IF(VLOOKUP($I413,Draw!$A$4:$B$27,2)&lt;&gt;0,VLOOKUP($I413,Draw!$A$4:$B$27,2),"")</f>
        <v/>
      </c>
      <c r="H414" s="223"/>
      <c r="I414" s="223"/>
      <c r="J414" s="224"/>
    </row>
    <row r="415" spans="1:10" ht="25.5" customHeight="1" x14ac:dyDescent="0.25"/>
    <row r="416" spans="1:10" ht="25.5" customHeight="1" x14ac:dyDescent="0.25"/>
    <row r="417" spans="1:10" ht="24" customHeight="1" x14ac:dyDescent="0.25">
      <c r="A417" s="9" t="s">
        <v>178</v>
      </c>
    </row>
    <row r="418" spans="1:10" ht="24" customHeight="1" x14ac:dyDescent="0.25">
      <c r="A418" s="9"/>
    </row>
    <row r="419" spans="1:10" x14ac:dyDescent="0.25">
      <c r="A419" s="9" t="s">
        <v>156</v>
      </c>
      <c r="G419" s="226" t="s">
        <v>873</v>
      </c>
      <c r="H419" s="226"/>
      <c r="I419" s="226"/>
      <c r="J419" s="226"/>
    </row>
    <row r="420" spans="1:10" ht="24" customHeight="1" x14ac:dyDescent="0.4">
      <c r="A420" s="37" t="str">
        <f>CONCATENATE($D413,"1")</f>
        <v>A1</v>
      </c>
      <c r="B420" s="222" t="str">
        <f>IF(VLOOKUP($A420,Players!$A$2:$C$132,3)&lt;&gt;0,VLOOKUP($A420,Players!$A$2:$C$132,3),"")</f>
        <v/>
      </c>
      <c r="C420" s="222"/>
      <c r="D420" s="222"/>
      <c r="E420" s="222"/>
      <c r="F420" s="222"/>
      <c r="G420" s="225" t="str">
        <f>IF(VLOOKUP($I413&amp;RIGHT($A420,1),Players!$A$2:$D$132,3)&lt;&gt;0,VLOOKUP($I413&amp;RIGHT($A420,1),Players!$A$2:$D$132,3),"")</f>
        <v/>
      </c>
      <c r="H420" s="225"/>
      <c r="I420" s="225"/>
      <c r="J420" s="168" t="str">
        <f>IF(VLOOKUP($I413&amp;RIGHT($A420,1),Players!$A$2:$D$132,3)&lt;&gt;0,"("&amp;VLOOKUP($I413&amp;RIGHT($A420,1),Players!$A$2:$D$132,4)&amp;")","")</f>
        <v/>
      </c>
    </row>
    <row r="421" spans="1:10" ht="25.5" customHeight="1" x14ac:dyDescent="0.4">
      <c r="A421" s="37" t="str">
        <f>CONCATENATE($D413,"2")</f>
        <v>A2</v>
      </c>
      <c r="B421" s="222" t="str">
        <f>IF(VLOOKUP($A421,Players!$A$2:$C$132,3)&lt;&gt;0,VLOOKUP($A421,Players!$A$2:$C$132,3),"")</f>
        <v/>
      </c>
      <c r="C421" s="222"/>
      <c r="D421" s="222"/>
      <c r="E421" s="222"/>
      <c r="F421" s="222"/>
      <c r="G421" s="225" t="str">
        <f>IF(VLOOKUP($I413&amp;RIGHT($A421,1),Players!$A$2:$D$132,3)&lt;&gt;0,VLOOKUP($I413&amp;RIGHT($A421,1),Players!$A$2:$D$132,3),"")</f>
        <v/>
      </c>
      <c r="H421" s="225"/>
      <c r="I421" s="225"/>
      <c r="J421" s="168" t="str">
        <f>IF(VLOOKUP($I413&amp;RIGHT($A421,1),Players!$A$2:$D$132,3)&lt;&gt;0,"("&amp;VLOOKUP($I413&amp;RIGHT($A421,1),Players!$A$2:$D$132,4)&amp;")","")</f>
        <v/>
      </c>
    </row>
    <row r="422" spans="1:10" ht="25.5" customHeight="1" x14ac:dyDescent="0.4">
      <c r="A422" s="37" t="str">
        <f>CONCATENATE($D413,"3")</f>
        <v>A3</v>
      </c>
      <c r="B422" s="222" t="str">
        <f>IF(VLOOKUP($A422,Players!$A$2:$C$132,3)&lt;&gt;0,VLOOKUP($A422,Players!$A$2:$C$132,3),"")</f>
        <v/>
      </c>
      <c r="C422" s="222"/>
      <c r="D422" s="222"/>
      <c r="E422" s="222"/>
      <c r="F422" s="222"/>
      <c r="G422" s="225" t="str">
        <f>IF(VLOOKUP($I413&amp;RIGHT($A422,1),Players!$A$2:$D$132,3)&lt;&gt;0,VLOOKUP($I413&amp;RIGHT($A422,1),Players!$A$2:$D$132,3),"")</f>
        <v/>
      </c>
      <c r="H422" s="225"/>
      <c r="I422" s="225"/>
      <c r="J422" s="168" t="str">
        <f>IF(VLOOKUP($I413&amp;RIGHT($A422,1),Players!$A$2:$D$132,3)&lt;&gt;0,"("&amp;VLOOKUP($I413&amp;RIGHT($A422,1),Players!$A$2:$D$132,4)&amp;")","")</f>
        <v/>
      </c>
    </row>
    <row r="423" spans="1:10" ht="25.5" customHeight="1" x14ac:dyDescent="0.4">
      <c r="A423" s="37" t="str">
        <f>CONCATENATE($D413,"4")</f>
        <v>A4</v>
      </c>
      <c r="B423" s="222" t="str">
        <f>IF(VLOOKUP($A423,Players!$A$2:$C$132,3)&lt;&gt;0,VLOOKUP($A423,Players!$A$2:$C$132,3),"")</f>
        <v/>
      </c>
      <c r="C423" s="222"/>
      <c r="D423" s="222"/>
      <c r="E423" s="222"/>
      <c r="F423" s="222"/>
      <c r="G423" s="225" t="str">
        <f>IF(VLOOKUP($I413&amp;RIGHT($A423,1),Players!$A$2:$D$132,3)&lt;&gt;0,VLOOKUP($I413&amp;RIGHT($A423,1),Players!$A$2:$D$132,3),"")</f>
        <v/>
      </c>
      <c r="H423" s="225"/>
      <c r="I423" s="225"/>
      <c r="J423" s="168" t="str">
        <f>IF(VLOOKUP($I413&amp;RIGHT($A423,1),Players!$A$2:$D$132,3)&lt;&gt;0,"("&amp;VLOOKUP($I413&amp;RIGHT($A423,1),Players!$A$2:$D$132,4)&amp;")","")</f>
        <v/>
      </c>
    </row>
    <row r="424" spans="1:10" ht="25.5" customHeight="1" x14ac:dyDescent="0.4">
      <c r="A424" s="37" t="str">
        <f>CONCATENATE($D413,"5")</f>
        <v>A5</v>
      </c>
      <c r="B424" s="222" t="str">
        <f>IF(VLOOKUP($A424,Players!$A$2:$C$132,3)&lt;&gt;0,VLOOKUP($A424,Players!$A$2:$C$132,3),"")</f>
        <v/>
      </c>
      <c r="C424" s="222"/>
      <c r="D424" s="222"/>
      <c r="E424" s="222"/>
      <c r="F424" s="222"/>
      <c r="G424" s="225" t="str">
        <f>IF(VLOOKUP($I413&amp;RIGHT($A424,1),Players!$A$2:$D$132,3)&lt;&gt;0,VLOOKUP($I413&amp;RIGHT($A424,1),Players!$A$2:$D$132,3),"")</f>
        <v/>
      </c>
      <c r="H424" s="225"/>
      <c r="I424" s="225"/>
      <c r="J424" s="168" t="str">
        <f>IF(VLOOKUP($I413&amp;RIGHT($A424,1),Players!$A$2:$D$132,3)&lt;&gt;0,"("&amp;VLOOKUP($I413&amp;RIGHT($A424,1),Players!$A$2:$D$132,4)&amp;")","")</f>
        <v/>
      </c>
    </row>
    <row r="425" spans="1:10" ht="25.5" customHeight="1" x14ac:dyDescent="0.4">
      <c r="A425" s="37" t="str">
        <f>CONCATENATE($D413,"6")</f>
        <v>A6</v>
      </c>
      <c r="B425" s="222" t="str">
        <f>IF(VLOOKUP($A425,Players!$A$2:$C$132,3)&lt;&gt;0,VLOOKUP($A425,Players!$A$2:$C$132,3),"")</f>
        <v/>
      </c>
      <c r="C425" s="222"/>
      <c r="D425" s="222"/>
      <c r="E425" s="222"/>
      <c r="F425" s="222"/>
      <c r="G425" s="225" t="str">
        <f>IF(VLOOKUP($I413&amp;RIGHT($A425,1),Players!$A$2:$D$132,3)&lt;&gt;0,VLOOKUP($I413&amp;RIGHT($A425,1),Players!$A$2:$D$132,3),"")</f>
        <v/>
      </c>
      <c r="H425" s="225"/>
      <c r="I425" s="225"/>
      <c r="J425" s="168" t="str">
        <f>IF(VLOOKUP($I413&amp;RIGHT($A425,1),Players!$A$2:$D$132,3)&lt;&gt;0,"("&amp;VLOOKUP($I413&amp;RIGHT($A425,1),Players!$A$2:$D$132,4)&amp;")","")</f>
        <v/>
      </c>
    </row>
    <row r="426" spans="1:10" ht="25.5" customHeight="1" x14ac:dyDescent="0.4">
      <c r="A426" s="37" t="str">
        <f>CONCATENATE($D413,"7")</f>
        <v>A7</v>
      </c>
      <c r="B426" s="222" t="str">
        <f>IF(VLOOKUP($A426,Players!$A$2:$C$132,3)&lt;&gt;0,VLOOKUP($A426,Players!$A$2:$C$132,3),"")</f>
        <v/>
      </c>
      <c r="C426" s="222"/>
      <c r="D426" s="222"/>
      <c r="E426" s="222"/>
      <c r="F426" s="222"/>
      <c r="G426" s="225" t="str">
        <f>IF(VLOOKUP($I413&amp;RIGHT($A426,1),Players!$A$2:$D$132,3)&lt;&gt;0,VLOOKUP($I413&amp;RIGHT($A426,1),Players!$A$2:$D$132,3),"")</f>
        <v/>
      </c>
      <c r="H426" s="225"/>
      <c r="I426" s="225"/>
      <c r="J426" s="168" t="str">
        <f>IF(VLOOKUP($I413&amp;RIGHT($A426,1),Players!$A$2:$D$132,3)&lt;&gt;0,"("&amp;VLOOKUP($I413&amp;RIGHT($A426,1),Players!$A$2:$D$132,4)&amp;")","")</f>
        <v/>
      </c>
    </row>
    <row r="427" spans="1:10" ht="25.5" customHeight="1" x14ac:dyDescent="0.4">
      <c r="A427" s="37" t="str">
        <f>CONCATENATE($D413,"8")</f>
        <v>A8</v>
      </c>
      <c r="B427" s="222" t="str">
        <f>IF(VLOOKUP($A427,Players!$A$2:$C$132,3)&lt;&gt;0,VLOOKUP($A427,Players!$A$2:$C$132,3),"")</f>
        <v/>
      </c>
      <c r="C427" s="222"/>
      <c r="D427" s="222"/>
      <c r="E427" s="222"/>
      <c r="F427" s="222"/>
      <c r="G427" s="225" t="str">
        <f>IF(VLOOKUP($I413&amp;RIGHT($A427,1),Players!$A$2:$D$132,3)&lt;&gt;0,VLOOKUP($I413&amp;RIGHT($A427,1),Players!$A$2:$D$132,3),"")</f>
        <v/>
      </c>
      <c r="H427" s="225"/>
      <c r="I427" s="225"/>
      <c r="J427" s="168" t="str">
        <f>IF(VLOOKUP($I413&amp;RIGHT($A427,1),Players!$A$2:$D$132,3)&lt;&gt;0,"("&amp;VLOOKUP($I413&amp;RIGHT($A427,1),Players!$A$2:$D$132,4)&amp;")","")</f>
        <v/>
      </c>
    </row>
    <row r="428" spans="1:10" ht="25.5" customHeight="1" x14ac:dyDescent="0.25">
      <c r="A428" s="37"/>
      <c r="B428" s="7"/>
      <c r="C428" s="7"/>
      <c r="D428" s="7"/>
      <c r="E428" s="7"/>
    </row>
    <row r="429" spans="1:10" x14ac:dyDescent="0.25">
      <c r="A429" s="9" t="s">
        <v>157</v>
      </c>
    </row>
    <row r="430" spans="1:10" x14ac:dyDescent="0.25">
      <c r="A430" t="s">
        <v>179</v>
      </c>
    </row>
    <row r="431" spans="1:10" x14ac:dyDescent="0.25">
      <c r="A431" s="55" t="s">
        <v>918</v>
      </c>
    </row>
    <row r="432" spans="1:10" x14ac:dyDescent="0.25">
      <c r="A432" t="s">
        <v>919</v>
      </c>
    </row>
    <row r="433" spans="1:10" ht="25.5" customHeight="1" thickBot="1" x14ac:dyDescent="0.3">
      <c r="A433" s="37"/>
    </row>
    <row r="434" spans="1:10" x14ac:dyDescent="0.25">
      <c r="B434" s="213"/>
      <c r="C434" s="214"/>
      <c r="D434" s="214"/>
      <c r="E434" s="214"/>
      <c r="F434" s="215"/>
    </row>
    <row r="435" spans="1:10" ht="13.8" thickBot="1" x14ac:dyDescent="0.3">
      <c r="B435" s="216"/>
      <c r="C435" s="217"/>
      <c r="D435" s="217"/>
      <c r="E435" s="217"/>
      <c r="F435" s="218"/>
    </row>
    <row r="439" spans="1:10" ht="25.5" customHeight="1" x14ac:dyDescent="0.25">
      <c r="A439" s="36"/>
      <c r="B439" s="36"/>
      <c r="C439" s="36"/>
      <c r="D439" s="36"/>
      <c r="E439" s="36"/>
      <c r="G439" s="38"/>
      <c r="H439" s="227" t="s">
        <v>159</v>
      </c>
      <c r="I439" s="228"/>
    </row>
    <row r="440" spans="1:10" x14ac:dyDescent="0.25">
      <c r="A440" t="s">
        <v>158</v>
      </c>
    </row>
    <row r="442" spans="1:10" x14ac:dyDescent="0.25">
      <c r="E442" s="219" t="str">
        <f>CONCATENATE("(",$D413," vs ",$I413,")")</f>
        <v>(A vs K)</v>
      </c>
      <c r="F442" s="219"/>
    </row>
    <row r="443" spans="1:10" ht="15.6" x14ac:dyDescent="0.3">
      <c r="A443" s="33" t="s">
        <v>155</v>
      </c>
      <c r="J443" s="82" t="s">
        <v>484</v>
      </c>
    </row>
    <row r="444" spans="1:10" ht="12.75" customHeight="1" x14ac:dyDescent="0.3">
      <c r="A444" s="33"/>
      <c r="G444" t="str">
        <f ca="1">Team_Matches!$J$6</f>
        <v>[NCTTA Teams Template (v3.4).xlsx]</v>
      </c>
      <c r="J444" s="55"/>
    </row>
    <row r="445" spans="1:10" ht="12.75" customHeight="1" x14ac:dyDescent="0.3">
      <c r="A445" s="33"/>
      <c r="G445" s="229" t="str">
        <f>Team_Matches!$J313</f>
        <v>Round 2, Match 1</v>
      </c>
      <c r="H445" s="229"/>
      <c r="I445" s="127" t="str">
        <f>Team_Matches!$M313</f>
        <v/>
      </c>
      <c r="J445" s="127"/>
    </row>
    <row r="446" spans="1:10" ht="15.6" x14ac:dyDescent="0.3">
      <c r="A446" s="33"/>
    </row>
    <row r="447" spans="1:10" x14ac:dyDescent="0.25">
      <c r="C447" s="7" t="s">
        <v>160</v>
      </c>
      <c r="D447" s="3" t="str">
        <f>Team_Matches!$B315</f>
        <v>A</v>
      </c>
      <c r="F447" s="83" t="str">
        <f>CONCATENATE($D447,"-",$I447)</f>
        <v>A-K</v>
      </c>
      <c r="H447" s="7" t="s">
        <v>160</v>
      </c>
      <c r="I447" s="39" t="str">
        <f>Team_Matches!$K315</f>
        <v>K</v>
      </c>
    </row>
    <row r="448" spans="1:10" ht="25.5" customHeight="1" x14ac:dyDescent="0.25">
      <c r="A448" s="34"/>
      <c r="B448" s="223" t="str">
        <f>IF(VLOOKUP($D447,Draw!$A$4:$B$27,2)&lt;&gt;0,VLOOKUP($D447,Draw!$A$4:$B$27,2),"")</f>
        <v/>
      </c>
      <c r="C448" s="223"/>
      <c r="D448" s="223"/>
      <c r="E448" s="224"/>
      <c r="F448" s="35"/>
      <c r="G448" s="220" t="str">
        <f>IF(VLOOKUP($I447,Draw!$A$4:$B$27,2)&lt;&gt;0,VLOOKUP($I447,Draw!$A$4:$B$27,2),"")</f>
        <v/>
      </c>
      <c r="H448" s="220"/>
      <c r="I448" s="220"/>
      <c r="J448" s="221"/>
    </row>
    <row r="449" spans="1:10" ht="25.5" customHeight="1" x14ac:dyDescent="0.25"/>
    <row r="450" spans="1:10" ht="25.5" customHeight="1" x14ac:dyDescent="0.25"/>
    <row r="451" spans="1:10" ht="24" customHeight="1" x14ac:dyDescent="0.25">
      <c r="A451" s="9" t="s">
        <v>178</v>
      </c>
    </row>
    <row r="452" spans="1:10" ht="24" customHeight="1" x14ac:dyDescent="0.25">
      <c r="A452" s="9"/>
    </row>
    <row r="453" spans="1:10" x14ac:dyDescent="0.25">
      <c r="A453" s="9" t="s">
        <v>156</v>
      </c>
      <c r="G453" s="226" t="s">
        <v>873</v>
      </c>
      <c r="H453" s="226"/>
      <c r="I453" s="226"/>
      <c r="J453" s="226"/>
    </row>
    <row r="454" spans="1:10" ht="24" customHeight="1" x14ac:dyDescent="0.4">
      <c r="A454" s="37" t="str">
        <f>CONCATENATE($I447,"1")</f>
        <v>K1</v>
      </c>
      <c r="B454" s="222" t="str">
        <f>IF(VLOOKUP($A454,Players!$A$2:$C$132,3)&lt;&gt;0,VLOOKUP($A454,Players!$A$2:$C$132,3),"")</f>
        <v/>
      </c>
      <c r="C454" s="222"/>
      <c r="D454" s="222"/>
      <c r="E454" s="222"/>
      <c r="F454" s="222"/>
      <c r="G454" s="225" t="str">
        <f>IF(VLOOKUP($D447&amp;RIGHT($A454,1),Players!$A$2:$D$132,3)&lt;&gt;0,VLOOKUP($D447&amp;RIGHT($A454,1),Players!$A$2:$D$132,3),"")</f>
        <v/>
      </c>
      <c r="H454" s="225"/>
      <c r="I454" s="225"/>
      <c r="J454" s="168" t="str">
        <f>IF(VLOOKUP($D447&amp;RIGHT($A454,1),Players!$A$2:$D$132,3)&lt;&gt;0,"("&amp;VLOOKUP($D447&amp;RIGHT($A454,1),Players!$A$2:$D$132,4)&amp;")","")</f>
        <v/>
      </c>
    </row>
    <row r="455" spans="1:10" ht="25.5" customHeight="1" x14ac:dyDescent="0.4">
      <c r="A455" s="37" t="str">
        <f>CONCATENATE($I447,"2")</f>
        <v>K2</v>
      </c>
      <c r="B455" s="222" t="str">
        <f>IF(VLOOKUP($A455,Players!$A$2:$C$132,3)&lt;&gt;0,VLOOKUP($A455,Players!$A$2:$C$132,3),"")</f>
        <v/>
      </c>
      <c r="C455" s="222"/>
      <c r="D455" s="222"/>
      <c r="E455" s="222"/>
      <c r="F455" s="222"/>
      <c r="G455" s="225" t="str">
        <f>IF(VLOOKUP($D447&amp;RIGHT($A455,1),Players!$A$2:$D$132,3)&lt;&gt;0,VLOOKUP($D447&amp;RIGHT($A455,1),Players!$A$2:$D$132,3),"")</f>
        <v/>
      </c>
      <c r="H455" s="225"/>
      <c r="I455" s="225"/>
      <c r="J455" s="168" t="str">
        <f>IF(VLOOKUP($D447&amp;RIGHT($A455,1),Players!$A$2:$D$132,3)&lt;&gt;0,"("&amp;VLOOKUP($D447&amp;RIGHT($A455,1),Players!$A$2:$D$132,4)&amp;")","")</f>
        <v/>
      </c>
    </row>
    <row r="456" spans="1:10" ht="25.5" customHeight="1" x14ac:dyDescent="0.4">
      <c r="A456" s="37" t="str">
        <f>CONCATENATE($I447,"3")</f>
        <v>K3</v>
      </c>
      <c r="B456" s="222" t="str">
        <f>IF(VLOOKUP($A456,Players!$A$2:$C$132,3)&lt;&gt;0,VLOOKUP($A456,Players!$A$2:$C$132,3),"")</f>
        <v/>
      </c>
      <c r="C456" s="222"/>
      <c r="D456" s="222"/>
      <c r="E456" s="222"/>
      <c r="F456" s="222"/>
      <c r="G456" s="225" t="str">
        <f>IF(VLOOKUP($D447&amp;RIGHT($A456,1),Players!$A$2:$D$132,3)&lt;&gt;0,VLOOKUP($D447&amp;RIGHT($A456,1),Players!$A$2:$D$132,3),"")</f>
        <v/>
      </c>
      <c r="H456" s="225"/>
      <c r="I456" s="225"/>
      <c r="J456" s="168" t="str">
        <f>IF(VLOOKUP($D447&amp;RIGHT($A456,1),Players!$A$2:$D$132,3)&lt;&gt;0,"("&amp;VLOOKUP($D447&amp;RIGHT($A456,1),Players!$A$2:$D$132,4)&amp;")","")</f>
        <v/>
      </c>
    </row>
    <row r="457" spans="1:10" ht="25.5" customHeight="1" x14ac:dyDescent="0.4">
      <c r="A457" s="37" t="str">
        <f>CONCATENATE($I447,"4")</f>
        <v>K4</v>
      </c>
      <c r="B457" s="222" t="str">
        <f>IF(VLOOKUP($A457,Players!$A$2:$C$132,3)&lt;&gt;0,VLOOKUP($A457,Players!$A$2:$C$132,3),"")</f>
        <v/>
      </c>
      <c r="C457" s="222"/>
      <c r="D457" s="222"/>
      <c r="E457" s="222"/>
      <c r="F457" s="222"/>
      <c r="G457" s="225" t="str">
        <f>IF(VLOOKUP($D447&amp;RIGHT($A457,1),Players!$A$2:$D$132,3)&lt;&gt;0,VLOOKUP($D447&amp;RIGHT($A457,1),Players!$A$2:$D$132,3),"")</f>
        <v/>
      </c>
      <c r="H457" s="225"/>
      <c r="I457" s="225"/>
      <c r="J457" s="168" t="str">
        <f>IF(VLOOKUP($D447&amp;RIGHT($A457,1),Players!$A$2:$D$132,3)&lt;&gt;0,"("&amp;VLOOKUP($D447&amp;RIGHT($A457,1),Players!$A$2:$D$132,4)&amp;")","")</f>
        <v/>
      </c>
    </row>
    <row r="458" spans="1:10" ht="25.5" customHeight="1" x14ac:dyDescent="0.4">
      <c r="A458" s="37" t="str">
        <f>CONCATENATE($I447,"5")</f>
        <v>K5</v>
      </c>
      <c r="B458" s="222" t="str">
        <f>IF(VLOOKUP($A458,Players!$A$2:$C$132,3)&lt;&gt;0,VLOOKUP($A458,Players!$A$2:$C$132,3),"")</f>
        <v/>
      </c>
      <c r="C458" s="222"/>
      <c r="D458" s="222"/>
      <c r="E458" s="222"/>
      <c r="F458" s="222"/>
      <c r="G458" s="225" t="str">
        <f>IF(VLOOKUP($D447&amp;RIGHT($A458,1),Players!$A$2:$D$132,3)&lt;&gt;0,VLOOKUP($D447&amp;RIGHT($A458,1),Players!$A$2:$D$132,3),"")</f>
        <v/>
      </c>
      <c r="H458" s="225"/>
      <c r="I458" s="225"/>
      <c r="J458" s="168" t="str">
        <f>IF(VLOOKUP($D447&amp;RIGHT($A458,1),Players!$A$2:$D$132,3)&lt;&gt;0,"("&amp;VLOOKUP($D447&amp;RIGHT($A458,1),Players!$A$2:$D$132,4)&amp;")","")</f>
        <v/>
      </c>
    </row>
    <row r="459" spans="1:10" ht="25.5" customHeight="1" x14ac:dyDescent="0.4">
      <c r="A459" s="37" t="str">
        <f>CONCATENATE($I447,"6")</f>
        <v>K6</v>
      </c>
      <c r="B459" s="222" t="str">
        <f>IF(VLOOKUP($A459,Players!$A$2:$C$132,3)&lt;&gt;0,VLOOKUP($A459,Players!$A$2:$C$132,3),"")</f>
        <v/>
      </c>
      <c r="C459" s="222"/>
      <c r="D459" s="222"/>
      <c r="E459" s="222"/>
      <c r="F459" s="222"/>
      <c r="G459" s="225" t="str">
        <f>IF(VLOOKUP($D447&amp;RIGHT($A459,1),Players!$A$2:$D$132,3)&lt;&gt;0,VLOOKUP($D447&amp;RIGHT($A459,1),Players!$A$2:$D$132,3),"")</f>
        <v/>
      </c>
      <c r="H459" s="225"/>
      <c r="I459" s="225"/>
      <c r="J459" s="168" t="str">
        <f>IF(VLOOKUP($D447&amp;RIGHT($A459,1),Players!$A$2:$D$132,3)&lt;&gt;0,"("&amp;VLOOKUP($D447&amp;RIGHT($A459,1),Players!$A$2:$D$132,4)&amp;")","")</f>
        <v/>
      </c>
    </row>
    <row r="460" spans="1:10" ht="25.5" customHeight="1" x14ac:dyDescent="0.4">
      <c r="A460" s="37" t="str">
        <f>CONCATENATE($I447,"7")</f>
        <v>K7</v>
      </c>
      <c r="B460" s="222" t="str">
        <f>IF(VLOOKUP($A460,Players!$A$2:$C$132,3)&lt;&gt;0,VLOOKUP($A460,Players!$A$2:$C$132,3),"")</f>
        <v/>
      </c>
      <c r="C460" s="222"/>
      <c r="D460" s="222"/>
      <c r="E460" s="222"/>
      <c r="F460" s="222"/>
      <c r="G460" s="225" t="str">
        <f>IF(VLOOKUP($D447&amp;RIGHT($A460,1),Players!$A$2:$D$132,3)&lt;&gt;0,VLOOKUP($D447&amp;RIGHT($A460,1),Players!$A$2:$D$132,3),"")</f>
        <v/>
      </c>
      <c r="H460" s="225"/>
      <c r="I460" s="225"/>
      <c r="J460" s="168" t="str">
        <f>IF(VLOOKUP($D447&amp;RIGHT($A460,1),Players!$A$2:$D$132,3)&lt;&gt;0,"("&amp;VLOOKUP($D447&amp;RIGHT($A460,1),Players!$A$2:$D$132,4)&amp;")","")</f>
        <v/>
      </c>
    </row>
    <row r="461" spans="1:10" ht="25.5" customHeight="1" x14ac:dyDescent="0.4">
      <c r="A461" s="37" t="str">
        <f>CONCATENATE($I447,"8")</f>
        <v>K8</v>
      </c>
      <c r="B461" s="222" t="str">
        <f>IF(VLOOKUP($A461,Players!$A$2:$C$132,3)&lt;&gt;0,VLOOKUP($A461,Players!$A$2:$C$132,3),"")</f>
        <v/>
      </c>
      <c r="C461" s="222"/>
      <c r="D461" s="222"/>
      <c r="E461" s="222"/>
      <c r="F461" s="222"/>
      <c r="G461" s="225" t="str">
        <f>IF(VLOOKUP($D447&amp;RIGHT($A461,1),Players!$A$2:$D$132,3)&lt;&gt;0,VLOOKUP($D447&amp;RIGHT($A461,1),Players!$A$2:$D$132,3),"")</f>
        <v/>
      </c>
      <c r="H461" s="225"/>
      <c r="I461" s="225"/>
      <c r="J461" s="168" t="str">
        <f>IF(VLOOKUP($D447&amp;RIGHT($A461,1),Players!$A$2:$D$132,3)&lt;&gt;0,"("&amp;VLOOKUP($D447&amp;RIGHT($A461,1),Players!$A$2:$D$132,4)&amp;")","")</f>
        <v/>
      </c>
    </row>
    <row r="462" spans="1:10" ht="25.5" customHeight="1" x14ac:dyDescent="0.25">
      <c r="A462" s="37"/>
      <c r="B462" s="7"/>
      <c r="C462" s="7"/>
      <c r="D462" s="7"/>
      <c r="E462" s="7"/>
    </row>
    <row r="463" spans="1:10" x14ac:dyDescent="0.25">
      <c r="A463" s="9" t="s">
        <v>157</v>
      </c>
    </row>
    <row r="464" spans="1:10" x14ac:dyDescent="0.25">
      <c r="A464" t="s">
        <v>179</v>
      </c>
    </row>
    <row r="465" spans="1:10" x14ac:dyDescent="0.25">
      <c r="A465" s="55" t="s">
        <v>918</v>
      </c>
    </row>
    <row r="466" spans="1:10" x14ac:dyDescent="0.25">
      <c r="A466" t="s">
        <v>919</v>
      </c>
    </row>
    <row r="467" spans="1:10" ht="25.5" customHeight="1" thickBot="1" x14ac:dyDescent="0.3">
      <c r="A467" s="37"/>
    </row>
    <row r="468" spans="1:10" x14ac:dyDescent="0.25">
      <c r="B468" s="213"/>
      <c r="C468" s="214"/>
      <c r="D468" s="214"/>
      <c r="E468" s="214"/>
      <c r="F468" s="215"/>
    </row>
    <row r="469" spans="1:10" ht="13.8" thickBot="1" x14ac:dyDescent="0.3">
      <c r="B469" s="216"/>
      <c r="C469" s="217"/>
      <c r="D469" s="217"/>
      <c r="E469" s="217"/>
      <c r="F469" s="218"/>
    </row>
    <row r="473" spans="1:10" ht="25.5" customHeight="1" x14ac:dyDescent="0.25">
      <c r="A473" s="36"/>
      <c r="B473" s="36"/>
      <c r="C473" s="36"/>
      <c r="D473" s="36"/>
      <c r="E473" s="36"/>
      <c r="G473" s="38"/>
      <c r="H473" s="227" t="s">
        <v>159</v>
      </c>
      <c r="I473" s="228"/>
    </row>
    <row r="474" spans="1:10" x14ac:dyDescent="0.25">
      <c r="A474" t="s">
        <v>158</v>
      </c>
    </row>
    <row r="476" spans="1:10" x14ac:dyDescent="0.25">
      <c r="E476" s="219" t="str">
        <f>CONCATENATE("(",$D447," vs ",$I447,")")</f>
        <v>(A vs K)</v>
      </c>
      <c r="F476" s="219"/>
    </row>
    <row r="477" spans="1:10" ht="15.6" x14ac:dyDescent="0.3">
      <c r="A477" s="33" t="s">
        <v>155</v>
      </c>
      <c r="J477" s="82" t="s">
        <v>485</v>
      </c>
    </row>
    <row r="478" spans="1:10" ht="12.75" customHeight="1" x14ac:dyDescent="0.3">
      <c r="A478" s="33"/>
      <c r="G478" t="str">
        <f ca="1">Team_Matches!$J$6</f>
        <v>[NCTTA Teams Template (v3.4).xlsx]</v>
      </c>
      <c r="J478" s="55"/>
    </row>
    <row r="479" spans="1:10" ht="12.75" customHeight="1" x14ac:dyDescent="0.3">
      <c r="A479" s="33"/>
      <c r="G479" s="229" t="str">
        <f>Team_Matches!$J364</f>
        <v>Round 2, Match 2</v>
      </c>
      <c r="H479" s="229"/>
      <c r="I479" s="127" t="str">
        <f>Team_Matches!$M364</f>
        <v/>
      </c>
      <c r="J479" s="127"/>
    </row>
    <row r="480" spans="1:10" ht="15.6" x14ac:dyDescent="0.3">
      <c r="A480" s="33"/>
    </row>
    <row r="481" spans="1:10" x14ac:dyDescent="0.25">
      <c r="C481" s="7" t="s">
        <v>160</v>
      </c>
      <c r="D481" s="39" t="str">
        <f>Team_Matches!$B366</f>
        <v>J</v>
      </c>
      <c r="F481" s="83" t="str">
        <f>CONCATENATE($D481,"-",$I481)</f>
        <v>J-L</v>
      </c>
      <c r="H481" s="7" t="s">
        <v>160</v>
      </c>
      <c r="I481" s="39" t="str">
        <f>Team_Matches!$K366</f>
        <v>L</v>
      </c>
    </row>
    <row r="482" spans="1:10" ht="25.5" customHeight="1" x14ac:dyDescent="0.25">
      <c r="A482" s="34"/>
      <c r="B482" s="220" t="str">
        <f>IF(VLOOKUP($D481,Draw!$A$4:$B$27,2)&lt;&gt;0,VLOOKUP($D481,Draw!$A$4:$B$27,2),"")</f>
        <v/>
      </c>
      <c r="C482" s="220"/>
      <c r="D482" s="220"/>
      <c r="E482" s="221"/>
      <c r="F482" s="35"/>
      <c r="G482" s="223" t="str">
        <f>IF(VLOOKUP($I481,Draw!$A$4:$B$27,2)&lt;&gt;0,VLOOKUP($I481,Draw!$A$4:$B$27,2),"")</f>
        <v/>
      </c>
      <c r="H482" s="223"/>
      <c r="I482" s="223"/>
      <c r="J482" s="224"/>
    </row>
    <row r="483" spans="1:10" ht="25.5" customHeight="1" x14ac:dyDescent="0.25"/>
    <row r="484" spans="1:10" ht="25.5" customHeight="1" x14ac:dyDescent="0.25"/>
    <row r="485" spans="1:10" ht="24" customHeight="1" x14ac:dyDescent="0.25">
      <c r="A485" s="9" t="s">
        <v>178</v>
      </c>
    </row>
    <row r="486" spans="1:10" ht="24" customHeight="1" x14ac:dyDescent="0.25">
      <c r="A486" s="9"/>
    </row>
    <row r="487" spans="1:10" x14ac:dyDescent="0.25">
      <c r="A487" s="9" t="s">
        <v>156</v>
      </c>
      <c r="G487" s="226" t="s">
        <v>873</v>
      </c>
      <c r="H487" s="226"/>
      <c r="I487" s="226"/>
      <c r="J487" s="226"/>
    </row>
    <row r="488" spans="1:10" ht="24" customHeight="1" x14ac:dyDescent="0.4">
      <c r="A488" s="37" t="str">
        <f>CONCATENATE($D481,"1")</f>
        <v>J1</v>
      </c>
      <c r="B488" s="222" t="str">
        <f>IF(VLOOKUP($A488,Players!$A$2:$C$132,3)&lt;&gt;0,VLOOKUP($A488,Players!$A$2:$C$132,3),"")</f>
        <v/>
      </c>
      <c r="C488" s="222"/>
      <c r="D488" s="222"/>
      <c r="E488" s="222"/>
      <c r="F488" s="222"/>
      <c r="G488" s="225" t="str">
        <f>IF(VLOOKUP($I481&amp;RIGHT($A488,1),Players!$A$2:$D$132,3)&lt;&gt;0,VLOOKUP($I481&amp;RIGHT($A488,1),Players!$A$2:$D$132,3),"")</f>
        <v/>
      </c>
      <c r="H488" s="225"/>
      <c r="I488" s="225"/>
      <c r="J488" s="168" t="str">
        <f>IF(VLOOKUP($I481&amp;RIGHT($A488,1),Players!$A$2:$D$132,3)&lt;&gt;0,"("&amp;VLOOKUP($I481&amp;RIGHT($A488,1),Players!$A$2:$D$132,4)&amp;")","")</f>
        <v/>
      </c>
    </row>
    <row r="489" spans="1:10" ht="25.5" customHeight="1" x14ac:dyDescent="0.4">
      <c r="A489" s="37" t="str">
        <f>CONCATENATE($D481,"2")</f>
        <v>J2</v>
      </c>
      <c r="B489" s="222" t="str">
        <f>IF(VLOOKUP($A489,Players!$A$2:$C$132,3)&lt;&gt;0,VLOOKUP($A489,Players!$A$2:$C$132,3),"")</f>
        <v/>
      </c>
      <c r="C489" s="222"/>
      <c r="D489" s="222"/>
      <c r="E489" s="222"/>
      <c r="F489" s="222"/>
      <c r="G489" s="225" t="str">
        <f>IF(VLOOKUP($I481&amp;RIGHT($A489,1),Players!$A$2:$D$132,3)&lt;&gt;0,VLOOKUP($I481&amp;RIGHT($A489,1),Players!$A$2:$D$132,3),"")</f>
        <v/>
      </c>
      <c r="H489" s="225"/>
      <c r="I489" s="225"/>
      <c r="J489" s="168" t="str">
        <f>IF(VLOOKUP($I481&amp;RIGHT($A489,1),Players!$A$2:$D$132,3)&lt;&gt;0,"("&amp;VLOOKUP($I481&amp;RIGHT($A489,1),Players!$A$2:$D$132,4)&amp;")","")</f>
        <v/>
      </c>
    </row>
    <row r="490" spans="1:10" ht="25.5" customHeight="1" x14ac:dyDescent="0.4">
      <c r="A490" s="37" t="str">
        <f>CONCATENATE($D481,"3")</f>
        <v>J3</v>
      </c>
      <c r="B490" s="222" t="str">
        <f>IF(VLOOKUP($A490,Players!$A$2:$C$132,3)&lt;&gt;0,VLOOKUP($A490,Players!$A$2:$C$132,3),"")</f>
        <v/>
      </c>
      <c r="C490" s="222"/>
      <c r="D490" s="222"/>
      <c r="E490" s="222"/>
      <c r="F490" s="222"/>
      <c r="G490" s="225" t="str">
        <f>IF(VLOOKUP($I481&amp;RIGHT($A490,1),Players!$A$2:$D$132,3)&lt;&gt;0,VLOOKUP($I481&amp;RIGHT($A490,1),Players!$A$2:$D$132,3),"")</f>
        <v/>
      </c>
      <c r="H490" s="225"/>
      <c r="I490" s="225"/>
      <c r="J490" s="168" t="str">
        <f>IF(VLOOKUP($I481&amp;RIGHT($A490,1),Players!$A$2:$D$132,3)&lt;&gt;0,"("&amp;VLOOKUP($I481&amp;RIGHT($A490,1),Players!$A$2:$D$132,4)&amp;")","")</f>
        <v/>
      </c>
    </row>
    <row r="491" spans="1:10" ht="25.5" customHeight="1" x14ac:dyDescent="0.4">
      <c r="A491" s="37" t="str">
        <f>CONCATENATE($D481,"4")</f>
        <v>J4</v>
      </c>
      <c r="B491" s="222" t="str">
        <f>IF(VLOOKUP($A491,Players!$A$2:$C$132,3)&lt;&gt;0,VLOOKUP($A491,Players!$A$2:$C$132,3),"")</f>
        <v/>
      </c>
      <c r="C491" s="222"/>
      <c r="D491" s="222"/>
      <c r="E491" s="222"/>
      <c r="F491" s="222"/>
      <c r="G491" s="225" t="str">
        <f>IF(VLOOKUP($I481&amp;RIGHT($A491,1),Players!$A$2:$D$132,3)&lt;&gt;0,VLOOKUP($I481&amp;RIGHT($A491,1),Players!$A$2:$D$132,3),"")</f>
        <v/>
      </c>
      <c r="H491" s="225"/>
      <c r="I491" s="225"/>
      <c r="J491" s="168" t="str">
        <f>IF(VLOOKUP($I481&amp;RIGHT($A491,1),Players!$A$2:$D$132,3)&lt;&gt;0,"("&amp;VLOOKUP($I481&amp;RIGHT($A491,1),Players!$A$2:$D$132,4)&amp;")","")</f>
        <v/>
      </c>
    </row>
    <row r="492" spans="1:10" ht="25.5" customHeight="1" x14ac:dyDescent="0.4">
      <c r="A492" s="37" t="str">
        <f>CONCATENATE($D481,"5")</f>
        <v>J5</v>
      </c>
      <c r="B492" s="222" t="str">
        <f>IF(VLOOKUP($A492,Players!$A$2:$C$132,3)&lt;&gt;0,VLOOKUP($A492,Players!$A$2:$C$132,3),"")</f>
        <v/>
      </c>
      <c r="C492" s="222"/>
      <c r="D492" s="222"/>
      <c r="E492" s="222"/>
      <c r="F492" s="222"/>
      <c r="G492" s="225" t="str">
        <f>IF(VLOOKUP($I481&amp;RIGHT($A492,1),Players!$A$2:$D$132,3)&lt;&gt;0,VLOOKUP($I481&amp;RIGHT($A492,1),Players!$A$2:$D$132,3),"")</f>
        <v/>
      </c>
      <c r="H492" s="225"/>
      <c r="I492" s="225"/>
      <c r="J492" s="168" t="str">
        <f>IF(VLOOKUP($I481&amp;RIGHT($A492,1),Players!$A$2:$D$132,3)&lt;&gt;0,"("&amp;VLOOKUP($I481&amp;RIGHT($A492,1),Players!$A$2:$D$132,4)&amp;")","")</f>
        <v/>
      </c>
    </row>
    <row r="493" spans="1:10" ht="25.5" customHeight="1" x14ac:dyDescent="0.4">
      <c r="A493" s="37" t="str">
        <f>CONCATENATE($D481,"6")</f>
        <v>J6</v>
      </c>
      <c r="B493" s="222" t="str">
        <f>IF(VLOOKUP($A493,Players!$A$2:$C$132,3)&lt;&gt;0,VLOOKUP($A493,Players!$A$2:$C$132,3),"")</f>
        <v/>
      </c>
      <c r="C493" s="222"/>
      <c r="D493" s="222"/>
      <c r="E493" s="222"/>
      <c r="F493" s="222"/>
      <c r="G493" s="225" t="str">
        <f>IF(VLOOKUP($I481&amp;RIGHT($A493,1),Players!$A$2:$D$132,3)&lt;&gt;0,VLOOKUP($I481&amp;RIGHT($A493,1),Players!$A$2:$D$132,3),"")</f>
        <v/>
      </c>
      <c r="H493" s="225"/>
      <c r="I493" s="225"/>
      <c r="J493" s="168" t="str">
        <f>IF(VLOOKUP($I481&amp;RIGHT($A493,1),Players!$A$2:$D$132,3)&lt;&gt;0,"("&amp;VLOOKUP($I481&amp;RIGHT($A493,1),Players!$A$2:$D$132,4)&amp;")","")</f>
        <v/>
      </c>
    </row>
    <row r="494" spans="1:10" ht="25.5" customHeight="1" x14ac:dyDescent="0.4">
      <c r="A494" s="37" t="str">
        <f>CONCATENATE($D481,"7")</f>
        <v>J7</v>
      </c>
      <c r="B494" s="222" t="str">
        <f>IF(VLOOKUP($A494,Players!$A$2:$C$132,3)&lt;&gt;0,VLOOKUP($A494,Players!$A$2:$C$132,3),"")</f>
        <v/>
      </c>
      <c r="C494" s="222"/>
      <c r="D494" s="222"/>
      <c r="E494" s="222"/>
      <c r="F494" s="222"/>
      <c r="G494" s="225" t="str">
        <f>IF(VLOOKUP($I481&amp;RIGHT($A494,1),Players!$A$2:$D$132,3)&lt;&gt;0,VLOOKUP($I481&amp;RIGHT($A494,1),Players!$A$2:$D$132,3),"")</f>
        <v/>
      </c>
      <c r="H494" s="225"/>
      <c r="I494" s="225"/>
      <c r="J494" s="168" t="str">
        <f>IF(VLOOKUP($I481&amp;RIGHT($A494,1),Players!$A$2:$D$132,3)&lt;&gt;0,"("&amp;VLOOKUP($I481&amp;RIGHT($A494,1),Players!$A$2:$D$132,4)&amp;")","")</f>
        <v/>
      </c>
    </row>
    <row r="495" spans="1:10" ht="25.5" customHeight="1" x14ac:dyDescent="0.4">
      <c r="A495" s="37" t="str">
        <f>CONCATENATE($D481,"8")</f>
        <v>J8</v>
      </c>
      <c r="B495" s="222" t="str">
        <f>IF(VLOOKUP($A495,Players!$A$2:$C$132,3)&lt;&gt;0,VLOOKUP($A495,Players!$A$2:$C$132,3),"")</f>
        <v/>
      </c>
      <c r="C495" s="222"/>
      <c r="D495" s="222"/>
      <c r="E495" s="222"/>
      <c r="F495" s="222"/>
      <c r="G495" s="225" t="str">
        <f>IF(VLOOKUP($I481&amp;RIGHT($A495,1),Players!$A$2:$D$132,3)&lt;&gt;0,VLOOKUP($I481&amp;RIGHT($A495,1),Players!$A$2:$D$132,3),"")</f>
        <v/>
      </c>
      <c r="H495" s="225"/>
      <c r="I495" s="225"/>
      <c r="J495" s="168" t="str">
        <f>IF(VLOOKUP($I481&amp;RIGHT($A495,1),Players!$A$2:$D$132,3)&lt;&gt;0,"("&amp;VLOOKUP($I481&amp;RIGHT($A495,1),Players!$A$2:$D$132,4)&amp;")","")</f>
        <v/>
      </c>
    </row>
    <row r="496" spans="1:10" ht="25.5" customHeight="1" x14ac:dyDescent="0.25">
      <c r="A496" s="37"/>
      <c r="B496" s="7"/>
      <c r="C496" s="7"/>
      <c r="D496" s="7"/>
      <c r="E496" s="7"/>
    </row>
    <row r="497" spans="1:10" x14ac:dyDescent="0.25">
      <c r="A497" s="9" t="s">
        <v>157</v>
      </c>
    </row>
    <row r="498" spans="1:10" x14ac:dyDescent="0.25">
      <c r="A498" t="s">
        <v>179</v>
      </c>
    </row>
    <row r="499" spans="1:10" x14ac:dyDescent="0.25">
      <c r="A499" s="55" t="s">
        <v>918</v>
      </c>
    </row>
    <row r="500" spans="1:10" x14ac:dyDescent="0.25">
      <c r="A500" t="s">
        <v>919</v>
      </c>
    </row>
    <row r="501" spans="1:10" ht="25.5" customHeight="1" thickBot="1" x14ac:dyDescent="0.3">
      <c r="A501" s="37"/>
    </row>
    <row r="502" spans="1:10" x14ac:dyDescent="0.25">
      <c r="B502" s="213"/>
      <c r="C502" s="214"/>
      <c r="D502" s="214"/>
      <c r="E502" s="214"/>
      <c r="F502" s="215"/>
    </row>
    <row r="503" spans="1:10" ht="13.8" thickBot="1" x14ac:dyDescent="0.3">
      <c r="B503" s="216"/>
      <c r="C503" s="217"/>
      <c r="D503" s="217"/>
      <c r="E503" s="217"/>
      <c r="F503" s="218"/>
    </row>
    <row r="507" spans="1:10" ht="25.5" customHeight="1" x14ac:dyDescent="0.25">
      <c r="A507" s="36"/>
      <c r="B507" s="36"/>
      <c r="C507" s="36"/>
      <c r="D507" s="36"/>
      <c r="E507" s="36"/>
      <c r="G507" s="38"/>
      <c r="H507" s="227" t="s">
        <v>159</v>
      </c>
      <c r="I507" s="228"/>
    </row>
    <row r="508" spans="1:10" x14ac:dyDescent="0.25">
      <c r="A508" t="s">
        <v>158</v>
      </c>
    </row>
    <row r="510" spans="1:10" x14ac:dyDescent="0.25">
      <c r="E510" s="219" t="str">
        <f>CONCATENATE("(",$D481," vs ",$I481,")")</f>
        <v>(J vs L)</v>
      </c>
      <c r="F510" s="219"/>
    </row>
    <row r="511" spans="1:10" ht="15.6" x14ac:dyDescent="0.3">
      <c r="A511" s="33" t="s">
        <v>155</v>
      </c>
      <c r="J511" s="82" t="s">
        <v>486</v>
      </c>
    </row>
    <row r="512" spans="1:10" ht="12.75" customHeight="1" x14ac:dyDescent="0.3">
      <c r="A512" s="33"/>
      <c r="G512" t="str">
        <f ca="1">Team_Matches!$J$6</f>
        <v>[NCTTA Teams Template (v3.4).xlsx]</v>
      </c>
      <c r="J512" s="55"/>
    </row>
    <row r="513" spans="1:10" ht="12.75" customHeight="1" x14ac:dyDescent="0.3">
      <c r="A513" s="33"/>
      <c r="G513" s="229" t="str">
        <f>Team_Matches!$J364</f>
        <v>Round 2, Match 2</v>
      </c>
      <c r="H513" s="229"/>
      <c r="I513" s="127" t="str">
        <f>Team_Matches!$M364</f>
        <v/>
      </c>
      <c r="J513" s="127"/>
    </row>
    <row r="514" spans="1:10" ht="15.6" x14ac:dyDescent="0.3">
      <c r="A514" s="33"/>
    </row>
    <row r="515" spans="1:10" x14ac:dyDescent="0.25">
      <c r="C515" s="7" t="s">
        <v>160</v>
      </c>
      <c r="D515" s="39" t="str">
        <f>Team_Matches!$B366</f>
        <v>J</v>
      </c>
      <c r="F515" s="83" t="str">
        <f>CONCATENATE($D515,"-",$I515)</f>
        <v>J-L</v>
      </c>
      <c r="H515" s="7" t="s">
        <v>160</v>
      </c>
      <c r="I515" s="39" t="str">
        <f>Team_Matches!$K366</f>
        <v>L</v>
      </c>
    </row>
    <row r="516" spans="1:10" ht="25.5" customHeight="1" x14ac:dyDescent="0.25">
      <c r="A516" s="34"/>
      <c r="B516" s="223" t="str">
        <f>IF(VLOOKUP($D515,Draw!$A$4:$B$27,2)&lt;&gt;0,VLOOKUP($D515,Draw!$A$4:$B$27,2),"")</f>
        <v/>
      </c>
      <c r="C516" s="223"/>
      <c r="D516" s="223"/>
      <c r="E516" s="224"/>
      <c r="F516" s="35"/>
      <c r="G516" s="220" t="str">
        <f>IF(VLOOKUP($I515,Draw!$A$4:$B$27,2)&lt;&gt;0,VLOOKUP($I515,Draw!$A$4:$B$27,2),"")</f>
        <v/>
      </c>
      <c r="H516" s="220"/>
      <c r="I516" s="220"/>
      <c r="J516" s="221"/>
    </row>
    <row r="517" spans="1:10" ht="25.5" customHeight="1" x14ac:dyDescent="0.25"/>
    <row r="518" spans="1:10" ht="25.5" customHeight="1" x14ac:dyDescent="0.25"/>
    <row r="519" spans="1:10" ht="24" customHeight="1" x14ac:dyDescent="0.25">
      <c r="A519" s="9" t="s">
        <v>178</v>
      </c>
    </row>
    <row r="520" spans="1:10" ht="24" customHeight="1" x14ac:dyDescent="0.25">
      <c r="A520" s="9"/>
    </row>
    <row r="521" spans="1:10" x14ac:dyDescent="0.25">
      <c r="A521" s="9" t="s">
        <v>156</v>
      </c>
      <c r="G521" s="226" t="s">
        <v>873</v>
      </c>
      <c r="H521" s="226"/>
      <c r="I521" s="226"/>
      <c r="J521" s="226"/>
    </row>
    <row r="522" spans="1:10" ht="24" customHeight="1" x14ac:dyDescent="0.4">
      <c r="A522" s="37" t="str">
        <f>CONCATENATE($I515,"1")</f>
        <v>L1</v>
      </c>
      <c r="B522" s="222" t="str">
        <f>IF(VLOOKUP($A522,Players!$A$2:$C$132,3)&lt;&gt;0,VLOOKUP($A522,Players!$A$2:$C$132,3),"")</f>
        <v/>
      </c>
      <c r="C522" s="222"/>
      <c r="D522" s="222"/>
      <c r="E522" s="222"/>
      <c r="F522" s="222"/>
      <c r="G522" s="225" t="str">
        <f>IF(VLOOKUP($D515&amp;RIGHT($A522,1),Players!$A$2:$D$132,3)&lt;&gt;0,VLOOKUP($D515&amp;RIGHT($A522,1),Players!$A$2:$D$132,3),"")</f>
        <v/>
      </c>
      <c r="H522" s="225"/>
      <c r="I522" s="225"/>
      <c r="J522" s="168" t="str">
        <f>IF(VLOOKUP($D515&amp;RIGHT($A522,1),Players!$A$2:$D$132,3)&lt;&gt;0,"("&amp;VLOOKUP($D515&amp;RIGHT($A522,1),Players!$A$2:$D$132,4)&amp;")","")</f>
        <v/>
      </c>
    </row>
    <row r="523" spans="1:10" ht="25.5" customHeight="1" x14ac:dyDescent="0.4">
      <c r="A523" s="37" t="str">
        <f>CONCATENATE($I515,"2")</f>
        <v>L2</v>
      </c>
      <c r="B523" s="222" t="str">
        <f>IF(VLOOKUP($A523,Players!$A$2:$C$132,3)&lt;&gt;0,VLOOKUP($A523,Players!$A$2:$C$132,3),"")</f>
        <v/>
      </c>
      <c r="C523" s="222"/>
      <c r="D523" s="222"/>
      <c r="E523" s="222"/>
      <c r="F523" s="222"/>
      <c r="G523" s="225" t="str">
        <f>IF(VLOOKUP($D515&amp;RIGHT($A523,1),Players!$A$2:$D$132,3)&lt;&gt;0,VLOOKUP($D515&amp;RIGHT($A523,1),Players!$A$2:$D$132,3),"")</f>
        <v/>
      </c>
      <c r="H523" s="225"/>
      <c r="I523" s="225"/>
      <c r="J523" s="168" t="str">
        <f>IF(VLOOKUP($D515&amp;RIGHT($A523,1),Players!$A$2:$D$132,3)&lt;&gt;0,"("&amp;VLOOKUP($D515&amp;RIGHT($A523,1),Players!$A$2:$D$132,4)&amp;")","")</f>
        <v/>
      </c>
    </row>
    <row r="524" spans="1:10" ht="25.5" customHeight="1" x14ac:dyDescent="0.4">
      <c r="A524" s="37" t="str">
        <f>CONCATENATE($I515,"3")</f>
        <v>L3</v>
      </c>
      <c r="B524" s="222" t="str">
        <f>IF(VLOOKUP($A524,Players!$A$2:$C$132,3)&lt;&gt;0,VLOOKUP($A524,Players!$A$2:$C$132,3),"")</f>
        <v/>
      </c>
      <c r="C524" s="222"/>
      <c r="D524" s="222"/>
      <c r="E524" s="222"/>
      <c r="F524" s="222"/>
      <c r="G524" s="225" t="str">
        <f>IF(VLOOKUP($D515&amp;RIGHT($A524,1),Players!$A$2:$D$132,3)&lt;&gt;0,VLOOKUP($D515&amp;RIGHT($A524,1),Players!$A$2:$D$132,3),"")</f>
        <v/>
      </c>
      <c r="H524" s="225"/>
      <c r="I524" s="225"/>
      <c r="J524" s="168" t="str">
        <f>IF(VLOOKUP($D515&amp;RIGHT($A524,1),Players!$A$2:$D$132,3)&lt;&gt;0,"("&amp;VLOOKUP($D515&amp;RIGHT($A524,1),Players!$A$2:$D$132,4)&amp;")","")</f>
        <v/>
      </c>
    </row>
    <row r="525" spans="1:10" ht="25.5" customHeight="1" x14ac:dyDescent="0.4">
      <c r="A525" s="37" t="str">
        <f>CONCATENATE($I515,"4")</f>
        <v>L4</v>
      </c>
      <c r="B525" s="222" t="str">
        <f>IF(VLOOKUP($A525,Players!$A$2:$C$132,3)&lt;&gt;0,VLOOKUP($A525,Players!$A$2:$C$132,3),"")</f>
        <v/>
      </c>
      <c r="C525" s="222"/>
      <c r="D525" s="222"/>
      <c r="E525" s="222"/>
      <c r="F525" s="222"/>
      <c r="G525" s="225" t="str">
        <f>IF(VLOOKUP($D515&amp;RIGHT($A525,1),Players!$A$2:$D$132,3)&lt;&gt;0,VLOOKUP($D515&amp;RIGHT($A525,1),Players!$A$2:$D$132,3),"")</f>
        <v/>
      </c>
      <c r="H525" s="225"/>
      <c r="I525" s="225"/>
      <c r="J525" s="168" t="str">
        <f>IF(VLOOKUP($D515&amp;RIGHT($A525,1),Players!$A$2:$D$132,3)&lt;&gt;0,"("&amp;VLOOKUP($D515&amp;RIGHT($A525,1),Players!$A$2:$D$132,4)&amp;")","")</f>
        <v/>
      </c>
    </row>
    <row r="526" spans="1:10" ht="25.5" customHeight="1" x14ac:dyDescent="0.4">
      <c r="A526" s="37" t="str">
        <f>CONCATENATE($I515,"5")</f>
        <v>L5</v>
      </c>
      <c r="B526" s="222" t="str">
        <f>IF(VLOOKUP($A526,Players!$A$2:$C$132,3)&lt;&gt;0,VLOOKUP($A526,Players!$A$2:$C$132,3),"")</f>
        <v/>
      </c>
      <c r="C526" s="222"/>
      <c r="D526" s="222"/>
      <c r="E526" s="222"/>
      <c r="F526" s="222"/>
      <c r="G526" s="225" t="str">
        <f>IF(VLOOKUP($D515&amp;RIGHT($A526,1),Players!$A$2:$D$132,3)&lt;&gt;0,VLOOKUP($D515&amp;RIGHT($A526,1),Players!$A$2:$D$132,3),"")</f>
        <v/>
      </c>
      <c r="H526" s="225"/>
      <c r="I526" s="225"/>
      <c r="J526" s="168" t="str">
        <f>IF(VLOOKUP($D515&amp;RIGHT($A526,1),Players!$A$2:$D$132,3)&lt;&gt;0,"("&amp;VLOOKUP($D515&amp;RIGHT($A526,1),Players!$A$2:$D$132,4)&amp;")","")</f>
        <v/>
      </c>
    </row>
    <row r="527" spans="1:10" ht="25.5" customHeight="1" x14ac:dyDescent="0.4">
      <c r="A527" s="37" t="str">
        <f>CONCATENATE($I515,"6")</f>
        <v>L6</v>
      </c>
      <c r="B527" s="222" t="str">
        <f>IF(VLOOKUP($A527,Players!$A$2:$C$132,3)&lt;&gt;0,VLOOKUP($A527,Players!$A$2:$C$132,3),"")</f>
        <v/>
      </c>
      <c r="C527" s="222"/>
      <c r="D527" s="222"/>
      <c r="E527" s="222"/>
      <c r="F527" s="222"/>
      <c r="G527" s="225" t="str">
        <f>IF(VLOOKUP($D515&amp;RIGHT($A527,1),Players!$A$2:$D$132,3)&lt;&gt;0,VLOOKUP($D515&amp;RIGHT($A527,1),Players!$A$2:$D$132,3),"")</f>
        <v/>
      </c>
      <c r="H527" s="225"/>
      <c r="I527" s="225"/>
      <c r="J527" s="168" t="str">
        <f>IF(VLOOKUP($D515&amp;RIGHT($A527,1),Players!$A$2:$D$132,3)&lt;&gt;0,"("&amp;VLOOKUP($D515&amp;RIGHT($A527,1),Players!$A$2:$D$132,4)&amp;")","")</f>
        <v/>
      </c>
    </row>
    <row r="528" spans="1:10" ht="25.5" customHeight="1" x14ac:dyDescent="0.4">
      <c r="A528" s="37" t="str">
        <f>CONCATENATE($I515,"7")</f>
        <v>L7</v>
      </c>
      <c r="B528" s="222" t="str">
        <f>IF(VLOOKUP($A528,Players!$A$2:$C$132,3)&lt;&gt;0,VLOOKUP($A528,Players!$A$2:$C$132,3),"")</f>
        <v/>
      </c>
      <c r="C528" s="222"/>
      <c r="D528" s="222"/>
      <c r="E528" s="222"/>
      <c r="F528" s="222"/>
      <c r="G528" s="225" t="str">
        <f>IF(VLOOKUP($D515&amp;RIGHT($A528,1),Players!$A$2:$D$132,3)&lt;&gt;0,VLOOKUP($D515&amp;RIGHT($A528,1),Players!$A$2:$D$132,3),"")</f>
        <v/>
      </c>
      <c r="H528" s="225"/>
      <c r="I528" s="225"/>
      <c r="J528" s="168" t="str">
        <f>IF(VLOOKUP($D515&amp;RIGHT($A528,1),Players!$A$2:$D$132,3)&lt;&gt;0,"("&amp;VLOOKUP($D515&amp;RIGHT($A528,1),Players!$A$2:$D$132,4)&amp;")","")</f>
        <v/>
      </c>
    </row>
    <row r="529" spans="1:10" ht="25.5" customHeight="1" x14ac:dyDescent="0.4">
      <c r="A529" s="37" t="str">
        <f>CONCATENATE($I515,"8")</f>
        <v>L8</v>
      </c>
      <c r="B529" s="222" t="str">
        <f>IF(VLOOKUP($A529,Players!$A$2:$C$132,3)&lt;&gt;0,VLOOKUP($A529,Players!$A$2:$C$132,3),"")</f>
        <v/>
      </c>
      <c r="C529" s="222"/>
      <c r="D529" s="222"/>
      <c r="E529" s="222"/>
      <c r="F529" s="222"/>
      <c r="G529" s="225" t="str">
        <f>IF(VLOOKUP($D515&amp;RIGHT($A529,1),Players!$A$2:$D$132,3)&lt;&gt;0,VLOOKUP($D515&amp;RIGHT($A529,1),Players!$A$2:$D$132,3),"")</f>
        <v/>
      </c>
      <c r="H529" s="225"/>
      <c r="I529" s="225"/>
      <c r="J529" s="168" t="str">
        <f>IF(VLOOKUP($D515&amp;RIGHT($A529,1),Players!$A$2:$D$132,3)&lt;&gt;0,"("&amp;VLOOKUP($D515&amp;RIGHT($A529,1),Players!$A$2:$D$132,4)&amp;")","")</f>
        <v/>
      </c>
    </row>
    <row r="530" spans="1:10" ht="25.5" customHeight="1" x14ac:dyDescent="0.25">
      <c r="A530" s="37"/>
      <c r="B530" s="7"/>
      <c r="C530" s="7"/>
      <c r="D530" s="7"/>
      <c r="E530" s="7"/>
    </row>
    <row r="531" spans="1:10" x14ac:dyDescent="0.25">
      <c r="A531" s="9" t="s">
        <v>157</v>
      </c>
    </row>
    <row r="532" spans="1:10" x14ac:dyDescent="0.25">
      <c r="A532" t="s">
        <v>179</v>
      </c>
    </row>
    <row r="533" spans="1:10" x14ac:dyDescent="0.25">
      <c r="A533" s="55" t="s">
        <v>918</v>
      </c>
    </row>
    <row r="534" spans="1:10" x14ac:dyDescent="0.25">
      <c r="A534" t="s">
        <v>919</v>
      </c>
    </row>
    <row r="535" spans="1:10" ht="25.5" customHeight="1" thickBot="1" x14ac:dyDescent="0.3">
      <c r="A535" s="37"/>
    </row>
    <row r="536" spans="1:10" x14ac:dyDescent="0.25">
      <c r="B536" s="213"/>
      <c r="C536" s="214"/>
      <c r="D536" s="214"/>
      <c r="E536" s="214"/>
      <c r="F536" s="215"/>
    </row>
    <row r="537" spans="1:10" ht="13.8" thickBot="1" x14ac:dyDescent="0.3">
      <c r="B537" s="216"/>
      <c r="C537" s="217"/>
      <c r="D537" s="217"/>
      <c r="E537" s="217"/>
      <c r="F537" s="218"/>
    </row>
    <row r="541" spans="1:10" ht="25.5" customHeight="1" x14ac:dyDescent="0.25">
      <c r="A541" s="36"/>
      <c r="B541" s="36"/>
      <c r="C541" s="36"/>
      <c r="D541" s="36"/>
      <c r="E541" s="36"/>
      <c r="G541" s="38"/>
      <c r="H541" s="227" t="s">
        <v>159</v>
      </c>
      <c r="I541" s="228"/>
    </row>
    <row r="542" spans="1:10" x14ac:dyDescent="0.25">
      <c r="A542" t="s">
        <v>158</v>
      </c>
    </row>
    <row r="544" spans="1:10" x14ac:dyDescent="0.25">
      <c r="E544" s="219" t="str">
        <f>CONCATENATE("(",$D515," vs ",$I515,")")</f>
        <v>(J vs L)</v>
      </c>
      <c r="F544" s="219"/>
    </row>
    <row r="545" spans="1:10" ht="15.6" x14ac:dyDescent="0.3">
      <c r="A545" s="33" t="s">
        <v>155</v>
      </c>
      <c r="J545" s="82" t="s">
        <v>487</v>
      </c>
    </row>
    <row r="546" spans="1:10" ht="12.75" customHeight="1" x14ac:dyDescent="0.3">
      <c r="A546" s="33"/>
      <c r="G546" t="str">
        <f ca="1">Team_Matches!$J$6</f>
        <v>[NCTTA Teams Template (v3.4).xlsx]</v>
      </c>
      <c r="J546" s="55"/>
    </row>
    <row r="547" spans="1:10" ht="12.75" customHeight="1" x14ac:dyDescent="0.3">
      <c r="A547" s="33"/>
      <c r="G547" s="229" t="str">
        <f>Team_Matches!$J415</f>
        <v>Round 2, Match 3</v>
      </c>
      <c r="H547" s="229"/>
      <c r="I547" s="127" t="str">
        <f>Team_Matches!$M415</f>
        <v/>
      </c>
      <c r="J547" s="127"/>
    </row>
    <row r="548" spans="1:10" ht="15.6" x14ac:dyDescent="0.3">
      <c r="A548" s="33"/>
    </row>
    <row r="549" spans="1:10" x14ac:dyDescent="0.25">
      <c r="C549" s="7" t="s">
        <v>160</v>
      </c>
      <c r="D549" s="39" t="str">
        <f>Team_Matches!$B417</f>
        <v>B</v>
      </c>
      <c r="F549" s="83" t="str">
        <f>CONCATENATE($D549,"-",$I549)</f>
        <v>B-I</v>
      </c>
      <c r="H549" s="7" t="s">
        <v>160</v>
      </c>
      <c r="I549" s="39" t="str">
        <f>Team_Matches!$K417</f>
        <v>I</v>
      </c>
    </row>
    <row r="550" spans="1:10" ht="25.5" customHeight="1" x14ac:dyDescent="0.25">
      <c r="A550" s="34"/>
      <c r="B550" s="220" t="str">
        <f>IF(VLOOKUP($D549,Draw!$A$4:$B$27,2)&lt;&gt;0,VLOOKUP($D549,Draw!$A$4:$B$27,2),"")</f>
        <v/>
      </c>
      <c r="C550" s="220"/>
      <c r="D550" s="220"/>
      <c r="E550" s="221"/>
      <c r="F550" s="35"/>
      <c r="G550" s="223" t="str">
        <f>IF(VLOOKUP($I549,Draw!$A$4:$B$27,2)&lt;&gt;0,VLOOKUP($I549,Draw!$A$4:$B$27,2),"")</f>
        <v/>
      </c>
      <c r="H550" s="223"/>
      <c r="I550" s="223"/>
      <c r="J550" s="224"/>
    </row>
    <row r="551" spans="1:10" ht="25.5" customHeight="1" x14ac:dyDescent="0.25"/>
    <row r="552" spans="1:10" ht="25.5" customHeight="1" x14ac:dyDescent="0.25"/>
    <row r="553" spans="1:10" ht="24" customHeight="1" x14ac:dyDescent="0.25">
      <c r="A553" s="9" t="s">
        <v>178</v>
      </c>
    </row>
    <row r="554" spans="1:10" ht="24" customHeight="1" x14ac:dyDescent="0.25">
      <c r="A554" s="9"/>
    </row>
    <row r="555" spans="1:10" x14ac:dyDescent="0.25">
      <c r="A555" s="9" t="s">
        <v>156</v>
      </c>
      <c r="G555" s="226" t="s">
        <v>873</v>
      </c>
      <c r="H555" s="226"/>
      <c r="I555" s="226"/>
      <c r="J555" s="226"/>
    </row>
    <row r="556" spans="1:10" ht="24" customHeight="1" x14ac:dyDescent="0.4">
      <c r="A556" s="37" t="str">
        <f>CONCATENATE($D549,"1")</f>
        <v>B1</v>
      </c>
      <c r="B556" s="222" t="str">
        <f>IF(VLOOKUP($A556,Players!$A$2:$C$132,3)&lt;&gt;0,VLOOKUP($A556,Players!$A$2:$C$132,3),"")</f>
        <v/>
      </c>
      <c r="C556" s="222"/>
      <c r="D556" s="222"/>
      <c r="E556" s="222"/>
      <c r="F556" s="222"/>
      <c r="G556" s="225" t="str">
        <f>IF(VLOOKUP($I549&amp;RIGHT($A556,1),Players!$A$2:$D$132,3)&lt;&gt;0,VLOOKUP($I549&amp;RIGHT($A556,1),Players!$A$2:$D$132,3),"")</f>
        <v/>
      </c>
      <c r="H556" s="225"/>
      <c r="I556" s="225"/>
      <c r="J556" s="168" t="str">
        <f>IF(VLOOKUP($I549&amp;RIGHT($A556,1),Players!$A$2:$D$132,3)&lt;&gt;0,"("&amp;VLOOKUP($I549&amp;RIGHT($A556,1),Players!$A$2:$D$132,4)&amp;")","")</f>
        <v/>
      </c>
    </row>
    <row r="557" spans="1:10" ht="25.5" customHeight="1" x14ac:dyDescent="0.4">
      <c r="A557" s="37" t="str">
        <f>CONCATENATE($D549,"2")</f>
        <v>B2</v>
      </c>
      <c r="B557" s="222" t="str">
        <f>IF(VLOOKUP($A557,Players!$A$2:$C$132,3)&lt;&gt;0,VLOOKUP($A557,Players!$A$2:$C$132,3),"")</f>
        <v/>
      </c>
      <c r="C557" s="222"/>
      <c r="D557" s="222"/>
      <c r="E557" s="222"/>
      <c r="F557" s="222"/>
      <c r="G557" s="225" t="str">
        <f>IF(VLOOKUP($I549&amp;RIGHT($A557,1),Players!$A$2:$D$132,3)&lt;&gt;0,VLOOKUP($I549&amp;RIGHT($A557,1),Players!$A$2:$D$132,3),"")</f>
        <v/>
      </c>
      <c r="H557" s="225"/>
      <c r="I557" s="225"/>
      <c r="J557" s="168" t="str">
        <f>IF(VLOOKUP($I549&amp;RIGHT($A557,1),Players!$A$2:$D$132,3)&lt;&gt;0,"("&amp;VLOOKUP($I549&amp;RIGHT($A557,1),Players!$A$2:$D$132,4)&amp;")","")</f>
        <v/>
      </c>
    </row>
    <row r="558" spans="1:10" ht="25.5" customHeight="1" x14ac:dyDescent="0.4">
      <c r="A558" s="37" t="str">
        <f>CONCATENATE($D549,"3")</f>
        <v>B3</v>
      </c>
      <c r="B558" s="222" t="str">
        <f>IF(VLOOKUP($A558,Players!$A$2:$C$132,3)&lt;&gt;0,VLOOKUP($A558,Players!$A$2:$C$132,3),"")</f>
        <v/>
      </c>
      <c r="C558" s="222"/>
      <c r="D558" s="222"/>
      <c r="E558" s="222"/>
      <c r="F558" s="222"/>
      <c r="G558" s="225" t="str">
        <f>IF(VLOOKUP($I549&amp;RIGHT($A558,1),Players!$A$2:$D$132,3)&lt;&gt;0,VLOOKUP($I549&amp;RIGHT($A558,1),Players!$A$2:$D$132,3),"")</f>
        <v/>
      </c>
      <c r="H558" s="225"/>
      <c r="I558" s="225"/>
      <c r="J558" s="168" t="str">
        <f>IF(VLOOKUP($I549&amp;RIGHT($A558,1),Players!$A$2:$D$132,3)&lt;&gt;0,"("&amp;VLOOKUP($I549&amp;RIGHT($A558,1),Players!$A$2:$D$132,4)&amp;")","")</f>
        <v/>
      </c>
    </row>
    <row r="559" spans="1:10" ht="25.5" customHeight="1" x14ac:dyDescent="0.4">
      <c r="A559" s="37" t="str">
        <f>CONCATENATE($D549,"4")</f>
        <v>B4</v>
      </c>
      <c r="B559" s="222" t="str">
        <f>IF(VLOOKUP($A559,Players!$A$2:$C$132,3)&lt;&gt;0,VLOOKUP($A559,Players!$A$2:$C$132,3),"")</f>
        <v/>
      </c>
      <c r="C559" s="222"/>
      <c r="D559" s="222"/>
      <c r="E559" s="222"/>
      <c r="F559" s="222"/>
      <c r="G559" s="225" t="str">
        <f>IF(VLOOKUP($I549&amp;RIGHT($A559,1),Players!$A$2:$D$132,3)&lt;&gt;0,VLOOKUP($I549&amp;RIGHT($A559,1),Players!$A$2:$D$132,3),"")</f>
        <v/>
      </c>
      <c r="H559" s="225"/>
      <c r="I559" s="225"/>
      <c r="J559" s="168" t="str">
        <f>IF(VLOOKUP($I549&amp;RIGHT($A559,1),Players!$A$2:$D$132,3)&lt;&gt;0,"("&amp;VLOOKUP($I549&amp;RIGHT($A559,1),Players!$A$2:$D$132,4)&amp;")","")</f>
        <v/>
      </c>
    </row>
    <row r="560" spans="1:10" ht="25.5" customHeight="1" x14ac:dyDescent="0.4">
      <c r="A560" s="37" t="str">
        <f>CONCATENATE($D549,"5")</f>
        <v>B5</v>
      </c>
      <c r="B560" s="222" t="str">
        <f>IF(VLOOKUP($A560,Players!$A$2:$C$132,3)&lt;&gt;0,VLOOKUP($A560,Players!$A$2:$C$132,3),"")</f>
        <v/>
      </c>
      <c r="C560" s="222"/>
      <c r="D560" s="222"/>
      <c r="E560" s="222"/>
      <c r="F560" s="222"/>
      <c r="G560" s="225" t="str">
        <f>IF(VLOOKUP($I549&amp;RIGHT($A560,1),Players!$A$2:$D$132,3)&lt;&gt;0,VLOOKUP($I549&amp;RIGHT($A560,1),Players!$A$2:$D$132,3),"")</f>
        <v/>
      </c>
      <c r="H560" s="225"/>
      <c r="I560" s="225"/>
      <c r="J560" s="168" t="str">
        <f>IF(VLOOKUP($I549&amp;RIGHT($A560,1),Players!$A$2:$D$132,3)&lt;&gt;0,"("&amp;VLOOKUP($I549&amp;RIGHT($A560,1),Players!$A$2:$D$132,4)&amp;")","")</f>
        <v/>
      </c>
    </row>
    <row r="561" spans="1:10" ht="25.5" customHeight="1" x14ac:dyDescent="0.4">
      <c r="A561" s="37" t="str">
        <f>CONCATENATE($D549,"6")</f>
        <v>B6</v>
      </c>
      <c r="B561" s="222" t="str">
        <f>IF(VLOOKUP($A561,Players!$A$2:$C$132,3)&lt;&gt;0,VLOOKUP($A561,Players!$A$2:$C$132,3),"")</f>
        <v/>
      </c>
      <c r="C561" s="222"/>
      <c r="D561" s="222"/>
      <c r="E561" s="222"/>
      <c r="F561" s="222"/>
      <c r="G561" s="225" t="str">
        <f>IF(VLOOKUP($I549&amp;RIGHT($A561,1),Players!$A$2:$D$132,3)&lt;&gt;0,VLOOKUP($I549&amp;RIGHT($A561,1),Players!$A$2:$D$132,3),"")</f>
        <v/>
      </c>
      <c r="H561" s="225"/>
      <c r="I561" s="225"/>
      <c r="J561" s="168" t="str">
        <f>IF(VLOOKUP($I549&amp;RIGHT($A561,1),Players!$A$2:$D$132,3)&lt;&gt;0,"("&amp;VLOOKUP($I549&amp;RIGHT($A561,1),Players!$A$2:$D$132,4)&amp;")","")</f>
        <v/>
      </c>
    </row>
    <row r="562" spans="1:10" ht="25.5" customHeight="1" x14ac:dyDescent="0.4">
      <c r="A562" s="37" t="str">
        <f>CONCATENATE($D549,"7")</f>
        <v>B7</v>
      </c>
      <c r="B562" s="222" t="str">
        <f>IF(VLOOKUP($A562,Players!$A$2:$C$132,3)&lt;&gt;0,VLOOKUP($A562,Players!$A$2:$C$132,3),"")</f>
        <v/>
      </c>
      <c r="C562" s="222"/>
      <c r="D562" s="222"/>
      <c r="E562" s="222"/>
      <c r="F562" s="222"/>
      <c r="G562" s="225" t="str">
        <f>IF(VLOOKUP($I549&amp;RIGHT($A562,1),Players!$A$2:$D$132,3)&lt;&gt;0,VLOOKUP($I549&amp;RIGHT($A562,1),Players!$A$2:$D$132,3),"")</f>
        <v/>
      </c>
      <c r="H562" s="225"/>
      <c r="I562" s="225"/>
      <c r="J562" s="168" t="str">
        <f>IF(VLOOKUP($I549&amp;RIGHT($A562,1),Players!$A$2:$D$132,3)&lt;&gt;0,"("&amp;VLOOKUP($I549&amp;RIGHT($A562,1),Players!$A$2:$D$132,4)&amp;")","")</f>
        <v/>
      </c>
    </row>
    <row r="563" spans="1:10" ht="25.5" customHeight="1" x14ac:dyDescent="0.4">
      <c r="A563" s="37" t="str">
        <f>CONCATENATE($D549,"8")</f>
        <v>B8</v>
      </c>
      <c r="B563" s="222" t="str">
        <f>IF(VLOOKUP($A563,Players!$A$2:$C$132,3)&lt;&gt;0,VLOOKUP($A563,Players!$A$2:$C$132,3),"")</f>
        <v/>
      </c>
      <c r="C563" s="222"/>
      <c r="D563" s="222"/>
      <c r="E563" s="222"/>
      <c r="F563" s="222"/>
      <c r="G563" s="225" t="str">
        <f>IF(VLOOKUP($I549&amp;RIGHT($A563,1),Players!$A$2:$D$132,3)&lt;&gt;0,VLOOKUP($I549&amp;RIGHT($A563,1),Players!$A$2:$D$132,3),"")</f>
        <v/>
      </c>
      <c r="H563" s="225"/>
      <c r="I563" s="225"/>
      <c r="J563" s="168" t="str">
        <f>IF(VLOOKUP($I549&amp;RIGHT($A563,1),Players!$A$2:$D$132,3)&lt;&gt;0,"("&amp;VLOOKUP($I549&amp;RIGHT($A563,1),Players!$A$2:$D$132,4)&amp;")","")</f>
        <v/>
      </c>
    </row>
    <row r="564" spans="1:10" ht="25.5" customHeight="1" x14ac:dyDescent="0.25">
      <c r="A564" s="37"/>
      <c r="B564" s="7"/>
      <c r="C564" s="7"/>
      <c r="D564" s="7"/>
      <c r="E564" s="7"/>
    </row>
    <row r="565" spans="1:10" x14ac:dyDescent="0.25">
      <c r="A565" s="9" t="s">
        <v>157</v>
      </c>
    </row>
    <row r="566" spans="1:10" x14ac:dyDescent="0.25">
      <c r="A566" t="s">
        <v>179</v>
      </c>
    </row>
    <row r="567" spans="1:10" x14ac:dyDescent="0.25">
      <c r="A567" s="55" t="s">
        <v>918</v>
      </c>
    </row>
    <row r="568" spans="1:10" x14ac:dyDescent="0.25">
      <c r="A568" t="s">
        <v>919</v>
      </c>
    </row>
    <row r="569" spans="1:10" ht="25.5" customHeight="1" thickBot="1" x14ac:dyDescent="0.3">
      <c r="A569" s="37"/>
    </row>
    <row r="570" spans="1:10" x14ac:dyDescent="0.25">
      <c r="B570" s="213"/>
      <c r="C570" s="214"/>
      <c r="D570" s="214"/>
      <c r="E570" s="214"/>
      <c r="F570" s="215"/>
    </row>
    <row r="571" spans="1:10" ht="13.8" thickBot="1" x14ac:dyDescent="0.3">
      <c r="B571" s="216"/>
      <c r="C571" s="217"/>
      <c r="D571" s="217"/>
      <c r="E571" s="217"/>
      <c r="F571" s="218"/>
    </row>
    <row r="575" spans="1:10" ht="25.5" customHeight="1" x14ac:dyDescent="0.25">
      <c r="A575" s="36"/>
      <c r="B575" s="36"/>
      <c r="C575" s="36"/>
      <c r="D575" s="36"/>
      <c r="E575" s="36"/>
      <c r="G575" s="38"/>
      <c r="H575" s="227" t="s">
        <v>159</v>
      </c>
      <c r="I575" s="228"/>
    </row>
    <row r="576" spans="1:10" x14ac:dyDescent="0.25">
      <c r="A576" t="s">
        <v>158</v>
      </c>
    </row>
    <row r="578" spans="1:10" x14ac:dyDescent="0.25">
      <c r="E578" s="219" t="str">
        <f>CONCATENATE("(",$D549," vs ",$I549,")")</f>
        <v>(B vs I)</v>
      </c>
      <c r="F578" s="219"/>
    </row>
    <row r="579" spans="1:10" ht="15.6" x14ac:dyDescent="0.3">
      <c r="A579" s="33" t="s">
        <v>155</v>
      </c>
      <c r="J579" s="82" t="s">
        <v>488</v>
      </c>
    </row>
    <row r="580" spans="1:10" ht="12.75" customHeight="1" x14ac:dyDescent="0.3">
      <c r="A580" s="33"/>
      <c r="G580" t="str">
        <f ca="1">Team_Matches!$J$6</f>
        <v>[NCTTA Teams Template (v3.4).xlsx]</v>
      </c>
      <c r="J580" s="55"/>
    </row>
    <row r="581" spans="1:10" ht="12.75" customHeight="1" x14ac:dyDescent="0.3">
      <c r="A581" s="33"/>
      <c r="G581" s="229" t="str">
        <f>Team_Matches!$J415</f>
        <v>Round 2, Match 3</v>
      </c>
      <c r="H581" s="229"/>
      <c r="I581" s="127" t="str">
        <f>Team_Matches!$M415</f>
        <v/>
      </c>
      <c r="J581" s="127"/>
    </row>
    <row r="582" spans="1:10" ht="15.6" x14ac:dyDescent="0.3">
      <c r="A582" s="33"/>
    </row>
    <row r="583" spans="1:10" x14ac:dyDescent="0.25">
      <c r="C583" s="7" t="s">
        <v>160</v>
      </c>
      <c r="D583" s="39" t="str">
        <f>Team_Matches!$B417</f>
        <v>B</v>
      </c>
      <c r="F583" s="83" t="str">
        <f>CONCATENATE($D583,"-",$I583)</f>
        <v>B-I</v>
      </c>
      <c r="H583" s="7" t="s">
        <v>160</v>
      </c>
      <c r="I583" s="39" t="str">
        <f>Team_Matches!$K417</f>
        <v>I</v>
      </c>
    </row>
    <row r="584" spans="1:10" ht="25.5" customHeight="1" x14ac:dyDescent="0.25">
      <c r="A584" s="34"/>
      <c r="B584" s="223" t="str">
        <f>IF(VLOOKUP($D583,Draw!$A$4:$B$27,2)&lt;&gt;0,VLOOKUP($D583,Draw!$A$4:$B$27,2),"")</f>
        <v/>
      </c>
      <c r="C584" s="223"/>
      <c r="D584" s="223"/>
      <c r="E584" s="224"/>
      <c r="F584" s="35"/>
      <c r="G584" s="220" t="str">
        <f>IF(VLOOKUP($I583,Draw!$A$4:$B$27,2)&lt;&gt;0,VLOOKUP($I583,Draw!$A$4:$B$27,2),"")</f>
        <v/>
      </c>
      <c r="H584" s="220"/>
      <c r="I584" s="220"/>
      <c r="J584" s="221"/>
    </row>
    <row r="585" spans="1:10" ht="25.5" customHeight="1" x14ac:dyDescent="0.25"/>
    <row r="586" spans="1:10" ht="25.5" customHeight="1" x14ac:dyDescent="0.25"/>
    <row r="587" spans="1:10" ht="24" customHeight="1" x14ac:dyDescent="0.25">
      <c r="A587" s="9" t="s">
        <v>178</v>
      </c>
    </row>
    <row r="588" spans="1:10" ht="24" customHeight="1" x14ac:dyDescent="0.25">
      <c r="A588" s="9"/>
    </row>
    <row r="589" spans="1:10" x14ac:dyDescent="0.25">
      <c r="A589" s="9" t="s">
        <v>156</v>
      </c>
      <c r="G589" s="226" t="s">
        <v>873</v>
      </c>
      <c r="H589" s="226"/>
      <c r="I589" s="226"/>
      <c r="J589" s="226"/>
    </row>
    <row r="590" spans="1:10" ht="24" customHeight="1" x14ac:dyDescent="0.4">
      <c r="A590" s="37" t="str">
        <f>CONCATENATE($I583,"1")</f>
        <v>I1</v>
      </c>
      <c r="B590" s="222" t="str">
        <f>IF(VLOOKUP($A590,Players!$A$2:$C$132,3)&lt;&gt;0,VLOOKUP($A590,Players!$A$2:$C$132,3),"")</f>
        <v/>
      </c>
      <c r="C590" s="222"/>
      <c r="D590" s="222"/>
      <c r="E590" s="222"/>
      <c r="F590" s="222"/>
      <c r="G590" s="225" t="str">
        <f>IF(VLOOKUP($D583&amp;RIGHT($A590,1),Players!$A$2:$D$132,3)&lt;&gt;0,VLOOKUP($D583&amp;RIGHT($A590,1),Players!$A$2:$D$132,3),"")</f>
        <v/>
      </c>
      <c r="H590" s="225"/>
      <c r="I590" s="225"/>
      <c r="J590" s="168" t="str">
        <f>IF(VLOOKUP($D583&amp;RIGHT($A590,1),Players!$A$2:$D$132,3)&lt;&gt;0,"("&amp;VLOOKUP($D583&amp;RIGHT($A590,1),Players!$A$2:$D$132,4)&amp;")","")</f>
        <v/>
      </c>
    </row>
    <row r="591" spans="1:10" ht="25.5" customHeight="1" x14ac:dyDescent="0.4">
      <c r="A591" s="37" t="str">
        <f>CONCATENATE($I583,"2")</f>
        <v>I2</v>
      </c>
      <c r="B591" s="222" t="str">
        <f>IF(VLOOKUP($A591,Players!$A$2:$C$132,3)&lt;&gt;0,VLOOKUP($A591,Players!$A$2:$C$132,3),"")</f>
        <v/>
      </c>
      <c r="C591" s="222"/>
      <c r="D591" s="222"/>
      <c r="E591" s="222"/>
      <c r="F591" s="222"/>
      <c r="G591" s="225" t="str">
        <f>IF(VLOOKUP($D583&amp;RIGHT($A591,1),Players!$A$2:$D$132,3)&lt;&gt;0,VLOOKUP($D583&amp;RIGHT($A591,1),Players!$A$2:$D$132,3),"")</f>
        <v/>
      </c>
      <c r="H591" s="225"/>
      <c r="I591" s="225"/>
      <c r="J591" s="168" t="str">
        <f>IF(VLOOKUP($D583&amp;RIGHT($A591,1),Players!$A$2:$D$132,3)&lt;&gt;0,"("&amp;VLOOKUP($D583&amp;RIGHT($A591,1),Players!$A$2:$D$132,4)&amp;")","")</f>
        <v/>
      </c>
    </row>
    <row r="592" spans="1:10" ht="25.5" customHeight="1" x14ac:dyDescent="0.4">
      <c r="A592" s="37" t="str">
        <f>CONCATENATE($I583,"3")</f>
        <v>I3</v>
      </c>
      <c r="B592" s="222" t="str">
        <f>IF(VLOOKUP($A592,Players!$A$2:$C$132,3)&lt;&gt;0,VLOOKUP($A592,Players!$A$2:$C$132,3),"")</f>
        <v/>
      </c>
      <c r="C592" s="222"/>
      <c r="D592" s="222"/>
      <c r="E592" s="222"/>
      <c r="F592" s="222"/>
      <c r="G592" s="225" t="str">
        <f>IF(VLOOKUP($D583&amp;RIGHT($A592,1),Players!$A$2:$D$132,3)&lt;&gt;0,VLOOKUP($D583&amp;RIGHT($A592,1),Players!$A$2:$D$132,3),"")</f>
        <v/>
      </c>
      <c r="H592" s="225"/>
      <c r="I592" s="225"/>
      <c r="J592" s="168" t="str">
        <f>IF(VLOOKUP($D583&amp;RIGHT($A592,1),Players!$A$2:$D$132,3)&lt;&gt;0,"("&amp;VLOOKUP($D583&amp;RIGHT($A592,1),Players!$A$2:$D$132,4)&amp;")","")</f>
        <v/>
      </c>
    </row>
    <row r="593" spans="1:10" ht="25.5" customHeight="1" x14ac:dyDescent="0.4">
      <c r="A593" s="37" t="str">
        <f>CONCATENATE($I583,"4")</f>
        <v>I4</v>
      </c>
      <c r="B593" s="222" t="str">
        <f>IF(VLOOKUP($A593,Players!$A$2:$C$132,3)&lt;&gt;0,VLOOKUP($A593,Players!$A$2:$C$132,3),"")</f>
        <v/>
      </c>
      <c r="C593" s="222"/>
      <c r="D593" s="222"/>
      <c r="E593" s="222"/>
      <c r="F593" s="222"/>
      <c r="G593" s="225" t="str">
        <f>IF(VLOOKUP($D583&amp;RIGHT($A593,1),Players!$A$2:$D$132,3)&lt;&gt;0,VLOOKUP($D583&amp;RIGHT($A593,1),Players!$A$2:$D$132,3),"")</f>
        <v/>
      </c>
      <c r="H593" s="225"/>
      <c r="I593" s="225"/>
      <c r="J593" s="168" t="str">
        <f>IF(VLOOKUP($D583&amp;RIGHT($A593,1),Players!$A$2:$D$132,3)&lt;&gt;0,"("&amp;VLOOKUP($D583&amp;RIGHT($A593,1),Players!$A$2:$D$132,4)&amp;")","")</f>
        <v/>
      </c>
    </row>
    <row r="594" spans="1:10" ht="25.5" customHeight="1" x14ac:dyDescent="0.4">
      <c r="A594" s="37" t="str">
        <f>CONCATENATE($I583,"5")</f>
        <v>I5</v>
      </c>
      <c r="B594" s="222" t="str">
        <f>IF(VLOOKUP($A594,Players!$A$2:$C$132,3)&lt;&gt;0,VLOOKUP($A594,Players!$A$2:$C$132,3),"")</f>
        <v/>
      </c>
      <c r="C594" s="222"/>
      <c r="D594" s="222"/>
      <c r="E594" s="222"/>
      <c r="F594" s="222"/>
      <c r="G594" s="225" t="str">
        <f>IF(VLOOKUP($D583&amp;RIGHT($A594,1),Players!$A$2:$D$132,3)&lt;&gt;0,VLOOKUP($D583&amp;RIGHT($A594,1),Players!$A$2:$D$132,3),"")</f>
        <v/>
      </c>
      <c r="H594" s="225"/>
      <c r="I594" s="225"/>
      <c r="J594" s="168" t="str">
        <f>IF(VLOOKUP($D583&amp;RIGHT($A594,1),Players!$A$2:$D$132,3)&lt;&gt;0,"("&amp;VLOOKUP($D583&amp;RIGHT($A594,1),Players!$A$2:$D$132,4)&amp;")","")</f>
        <v/>
      </c>
    </row>
    <row r="595" spans="1:10" ht="25.5" customHeight="1" x14ac:dyDescent="0.4">
      <c r="A595" s="37" t="str">
        <f>CONCATENATE($I583,"6")</f>
        <v>I6</v>
      </c>
      <c r="B595" s="222" t="str">
        <f>IF(VLOOKUP($A595,Players!$A$2:$C$132,3)&lt;&gt;0,VLOOKUP($A595,Players!$A$2:$C$132,3),"")</f>
        <v/>
      </c>
      <c r="C595" s="222"/>
      <c r="D595" s="222"/>
      <c r="E595" s="222"/>
      <c r="F595" s="222"/>
      <c r="G595" s="225" t="str">
        <f>IF(VLOOKUP($D583&amp;RIGHT($A595,1),Players!$A$2:$D$132,3)&lt;&gt;0,VLOOKUP($D583&amp;RIGHT($A595,1),Players!$A$2:$D$132,3),"")</f>
        <v/>
      </c>
      <c r="H595" s="225"/>
      <c r="I595" s="225"/>
      <c r="J595" s="168" t="str">
        <f>IF(VLOOKUP($D583&amp;RIGHT($A595,1),Players!$A$2:$D$132,3)&lt;&gt;0,"("&amp;VLOOKUP($D583&amp;RIGHT($A595,1),Players!$A$2:$D$132,4)&amp;")","")</f>
        <v/>
      </c>
    </row>
    <row r="596" spans="1:10" ht="25.5" customHeight="1" x14ac:dyDescent="0.4">
      <c r="A596" s="37" t="str">
        <f>CONCATENATE($I583,"7")</f>
        <v>I7</v>
      </c>
      <c r="B596" s="222" t="str">
        <f>IF(VLOOKUP($A596,Players!$A$2:$C$132,3)&lt;&gt;0,VLOOKUP($A596,Players!$A$2:$C$132,3),"")</f>
        <v/>
      </c>
      <c r="C596" s="222"/>
      <c r="D596" s="222"/>
      <c r="E596" s="222"/>
      <c r="F596" s="222"/>
      <c r="G596" s="225" t="str">
        <f>IF(VLOOKUP($D583&amp;RIGHT($A596,1),Players!$A$2:$D$132,3)&lt;&gt;0,VLOOKUP($D583&amp;RIGHT($A596,1),Players!$A$2:$D$132,3),"")</f>
        <v/>
      </c>
      <c r="H596" s="225"/>
      <c r="I596" s="225"/>
      <c r="J596" s="168" t="str">
        <f>IF(VLOOKUP($D583&amp;RIGHT($A596,1),Players!$A$2:$D$132,3)&lt;&gt;0,"("&amp;VLOOKUP($D583&amp;RIGHT($A596,1),Players!$A$2:$D$132,4)&amp;")","")</f>
        <v/>
      </c>
    </row>
    <row r="597" spans="1:10" ht="25.5" customHeight="1" x14ac:dyDescent="0.4">
      <c r="A597" s="37" t="str">
        <f>CONCATENATE($I583,"8")</f>
        <v>I8</v>
      </c>
      <c r="B597" s="222" t="str">
        <f>IF(VLOOKUP($A597,Players!$A$2:$C$132,3)&lt;&gt;0,VLOOKUP($A597,Players!$A$2:$C$132,3),"")</f>
        <v/>
      </c>
      <c r="C597" s="222"/>
      <c r="D597" s="222"/>
      <c r="E597" s="222"/>
      <c r="F597" s="222"/>
      <c r="G597" s="225" t="str">
        <f>IF(VLOOKUP($D583&amp;RIGHT($A597,1),Players!$A$2:$D$132,3)&lt;&gt;0,VLOOKUP($D583&amp;RIGHT($A597,1),Players!$A$2:$D$132,3),"")</f>
        <v/>
      </c>
      <c r="H597" s="225"/>
      <c r="I597" s="225"/>
      <c r="J597" s="168" t="str">
        <f>IF(VLOOKUP($D583&amp;RIGHT($A597,1),Players!$A$2:$D$132,3)&lt;&gt;0,"("&amp;VLOOKUP($D583&amp;RIGHT($A597,1),Players!$A$2:$D$132,4)&amp;")","")</f>
        <v/>
      </c>
    </row>
    <row r="598" spans="1:10" ht="25.5" customHeight="1" x14ac:dyDescent="0.25">
      <c r="A598" s="37"/>
      <c r="B598" s="7"/>
      <c r="C598" s="7"/>
      <c r="D598" s="7"/>
      <c r="E598" s="7"/>
    </row>
    <row r="599" spans="1:10" x14ac:dyDescent="0.25">
      <c r="A599" s="9" t="s">
        <v>157</v>
      </c>
    </row>
    <row r="600" spans="1:10" x14ac:dyDescent="0.25">
      <c r="A600" t="s">
        <v>179</v>
      </c>
    </row>
    <row r="601" spans="1:10" x14ac:dyDescent="0.25">
      <c r="A601" s="55" t="s">
        <v>918</v>
      </c>
    </row>
    <row r="602" spans="1:10" x14ac:dyDescent="0.25">
      <c r="A602" t="s">
        <v>919</v>
      </c>
    </row>
    <row r="603" spans="1:10" ht="25.5" customHeight="1" thickBot="1" x14ac:dyDescent="0.3">
      <c r="A603" s="37"/>
    </row>
    <row r="604" spans="1:10" x14ac:dyDescent="0.25">
      <c r="B604" s="213"/>
      <c r="C604" s="214"/>
      <c r="D604" s="214"/>
      <c r="E604" s="214"/>
      <c r="F604" s="215"/>
    </row>
    <row r="605" spans="1:10" ht="13.8" thickBot="1" x14ac:dyDescent="0.3">
      <c r="B605" s="216"/>
      <c r="C605" s="217"/>
      <c r="D605" s="217"/>
      <c r="E605" s="217"/>
      <c r="F605" s="218"/>
    </row>
    <row r="609" spans="1:10" ht="25.5" customHeight="1" x14ac:dyDescent="0.25">
      <c r="A609" s="36"/>
      <c r="B609" s="36"/>
      <c r="C609" s="36"/>
      <c r="D609" s="36"/>
      <c r="E609" s="36"/>
      <c r="G609" s="38"/>
      <c r="H609" s="227" t="s">
        <v>159</v>
      </c>
      <c r="I609" s="228"/>
    </row>
    <row r="610" spans="1:10" x14ac:dyDescent="0.25">
      <c r="A610" t="s">
        <v>158</v>
      </c>
    </row>
    <row r="612" spans="1:10" x14ac:dyDescent="0.25">
      <c r="E612" s="219" t="str">
        <f>CONCATENATE("(",$D583," vs ",$I583,")")</f>
        <v>(B vs I)</v>
      </c>
      <c r="F612" s="219"/>
    </row>
    <row r="613" spans="1:10" ht="15.6" x14ac:dyDescent="0.3">
      <c r="A613" s="33" t="s">
        <v>155</v>
      </c>
      <c r="J613" s="82" t="s">
        <v>489</v>
      </c>
    </row>
    <row r="614" spans="1:10" ht="12.75" customHeight="1" x14ac:dyDescent="0.3">
      <c r="A614" s="33"/>
      <c r="G614" t="str">
        <f ca="1">Team_Matches!$J$6</f>
        <v>[NCTTA Teams Template (v3.4).xlsx]</v>
      </c>
      <c r="J614" s="55"/>
    </row>
    <row r="615" spans="1:10" ht="12.75" customHeight="1" x14ac:dyDescent="0.3">
      <c r="A615" s="33"/>
      <c r="G615" s="229" t="str">
        <f>Team_Matches!$J466</f>
        <v>Round 2, Match 4</v>
      </c>
      <c r="H615" s="229"/>
      <c r="I615" s="127" t="str">
        <f>Team_Matches!$M466</f>
        <v/>
      </c>
      <c r="J615" s="127"/>
    </row>
    <row r="616" spans="1:10" ht="15.6" x14ac:dyDescent="0.3">
      <c r="A616" s="33"/>
    </row>
    <row r="617" spans="1:10" x14ac:dyDescent="0.25">
      <c r="C617" s="7" t="s">
        <v>160</v>
      </c>
      <c r="D617" s="39" t="str">
        <f>Team_Matches!$B468</f>
        <v>C</v>
      </c>
      <c r="F617" s="83" t="str">
        <f>CONCATENATE($D617,"-",$I617)</f>
        <v>C-H</v>
      </c>
      <c r="H617" s="7" t="s">
        <v>160</v>
      </c>
      <c r="I617" s="39" t="str">
        <f>Team_Matches!$K468</f>
        <v>H</v>
      </c>
    </row>
    <row r="618" spans="1:10" ht="25.5" customHeight="1" x14ac:dyDescent="0.25">
      <c r="A618" s="34"/>
      <c r="B618" s="220" t="str">
        <f>IF(VLOOKUP($D617,Draw!$A$4:$B$27,2)&lt;&gt;0,VLOOKUP($D617,Draw!$A$4:$B$27,2),"")</f>
        <v/>
      </c>
      <c r="C618" s="220"/>
      <c r="D618" s="220"/>
      <c r="E618" s="221"/>
      <c r="F618" s="35"/>
      <c r="G618" s="223" t="str">
        <f>IF(VLOOKUP($I617,Draw!$A$4:$B$27,2)&lt;&gt;0,VLOOKUP($I617,Draw!$A$4:$B$27,2),"")</f>
        <v/>
      </c>
      <c r="H618" s="223"/>
      <c r="I618" s="223"/>
      <c r="J618" s="224"/>
    </row>
    <row r="619" spans="1:10" ht="25.5" customHeight="1" x14ac:dyDescent="0.25"/>
    <row r="620" spans="1:10" ht="25.5" customHeight="1" x14ac:dyDescent="0.25"/>
    <row r="621" spans="1:10" ht="24" customHeight="1" x14ac:dyDescent="0.25">
      <c r="A621" s="9" t="s">
        <v>178</v>
      </c>
    </row>
    <row r="622" spans="1:10" ht="24" customHeight="1" x14ac:dyDescent="0.25">
      <c r="A622" s="9"/>
    </row>
    <row r="623" spans="1:10" x14ac:dyDescent="0.25">
      <c r="A623" s="9" t="s">
        <v>156</v>
      </c>
      <c r="G623" s="226" t="s">
        <v>873</v>
      </c>
      <c r="H623" s="226"/>
      <c r="I623" s="226"/>
      <c r="J623" s="226"/>
    </row>
    <row r="624" spans="1:10" ht="24" customHeight="1" x14ac:dyDescent="0.4">
      <c r="A624" s="37" t="str">
        <f>CONCATENATE($D617,"1")</f>
        <v>C1</v>
      </c>
      <c r="B624" s="222" t="str">
        <f>IF(VLOOKUP($A624,Players!$A$2:$C$132,3)&lt;&gt;0,VLOOKUP($A624,Players!$A$2:$C$132,3),"")</f>
        <v/>
      </c>
      <c r="C624" s="222"/>
      <c r="D624" s="222"/>
      <c r="E624" s="222"/>
      <c r="F624" s="222"/>
      <c r="G624" s="225" t="str">
        <f>IF(VLOOKUP($I617&amp;RIGHT($A624,1),Players!$A$2:$D$132,3)&lt;&gt;0,VLOOKUP($I617&amp;RIGHT($A624,1),Players!$A$2:$D$132,3),"")</f>
        <v/>
      </c>
      <c r="H624" s="225"/>
      <c r="I624" s="225"/>
      <c r="J624" s="168" t="str">
        <f>IF(VLOOKUP($I617&amp;RIGHT($A624,1),Players!$A$2:$D$132,3)&lt;&gt;0,"("&amp;VLOOKUP($I617&amp;RIGHT($A624,1),Players!$A$2:$D$132,4)&amp;")","")</f>
        <v/>
      </c>
    </row>
    <row r="625" spans="1:10" ht="25.5" customHeight="1" x14ac:dyDescent="0.4">
      <c r="A625" s="37" t="str">
        <f>CONCATENATE($D617,"2")</f>
        <v>C2</v>
      </c>
      <c r="B625" s="222" t="str">
        <f>IF(VLOOKUP($A625,Players!$A$2:$C$132,3)&lt;&gt;0,VLOOKUP($A625,Players!$A$2:$C$132,3),"")</f>
        <v/>
      </c>
      <c r="C625" s="222"/>
      <c r="D625" s="222"/>
      <c r="E625" s="222"/>
      <c r="F625" s="222"/>
      <c r="G625" s="225" t="str">
        <f>IF(VLOOKUP($I617&amp;RIGHT($A625,1),Players!$A$2:$D$132,3)&lt;&gt;0,VLOOKUP($I617&amp;RIGHT($A625,1),Players!$A$2:$D$132,3),"")</f>
        <v/>
      </c>
      <c r="H625" s="225"/>
      <c r="I625" s="225"/>
      <c r="J625" s="168" t="str">
        <f>IF(VLOOKUP($I617&amp;RIGHT($A625,1),Players!$A$2:$D$132,3)&lt;&gt;0,"("&amp;VLOOKUP($I617&amp;RIGHT($A625,1),Players!$A$2:$D$132,4)&amp;")","")</f>
        <v/>
      </c>
    </row>
    <row r="626" spans="1:10" ht="25.5" customHeight="1" x14ac:dyDescent="0.4">
      <c r="A626" s="37" t="str">
        <f>CONCATENATE($D617,"3")</f>
        <v>C3</v>
      </c>
      <c r="B626" s="222" t="str">
        <f>IF(VLOOKUP($A626,Players!$A$2:$C$132,3)&lt;&gt;0,VLOOKUP($A626,Players!$A$2:$C$132,3),"")</f>
        <v/>
      </c>
      <c r="C626" s="222"/>
      <c r="D626" s="222"/>
      <c r="E626" s="222"/>
      <c r="F626" s="222"/>
      <c r="G626" s="225" t="str">
        <f>IF(VLOOKUP($I617&amp;RIGHT($A626,1),Players!$A$2:$D$132,3)&lt;&gt;0,VLOOKUP($I617&amp;RIGHT($A626,1),Players!$A$2:$D$132,3),"")</f>
        <v/>
      </c>
      <c r="H626" s="225"/>
      <c r="I626" s="225"/>
      <c r="J626" s="168" t="str">
        <f>IF(VLOOKUP($I617&amp;RIGHT($A626,1),Players!$A$2:$D$132,3)&lt;&gt;0,"("&amp;VLOOKUP($I617&amp;RIGHT($A626,1),Players!$A$2:$D$132,4)&amp;")","")</f>
        <v/>
      </c>
    </row>
    <row r="627" spans="1:10" ht="25.5" customHeight="1" x14ac:dyDescent="0.4">
      <c r="A627" s="37" t="str">
        <f>CONCATENATE($D617,"4")</f>
        <v>C4</v>
      </c>
      <c r="B627" s="222" t="str">
        <f>IF(VLOOKUP($A627,Players!$A$2:$C$132,3)&lt;&gt;0,VLOOKUP($A627,Players!$A$2:$C$132,3),"")</f>
        <v/>
      </c>
      <c r="C627" s="222"/>
      <c r="D627" s="222"/>
      <c r="E627" s="222"/>
      <c r="F627" s="222"/>
      <c r="G627" s="225" t="str">
        <f>IF(VLOOKUP($I617&amp;RIGHT($A627,1),Players!$A$2:$D$132,3)&lt;&gt;0,VLOOKUP($I617&amp;RIGHT($A627,1),Players!$A$2:$D$132,3),"")</f>
        <v/>
      </c>
      <c r="H627" s="225"/>
      <c r="I627" s="225"/>
      <c r="J627" s="168" t="str">
        <f>IF(VLOOKUP($I617&amp;RIGHT($A627,1),Players!$A$2:$D$132,3)&lt;&gt;0,"("&amp;VLOOKUP($I617&amp;RIGHT($A627,1),Players!$A$2:$D$132,4)&amp;")","")</f>
        <v/>
      </c>
    </row>
    <row r="628" spans="1:10" ht="25.5" customHeight="1" x14ac:dyDescent="0.4">
      <c r="A628" s="37" t="str">
        <f>CONCATENATE($D617,"5")</f>
        <v>C5</v>
      </c>
      <c r="B628" s="222" t="str">
        <f>IF(VLOOKUP($A628,Players!$A$2:$C$132,3)&lt;&gt;0,VLOOKUP($A628,Players!$A$2:$C$132,3),"")</f>
        <v/>
      </c>
      <c r="C628" s="222"/>
      <c r="D628" s="222"/>
      <c r="E628" s="222"/>
      <c r="F628" s="222"/>
      <c r="G628" s="225" t="str">
        <f>IF(VLOOKUP($I617&amp;RIGHT($A628,1),Players!$A$2:$D$132,3)&lt;&gt;0,VLOOKUP($I617&amp;RIGHT($A628,1),Players!$A$2:$D$132,3),"")</f>
        <v/>
      </c>
      <c r="H628" s="225"/>
      <c r="I628" s="225"/>
      <c r="J628" s="168" t="str">
        <f>IF(VLOOKUP($I617&amp;RIGHT($A628,1),Players!$A$2:$D$132,3)&lt;&gt;0,"("&amp;VLOOKUP($I617&amp;RIGHT($A628,1),Players!$A$2:$D$132,4)&amp;")","")</f>
        <v/>
      </c>
    </row>
    <row r="629" spans="1:10" ht="25.5" customHeight="1" x14ac:dyDescent="0.4">
      <c r="A629" s="37" t="str">
        <f>CONCATENATE($D617,"6")</f>
        <v>C6</v>
      </c>
      <c r="B629" s="222" t="str">
        <f>IF(VLOOKUP($A629,Players!$A$2:$C$132,3)&lt;&gt;0,VLOOKUP($A629,Players!$A$2:$C$132,3),"")</f>
        <v/>
      </c>
      <c r="C629" s="222"/>
      <c r="D629" s="222"/>
      <c r="E629" s="222"/>
      <c r="F629" s="222"/>
      <c r="G629" s="225" t="str">
        <f>IF(VLOOKUP($I617&amp;RIGHT($A629,1),Players!$A$2:$D$132,3)&lt;&gt;0,VLOOKUP($I617&amp;RIGHT($A629,1),Players!$A$2:$D$132,3),"")</f>
        <v/>
      </c>
      <c r="H629" s="225"/>
      <c r="I629" s="225"/>
      <c r="J629" s="168" t="str">
        <f>IF(VLOOKUP($I617&amp;RIGHT($A629,1),Players!$A$2:$D$132,3)&lt;&gt;0,"("&amp;VLOOKUP($I617&amp;RIGHT($A629,1),Players!$A$2:$D$132,4)&amp;")","")</f>
        <v/>
      </c>
    </row>
    <row r="630" spans="1:10" ht="25.5" customHeight="1" x14ac:dyDescent="0.4">
      <c r="A630" s="37" t="str">
        <f>CONCATENATE($D617,"7")</f>
        <v>C7</v>
      </c>
      <c r="B630" s="222" t="str">
        <f>IF(VLOOKUP($A630,Players!$A$2:$C$132,3)&lt;&gt;0,VLOOKUP($A630,Players!$A$2:$C$132,3),"")</f>
        <v/>
      </c>
      <c r="C630" s="222"/>
      <c r="D630" s="222"/>
      <c r="E630" s="222"/>
      <c r="F630" s="222"/>
      <c r="G630" s="225" t="str">
        <f>IF(VLOOKUP($I617&amp;RIGHT($A630,1),Players!$A$2:$D$132,3)&lt;&gt;0,VLOOKUP($I617&amp;RIGHT($A630,1),Players!$A$2:$D$132,3),"")</f>
        <v/>
      </c>
      <c r="H630" s="225"/>
      <c r="I630" s="225"/>
      <c r="J630" s="168" t="str">
        <f>IF(VLOOKUP($I617&amp;RIGHT($A630,1),Players!$A$2:$D$132,3)&lt;&gt;0,"("&amp;VLOOKUP($I617&amp;RIGHT($A630,1),Players!$A$2:$D$132,4)&amp;")","")</f>
        <v/>
      </c>
    </row>
    <row r="631" spans="1:10" ht="25.5" customHeight="1" x14ac:dyDescent="0.4">
      <c r="A631" s="37" t="str">
        <f>CONCATENATE($D617,"8")</f>
        <v>C8</v>
      </c>
      <c r="B631" s="222" t="str">
        <f>IF(VLOOKUP($A631,Players!$A$2:$C$132,3)&lt;&gt;0,VLOOKUP($A631,Players!$A$2:$C$132,3),"")</f>
        <v/>
      </c>
      <c r="C631" s="222"/>
      <c r="D631" s="222"/>
      <c r="E631" s="222"/>
      <c r="F631" s="222"/>
      <c r="G631" s="225" t="str">
        <f>IF(VLOOKUP($I617&amp;RIGHT($A631,1),Players!$A$2:$D$132,3)&lt;&gt;0,VLOOKUP($I617&amp;RIGHT($A631,1),Players!$A$2:$D$132,3),"")</f>
        <v/>
      </c>
      <c r="H631" s="225"/>
      <c r="I631" s="225"/>
      <c r="J631" s="168" t="str">
        <f>IF(VLOOKUP($I617&amp;RIGHT($A631,1),Players!$A$2:$D$132,3)&lt;&gt;0,"("&amp;VLOOKUP($I617&amp;RIGHT($A631,1),Players!$A$2:$D$132,4)&amp;")","")</f>
        <v/>
      </c>
    </row>
    <row r="632" spans="1:10" ht="25.5" customHeight="1" x14ac:dyDescent="0.25">
      <c r="A632" s="37"/>
      <c r="B632" s="7"/>
      <c r="C632" s="7"/>
      <c r="D632" s="7"/>
      <c r="E632" s="7"/>
    </row>
    <row r="633" spans="1:10" x14ac:dyDescent="0.25">
      <c r="A633" s="9" t="s">
        <v>157</v>
      </c>
    </row>
    <row r="634" spans="1:10" x14ac:dyDescent="0.25">
      <c r="A634" t="s">
        <v>179</v>
      </c>
    </row>
    <row r="635" spans="1:10" x14ac:dyDescent="0.25">
      <c r="A635" s="55" t="s">
        <v>918</v>
      </c>
    </row>
    <row r="636" spans="1:10" x14ac:dyDescent="0.25">
      <c r="A636" t="s">
        <v>919</v>
      </c>
    </row>
    <row r="637" spans="1:10" ht="25.5" customHeight="1" thickBot="1" x14ac:dyDescent="0.3">
      <c r="A637" s="37"/>
    </row>
    <row r="638" spans="1:10" x14ac:dyDescent="0.25">
      <c r="B638" s="213"/>
      <c r="C638" s="214"/>
      <c r="D638" s="214"/>
      <c r="E638" s="214"/>
      <c r="F638" s="215"/>
    </row>
    <row r="639" spans="1:10" ht="13.8" thickBot="1" x14ac:dyDescent="0.3">
      <c r="B639" s="216"/>
      <c r="C639" s="217"/>
      <c r="D639" s="217"/>
      <c r="E639" s="217"/>
      <c r="F639" s="218"/>
    </row>
    <row r="643" spans="1:10" ht="25.5" customHeight="1" x14ac:dyDescent="0.25">
      <c r="A643" s="36"/>
      <c r="B643" s="36"/>
      <c r="C643" s="36"/>
      <c r="D643" s="36"/>
      <c r="E643" s="36"/>
      <c r="G643" s="38"/>
      <c r="H643" s="227" t="s">
        <v>159</v>
      </c>
      <c r="I643" s="228"/>
    </row>
    <row r="644" spans="1:10" x14ac:dyDescent="0.25">
      <c r="A644" t="s">
        <v>158</v>
      </c>
    </row>
    <row r="646" spans="1:10" x14ac:dyDescent="0.25">
      <c r="E646" s="219" t="str">
        <f>CONCATENATE("(",$D617," vs ",$I617,")")</f>
        <v>(C vs H)</v>
      </c>
      <c r="F646" s="219"/>
    </row>
    <row r="647" spans="1:10" ht="15.6" x14ac:dyDescent="0.3">
      <c r="A647" s="33" t="s">
        <v>155</v>
      </c>
      <c r="J647" s="82" t="s">
        <v>490</v>
      </c>
    </row>
    <row r="648" spans="1:10" ht="12.75" customHeight="1" x14ac:dyDescent="0.3">
      <c r="A648" s="33"/>
      <c r="G648" t="str">
        <f ca="1">Team_Matches!$J$6</f>
        <v>[NCTTA Teams Template (v3.4).xlsx]</v>
      </c>
      <c r="J648" s="55"/>
    </row>
    <row r="649" spans="1:10" ht="12.75" customHeight="1" x14ac:dyDescent="0.3">
      <c r="A649" s="33"/>
      <c r="G649" s="229" t="str">
        <f>Team_Matches!$J466</f>
        <v>Round 2, Match 4</v>
      </c>
      <c r="H649" s="229"/>
      <c r="I649" s="127" t="str">
        <f>Team_Matches!$M466</f>
        <v/>
      </c>
      <c r="J649" s="127"/>
    </row>
    <row r="650" spans="1:10" ht="15.6" x14ac:dyDescent="0.3">
      <c r="A650" s="33"/>
    </row>
    <row r="651" spans="1:10" x14ac:dyDescent="0.25">
      <c r="C651" s="7" t="s">
        <v>160</v>
      </c>
      <c r="D651" s="39" t="str">
        <f>Team_Matches!$B468</f>
        <v>C</v>
      </c>
      <c r="F651" s="83" t="str">
        <f>CONCATENATE($D651,"-",$I651)</f>
        <v>C-H</v>
      </c>
      <c r="H651" s="7" t="s">
        <v>160</v>
      </c>
      <c r="I651" s="39" t="str">
        <f>Team_Matches!$K468</f>
        <v>H</v>
      </c>
    </row>
    <row r="652" spans="1:10" ht="25.5" customHeight="1" x14ac:dyDescent="0.25">
      <c r="A652" s="34"/>
      <c r="B652" s="223" t="str">
        <f>IF(VLOOKUP($D651,Draw!$A$4:$B$27,2)&lt;&gt;0,VLOOKUP($D651,Draw!$A$4:$B$27,2),"")</f>
        <v/>
      </c>
      <c r="C652" s="223"/>
      <c r="D652" s="223"/>
      <c r="E652" s="224"/>
      <c r="F652" s="35"/>
      <c r="G652" s="220" t="str">
        <f>IF(VLOOKUP($I651,Draw!$A$4:$B$27,2)&lt;&gt;0,VLOOKUP($I651,Draw!$A$4:$B$27,2),"")</f>
        <v/>
      </c>
      <c r="H652" s="220"/>
      <c r="I652" s="220"/>
      <c r="J652" s="221"/>
    </row>
    <row r="653" spans="1:10" ht="25.5" customHeight="1" x14ac:dyDescent="0.25"/>
    <row r="654" spans="1:10" ht="25.5" customHeight="1" x14ac:dyDescent="0.25"/>
    <row r="655" spans="1:10" ht="24" customHeight="1" x14ac:dyDescent="0.25">
      <c r="A655" s="9" t="s">
        <v>178</v>
      </c>
    </row>
    <row r="656" spans="1:10" ht="24" customHeight="1" x14ac:dyDescent="0.25">
      <c r="A656" s="9"/>
    </row>
    <row r="657" spans="1:10" x14ac:dyDescent="0.25">
      <c r="A657" s="9" t="s">
        <v>156</v>
      </c>
      <c r="G657" s="226" t="s">
        <v>873</v>
      </c>
      <c r="H657" s="226"/>
      <c r="I657" s="226"/>
      <c r="J657" s="226"/>
    </row>
    <row r="658" spans="1:10" ht="24" customHeight="1" x14ac:dyDescent="0.4">
      <c r="A658" s="37" t="str">
        <f>CONCATENATE($I651,"1")</f>
        <v>H1</v>
      </c>
      <c r="B658" s="222" t="str">
        <f>IF(VLOOKUP($A658,Players!$A$2:$C$132,3)&lt;&gt;0,VLOOKUP($A658,Players!$A$2:$C$132,3),"")</f>
        <v/>
      </c>
      <c r="C658" s="222"/>
      <c r="D658" s="222"/>
      <c r="E658" s="222"/>
      <c r="F658" s="222"/>
      <c r="G658" s="225" t="str">
        <f>IF(VLOOKUP($D651&amp;RIGHT($A658,1),Players!$A$2:$D$132,3)&lt;&gt;0,VLOOKUP($D651&amp;RIGHT($A658,1),Players!$A$2:$D$132,3),"")</f>
        <v/>
      </c>
      <c r="H658" s="225"/>
      <c r="I658" s="225"/>
      <c r="J658" s="168" t="str">
        <f>IF(VLOOKUP($D651&amp;RIGHT($A658,1),Players!$A$2:$D$132,3)&lt;&gt;0,"("&amp;VLOOKUP($D651&amp;RIGHT($A658,1),Players!$A$2:$D$132,4)&amp;")","")</f>
        <v/>
      </c>
    </row>
    <row r="659" spans="1:10" ht="25.5" customHeight="1" x14ac:dyDescent="0.4">
      <c r="A659" s="37" t="str">
        <f>CONCATENATE($I651,"2")</f>
        <v>H2</v>
      </c>
      <c r="B659" s="222" t="str">
        <f>IF(VLOOKUP($A659,Players!$A$2:$C$132,3)&lt;&gt;0,VLOOKUP($A659,Players!$A$2:$C$132,3),"")</f>
        <v/>
      </c>
      <c r="C659" s="222"/>
      <c r="D659" s="222"/>
      <c r="E659" s="222"/>
      <c r="F659" s="222"/>
      <c r="G659" s="225" t="str">
        <f>IF(VLOOKUP($D651&amp;RIGHT($A659,1),Players!$A$2:$D$132,3)&lt;&gt;0,VLOOKUP($D651&amp;RIGHT($A659,1),Players!$A$2:$D$132,3),"")</f>
        <v/>
      </c>
      <c r="H659" s="225"/>
      <c r="I659" s="225"/>
      <c r="J659" s="168" t="str">
        <f>IF(VLOOKUP($D651&amp;RIGHT($A659,1),Players!$A$2:$D$132,3)&lt;&gt;0,"("&amp;VLOOKUP($D651&amp;RIGHT($A659,1),Players!$A$2:$D$132,4)&amp;")","")</f>
        <v/>
      </c>
    </row>
    <row r="660" spans="1:10" ht="25.5" customHeight="1" x14ac:dyDescent="0.4">
      <c r="A660" s="37" t="str">
        <f>CONCATENATE($I651,"3")</f>
        <v>H3</v>
      </c>
      <c r="B660" s="222" t="str">
        <f>IF(VLOOKUP($A660,Players!$A$2:$C$132,3)&lt;&gt;0,VLOOKUP($A660,Players!$A$2:$C$132,3),"")</f>
        <v/>
      </c>
      <c r="C660" s="222"/>
      <c r="D660" s="222"/>
      <c r="E660" s="222"/>
      <c r="F660" s="222"/>
      <c r="G660" s="225" t="str">
        <f>IF(VLOOKUP($D651&amp;RIGHT($A660,1),Players!$A$2:$D$132,3)&lt;&gt;0,VLOOKUP($D651&amp;RIGHT($A660,1),Players!$A$2:$D$132,3),"")</f>
        <v/>
      </c>
      <c r="H660" s="225"/>
      <c r="I660" s="225"/>
      <c r="J660" s="168" t="str">
        <f>IF(VLOOKUP($D651&amp;RIGHT($A660,1),Players!$A$2:$D$132,3)&lt;&gt;0,"("&amp;VLOOKUP($D651&amp;RIGHT($A660,1),Players!$A$2:$D$132,4)&amp;")","")</f>
        <v/>
      </c>
    </row>
    <row r="661" spans="1:10" ht="25.5" customHeight="1" x14ac:dyDescent="0.4">
      <c r="A661" s="37" t="str">
        <f>CONCATENATE($I651,"4")</f>
        <v>H4</v>
      </c>
      <c r="B661" s="222" t="str">
        <f>IF(VLOOKUP($A661,Players!$A$2:$C$132,3)&lt;&gt;0,VLOOKUP($A661,Players!$A$2:$C$132,3),"")</f>
        <v/>
      </c>
      <c r="C661" s="222"/>
      <c r="D661" s="222"/>
      <c r="E661" s="222"/>
      <c r="F661" s="222"/>
      <c r="G661" s="225" t="str">
        <f>IF(VLOOKUP($D651&amp;RIGHT($A661,1),Players!$A$2:$D$132,3)&lt;&gt;0,VLOOKUP($D651&amp;RIGHT($A661,1),Players!$A$2:$D$132,3),"")</f>
        <v/>
      </c>
      <c r="H661" s="225"/>
      <c r="I661" s="225"/>
      <c r="J661" s="168" t="str">
        <f>IF(VLOOKUP($D651&amp;RIGHT($A661,1),Players!$A$2:$D$132,3)&lt;&gt;0,"("&amp;VLOOKUP($D651&amp;RIGHT($A661,1),Players!$A$2:$D$132,4)&amp;")","")</f>
        <v/>
      </c>
    </row>
    <row r="662" spans="1:10" ht="25.5" customHeight="1" x14ac:dyDescent="0.4">
      <c r="A662" s="37" t="str">
        <f>CONCATENATE($I651,"5")</f>
        <v>H5</v>
      </c>
      <c r="B662" s="222" t="str">
        <f>IF(VLOOKUP($A662,Players!$A$2:$C$132,3)&lt;&gt;0,VLOOKUP($A662,Players!$A$2:$C$132,3),"")</f>
        <v/>
      </c>
      <c r="C662" s="222"/>
      <c r="D662" s="222"/>
      <c r="E662" s="222"/>
      <c r="F662" s="222"/>
      <c r="G662" s="225" t="str">
        <f>IF(VLOOKUP($D651&amp;RIGHT($A662,1),Players!$A$2:$D$132,3)&lt;&gt;0,VLOOKUP($D651&amp;RIGHT($A662,1),Players!$A$2:$D$132,3),"")</f>
        <v/>
      </c>
      <c r="H662" s="225"/>
      <c r="I662" s="225"/>
      <c r="J662" s="168" t="str">
        <f>IF(VLOOKUP($D651&amp;RIGHT($A662,1),Players!$A$2:$D$132,3)&lt;&gt;0,"("&amp;VLOOKUP($D651&amp;RIGHT($A662,1),Players!$A$2:$D$132,4)&amp;")","")</f>
        <v/>
      </c>
    </row>
    <row r="663" spans="1:10" ht="25.5" customHeight="1" x14ac:dyDescent="0.4">
      <c r="A663" s="37" t="str">
        <f>CONCATENATE($I651,"6")</f>
        <v>H6</v>
      </c>
      <c r="B663" s="222" t="str">
        <f>IF(VLOOKUP($A663,Players!$A$2:$C$132,3)&lt;&gt;0,VLOOKUP($A663,Players!$A$2:$C$132,3),"")</f>
        <v/>
      </c>
      <c r="C663" s="222"/>
      <c r="D663" s="222"/>
      <c r="E663" s="222"/>
      <c r="F663" s="222"/>
      <c r="G663" s="225" t="str">
        <f>IF(VLOOKUP($D651&amp;RIGHT($A663,1),Players!$A$2:$D$132,3)&lt;&gt;0,VLOOKUP($D651&amp;RIGHT($A663,1),Players!$A$2:$D$132,3),"")</f>
        <v/>
      </c>
      <c r="H663" s="225"/>
      <c r="I663" s="225"/>
      <c r="J663" s="168" t="str">
        <f>IF(VLOOKUP($D651&amp;RIGHT($A663,1),Players!$A$2:$D$132,3)&lt;&gt;0,"("&amp;VLOOKUP($D651&amp;RIGHT($A663,1),Players!$A$2:$D$132,4)&amp;")","")</f>
        <v/>
      </c>
    </row>
    <row r="664" spans="1:10" ht="25.5" customHeight="1" x14ac:dyDescent="0.4">
      <c r="A664" s="37" t="str">
        <f>CONCATENATE($I651,"7")</f>
        <v>H7</v>
      </c>
      <c r="B664" s="222" t="str">
        <f>IF(VLOOKUP($A664,Players!$A$2:$C$132,3)&lt;&gt;0,VLOOKUP($A664,Players!$A$2:$C$132,3),"")</f>
        <v/>
      </c>
      <c r="C664" s="222"/>
      <c r="D664" s="222"/>
      <c r="E664" s="222"/>
      <c r="F664" s="222"/>
      <c r="G664" s="225" t="str">
        <f>IF(VLOOKUP($D651&amp;RIGHT($A664,1),Players!$A$2:$D$132,3)&lt;&gt;0,VLOOKUP($D651&amp;RIGHT($A664,1),Players!$A$2:$D$132,3),"")</f>
        <v/>
      </c>
      <c r="H664" s="225"/>
      <c r="I664" s="225"/>
      <c r="J664" s="168" t="str">
        <f>IF(VLOOKUP($D651&amp;RIGHT($A664,1),Players!$A$2:$D$132,3)&lt;&gt;0,"("&amp;VLOOKUP($D651&amp;RIGHT($A664,1),Players!$A$2:$D$132,4)&amp;")","")</f>
        <v/>
      </c>
    </row>
    <row r="665" spans="1:10" ht="25.5" customHeight="1" x14ac:dyDescent="0.4">
      <c r="A665" s="37" t="str">
        <f>CONCATENATE($I651,"8")</f>
        <v>H8</v>
      </c>
      <c r="B665" s="222" t="str">
        <f>IF(VLOOKUP($A665,Players!$A$2:$C$132,3)&lt;&gt;0,VLOOKUP($A665,Players!$A$2:$C$132,3),"")</f>
        <v/>
      </c>
      <c r="C665" s="222"/>
      <c r="D665" s="222"/>
      <c r="E665" s="222"/>
      <c r="F665" s="222"/>
      <c r="G665" s="225" t="str">
        <f>IF(VLOOKUP($D651&amp;RIGHT($A665,1),Players!$A$2:$D$132,3)&lt;&gt;0,VLOOKUP($D651&amp;RIGHT($A665,1),Players!$A$2:$D$132,3),"")</f>
        <v/>
      </c>
      <c r="H665" s="225"/>
      <c r="I665" s="225"/>
      <c r="J665" s="168" t="str">
        <f>IF(VLOOKUP($D651&amp;RIGHT($A665,1),Players!$A$2:$D$132,3)&lt;&gt;0,"("&amp;VLOOKUP($D651&amp;RIGHT($A665,1),Players!$A$2:$D$132,4)&amp;")","")</f>
        <v/>
      </c>
    </row>
    <row r="666" spans="1:10" ht="25.5" customHeight="1" x14ac:dyDescent="0.25">
      <c r="A666" s="37"/>
      <c r="B666" s="7"/>
      <c r="C666" s="7"/>
      <c r="D666" s="7"/>
      <c r="E666" s="7"/>
    </row>
    <row r="667" spans="1:10" x14ac:dyDescent="0.25">
      <c r="A667" s="9" t="s">
        <v>157</v>
      </c>
    </row>
    <row r="668" spans="1:10" x14ac:dyDescent="0.25">
      <c r="A668" t="s">
        <v>179</v>
      </c>
    </row>
    <row r="669" spans="1:10" x14ac:dyDescent="0.25">
      <c r="A669" s="55" t="s">
        <v>918</v>
      </c>
    </row>
    <row r="670" spans="1:10" x14ac:dyDescent="0.25">
      <c r="A670" t="s">
        <v>919</v>
      </c>
    </row>
    <row r="671" spans="1:10" ht="25.5" customHeight="1" thickBot="1" x14ac:dyDescent="0.3">
      <c r="A671" s="37"/>
    </row>
    <row r="672" spans="1:10" x14ac:dyDescent="0.25">
      <c r="B672" s="213"/>
      <c r="C672" s="214"/>
      <c r="D672" s="214"/>
      <c r="E672" s="214"/>
      <c r="F672" s="215"/>
    </row>
    <row r="673" spans="1:10" ht="13.8" thickBot="1" x14ac:dyDescent="0.3">
      <c r="B673" s="216"/>
      <c r="C673" s="217"/>
      <c r="D673" s="217"/>
      <c r="E673" s="217"/>
      <c r="F673" s="218"/>
    </row>
    <row r="677" spans="1:10" ht="25.5" customHeight="1" x14ac:dyDescent="0.25">
      <c r="A677" s="36"/>
      <c r="B677" s="36"/>
      <c r="C677" s="36"/>
      <c r="D677" s="36"/>
      <c r="E677" s="36"/>
      <c r="G677" s="38"/>
      <c r="H677" s="227" t="s">
        <v>159</v>
      </c>
      <c r="I677" s="228"/>
    </row>
    <row r="678" spans="1:10" x14ac:dyDescent="0.25">
      <c r="A678" t="s">
        <v>158</v>
      </c>
    </row>
    <row r="680" spans="1:10" x14ac:dyDescent="0.25">
      <c r="E680" s="219" t="str">
        <f>CONCATENATE("(",$D651," vs ",$I651,")")</f>
        <v>(C vs H)</v>
      </c>
      <c r="F680" s="219"/>
    </row>
    <row r="681" spans="1:10" ht="15.6" x14ac:dyDescent="0.3">
      <c r="A681" s="33" t="s">
        <v>155</v>
      </c>
      <c r="J681" s="82" t="s">
        <v>491</v>
      </c>
    </row>
    <row r="682" spans="1:10" ht="12.75" customHeight="1" x14ac:dyDescent="0.3">
      <c r="A682" s="33"/>
      <c r="G682" t="str">
        <f ca="1">Team_Matches!$J$6</f>
        <v>[NCTTA Teams Template (v3.4).xlsx]</v>
      </c>
      <c r="J682" s="55"/>
    </row>
    <row r="683" spans="1:10" ht="12.75" customHeight="1" x14ac:dyDescent="0.3">
      <c r="A683" s="33"/>
      <c r="G683" s="229" t="str">
        <f>Team_Matches!$J517</f>
        <v>Round 2, Match 5</v>
      </c>
      <c r="H683" s="229"/>
      <c r="I683" s="127" t="str">
        <f>Team_Matches!$M517</f>
        <v/>
      </c>
      <c r="J683" s="127"/>
    </row>
    <row r="684" spans="1:10" ht="15.6" x14ac:dyDescent="0.3">
      <c r="A684" s="33"/>
    </row>
    <row r="685" spans="1:10" x14ac:dyDescent="0.25">
      <c r="C685" s="7" t="s">
        <v>160</v>
      </c>
      <c r="D685" s="3" t="str">
        <f>Team_Matches!$B519</f>
        <v>D</v>
      </c>
      <c r="F685" s="83" t="str">
        <f>CONCATENATE($D685,"-",$I685)</f>
        <v>D-G</v>
      </c>
      <c r="H685" s="7" t="s">
        <v>160</v>
      </c>
      <c r="I685" s="39" t="str">
        <f>Team_Matches!$K519</f>
        <v>G</v>
      </c>
    </row>
    <row r="686" spans="1:10" ht="25.5" customHeight="1" x14ac:dyDescent="0.25">
      <c r="A686" s="34"/>
      <c r="B686" s="220" t="str">
        <f>IF(VLOOKUP($D685,Draw!$A$4:$B$27,2)&lt;&gt;0,VLOOKUP($D685,Draw!$A$4:$B$27,2),"")</f>
        <v/>
      </c>
      <c r="C686" s="220"/>
      <c r="D686" s="220"/>
      <c r="E686" s="221"/>
      <c r="F686" s="35"/>
      <c r="G686" s="223" t="str">
        <f>IF(VLOOKUP($I685,Draw!$A$4:$B$27,2)&lt;&gt;0,VLOOKUP($I685,Draw!$A$4:$B$27,2),"")</f>
        <v/>
      </c>
      <c r="H686" s="223"/>
      <c r="I686" s="223"/>
      <c r="J686" s="224"/>
    </row>
    <row r="687" spans="1:10" ht="25.5" customHeight="1" x14ac:dyDescent="0.25"/>
    <row r="688" spans="1:10" ht="25.5" customHeight="1" x14ac:dyDescent="0.25"/>
    <row r="689" spans="1:10" ht="24" customHeight="1" x14ac:dyDescent="0.25">
      <c r="A689" s="9" t="s">
        <v>178</v>
      </c>
    </row>
    <row r="690" spans="1:10" ht="24" customHeight="1" x14ac:dyDescent="0.25">
      <c r="A690" s="9"/>
    </row>
    <row r="691" spans="1:10" x14ac:dyDescent="0.25">
      <c r="A691" s="9" t="s">
        <v>156</v>
      </c>
      <c r="G691" s="226" t="s">
        <v>873</v>
      </c>
      <c r="H691" s="226"/>
      <c r="I691" s="226"/>
      <c r="J691" s="226"/>
    </row>
    <row r="692" spans="1:10" ht="24" customHeight="1" x14ac:dyDescent="0.4">
      <c r="A692" s="37" t="str">
        <f>CONCATENATE($D685,"1")</f>
        <v>D1</v>
      </c>
      <c r="B692" s="222" t="str">
        <f>IF(VLOOKUP($A692,Players!$A$2:$C$132,3)&lt;&gt;0,VLOOKUP($A692,Players!$A$2:$C$132,3),"")</f>
        <v/>
      </c>
      <c r="C692" s="222"/>
      <c r="D692" s="222"/>
      <c r="E692" s="222"/>
      <c r="F692" s="222"/>
      <c r="G692" s="225" t="str">
        <f>IF(VLOOKUP($I685&amp;RIGHT($A692,1),Players!$A$2:$D$132,3)&lt;&gt;0,VLOOKUP($I685&amp;RIGHT($A692,1),Players!$A$2:$D$132,3),"")</f>
        <v/>
      </c>
      <c r="H692" s="225"/>
      <c r="I692" s="225"/>
      <c r="J692" s="168" t="str">
        <f>IF(VLOOKUP($I685&amp;RIGHT($A692,1),Players!$A$2:$D$132,3)&lt;&gt;0,"("&amp;VLOOKUP($I685&amp;RIGHT($A692,1),Players!$A$2:$D$132,4)&amp;")","")</f>
        <v/>
      </c>
    </row>
    <row r="693" spans="1:10" ht="25.5" customHeight="1" x14ac:dyDescent="0.4">
      <c r="A693" s="37" t="str">
        <f>CONCATENATE($D685,"2")</f>
        <v>D2</v>
      </c>
      <c r="B693" s="222" t="str">
        <f>IF(VLOOKUP($A693,Players!$A$2:$C$132,3)&lt;&gt;0,VLOOKUP($A693,Players!$A$2:$C$132,3),"")</f>
        <v/>
      </c>
      <c r="C693" s="222"/>
      <c r="D693" s="222"/>
      <c r="E693" s="222"/>
      <c r="F693" s="222"/>
      <c r="G693" s="225" t="str">
        <f>IF(VLOOKUP($I685&amp;RIGHT($A693,1),Players!$A$2:$D$132,3)&lt;&gt;0,VLOOKUP($I685&amp;RIGHT($A693,1),Players!$A$2:$D$132,3),"")</f>
        <v/>
      </c>
      <c r="H693" s="225"/>
      <c r="I693" s="225"/>
      <c r="J693" s="168" t="str">
        <f>IF(VLOOKUP($I685&amp;RIGHT($A693,1),Players!$A$2:$D$132,3)&lt;&gt;0,"("&amp;VLOOKUP($I685&amp;RIGHT($A693,1),Players!$A$2:$D$132,4)&amp;")","")</f>
        <v/>
      </c>
    </row>
    <row r="694" spans="1:10" ht="25.5" customHeight="1" x14ac:dyDescent="0.4">
      <c r="A694" s="37" t="str">
        <f>CONCATENATE($D685,"3")</f>
        <v>D3</v>
      </c>
      <c r="B694" s="222" t="str">
        <f>IF(VLOOKUP($A694,Players!$A$2:$C$132,3)&lt;&gt;0,VLOOKUP($A694,Players!$A$2:$C$132,3),"")</f>
        <v/>
      </c>
      <c r="C694" s="222"/>
      <c r="D694" s="222"/>
      <c r="E694" s="222"/>
      <c r="F694" s="222"/>
      <c r="G694" s="225" t="str">
        <f>IF(VLOOKUP($I685&amp;RIGHT($A694,1),Players!$A$2:$D$132,3)&lt;&gt;0,VLOOKUP($I685&amp;RIGHT($A694,1),Players!$A$2:$D$132,3),"")</f>
        <v/>
      </c>
      <c r="H694" s="225"/>
      <c r="I694" s="225"/>
      <c r="J694" s="168" t="str">
        <f>IF(VLOOKUP($I685&amp;RIGHT($A694,1),Players!$A$2:$D$132,3)&lt;&gt;0,"("&amp;VLOOKUP($I685&amp;RIGHT($A694,1),Players!$A$2:$D$132,4)&amp;")","")</f>
        <v/>
      </c>
    </row>
    <row r="695" spans="1:10" ht="25.5" customHeight="1" x14ac:dyDescent="0.4">
      <c r="A695" s="37" t="str">
        <f>CONCATENATE($D685,"4")</f>
        <v>D4</v>
      </c>
      <c r="B695" s="222" t="str">
        <f>IF(VLOOKUP($A695,Players!$A$2:$C$132,3)&lt;&gt;0,VLOOKUP($A695,Players!$A$2:$C$132,3),"")</f>
        <v/>
      </c>
      <c r="C695" s="222"/>
      <c r="D695" s="222"/>
      <c r="E695" s="222"/>
      <c r="F695" s="222"/>
      <c r="G695" s="225" t="str">
        <f>IF(VLOOKUP($I685&amp;RIGHT($A695,1),Players!$A$2:$D$132,3)&lt;&gt;0,VLOOKUP($I685&amp;RIGHT($A695,1),Players!$A$2:$D$132,3),"")</f>
        <v/>
      </c>
      <c r="H695" s="225"/>
      <c r="I695" s="225"/>
      <c r="J695" s="168" t="str">
        <f>IF(VLOOKUP($I685&amp;RIGHT($A695,1),Players!$A$2:$D$132,3)&lt;&gt;0,"("&amp;VLOOKUP($I685&amp;RIGHT($A695,1),Players!$A$2:$D$132,4)&amp;")","")</f>
        <v/>
      </c>
    </row>
    <row r="696" spans="1:10" ht="25.5" customHeight="1" x14ac:dyDescent="0.4">
      <c r="A696" s="37" t="str">
        <f>CONCATENATE($D685,"5")</f>
        <v>D5</v>
      </c>
      <c r="B696" s="222" t="str">
        <f>IF(VLOOKUP($A696,Players!$A$2:$C$132,3)&lt;&gt;0,VLOOKUP($A696,Players!$A$2:$C$132,3),"")</f>
        <v/>
      </c>
      <c r="C696" s="222"/>
      <c r="D696" s="222"/>
      <c r="E696" s="222"/>
      <c r="F696" s="222"/>
      <c r="G696" s="225" t="str">
        <f>IF(VLOOKUP($I685&amp;RIGHT($A696,1),Players!$A$2:$D$132,3)&lt;&gt;0,VLOOKUP($I685&amp;RIGHT($A696,1),Players!$A$2:$D$132,3),"")</f>
        <v/>
      </c>
      <c r="H696" s="225"/>
      <c r="I696" s="225"/>
      <c r="J696" s="168" t="str">
        <f>IF(VLOOKUP($I685&amp;RIGHT($A696,1),Players!$A$2:$D$132,3)&lt;&gt;0,"("&amp;VLOOKUP($I685&amp;RIGHT($A696,1),Players!$A$2:$D$132,4)&amp;")","")</f>
        <v/>
      </c>
    </row>
    <row r="697" spans="1:10" ht="25.5" customHeight="1" x14ac:dyDescent="0.4">
      <c r="A697" s="37" t="str">
        <f>CONCATENATE($D685,"6")</f>
        <v>D6</v>
      </c>
      <c r="B697" s="222" t="str">
        <f>IF(VLOOKUP($A697,Players!$A$2:$C$132,3)&lt;&gt;0,VLOOKUP($A697,Players!$A$2:$C$132,3),"")</f>
        <v/>
      </c>
      <c r="C697" s="222"/>
      <c r="D697" s="222"/>
      <c r="E697" s="222"/>
      <c r="F697" s="222"/>
      <c r="G697" s="225" t="str">
        <f>IF(VLOOKUP($I685&amp;RIGHT($A697,1),Players!$A$2:$D$132,3)&lt;&gt;0,VLOOKUP($I685&amp;RIGHT($A697,1),Players!$A$2:$D$132,3),"")</f>
        <v/>
      </c>
      <c r="H697" s="225"/>
      <c r="I697" s="225"/>
      <c r="J697" s="168" t="str">
        <f>IF(VLOOKUP($I685&amp;RIGHT($A697,1),Players!$A$2:$D$132,3)&lt;&gt;0,"("&amp;VLOOKUP($I685&amp;RIGHT($A697,1),Players!$A$2:$D$132,4)&amp;")","")</f>
        <v/>
      </c>
    </row>
    <row r="698" spans="1:10" ht="25.5" customHeight="1" x14ac:dyDescent="0.4">
      <c r="A698" s="37" t="str">
        <f>CONCATENATE($D685,"7")</f>
        <v>D7</v>
      </c>
      <c r="B698" s="222" t="str">
        <f>IF(VLOOKUP($A698,Players!$A$2:$C$132,3)&lt;&gt;0,VLOOKUP($A698,Players!$A$2:$C$132,3),"")</f>
        <v/>
      </c>
      <c r="C698" s="222"/>
      <c r="D698" s="222"/>
      <c r="E698" s="222"/>
      <c r="F698" s="222"/>
      <c r="G698" s="225" t="str">
        <f>IF(VLOOKUP($I685&amp;RIGHT($A698,1),Players!$A$2:$D$132,3)&lt;&gt;0,VLOOKUP($I685&amp;RIGHT($A698,1),Players!$A$2:$D$132,3),"")</f>
        <v/>
      </c>
      <c r="H698" s="225"/>
      <c r="I698" s="225"/>
      <c r="J698" s="168" t="str">
        <f>IF(VLOOKUP($I685&amp;RIGHT($A698,1),Players!$A$2:$D$132,3)&lt;&gt;0,"("&amp;VLOOKUP($I685&amp;RIGHT($A698,1),Players!$A$2:$D$132,4)&amp;")","")</f>
        <v/>
      </c>
    </row>
    <row r="699" spans="1:10" ht="25.5" customHeight="1" x14ac:dyDescent="0.4">
      <c r="A699" s="37" t="str">
        <f>CONCATENATE($D685,"8")</f>
        <v>D8</v>
      </c>
      <c r="B699" s="222" t="str">
        <f>IF(VLOOKUP($A699,Players!$A$2:$C$132,3)&lt;&gt;0,VLOOKUP($A699,Players!$A$2:$C$132,3),"")</f>
        <v/>
      </c>
      <c r="C699" s="222"/>
      <c r="D699" s="222"/>
      <c r="E699" s="222"/>
      <c r="F699" s="222"/>
      <c r="G699" s="225" t="str">
        <f>IF(VLOOKUP($I685&amp;RIGHT($A699,1),Players!$A$2:$D$132,3)&lt;&gt;0,VLOOKUP($I685&amp;RIGHT($A699,1),Players!$A$2:$D$132,3),"")</f>
        <v/>
      </c>
      <c r="H699" s="225"/>
      <c r="I699" s="225"/>
      <c r="J699" s="168" t="str">
        <f>IF(VLOOKUP($I685&amp;RIGHT($A699,1),Players!$A$2:$D$132,3)&lt;&gt;0,"("&amp;VLOOKUP($I685&amp;RIGHT($A699,1),Players!$A$2:$D$132,4)&amp;")","")</f>
        <v/>
      </c>
    </row>
    <row r="700" spans="1:10" ht="25.5" customHeight="1" x14ac:dyDescent="0.25">
      <c r="A700" s="37"/>
      <c r="B700" s="7"/>
      <c r="C700" s="7"/>
      <c r="D700" s="7"/>
      <c r="E700" s="7"/>
    </row>
    <row r="701" spans="1:10" x14ac:dyDescent="0.25">
      <c r="A701" s="9" t="s">
        <v>157</v>
      </c>
    </row>
    <row r="702" spans="1:10" x14ac:dyDescent="0.25">
      <c r="A702" t="s">
        <v>179</v>
      </c>
    </row>
    <row r="703" spans="1:10" x14ac:dyDescent="0.25">
      <c r="A703" s="55" t="s">
        <v>918</v>
      </c>
    </row>
    <row r="704" spans="1:10" x14ac:dyDescent="0.25">
      <c r="A704" t="s">
        <v>919</v>
      </c>
    </row>
    <row r="705" spans="1:10" ht="25.5" customHeight="1" thickBot="1" x14ac:dyDescent="0.3">
      <c r="A705" s="37"/>
    </row>
    <row r="706" spans="1:10" x14ac:dyDescent="0.25">
      <c r="B706" s="213"/>
      <c r="C706" s="214"/>
      <c r="D706" s="214"/>
      <c r="E706" s="214"/>
      <c r="F706" s="215"/>
    </row>
    <row r="707" spans="1:10" ht="13.8" thickBot="1" x14ac:dyDescent="0.3">
      <c r="B707" s="216"/>
      <c r="C707" s="217"/>
      <c r="D707" s="217"/>
      <c r="E707" s="217"/>
      <c r="F707" s="218"/>
    </row>
    <row r="711" spans="1:10" ht="25.5" customHeight="1" x14ac:dyDescent="0.25">
      <c r="A711" s="36"/>
      <c r="B711" s="36"/>
      <c r="C711" s="36"/>
      <c r="D711" s="36"/>
      <c r="E711" s="36"/>
      <c r="G711" s="38"/>
      <c r="H711" s="227" t="s">
        <v>159</v>
      </c>
      <c r="I711" s="228"/>
    </row>
    <row r="712" spans="1:10" x14ac:dyDescent="0.25">
      <c r="A712" t="s">
        <v>158</v>
      </c>
    </row>
    <row r="714" spans="1:10" x14ac:dyDescent="0.25">
      <c r="E714" s="219" t="str">
        <f>CONCATENATE("(",$D685," vs ",$I685,")")</f>
        <v>(D vs G)</v>
      </c>
      <c r="F714" s="219"/>
    </row>
    <row r="715" spans="1:10" ht="15.6" x14ac:dyDescent="0.3">
      <c r="A715" s="33" t="s">
        <v>155</v>
      </c>
      <c r="J715" s="82" t="s">
        <v>492</v>
      </c>
    </row>
    <row r="716" spans="1:10" ht="12.75" customHeight="1" x14ac:dyDescent="0.3">
      <c r="A716" s="33"/>
      <c r="G716" t="str">
        <f ca="1">Team_Matches!$J$6</f>
        <v>[NCTTA Teams Template (v3.4).xlsx]</v>
      </c>
      <c r="J716" s="55"/>
    </row>
    <row r="717" spans="1:10" ht="12.75" customHeight="1" x14ac:dyDescent="0.3">
      <c r="A717" s="33"/>
      <c r="G717" s="229" t="str">
        <f>Team_Matches!$J517</f>
        <v>Round 2, Match 5</v>
      </c>
      <c r="H717" s="229"/>
      <c r="I717" s="127" t="str">
        <f>Team_Matches!$M517</f>
        <v/>
      </c>
      <c r="J717" s="127"/>
    </row>
    <row r="718" spans="1:10" ht="15.6" x14ac:dyDescent="0.3">
      <c r="A718" s="33"/>
    </row>
    <row r="719" spans="1:10" x14ac:dyDescent="0.25">
      <c r="C719" s="7" t="s">
        <v>160</v>
      </c>
      <c r="D719" s="3" t="str">
        <f>Team_Matches!$B519</f>
        <v>D</v>
      </c>
      <c r="F719" s="83" t="str">
        <f>CONCATENATE($D719,"-",$I719)</f>
        <v>D-G</v>
      </c>
      <c r="H719" s="7" t="s">
        <v>160</v>
      </c>
      <c r="I719" s="39" t="str">
        <f>Team_Matches!$K519</f>
        <v>G</v>
      </c>
    </row>
    <row r="720" spans="1:10" ht="25.5" customHeight="1" x14ac:dyDescent="0.25">
      <c r="A720" s="34"/>
      <c r="B720" s="223" t="str">
        <f>IF(VLOOKUP($D719,Draw!$A$4:$B$27,2)&lt;&gt;0,VLOOKUP($D719,Draw!$A$4:$B$27,2),"")</f>
        <v/>
      </c>
      <c r="C720" s="223"/>
      <c r="D720" s="223"/>
      <c r="E720" s="224"/>
      <c r="F720" s="35"/>
      <c r="G720" s="220" t="str">
        <f>IF(VLOOKUP($I719,Draw!$A$4:$B$27,2)&lt;&gt;0,VLOOKUP($I719,Draw!$A$4:$B$27,2),"")</f>
        <v/>
      </c>
      <c r="H720" s="220"/>
      <c r="I720" s="220"/>
      <c r="J720" s="221"/>
    </row>
    <row r="721" spans="1:10" ht="25.5" customHeight="1" x14ac:dyDescent="0.25"/>
    <row r="722" spans="1:10" ht="25.5" customHeight="1" x14ac:dyDescent="0.25"/>
    <row r="723" spans="1:10" ht="24" customHeight="1" x14ac:dyDescent="0.25">
      <c r="A723" s="9" t="s">
        <v>178</v>
      </c>
    </row>
    <row r="724" spans="1:10" ht="24" customHeight="1" x14ac:dyDescent="0.25">
      <c r="A724" s="9"/>
    </row>
    <row r="725" spans="1:10" x14ac:dyDescent="0.25">
      <c r="A725" s="9" t="s">
        <v>156</v>
      </c>
      <c r="G725" s="226" t="s">
        <v>873</v>
      </c>
      <c r="H725" s="226"/>
      <c r="I725" s="226"/>
      <c r="J725" s="226"/>
    </row>
    <row r="726" spans="1:10" ht="24" customHeight="1" x14ac:dyDescent="0.4">
      <c r="A726" s="37" t="str">
        <f>CONCATENATE($I719,"1")</f>
        <v>G1</v>
      </c>
      <c r="B726" s="222" t="str">
        <f>IF(VLOOKUP($A726,Players!$A$2:$C$132,3)&lt;&gt;0,VLOOKUP($A726,Players!$A$2:$C$132,3),"")</f>
        <v/>
      </c>
      <c r="C726" s="222"/>
      <c r="D726" s="222"/>
      <c r="E726" s="222"/>
      <c r="F726" s="222"/>
      <c r="G726" s="225" t="str">
        <f>IF(VLOOKUP($D719&amp;RIGHT($A726,1),Players!$A$2:$D$132,3)&lt;&gt;0,VLOOKUP($D719&amp;RIGHT($A726,1),Players!$A$2:$D$132,3),"")</f>
        <v/>
      </c>
      <c r="H726" s="225"/>
      <c r="I726" s="225"/>
      <c r="J726" s="168" t="str">
        <f>IF(VLOOKUP($D719&amp;RIGHT($A726,1),Players!$A$2:$D$132,3)&lt;&gt;0,"("&amp;VLOOKUP($D719&amp;RIGHT($A726,1),Players!$A$2:$D$132,4)&amp;")","")</f>
        <v/>
      </c>
    </row>
    <row r="727" spans="1:10" ht="25.5" customHeight="1" x14ac:dyDescent="0.4">
      <c r="A727" s="37" t="str">
        <f>CONCATENATE($I719,"2")</f>
        <v>G2</v>
      </c>
      <c r="B727" s="222" t="str">
        <f>IF(VLOOKUP($A727,Players!$A$2:$C$132,3)&lt;&gt;0,VLOOKUP($A727,Players!$A$2:$C$132,3),"")</f>
        <v/>
      </c>
      <c r="C727" s="222"/>
      <c r="D727" s="222"/>
      <c r="E727" s="222"/>
      <c r="F727" s="222"/>
      <c r="G727" s="225" t="str">
        <f>IF(VLOOKUP($D719&amp;RIGHT($A727,1),Players!$A$2:$D$132,3)&lt;&gt;0,VLOOKUP($D719&amp;RIGHT($A727,1),Players!$A$2:$D$132,3),"")</f>
        <v/>
      </c>
      <c r="H727" s="225"/>
      <c r="I727" s="225"/>
      <c r="J727" s="168" t="str">
        <f>IF(VLOOKUP($D719&amp;RIGHT($A727,1),Players!$A$2:$D$132,3)&lt;&gt;0,"("&amp;VLOOKUP($D719&amp;RIGHT($A727,1),Players!$A$2:$D$132,4)&amp;")","")</f>
        <v/>
      </c>
    </row>
    <row r="728" spans="1:10" ht="25.5" customHeight="1" x14ac:dyDescent="0.4">
      <c r="A728" s="37" t="str">
        <f>CONCATENATE($I719,"3")</f>
        <v>G3</v>
      </c>
      <c r="B728" s="222" t="str">
        <f>IF(VLOOKUP($A728,Players!$A$2:$C$132,3)&lt;&gt;0,VLOOKUP($A728,Players!$A$2:$C$132,3),"")</f>
        <v/>
      </c>
      <c r="C728" s="222"/>
      <c r="D728" s="222"/>
      <c r="E728" s="222"/>
      <c r="F728" s="222"/>
      <c r="G728" s="225" t="str">
        <f>IF(VLOOKUP($D719&amp;RIGHT($A728,1),Players!$A$2:$D$132,3)&lt;&gt;0,VLOOKUP($D719&amp;RIGHT($A728,1),Players!$A$2:$D$132,3),"")</f>
        <v/>
      </c>
      <c r="H728" s="225"/>
      <c r="I728" s="225"/>
      <c r="J728" s="168" t="str">
        <f>IF(VLOOKUP($D719&amp;RIGHT($A728,1),Players!$A$2:$D$132,3)&lt;&gt;0,"("&amp;VLOOKUP($D719&amp;RIGHT($A728,1),Players!$A$2:$D$132,4)&amp;")","")</f>
        <v/>
      </c>
    </row>
    <row r="729" spans="1:10" ht="25.5" customHeight="1" x14ac:dyDescent="0.4">
      <c r="A729" s="37" t="str">
        <f>CONCATENATE($I719,"4")</f>
        <v>G4</v>
      </c>
      <c r="B729" s="222" t="str">
        <f>IF(VLOOKUP($A729,Players!$A$2:$C$132,3)&lt;&gt;0,VLOOKUP($A729,Players!$A$2:$C$132,3),"")</f>
        <v/>
      </c>
      <c r="C729" s="222"/>
      <c r="D729" s="222"/>
      <c r="E729" s="222"/>
      <c r="F729" s="222"/>
      <c r="G729" s="225" t="str">
        <f>IF(VLOOKUP($D719&amp;RIGHT($A729,1),Players!$A$2:$D$132,3)&lt;&gt;0,VLOOKUP($D719&amp;RIGHT($A729,1),Players!$A$2:$D$132,3),"")</f>
        <v/>
      </c>
      <c r="H729" s="225"/>
      <c r="I729" s="225"/>
      <c r="J729" s="168" t="str">
        <f>IF(VLOOKUP($D719&amp;RIGHT($A729,1),Players!$A$2:$D$132,3)&lt;&gt;0,"("&amp;VLOOKUP($D719&amp;RIGHT($A729,1),Players!$A$2:$D$132,4)&amp;")","")</f>
        <v/>
      </c>
    </row>
    <row r="730" spans="1:10" ht="25.5" customHeight="1" x14ac:dyDescent="0.4">
      <c r="A730" s="37" t="str">
        <f>CONCATENATE($I719,"5")</f>
        <v>G5</v>
      </c>
      <c r="B730" s="222" t="str">
        <f>IF(VLOOKUP($A730,Players!$A$2:$C$132,3)&lt;&gt;0,VLOOKUP($A730,Players!$A$2:$C$132,3),"")</f>
        <v/>
      </c>
      <c r="C730" s="222"/>
      <c r="D730" s="222"/>
      <c r="E730" s="222"/>
      <c r="F730" s="222"/>
      <c r="G730" s="225" t="str">
        <f>IF(VLOOKUP($D719&amp;RIGHT($A730,1),Players!$A$2:$D$132,3)&lt;&gt;0,VLOOKUP($D719&amp;RIGHT($A730,1),Players!$A$2:$D$132,3),"")</f>
        <v/>
      </c>
      <c r="H730" s="225"/>
      <c r="I730" s="225"/>
      <c r="J730" s="168" t="str">
        <f>IF(VLOOKUP($D719&amp;RIGHT($A730,1),Players!$A$2:$D$132,3)&lt;&gt;0,"("&amp;VLOOKUP($D719&amp;RIGHT($A730,1),Players!$A$2:$D$132,4)&amp;")","")</f>
        <v/>
      </c>
    </row>
    <row r="731" spans="1:10" ht="25.5" customHeight="1" x14ac:dyDescent="0.4">
      <c r="A731" s="37" t="str">
        <f>CONCATENATE($I719,"6")</f>
        <v>G6</v>
      </c>
      <c r="B731" s="222" t="str">
        <f>IF(VLOOKUP($A731,Players!$A$2:$C$132,3)&lt;&gt;0,VLOOKUP($A731,Players!$A$2:$C$132,3),"")</f>
        <v/>
      </c>
      <c r="C731" s="222"/>
      <c r="D731" s="222"/>
      <c r="E731" s="222"/>
      <c r="F731" s="222"/>
      <c r="G731" s="225" t="str">
        <f>IF(VLOOKUP($D719&amp;RIGHT($A731,1),Players!$A$2:$D$132,3)&lt;&gt;0,VLOOKUP($D719&amp;RIGHT($A731,1),Players!$A$2:$D$132,3),"")</f>
        <v/>
      </c>
      <c r="H731" s="225"/>
      <c r="I731" s="225"/>
      <c r="J731" s="168" t="str">
        <f>IF(VLOOKUP($D719&amp;RIGHT($A731,1),Players!$A$2:$D$132,3)&lt;&gt;0,"("&amp;VLOOKUP($D719&amp;RIGHT($A731,1),Players!$A$2:$D$132,4)&amp;")","")</f>
        <v/>
      </c>
    </row>
    <row r="732" spans="1:10" ht="25.5" customHeight="1" x14ac:dyDescent="0.4">
      <c r="A732" s="37" t="str">
        <f>CONCATENATE($I719,"7")</f>
        <v>G7</v>
      </c>
      <c r="B732" s="222" t="str">
        <f>IF(VLOOKUP($A732,Players!$A$2:$C$132,3)&lt;&gt;0,VLOOKUP($A732,Players!$A$2:$C$132,3),"")</f>
        <v/>
      </c>
      <c r="C732" s="222"/>
      <c r="D732" s="222"/>
      <c r="E732" s="222"/>
      <c r="F732" s="222"/>
      <c r="G732" s="225" t="str">
        <f>IF(VLOOKUP($D719&amp;RIGHT($A732,1),Players!$A$2:$D$132,3)&lt;&gt;0,VLOOKUP($D719&amp;RIGHT($A732,1),Players!$A$2:$D$132,3),"")</f>
        <v/>
      </c>
      <c r="H732" s="225"/>
      <c r="I732" s="225"/>
      <c r="J732" s="168" t="str">
        <f>IF(VLOOKUP($D719&amp;RIGHT($A732,1),Players!$A$2:$D$132,3)&lt;&gt;0,"("&amp;VLOOKUP($D719&amp;RIGHT($A732,1),Players!$A$2:$D$132,4)&amp;")","")</f>
        <v/>
      </c>
    </row>
    <row r="733" spans="1:10" ht="25.5" customHeight="1" x14ac:dyDescent="0.4">
      <c r="A733" s="37" t="str">
        <f>CONCATENATE($I719,"8")</f>
        <v>G8</v>
      </c>
      <c r="B733" s="222" t="str">
        <f>IF(VLOOKUP($A733,Players!$A$2:$C$132,3)&lt;&gt;0,VLOOKUP($A733,Players!$A$2:$C$132,3),"")</f>
        <v/>
      </c>
      <c r="C733" s="222"/>
      <c r="D733" s="222"/>
      <c r="E733" s="222"/>
      <c r="F733" s="222"/>
      <c r="G733" s="225" t="str">
        <f>IF(VLOOKUP($D719&amp;RIGHT($A733,1),Players!$A$2:$D$132,3)&lt;&gt;0,VLOOKUP($D719&amp;RIGHT($A733,1),Players!$A$2:$D$132,3),"")</f>
        <v/>
      </c>
      <c r="H733" s="225"/>
      <c r="I733" s="225"/>
      <c r="J733" s="168" t="str">
        <f>IF(VLOOKUP($D719&amp;RIGHT($A733,1),Players!$A$2:$D$132,3)&lt;&gt;0,"("&amp;VLOOKUP($D719&amp;RIGHT($A733,1),Players!$A$2:$D$132,4)&amp;")","")</f>
        <v/>
      </c>
    </row>
    <row r="734" spans="1:10" ht="25.5" customHeight="1" x14ac:dyDescent="0.25">
      <c r="A734" s="37"/>
      <c r="B734" s="7"/>
      <c r="C734" s="7"/>
      <c r="D734" s="7"/>
      <c r="E734" s="7"/>
    </row>
    <row r="735" spans="1:10" x14ac:dyDescent="0.25">
      <c r="A735" s="9" t="s">
        <v>157</v>
      </c>
    </row>
    <row r="736" spans="1:10" x14ac:dyDescent="0.25">
      <c r="A736" t="s">
        <v>179</v>
      </c>
    </row>
    <row r="737" spans="1:10" x14ac:dyDescent="0.25">
      <c r="A737" s="55" t="s">
        <v>918</v>
      </c>
    </row>
    <row r="738" spans="1:10" x14ac:dyDescent="0.25">
      <c r="A738" t="s">
        <v>919</v>
      </c>
    </row>
    <row r="739" spans="1:10" ht="25.5" customHeight="1" thickBot="1" x14ac:dyDescent="0.3">
      <c r="A739" s="37"/>
    </row>
    <row r="740" spans="1:10" x14ac:dyDescent="0.25">
      <c r="B740" s="213"/>
      <c r="C740" s="214"/>
      <c r="D740" s="214"/>
      <c r="E740" s="214"/>
      <c r="F740" s="215"/>
    </row>
    <row r="741" spans="1:10" ht="13.8" thickBot="1" x14ac:dyDescent="0.3">
      <c r="B741" s="216"/>
      <c r="C741" s="217"/>
      <c r="D741" s="217"/>
      <c r="E741" s="217"/>
      <c r="F741" s="218"/>
    </row>
    <row r="745" spans="1:10" ht="25.5" customHeight="1" x14ac:dyDescent="0.25">
      <c r="A745" s="36"/>
      <c r="B745" s="36"/>
      <c r="C745" s="36"/>
      <c r="D745" s="36"/>
      <c r="E745" s="36"/>
      <c r="G745" s="38"/>
      <c r="H745" s="227" t="s">
        <v>159</v>
      </c>
      <c r="I745" s="228"/>
    </row>
    <row r="746" spans="1:10" x14ac:dyDescent="0.25">
      <c r="A746" t="s">
        <v>158</v>
      </c>
    </row>
    <row r="748" spans="1:10" x14ac:dyDescent="0.25">
      <c r="E748" s="219" t="str">
        <f>CONCATENATE("(",$D719," vs ",$I719,")")</f>
        <v>(D vs G)</v>
      </c>
      <c r="F748" s="219"/>
    </row>
    <row r="749" spans="1:10" ht="15.6" x14ac:dyDescent="0.3">
      <c r="A749" s="33" t="s">
        <v>155</v>
      </c>
      <c r="J749" s="82" t="s">
        <v>493</v>
      </c>
    </row>
    <row r="750" spans="1:10" ht="12.75" customHeight="1" x14ac:dyDescent="0.3">
      <c r="A750" s="33"/>
      <c r="G750" t="str">
        <f ca="1">Team_Matches!$J$6</f>
        <v>[NCTTA Teams Template (v3.4).xlsx]</v>
      </c>
      <c r="J750" s="55"/>
    </row>
    <row r="751" spans="1:10" ht="12.75" customHeight="1" x14ac:dyDescent="0.3">
      <c r="A751" s="33"/>
      <c r="G751" s="229" t="str">
        <f>Team_Matches!$J568</f>
        <v>Round 2, Match 6</v>
      </c>
      <c r="H751" s="229"/>
      <c r="I751" s="127" t="str">
        <f>Team_Matches!$M568</f>
        <v/>
      </c>
      <c r="J751" s="127"/>
    </row>
    <row r="752" spans="1:10" ht="15.6" x14ac:dyDescent="0.3">
      <c r="A752" s="33"/>
    </row>
    <row r="753" spans="1:10" x14ac:dyDescent="0.25">
      <c r="C753" s="7" t="s">
        <v>160</v>
      </c>
      <c r="D753" s="3" t="str">
        <f>Team_Matches!$B570</f>
        <v>E</v>
      </c>
      <c r="F753" s="83" t="str">
        <f>CONCATENATE($D753,"-",$I753)</f>
        <v>E-F</v>
      </c>
      <c r="H753" s="7" t="s">
        <v>160</v>
      </c>
      <c r="I753" s="39" t="str">
        <f>Team_Matches!$K570</f>
        <v>F</v>
      </c>
    </row>
    <row r="754" spans="1:10" ht="25.5" customHeight="1" x14ac:dyDescent="0.25">
      <c r="A754" s="34"/>
      <c r="B754" s="220" t="str">
        <f>IF(VLOOKUP($D753,Draw!$A$4:$B$27,2)&lt;&gt;0,VLOOKUP($D753,Draw!$A$4:$B$27,2),"")</f>
        <v/>
      </c>
      <c r="C754" s="220"/>
      <c r="D754" s="220"/>
      <c r="E754" s="221"/>
      <c r="F754" s="35"/>
      <c r="G754" s="223" t="str">
        <f>IF(VLOOKUP($I753,Draw!$A$4:$B$27,2)&lt;&gt;0,VLOOKUP($I753,Draw!$A$4:$B$27,2),"")</f>
        <v/>
      </c>
      <c r="H754" s="223"/>
      <c r="I754" s="223"/>
      <c r="J754" s="224"/>
    </row>
    <row r="755" spans="1:10" ht="25.5" customHeight="1" x14ac:dyDescent="0.25"/>
    <row r="756" spans="1:10" ht="25.5" customHeight="1" x14ac:dyDescent="0.25"/>
    <row r="757" spans="1:10" ht="24" customHeight="1" x14ac:dyDescent="0.25">
      <c r="A757" s="9" t="s">
        <v>178</v>
      </c>
    </row>
    <row r="758" spans="1:10" ht="24" customHeight="1" x14ac:dyDescent="0.25">
      <c r="A758" s="9"/>
    </row>
    <row r="759" spans="1:10" x14ac:dyDescent="0.25">
      <c r="A759" s="9" t="s">
        <v>156</v>
      </c>
      <c r="G759" s="226" t="s">
        <v>873</v>
      </c>
      <c r="H759" s="226"/>
      <c r="I759" s="226"/>
      <c r="J759" s="226"/>
    </row>
    <row r="760" spans="1:10" ht="24" customHeight="1" x14ac:dyDescent="0.4">
      <c r="A760" s="37" t="str">
        <f>CONCATENATE($D753,"1")</f>
        <v>E1</v>
      </c>
      <c r="B760" s="222" t="str">
        <f>IF(VLOOKUP($A760,Players!$A$2:$C$132,3)&lt;&gt;0,VLOOKUP($A760,Players!$A$2:$C$132,3),"")</f>
        <v/>
      </c>
      <c r="C760" s="222"/>
      <c r="D760" s="222"/>
      <c r="E760" s="222"/>
      <c r="F760" s="222"/>
      <c r="G760" s="225" t="str">
        <f>IF(VLOOKUP($I753&amp;RIGHT($A760,1),Players!$A$2:$D$132,3)&lt;&gt;0,VLOOKUP($I753&amp;RIGHT($A760,1),Players!$A$2:$D$132,3),"")</f>
        <v/>
      </c>
      <c r="H760" s="225"/>
      <c r="I760" s="225"/>
      <c r="J760" s="168" t="str">
        <f>IF(VLOOKUP($I753&amp;RIGHT($A760,1),Players!$A$2:$D$132,3)&lt;&gt;0,"("&amp;VLOOKUP($I753&amp;RIGHT($A760,1),Players!$A$2:$D$132,4)&amp;")","")</f>
        <v/>
      </c>
    </row>
    <row r="761" spans="1:10" ht="25.5" customHeight="1" x14ac:dyDescent="0.4">
      <c r="A761" s="37" t="str">
        <f>CONCATENATE($D753,"2")</f>
        <v>E2</v>
      </c>
      <c r="B761" s="222" t="str">
        <f>IF(VLOOKUP($A761,Players!$A$2:$C$132,3)&lt;&gt;0,VLOOKUP($A761,Players!$A$2:$C$132,3),"")</f>
        <v/>
      </c>
      <c r="C761" s="222"/>
      <c r="D761" s="222"/>
      <c r="E761" s="222"/>
      <c r="F761" s="222"/>
      <c r="G761" s="225" t="str">
        <f>IF(VLOOKUP($I753&amp;RIGHT($A761,1),Players!$A$2:$D$132,3)&lt;&gt;0,VLOOKUP($I753&amp;RIGHT($A761,1),Players!$A$2:$D$132,3),"")</f>
        <v/>
      </c>
      <c r="H761" s="225"/>
      <c r="I761" s="225"/>
      <c r="J761" s="168" t="str">
        <f>IF(VLOOKUP($I753&amp;RIGHT($A761,1),Players!$A$2:$D$132,3)&lt;&gt;0,"("&amp;VLOOKUP($I753&amp;RIGHT($A761,1),Players!$A$2:$D$132,4)&amp;")","")</f>
        <v/>
      </c>
    </row>
    <row r="762" spans="1:10" ht="25.5" customHeight="1" x14ac:dyDescent="0.4">
      <c r="A762" s="37" t="str">
        <f>CONCATENATE($D753,"3")</f>
        <v>E3</v>
      </c>
      <c r="B762" s="222" t="str">
        <f>IF(VLOOKUP($A762,Players!$A$2:$C$132,3)&lt;&gt;0,VLOOKUP($A762,Players!$A$2:$C$132,3),"")</f>
        <v/>
      </c>
      <c r="C762" s="222"/>
      <c r="D762" s="222"/>
      <c r="E762" s="222"/>
      <c r="F762" s="222"/>
      <c r="G762" s="225" t="str">
        <f>IF(VLOOKUP($I753&amp;RIGHT($A762,1),Players!$A$2:$D$132,3)&lt;&gt;0,VLOOKUP($I753&amp;RIGHT($A762,1),Players!$A$2:$D$132,3),"")</f>
        <v/>
      </c>
      <c r="H762" s="225"/>
      <c r="I762" s="225"/>
      <c r="J762" s="168" t="str">
        <f>IF(VLOOKUP($I753&amp;RIGHT($A762,1),Players!$A$2:$D$132,3)&lt;&gt;0,"("&amp;VLOOKUP($I753&amp;RIGHT($A762,1),Players!$A$2:$D$132,4)&amp;")","")</f>
        <v/>
      </c>
    </row>
    <row r="763" spans="1:10" ht="25.5" customHeight="1" x14ac:dyDescent="0.4">
      <c r="A763" s="37" t="str">
        <f>CONCATENATE($D753,"4")</f>
        <v>E4</v>
      </c>
      <c r="B763" s="222" t="str">
        <f>IF(VLOOKUP($A763,Players!$A$2:$C$132,3)&lt;&gt;0,VLOOKUP($A763,Players!$A$2:$C$132,3),"")</f>
        <v/>
      </c>
      <c r="C763" s="222"/>
      <c r="D763" s="222"/>
      <c r="E763" s="222"/>
      <c r="F763" s="222"/>
      <c r="G763" s="225" t="str">
        <f>IF(VLOOKUP($I753&amp;RIGHT($A763,1),Players!$A$2:$D$132,3)&lt;&gt;0,VLOOKUP($I753&amp;RIGHT($A763,1),Players!$A$2:$D$132,3),"")</f>
        <v/>
      </c>
      <c r="H763" s="225"/>
      <c r="I763" s="225"/>
      <c r="J763" s="168" t="str">
        <f>IF(VLOOKUP($I753&amp;RIGHT($A763,1),Players!$A$2:$D$132,3)&lt;&gt;0,"("&amp;VLOOKUP($I753&amp;RIGHT($A763,1),Players!$A$2:$D$132,4)&amp;")","")</f>
        <v/>
      </c>
    </row>
    <row r="764" spans="1:10" ht="25.5" customHeight="1" x14ac:dyDescent="0.4">
      <c r="A764" s="37" t="str">
        <f>CONCATENATE($D753,"5")</f>
        <v>E5</v>
      </c>
      <c r="B764" s="222" t="str">
        <f>IF(VLOOKUP($A764,Players!$A$2:$C$132,3)&lt;&gt;0,VLOOKUP($A764,Players!$A$2:$C$132,3),"")</f>
        <v/>
      </c>
      <c r="C764" s="222"/>
      <c r="D764" s="222"/>
      <c r="E764" s="222"/>
      <c r="F764" s="222"/>
      <c r="G764" s="225" t="str">
        <f>IF(VLOOKUP($I753&amp;RIGHT($A764,1),Players!$A$2:$D$132,3)&lt;&gt;0,VLOOKUP($I753&amp;RIGHT($A764,1),Players!$A$2:$D$132,3),"")</f>
        <v/>
      </c>
      <c r="H764" s="225"/>
      <c r="I764" s="225"/>
      <c r="J764" s="168" t="str">
        <f>IF(VLOOKUP($I753&amp;RIGHT($A764,1),Players!$A$2:$D$132,3)&lt;&gt;0,"("&amp;VLOOKUP($I753&amp;RIGHT($A764,1),Players!$A$2:$D$132,4)&amp;")","")</f>
        <v/>
      </c>
    </row>
    <row r="765" spans="1:10" ht="25.5" customHeight="1" x14ac:dyDescent="0.4">
      <c r="A765" s="37" t="str">
        <f>CONCATENATE($D753,"6")</f>
        <v>E6</v>
      </c>
      <c r="B765" s="222" t="str">
        <f>IF(VLOOKUP($A765,Players!$A$2:$C$132,3)&lt;&gt;0,VLOOKUP($A765,Players!$A$2:$C$132,3),"")</f>
        <v/>
      </c>
      <c r="C765" s="222"/>
      <c r="D765" s="222"/>
      <c r="E765" s="222"/>
      <c r="F765" s="222"/>
      <c r="G765" s="225" t="str">
        <f>IF(VLOOKUP($I753&amp;RIGHT($A765,1),Players!$A$2:$D$132,3)&lt;&gt;0,VLOOKUP($I753&amp;RIGHT($A765,1),Players!$A$2:$D$132,3),"")</f>
        <v/>
      </c>
      <c r="H765" s="225"/>
      <c r="I765" s="225"/>
      <c r="J765" s="168" t="str">
        <f>IF(VLOOKUP($I753&amp;RIGHT($A765,1),Players!$A$2:$D$132,3)&lt;&gt;0,"("&amp;VLOOKUP($I753&amp;RIGHT($A765,1),Players!$A$2:$D$132,4)&amp;")","")</f>
        <v/>
      </c>
    </row>
    <row r="766" spans="1:10" ht="25.5" customHeight="1" x14ac:dyDescent="0.4">
      <c r="A766" s="37" t="str">
        <f>CONCATENATE($D753,"7")</f>
        <v>E7</v>
      </c>
      <c r="B766" s="222" t="str">
        <f>IF(VLOOKUP($A766,Players!$A$2:$C$132,3)&lt;&gt;0,VLOOKUP($A766,Players!$A$2:$C$132,3),"")</f>
        <v/>
      </c>
      <c r="C766" s="222"/>
      <c r="D766" s="222"/>
      <c r="E766" s="222"/>
      <c r="F766" s="222"/>
      <c r="G766" s="225" t="str">
        <f>IF(VLOOKUP($I753&amp;RIGHT($A766,1),Players!$A$2:$D$132,3)&lt;&gt;0,VLOOKUP($I753&amp;RIGHT($A766,1),Players!$A$2:$D$132,3),"")</f>
        <v/>
      </c>
      <c r="H766" s="225"/>
      <c r="I766" s="225"/>
      <c r="J766" s="168" t="str">
        <f>IF(VLOOKUP($I753&amp;RIGHT($A766,1),Players!$A$2:$D$132,3)&lt;&gt;0,"("&amp;VLOOKUP($I753&amp;RIGHT($A766,1),Players!$A$2:$D$132,4)&amp;")","")</f>
        <v/>
      </c>
    </row>
    <row r="767" spans="1:10" ht="25.5" customHeight="1" x14ac:dyDescent="0.4">
      <c r="A767" s="37" t="str">
        <f>CONCATENATE($D753,"8")</f>
        <v>E8</v>
      </c>
      <c r="B767" s="222" t="str">
        <f>IF(VLOOKUP($A767,Players!$A$2:$C$132,3)&lt;&gt;0,VLOOKUP($A767,Players!$A$2:$C$132,3),"")</f>
        <v/>
      </c>
      <c r="C767" s="222"/>
      <c r="D767" s="222"/>
      <c r="E767" s="222"/>
      <c r="F767" s="222"/>
      <c r="G767" s="225" t="str">
        <f>IF(VLOOKUP($I753&amp;RIGHT($A767,1),Players!$A$2:$D$132,3)&lt;&gt;0,VLOOKUP($I753&amp;RIGHT($A767,1),Players!$A$2:$D$132,3),"")</f>
        <v/>
      </c>
      <c r="H767" s="225"/>
      <c r="I767" s="225"/>
      <c r="J767" s="168" t="str">
        <f>IF(VLOOKUP($I753&amp;RIGHT($A767,1),Players!$A$2:$D$132,3)&lt;&gt;0,"("&amp;VLOOKUP($I753&amp;RIGHT($A767,1),Players!$A$2:$D$132,4)&amp;")","")</f>
        <v/>
      </c>
    </row>
    <row r="768" spans="1:10" ht="25.5" customHeight="1" x14ac:dyDescent="0.25">
      <c r="A768" s="37"/>
      <c r="B768" s="7"/>
      <c r="C768" s="7"/>
      <c r="D768" s="7"/>
      <c r="E768" s="7"/>
    </row>
    <row r="769" spans="1:10" x14ac:dyDescent="0.25">
      <c r="A769" s="9" t="s">
        <v>157</v>
      </c>
    </row>
    <row r="770" spans="1:10" x14ac:dyDescent="0.25">
      <c r="A770" t="s">
        <v>179</v>
      </c>
    </row>
    <row r="771" spans="1:10" x14ac:dyDescent="0.25">
      <c r="A771" s="55" t="s">
        <v>918</v>
      </c>
    </row>
    <row r="772" spans="1:10" x14ac:dyDescent="0.25">
      <c r="A772" t="s">
        <v>919</v>
      </c>
    </row>
    <row r="773" spans="1:10" ht="25.5" customHeight="1" thickBot="1" x14ac:dyDescent="0.3">
      <c r="A773" s="37"/>
    </row>
    <row r="774" spans="1:10" x14ac:dyDescent="0.25">
      <c r="B774" s="213"/>
      <c r="C774" s="214"/>
      <c r="D774" s="214"/>
      <c r="E774" s="214"/>
      <c r="F774" s="215"/>
    </row>
    <row r="775" spans="1:10" ht="13.8" thickBot="1" x14ac:dyDescent="0.3">
      <c r="B775" s="216"/>
      <c r="C775" s="217"/>
      <c r="D775" s="217"/>
      <c r="E775" s="217"/>
      <c r="F775" s="218"/>
    </row>
    <row r="779" spans="1:10" ht="25.5" customHeight="1" x14ac:dyDescent="0.25">
      <c r="A779" s="36"/>
      <c r="B779" s="36"/>
      <c r="C779" s="36"/>
      <c r="D779" s="36"/>
      <c r="E779" s="36"/>
      <c r="G779" s="38"/>
      <c r="H779" s="227" t="s">
        <v>159</v>
      </c>
      <c r="I779" s="228"/>
    </row>
    <row r="780" spans="1:10" x14ac:dyDescent="0.25">
      <c r="A780" t="s">
        <v>158</v>
      </c>
    </row>
    <row r="782" spans="1:10" x14ac:dyDescent="0.25">
      <c r="E782" s="219" t="str">
        <f>CONCATENATE("(",$D753," vs ",$I753,")")</f>
        <v>(E vs F)</v>
      </c>
      <c r="F782" s="219"/>
    </row>
    <row r="783" spans="1:10" ht="15.6" x14ac:dyDescent="0.3">
      <c r="A783" s="33" t="s">
        <v>155</v>
      </c>
      <c r="J783" s="82" t="s">
        <v>494</v>
      </c>
    </row>
    <row r="784" spans="1:10" ht="12.75" customHeight="1" x14ac:dyDescent="0.3">
      <c r="A784" s="33"/>
      <c r="G784" t="str">
        <f ca="1">Team_Matches!$J$6</f>
        <v>[NCTTA Teams Template (v3.4).xlsx]</v>
      </c>
      <c r="J784" s="55"/>
    </row>
    <row r="785" spans="1:10" ht="12.75" customHeight="1" x14ac:dyDescent="0.3">
      <c r="A785" s="33"/>
      <c r="G785" s="229" t="str">
        <f>Team_Matches!$J568</f>
        <v>Round 2, Match 6</v>
      </c>
      <c r="H785" s="229"/>
      <c r="I785" s="127" t="str">
        <f>Team_Matches!$M568</f>
        <v/>
      </c>
      <c r="J785" s="127"/>
    </row>
    <row r="786" spans="1:10" ht="15.6" x14ac:dyDescent="0.3">
      <c r="A786" s="33"/>
    </row>
    <row r="787" spans="1:10" x14ac:dyDescent="0.25">
      <c r="C787" s="7" t="s">
        <v>160</v>
      </c>
      <c r="D787" s="3" t="str">
        <f>Team_Matches!$B570</f>
        <v>E</v>
      </c>
      <c r="F787" s="83" t="str">
        <f>CONCATENATE($D787,"-",$I787)</f>
        <v>E-F</v>
      </c>
      <c r="H787" s="7" t="s">
        <v>160</v>
      </c>
      <c r="I787" s="39" t="str">
        <f>Team_Matches!$K570</f>
        <v>F</v>
      </c>
    </row>
    <row r="788" spans="1:10" ht="25.5" customHeight="1" x14ac:dyDescent="0.25">
      <c r="A788" s="34"/>
      <c r="B788" s="223" t="str">
        <f>IF(VLOOKUP($D787,Draw!$A$4:$B$27,2)&lt;&gt;0,VLOOKUP($D787,Draw!$A$4:$B$27,2),"")</f>
        <v/>
      </c>
      <c r="C788" s="223"/>
      <c r="D788" s="223"/>
      <c r="E788" s="224"/>
      <c r="F788" s="35"/>
      <c r="G788" s="220" t="str">
        <f>IF(VLOOKUP($I787,Draw!$A$4:$B$27,2)&lt;&gt;0,VLOOKUP($I787,Draw!$A$4:$B$27,2),"")</f>
        <v/>
      </c>
      <c r="H788" s="220"/>
      <c r="I788" s="220"/>
      <c r="J788" s="221"/>
    </row>
    <row r="789" spans="1:10" ht="25.5" customHeight="1" x14ac:dyDescent="0.25"/>
    <row r="790" spans="1:10" ht="25.5" customHeight="1" x14ac:dyDescent="0.25"/>
    <row r="791" spans="1:10" ht="24" customHeight="1" x14ac:dyDescent="0.25">
      <c r="A791" s="9" t="s">
        <v>178</v>
      </c>
    </row>
    <row r="792" spans="1:10" ht="24" customHeight="1" x14ac:dyDescent="0.25">
      <c r="A792" s="9"/>
    </row>
    <row r="793" spans="1:10" x14ac:dyDescent="0.25">
      <c r="A793" s="9" t="s">
        <v>156</v>
      </c>
      <c r="G793" s="226" t="s">
        <v>873</v>
      </c>
      <c r="H793" s="226"/>
      <c r="I793" s="226"/>
      <c r="J793" s="226"/>
    </row>
    <row r="794" spans="1:10" ht="24" customHeight="1" x14ac:dyDescent="0.4">
      <c r="A794" s="37" t="str">
        <f>CONCATENATE($I787,"1")</f>
        <v>F1</v>
      </c>
      <c r="B794" s="222" t="str">
        <f>IF(VLOOKUP($A794,Players!$A$2:$C$132,3)&lt;&gt;0,VLOOKUP($A794,Players!$A$2:$C$132,3),"")</f>
        <v/>
      </c>
      <c r="C794" s="222"/>
      <c r="D794" s="222"/>
      <c r="E794" s="222"/>
      <c r="F794" s="222"/>
      <c r="G794" s="225" t="str">
        <f>IF(VLOOKUP($D787&amp;RIGHT($A794,1),Players!$A$2:$D$132,3)&lt;&gt;0,VLOOKUP($D787&amp;RIGHT($A794,1),Players!$A$2:$D$132,3),"")</f>
        <v/>
      </c>
      <c r="H794" s="225"/>
      <c r="I794" s="225"/>
      <c r="J794" s="168" t="str">
        <f>IF(VLOOKUP($D787&amp;RIGHT($A794,1),Players!$A$2:$D$132,3)&lt;&gt;0,"("&amp;VLOOKUP($D787&amp;RIGHT($A794,1),Players!$A$2:$D$132,4)&amp;")","")</f>
        <v/>
      </c>
    </row>
    <row r="795" spans="1:10" ht="25.5" customHeight="1" x14ac:dyDescent="0.4">
      <c r="A795" s="37" t="str">
        <f>CONCATENATE($I787,"2")</f>
        <v>F2</v>
      </c>
      <c r="B795" s="222" t="str">
        <f>IF(VLOOKUP($A795,Players!$A$2:$C$132,3)&lt;&gt;0,VLOOKUP($A795,Players!$A$2:$C$132,3),"")</f>
        <v/>
      </c>
      <c r="C795" s="222"/>
      <c r="D795" s="222"/>
      <c r="E795" s="222"/>
      <c r="F795" s="222"/>
      <c r="G795" s="225" t="str">
        <f>IF(VLOOKUP($D787&amp;RIGHT($A795,1),Players!$A$2:$D$132,3)&lt;&gt;0,VLOOKUP($D787&amp;RIGHT($A795,1),Players!$A$2:$D$132,3),"")</f>
        <v/>
      </c>
      <c r="H795" s="225"/>
      <c r="I795" s="225"/>
      <c r="J795" s="168" t="str">
        <f>IF(VLOOKUP($D787&amp;RIGHT($A795,1),Players!$A$2:$D$132,3)&lt;&gt;0,"("&amp;VLOOKUP($D787&amp;RIGHT($A795,1),Players!$A$2:$D$132,4)&amp;")","")</f>
        <v/>
      </c>
    </row>
    <row r="796" spans="1:10" ht="25.5" customHeight="1" x14ac:dyDescent="0.4">
      <c r="A796" s="37" t="str">
        <f>CONCATENATE($I787,"3")</f>
        <v>F3</v>
      </c>
      <c r="B796" s="222" t="str">
        <f>IF(VLOOKUP($A796,Players!$A$2:$C$132,3)&lt;&gt;0,VLOOKUP($A796,Players!$A$2:$C$132,3),"")</f>
        <v/>
      </c>
      <c r="C796" s="222"/>
      <c r="D796" s="222"/>
      <c r="E796" s="222"/>
      <c r="F796" s="222"/>
      <c r="G796" s="225" t="str">
        <f>IF(VLOOKUP($D787&amp;RIGHT($A796,1),Players!$A$2:$D$132,3)&lt;&gt;0,VLOOKUP($D787&amp;RIGHT($A796,1),Players!$A$2:$D$132,3),"")</f>
        <v/>
      </c>
      <c r="H796" s="225"/>
      <c r="I796" s="225"/>
      <c r="J796" s="168" t="str">
        <f>IF(VLOOKUP($D787&amp;RIGHT($A796,1),Players!$A$2:$D$132,3)&lt;&gt;0,"("&amp;VLOOKUP($D787&amp;RIGHT($A796,1),Players!$A$2:$D$132,4)&amp;")","")</f>
        <v/>
      </c>
    </row>
    <row r="797" spans="1:10" ht="25.5" customHeight="1" x14ac:dyDescent="0.4">
      <c r="A797" s="37" t="str">
        <f>CONCATENATE($I787,"4")</f>
        <v>F4</v>
      </c>
      <c r="B797" s="222" t="str">
        <f>IF(VLOOKUP($A797,Players!$A$2:$C$132,3)&lt;&gt;0,VLOOKUP($A797,Players!$A$2:$C$132,3),"")</f>
        <v/>
      </c>
      <c r="C797" s="222"/>
      <c r="D797" s="222"/>
      <c r="E797" s="222"/>
      <c r="F797" s="222"/>
      <c r="G797" s="225" t="str">
        <f>IF(VLOOKUP($D787&amp;RIGHT($A797,1),Players!$A$2:$D$132,3)&lt;&gt;0,VLOOKUP($D787&amp;RIGHT($A797,1),Players!$A$2:$D$132,3),"")</f>
        <v/>
      </c>
      <c r="H797" s="225"/>
      <c r="I797" s="225"/>
      <c r="J797" s="168" t="str">
        <f>IF(VLOOKUP($D787&amp;RIGHT($A797,1),Players!$A$2:$D$132,3)&lt;&gt;0,"("&amp;VLOOKUP($D787&amp;RIGHT($A797,1),Players!$A$2:$D$132,4)&amp;")","")</f>
        <v/>
      </c>
    </row>
    <row r="798" spans="1:10" ht="25.5" customHeight="1" x14ac:dyDescent="0.4">
      <c r="A798" s="37" t="str">
        <f>CONCATENATE($I787,"5")</f>
        <v>F5</v>
      </c>
      <c r="B798" s="222" t="str">
        <f>IF(VLOOKUP($A798,Players!$A$2:$C$132,3)&lt;&gt;0,VLOOKUP($A798,Players!$A$2:$C$132,3),"")</f>
        <v/>
      </c>
      <c r="C798" s="222"/>
      <c r="D798" s="222"/>
      <c r="E798" s="222"/>
      <c r="F798" s="222"/>
      <c r="G798" s="225" t="str">
        <f>IF(VLOOKUP($D787&amp;RIGHT($A798,1),Players!$A$2:$D$132,3)&lt;&gt;0,VLOOKUP($D787&amp;RIGHT($A798,1),Players!$A$2:$D$132,3),"")</f>
        <v/>
      </c>
      <c r="H798" s="225"/>
      <c r="I798" s="225"/>
      <c r="J798" s="168" t="str">
        <f>IF(VLOOKUP($D787&amp;RIGHT($A798,1),Players!$A$2:$D$132,3)&lt;&gt;0,"("&amp;VLOOKUP($D787&amp;RIGHT($A798,1),Players!$A$2:$D$132,4)&amp;")","")</f>
        <v/>
      </c>
    </row>
    <row r="799" spans="1:10" ht="25.5" customHeight="1" x14ac:dyDescent="0.4">
      <c r="A799" s="37" t="str">
        <f>CONCATENATE($I787,"6")</f>
        <v>F6</v>
      </c>
      <c r="B799" s="222" t="str">
        <f>IF(VLOOKUP($A799,Players!$A$2:$C$132,3)&lt;&gt;0,VLOOKUP($A799,Players!$A$2:$C$132,3),"")</f>
        <v/>
      </c>
      <c r="C799" s="222"/>
      <c r="D799" s="222"/>
      <c r="E799" s="222"/>
      <c r="F799" s="222"/>
      <c r="G799" s="225" t="str">
        <f>IF(VLOOKUP($D787&amp;RIGHT($A799,1),Players!$A$2:$D$132,3)&lt;&gt;0,VLOOKUP($D787&amp;RIGHT($A799,1),Players!$A$2:$D$132,3),"")</f>
        <v/>
      </c>
      <c r="H799" s="225"/>
      <c r="I799" s="225"/>
      <c r="J799" s="168" t="str">
        <f>IF(VLOOKUP($D787&amp;RIGHT($A799,1),Players!$A$2:$D$132,3)&lt;&gt;0,"("&amp;VLOOKUP($D787&amp;RIGHT($A799,1),Players!$A$2:$D$132,4)&amp;")","")</f>
        <v/>
      </c>
    </row>
    <row r="800" spans="1:10" ht="25.5" customHeight="1" x14ac:dyDescent="0.4">
      <c r="A800" s="37" t="str">
        <f>CONCATENATE($I787,"7")</f>
        <v>F7</v>
      </c>
      <c r="B800" s="222" t="str">
        <f>IF(VLOOKUP($A800,Players!$A$2:$C$132,3)&lt;&gt;0,VLOOKUP($A800,Players!$A$2:$C$132,3),"")</f>
        <v/>
      </c>
      <c r="C800" s="222"/>
      <c r="D800" s="222"/>
      <c r="E800" s="222"/>
      <c r="F800" s="222"/>
      <c r="G800" s="225" t="str">
        <f>IF(VLOOKUP($D787&amp;RIGHT($A800,1),Players!$A$2:$D$132,3)&lt;&gt;0,VLOOKUP($D787&amp;RIGHT($A800,1),Players!$A$2:$D$132,3),"")</f>
        <v/>
      </c>
      <c r="H800" s="225"/>
      <c r="I800" s="225"/>
      <c r="J800" s="168" t="str">
        <f>IF(VLOOKUP($D787&amp;RIGHT($A800,1),Players!$A$2:$D$132,3)&lt;&gt;0,"("&amp;VLOOKUP($D787&amp;RIGHT($A800,1),Players!$A$2:$D$132,4)&amp;")","")</f>
        <v/>
      </c>
    </row>
    <row r="801" spans="1:10" ht="25.5" customHeight="1" x14ac:dyDescent="0.4">
      <c r="A801" s="37" t="str">
        <f>CONCATENATE($I787,"8")</f>
        <v>F8</v>
      </c>
      <c r="B801" s="222" t="str">
        <f>IF(VLOOKUP($A801,Players!$A$2:$C$132,3)&lt;&gt;0,VLOOKUP($A801,Players!$A$2:$C$132,3),"")</f>
        <v/>
      </c>
      <c r="C801" s="222"/>
      <c r="D801" s="222"/>
      <c r="E801" s="222"/>
      <c r="F801" s="222"/>
      <c r="G801" s="225" t="str">
        <f>IF(VLOOKUP($D787&amp;RIGHT($A801,1),Players!$A$2:$D$132,3)&lt;&gt;0,VLOOKUP($D787&amp;RIGHT($A801,1),Players!$A$2:$D$132,3),"")</f>
        <v/>
      </c>
      <c r="H801" s="225"/>
      <c r="I801" s="225"/>
      <c r="J801" s="168" t="str">
        <f>IF(VLOOKUP($D787&amp;RIGHT($A801,1),Players!$A$2:$D$132,3)&lt;&gt;0,"("&amp;VLOOKUP($D787&amp;RIGHT($A801,1),Players!$A$2:$D$132,4)&amp;")","")</f>
        <v/>
      </c>
    </row>
    <row r="802" spans="1:10" ht="25.5" customHeight="1" x14ac:dyDescent="0.25">
      <c r="A802" s="37"/>
      <c r="B802" s="7"/>
      <c r="C802" s="7"/>
      <c r="D802" s="7"/>
      <c r="E802" s="7"/>
    </row>
    <row r="803" spans="1:10" x14ac:dyDescent="0.25">
      <c r="A803" s="9" t="s">
        <v>157</v>
      </c>
    </row>
    <row r="804" spans="1:10" x14ac:dyDescent="0.25">
      <c r="A804" t="s">
        <v>179</v>
      </c>
    </row>
    <row r="805" spans="1:10" x14ac:dyDescent="0.25">
      <c r="A805" s="55" t="s">
        <v>918</v>
      </c>
    </row>
    <row r="806" spans="1:10" x14ac:dyDescent="0.25">
      <c r="A806" t="s">
        <v>919</v>
      </c>
    </row>
    <row r="807" spans="1:10" ht="25.5" customHeight="1" thickBot="1" x14ac:dyDescent="0.3">
      <c r="A807" s="37"/>
    </row>
    <row r="808" spans="1:10" x14ac:dyDescent="0.25">
      <c r="B808" s="213"/>
      <c r="C808" s="214"/>
      <c r="D808" s="214"/>
      <c r="E808" s="214"/>
      <c r="F808" s="215"/>
    </row>
    <row r="809" spans="1:10" ht="13.8" thickBot="1" x14ac:dyDescent="0.3">
      <c r="B809" s="216"/>
      <c r="C809" s="217"/>
      <c r="D809" s="217"/>
      <c r="E809" s="217"/>
      <c r="F809" s="218"/>
    </row>
    <row r="813" spans="1:10" ht="25.5" customHeight="1" x14ac:dyDescent="0.25">
      <c r="A813" s="36"/>
      <c r="B813" s="36"/>
      <c r="C813" s="36"/>
      <c r="D813" s="36"/>
      <c r="E813" s="36"/>
      <c r="G813" s="38"/>
      <c r="H813" s="227" t="s">
        <v>159</v>
      </c>
      <c r="I813" s="228"/>
    </row>
    <row r="814" spans="1:10" x14ac:dyDescent="0.25">
      <c r="A814" t="s">
        <v>158</v>
      </c>
    </row>
    <row r="816" spans="1:10" x14ac:dyDescent="0.25">
      <c r="E816" s="219" t="str">
        <f>CONCATENATE("(",$D787," vs ",$I787,")")</f>
        <v>(E vs F)</v>
      </c>
      <c r="F816" s="219"/>
    </row>
    <row r="817" spans="1:10" ht="15.6" x14ac:dyDescent="0.3">
      <c r="A817" s="33" t="s">
        <v>155</v>
      </c>
      <c r="J817" s="82" t="s">
        <v>495</v>
      </c>
    </row>
    <row r="818" spans="1:10" ht="12.75" customHeight="1" x14ac:dyDescent="0.3">
      <c r="A818" s="33"/>
      <c r="G818" t="str">
        <f ca="1">Team_Matches!$J$6</f>
        <v>[NCTTA Teams Template (v3.4).xlsx]</v>
      </c>
      <c r="J818" s="55"/>
    </row>
    <row r="819" spans="1:10" ht="12.75" customHeight="1" x14ac:dyDescent="0.3">
      <c r="A819" s="33"/>
      <c r="G819" s="229" t="str">
        <f>Team_Matches!$J619</f>
        <v>Round 3, Match 1</v>
      </c>
      <c r="H819" s="229"/>
      <c r="I819" s="127" t="str">
        <f>Team_Matches!$M619</f>
        <v/>
      </c>
      <c r="J819" s="127"/>
    </row>
    <row r="820" spans="1:10" ht="15.6" x14ac:dyDescent="0.3">
      <c r="A820" s="33"/>
    </row>
    <row r="821" spans="1:10" x14ac:dyDescent="0.25">
      <c r="C821" s="7" t="s">
        <v>160</v>
      </c>
      <c r="D821" s="39" t="str">
        <f>Team_Matches!$B621</f>
        <v>A</v>
      </c>
      <c r="F821" s="83" t="str">
        <f>CONCATENATE($D821,"-",$I821)</f>
        <v>A-J</v>
      </c>
      <c r="H821" s="7" t="s">
        <v>160</v>
      </c>
      <c r="I821" s="39" t="str">
        <f>Team_Matches!$K621</f>
        <v>J</v>
      </c>
    </row>
    <row r="822" spans="1:10" ht="25.5" customHeight="1" x14ac:dyDescent="0.25">
      <c r="A822" s="34"/>
      <c r="B822" s="220" t="str">
        <f>IF(VLOOKUP($D821,Draw!$A$4:$B$27,2)&lt;&gt;0,VLOOKUP($D821,Draw!$A$4:$B$27,2),"")</f>
        <v/>
      </c>
      <c r="C822" s="220"/>
      <c r="D822" s="220"/>
      <c r="E822" s="221"/>
      <c r="F822" s="35"/>
      <c r="G822" s="223" t="str">
        <f>IF(VLOOKUP($I821,Draw!$A$4:$B$27,2)&lt;&gt;0,VLOOKUP($I821,Draw!$A$4:$B$27,2),"")</f>
        <v/>
      </c>
      <c r="H822" s="223"/>
      <c r="I822" s="223"/>
      <c r="J822" s="224"/>
    </row>
    <row r="823" spans="1:10" ht="25.5" customHeight="1" x14ac:dyDescent="0.25"/>
    <row r="824" spans="1:10" ht="25.5" customHeight="1" x14ac:dyDescent="0.25"/>
    <row r="825" spans="1:10" ht="24" customHeight="1" x14ac:dyDescent="0.25">
      <c r="A825" s="9" t="s">
        <v>178</v>
      </c>
    </row>
    <row r="826" spans="1:10" ht="24" customHeight="1" x14ac:dyDescent="0.25">
      <c r="A826" s="9"/>
    </row>
    <row r="827" spans="1:10" x14ac:dyDescent="0.25">
      <c r="A827" s="9" t="s">
        <v>156</v>
      </c>
      <c r="G827" s="226" t="s">
        <v>873</v>
      </c>
      <c r="H827" s="226"/>
      <c r="I827" s="226"/>
      <c r="J827" s="226"/>
    </row>
    <row r="828" spans="1:10" ht="24" customHeight="1" x14ac:dyDescent="0.4">
      <c r="A828" s="37" t="str">
        <f>CONCATENATE($D821,"1")</f>
        <v>A1</v>
      </c>
      <c r="B828" s="222" t="str">
        <f>IF(VLOOKUP($A828,Players!$A$2:$C$132,3)&lt;&gt;0,VLOOKUP($A828,Players!$A$2:$C$132,3),"")</f>
        <v/>
      </c>
      <c r="C828" s="222"/>
      <c r="D828" s="222"/>
      <c r="E828" s="222"/>
      <c r="F828" s="222"/>
      <c r="G828" s="225" t="str">
        <f>IF(VLOOKUP($I821&amp;RIGHT($A828,1),Players!$A$2:$D$132,3)&lt;&gt;0,VLOOKUP($I821&amp;RIGHT($A828,1),Players!$A$2:$D$132,3),"")</f>
        <v/>
      </c>
      <c r="H828" s="225"/>
      <c r="I828" s="225"/>
      <c r="J828" s="168" t="str">
        <f>IF(VLOOKUP($I821&amp;RIGHT($A828,1),Players!$A$2:$D$132,3)&lt;&gt;0,"("&amp;VLOOKUP($I821&amp;RIGHT($A828,1),Players!$A$2:$D$132,4)&amp;")","")</f>
        <v/>
      </c>
    </row>
    <row r="829" spans="1:10" ht="25.5" customHeight="1" x14ac:dyDescent="0.4">
      <c r="A829" s="37" t="str">
        <f>CONCATENATE($D821,"2")</f>
        <v>A2</v>
      </c>
      <c r="B829" s="222" t="str">
        <f>IF(VLOOKUP($A829,Players!$A$2:$C$132,3)&lt;&gt;0,VLOOKUP($A829,Players!$A$2:$C$132,3),"")</f>
        <v/>
      </c>
      <c r="C829" s="222"/>
      <c r="D829" s="222"/>
      <c r="E829" s="222"/>
      <c r="F829" s="222"/>
      <c r="G829" s="225" t="str">
        <f>IF(VLOOKUP($I821&amp;RIGHT($A829,1),Players!$A$2:$D$132,3)&lt;&gt;0,VLOOKUP($I821&amp;RIGHT($A829,1),Players!$A$2:$D$132,3),"")</f>
        <v/>
      </c>
      <c r="H829" s="225"/>
      <c r="I829" s="225"/>
      <c r="J829" s="168" t="str">
        <f>IF(VLOOKUP($I821&amp;RIGHT($A829,1),Players!$A$2:$D$132,3)&lt;&gt;0,"("&amp;VLOOKUP($I821&amp;RIGHT($A829,1),Players!$A$2:$D$132,4)&amp;")","")</f>
        <v/>
      </c>
    </row>
    <row r="830" spans="1:10" ht="25.5" customHeight="1" x14ac:dyDescent="0.4">
      <c r="A830" s="37" t="str">
        <f>CONCATENATE($D821,"3")</f>
        <v>A3</v>
      </c>
      <c r="B830" s="222" t="str">
        <f>IF(VLOOKUP($A830,Players!$A$2:$C$132,3)&lt;&gt;0,VLOOKUP($A830,Players!$A$2:$C$132,3),"")</f>
        <v/>
      </c>
      <c r="C830" s="222"/>
      <c r="D830" s="222"/>
      <c r="E830" s="222"/>
      <c r="F830" s="222"/>
      <c r="G830" s="225" t="str">
        <f>IF(VLOOKUP($I821&amp;RIGHT($A830,1),Players!$A$2:$D$132,3)&lt;&gt;0,VLOOKUP($I821&amp;RIGHT($A830,1),Players!$A$2:$D$132,3),"")</f>
        <v/>
      </c>
      <c r="H830" s="225"/>
      <c r="I830" s="225"/>
      <c r="J830" s="168" t="str">
        <f>IF(VLOOKUP($I821&amp;RIGHT($A830,1),Players!$A$2:$D$132,3)&lt;&gt;0,"("&amp;VLOOKUP($I821&amp;RIGHT($A830,1),Players!$A$2:$D$132,4)&amp;")","")</f>
        <v/>
      </c>
    </row>
    <row r="831" spans="1:10" ht="25.5" customHeight="1" x14ac:dyDescent="0.4">
      <c r="A831" s="37" t="str">
        <f>CONCATENATE($D821,"4")</f>
        <v>A4</v>
      </c>
      <c r="B831" s="222" t="str">
        <f>IF(VLOOKUP($A831,Players!$A$2:$C$132,3)&lt;&gt;0,VLOOKUP($A831,Players!$A$2:$C$132,3),"")</f>
        <v/>
      </c>
      <c r="C831" s="222"/>
      <c r="D831" s="222"/>
      <c r="E831" s="222"/>
      <c r="F831" s="222"/>
      <c r="G831" s="225" t="str">
        <f>IF(VLOOKUP($I821&amp;RIGHT($A831,1),Players!$A$2:$D$132,3)&lt;&gt;0,VLOOKUP($I821&amp;RIGHT($A831,1),Players!$A$2:$D$132,3),"")</f>
        <v/>
      </c>
      <c r="H831" s="225"/>
      <c r="I831" s="225"/>
      <c r="J831" s="168" t="str">
        <f>IF(VLOOKUP($I821&amp;RIGHT($A831,1),Players!$A$2:$D$132,3)&lt;&gt;0,"("&amp;VLOOKUP($I821&amp;RIGHT($A831,1),Players!$A$2:$D$132,4)&amp;")","")</f>
        <v/>
      </c>
    </row>
    <row r="832" spans="1:10" ht="25.5" customHeight="1" x14ac:dyDescent="0.4">
      <c r="A832" s="37" t="str">
        <f>CONCATENATE($D821,"5")</f>
        <v>A5</v>
      </c>
      <c r="B832" s="222" t="str">
        <f>IF(VLOOKUP($A832,Players!$A$2:$C$132,3)&lt;&gt;0,VLOOKUP($A832,Players!$A$2:$C$132,3),"")</f>
        <v/>
      </c>
      <c r="C832" s="222"/>
      <c r="D832" s="222"/>
      <c r="E832" s="222"/>
      <c r="F832" s="222"/>
      <c r="G832" s="225" t="str">
        <f>IF(VLOOKUP($I821&amp;RIGHT($A832,1),Players!$A$2:$D$132,3)&lt;&gt;0,VLOOKUP($I821&amp;RIGHT($A832,1),Players!$A$2:$D$132,3),"")</f>
        <v/>
      </c>
      <c r="H832" s="225"/>
      <c r="I832" s="225"/>
      <c r="J832" s="168" t="str">
        <f>IF(VLOOKUP($I821&amp;RIGHT($A832,1),Players!$A$2:$D$132,3)&lt;&gt;0,"("&amp;VLOOKUP($I821&amp;RIGHT($A832,1),Players!$A$2:$D$132,4)&amp;")","")</f>
        <v/>
      </c>
    </row>
    <row r="833" spans="1:10" ht="25.5" customHeight="1" x14ac:dyDescent="0.4">
      <c r="A833" s="37" t="str">
        <f>CONCATENATE($D821,"6")</f>
        <v>A6</v>
      </c>
      <c r="B833" s="222" t="str">
        <f>IF(VLOOKUP($A833,Players!$A$2:$C$132,3)&lt;&gt;0,VLOOKUP($A833,Players!$A$2:$C$132,3),"")</f>
        <v/>
      </c>
      <c r="C833" s="222"/>
      <c r="D833" s="222"/>
      <c r="E833" s="222"/>
      <c r="F833" s="222"/>
      <c r="G833" s="225" t="str">
        <f>IF(VLOOKUP($I821&amp;RIGHT($A833,1),Players!$A$2:$D$132,3)&lt;&gt;0,VLOOKUP($I821&amp;RIGHT($A833,1),Players!$A$2:$D$132,3),"")</f>
        <v/>
      </c>
      <c r="H833" s="225"/>
      <c r="I833" s="225"/>
      <c r="J833" s="168" t="str">
        <f>IF(VLOOKUP($I821&amp;RIGHT($A833,1),Players!$A$2:$D$132,3)&lt;&gt;0,"("&amp;VLOOKUP($I821&amp;RIGHT($A833,1),Players!$A$2:$D$132,4)&amp;")","")</f>
        <v/>
      </c>
    </row>
    <row r="834" spans="1:10" ht="25.5" customHeight="1" x14ac:dyDescent="0.4">
      <c r="A834" s="37" t="str">
        <f>CONCATENATE($D821,"7")</f>
        <v>A7</v>
      </c>
      <c r="B834" s="222" t="str">
        <f>IF(VLOOKUP($A834,Players!$A$2:$C$132,3)&lt;&gt;0,VLOOKUP($A834,Players!$A$2:$C$132,3),"")</f>
        <v/>
      </c>
      <c r="C834" s="222"/>
      <c r="D834" s="222"/>
      <c r="E834" s="222"/>
      <c r="F834" s="222"/>
      <c r="G834" s="225" t="str">
        <f>IF(VLOOKUP($I821&amp;RIGHT($A834,1),Players!$A$2:$D$132,3)&lt;&gt;0,VLOOKUP($I821&amp;RIGHT($A834,1),Players!$A$2:$D$132,3),"")</f>
        <v/>
      </c>
      <c r="H834" s="225"/>
      <c r="I834" s="225"/>
      <c r="J834" s="168" t="str">
        <f>IF(VLOOKUP($I821&amp;RIGHT($A834,1),Players!$A$2:$D$132,3)&lt;&gt;0,"("&amp;VLOOKUP($I821&amp;RIGHT($A834,1),Players!$A$2:$D$132,4)&amp;")","")</f>
        <v/>
      </c>
    </row>
    <row r="835" spans="1:10" ht="25.5" customHeight="1" x14ac:dyDescent="0.4">
      <c r="A835" s="37" t="str">
        <f>CONCATENATE($D821,"8")</f>
        <v>A8</v>
      </c>
      <c r="B835" s="222" t="str">
        <f>IF(VLOOKUP($A835,Players!$A$2:$C$132,3)&lt;&gt;0,VLOOKUP($A835,Players!$A$2:$C$132,3),"")</f>
        <v/>
      </c>
      <c r="C835" s="222"/>
      <c r="D835" s="222"/>
      <c r="E835" s="222"/>
      <c r="F835" s="222"/>
      <c r="G835" s="225" t="str">
        <f>IF(VLOOKUP($I821&amp;RIGHT($A835,1),Players!$A$2:$D$132,3)&lt;&gt;0,VLOOKUP($I821&amp;RIGHT($A835,1),Players!$A$2:$D$132,3),"")</f>
        <v/>
      </c>
      <c r="H835" s="225"/>
      <c r="I835" s="225"/>
      <c r="J835" s="168" t="str">
        <f>IF(VLOOKUP($I821&amp;RIGHT($A835,1),Players!$A$2:$D$132,3)&lt;&gt;0,"("&amp;VLOOKUP($I821&amp;RIGHT($A835,1),Players!$A$2:$D$132,4)&amp;")","")</f>
        <v/>
      </c>
    </row>
    <row r="836" spans="1:10" ht="25.5" customHeight="1" x14ac:dyDescent="0.25">
      <c r="A836" s="37"/>
      <c r="B836" s="7"/>
      <c r="C836" s="7"/>
      <c r="D836" s="7"/>
      <c r="E836" s="7"/>
    </row>
    <row r="837" spans="1:10" x14ac:dyDescent="0.25">
      <c r="A837" s="9" t="s">
        <v>157</v>
      </c>
    </row>
    <row r="838" spans="1:10" x14ac:dyDescent="0.25">
      <c r="A838" t="s">
        <v>179</v>
      </c>
    </row>
    <row r="839" spans="1:10" x14ac:dyDescent="0.25">
      <c r="A839" s="55" t="s">
        <v>918</v>
      </c>
    </row>
    <row r="840" spans="1:10" x14ac:dyDescent="0.25">
      <c r="A840" t="s">
        <v>919</v>
      </c>
    </row>
    <row r="841" spans="1:10" ht="25.5" customHeight="1" thickBot="1" x14ac:dyDescent="0.3">
      <c r="A841" s="37"/>
    </row>
    <row r="842" spans="1:10" x14ac:dyDescent="0.25">
      <c r="B842" s="213"/>
      <c r="C842" s="214"/>
      <c r="D842" s="214"/>
      <c r="E842" s="214"/>
      <c r="F842" s="215"/>
    </row>
    <row r="843" spans="1:10" ht="13.8" thickBot="1" x14ac:dyDescent="0.3">
      <c r="B843" s="216"/>
      <c r="C843" s="217"/>
      <c r="D843" s="217"/>
      <c r="E843" s="217"/>
      <c r="F843" s="218"/>
    </row>
    <row r="847" spans="1:10" ht="25.5" customHeight="1" x14ac:dyDescent="0.25">
      <c r="A847" s="36"/>
      <c r="B847" s="36"/>
      <c r="C847" s="36"/>
      <c r="D847" s="36"/>
      <c r="E847" s="36"/>
      <c r="G847" s="38"/>
      <c r="H847" s="227" t="s">
        <v>159</v>
      </c>
      <c r="I847" s="228"/>
    </row>
    <row r="848" spans="1:10" x14ac:dyDescent="0.25">
      <c r="A848" t="s">
        <v>158</v>
      </c>
    </row>
    <row r="850" spans="1:10" x14ac:dyDescent="0.25">
      <c r="E850" s="219" t="str">
        <f>CONCATENATE("(",$D821," vs ",$I821,")")</f>
        <v>(A vs J)</v>
      </c>
      <c r="F850" s="219"/>
    </row>
    <row r="851" spans="1:10" ht="15.6" x14ac:dyDescent="0.3">
      <c r="A851" s="33" t="s">
        <v>155</v>
      </c>
      <c r="J851" s="82" t="s">
        <v>496</v>
      </c>
    </row>
    <row r="852" spans="1:10" ht="12.75" customHeight="1" x14ac:dyDescent="0.3">
      <c r="A852" s="33"/>
      <c r="G852" t="str">
        <f ca="1">Team_Matches!$J$6</f>
        <v>[NCTTA Teams Template (v3.4).xlsx]</v>
      </c>
      <c r="J852" s="55"/>
    </row>
    <row r="853" spans="1:10" ht="12.75" customHeight="1" x14ac:dyDescent="0.3">
      <c r="A853" s="33"/>
      <c r="G853" s="229" t="str">
        <f>Team_Matches!$J619</f>
        <v>Round 3, Match 1</v>
      </c>
      <c r="H853" s="229"/>
      <c r="I853" s="127" t="str">
        <f>Team_Matches!$M619</f>
        <v/>
      </c>
      <c r="J853" s="127"/>
    </row>
    <row r="854" spans="1:10" ht="15.6" x14ac:dyDescent="0.3">
      <c r="A854" s="33"/>
    </row>
    <row r="855" spans="1:10" x14ac:dyDescent="0.25">
      <c r="C855" s="7" t="s">
        <v>160</v>
      </c>
      <c r="D855" s="39" t="str">
        <f>Team_Matches!$B621</f>
        <v>A</v>
      </c>
      <c r="F855" s="83" t="str">
        <f>CONCATENATE($D855,"-",$I855)</f>
        <v>A-J</v>
      </c>
      <c r="H855" s="7" t="s">
        <v>160</v>
      </c>
      <c r="I855" s="39" t="str">
        <f>Team_Matches!$K621</f>
        <v>J</v>
      </c>
    </row>
    <row r="856" spans="1:10" ht="25.5" customHeight="1" x14ac:dyDescent="0.25">
      <c r="A856" s="34"/>
      <c r="B856" s="223" t="str">
        <f>IF(VLOOKUP($D855,Draw!$A$4:$B$27,2)&lt;&gt;0,VLOOKUP($D855,Draw!$A$4:$B$27,2),"")</f>
        <v/>
      </c>
      <c r="C856" s="223"/>
      <c r="D856" s="223"/>
      <c r="E856" s="224"/>
      <c r="F856" s="35"/>
      <c r="G856" s="220" t="str">
        <f>IF(VLOOKUP($I855,Draw!$A$4:$B$27,2)&lt;&gt;0,VLOOKUP($I855,Draw!$A$4:$B$27,2),"")</f>
        <v/>
      </c>
      <c r="H856" s="220"/>
      <c r="I856" s="220"/>
      <c r="J856" s="221"/>
    </row>
    <row r="857" spans="1:10" ht="25.5" customHeight="1" x14ac:dyDescent="0.25"/>
    <row r="858" spans="1:10" ht="25.5" customHeight="1" x14ac:dyDescent="0.25"/>
    <row r="859" spans="1:10" ht="24" customHeight="1" x14ac:dyDescent="0.25">
      <c r="A859" s="9" t="s">
        <v>178</v>
      </c>
    </row>
    <row r="860" spans="1:10" ht="24" customHeight="1" x14ac:dyDescent="0.25">
      <c r="A860" s="9"/>
    </row>
    <row r="861" spans="1:10" x14ac:dyDescent="0.25">
      <c r="A861" s="9" t="s">
        <v>156</v>
      </c>
      <c r="G861" s="226" t="s">
        <v>873</v>
      </c>
      <c r="H861" s="226"/>
      <c r="I861" s="226"/>
      <c r="J861" s="226"/>
    </row>
    <row r="862" spans="1:10" ht="24" customHeight="1" x14ac:dyDescent="0.4">
      <c r="A862" s="37" t="str">
        <f>CONCATENATE($I855,"1")</f>
        <v>J1</v>
      </c>
      <c r="B862" s="222" t="str">
        <f>IF(VLOOKUP($A862,Players!$A$2:$C$132,3)&lt;&gt;0,VLOOKUP($A862,Players!$A$2:$C$132,3),"")</f>
        <v/>
      </c>
      <c r="C862" s="222"/>
      <c r="D862" s="222"/>
      <c r="E862" s="222"/>
      <c r="F862" s="222"/>
      <c r="G862" s="225" t="str">
        <f>IF(VLOOKUP($D855&amp;RIGHT($A862,1),Players!$A$2:$D$132,3)&lt;&gt;0,VLOOKUP($D855&amp;RIGHT($A862,1),Players!$A$2:$D$132,3),"")</f>
        <v/>
      </c>
      <c r="H862" s="225"/>
      <c r="I862" s="225"/>
      <c r="J862" s="168" t="str">
        <f>IF(VLOOKUP($D855&amp;RIGHT($A862,1),Players!$A$2:$D$132,3)&lt;&gt;0,"("&amp;VLOOKUP($D855&amp;RIGHT($A862,1),Players!$A$2:$D$132,4)&amp;")","")</f>
        <v/>
      </c>
    </row>
    <row r="863" spans="1:10" ht="25.5" customHeight="1" x14ac:dyDescent="0.4">
      <c r="A863" s="37" t="str">
        <f>CONCATENATE($I855,"2")</f>
        <v>J2</v>
      </c>
      <c r="B863" s="222" t="str">
        <f>IF(VLOOKUP($A863,Players!$A$2:$C$132,3)&lt;&gt;0,VLOOKUP($A863,Players!$A$2:$C$132,3),"")</f>
        <v/>
      </c>
      <c r="C863" s="222"/>
      <c r="D863" s="222"/>
      <c r="E863" s="222"/>
      <c r="F863" s="222"/>
      <c r="G863" s="225" t="str">
        <f>IF(VLOOKUP($D855&amp;RIGHT($A863,1),Players!$A$2:$D$132,3)&lt;&gt;0,VLOOKUP($D855&amp;RIGHT($A863,1),Players!$A$2:$D$132,3),"")</f>
        <v/>
      </c>
      <c r="H863" s="225"/>
      <c r="I863" s="225"/>
      <c r="J863" s="168" t="str">
        <f>IF(VLOOKUP($D855&amp;RIGHT($A863,1),Players!$A$2:$D$132,3)&lt;&gt;0,"("&amp;VLOOKUP($D855&amp;RIGHT($A863,1),Players!$A$2:$D$132,4)&amp;")","")</f>
        <v/>
      </c>
    </row>
    <row r="864" spans="1:10" ht="25.5" customHeight="1" x14ac:dyDescent="0.4">
      <c r="A864" s="37" t="str">
        <f>CONCATENATE($I855,"3")</f>
        <v>J3</v>
      </c>
      <c r="B864" s="222" t="str">
        <f>IF(VLOOKUP($A864,Players!$A$2:$C$132,3)&lt;&gt;0,VLOOKUP($A864,Players!$A$2:$C$132,3),"")</f>
        <v/>
      </c>
      <c r="C864" s="222"/>
      <c r="D864" s="222"/>
      <c r="E864" s="222"/>
      <c r="F864" s="222"/>
      <c r="G864" s="225" t="str">
        <f>IF(VLOOKUP($D855&amp;RIGHT($A864,1),Players!$A$2:$D$132,3)&lt;&gt;0,VLOOKUP($D855&amp;RIGHT($A864,1),Players!$A$2:$D$132,3),"")</f>
        <v/>
      </c>
      <c r="H864" s="225"/>
      <c r="I864" s="225"/>
      <c r="J864" s="168" t="str">
        <f>IF(VLOOKUP($D855&amp;RIGHT($A864,1),Players!$A$2:$D$132,3)&lt;&gt;0,"("&amp;VLOOKUP($D855&amp;RIGHT($A864,1),Players!$A$2:$D$132,4)&amp;")","")</f>
        <v/>
      </c>
    </row>
    <row r="865" spans="1:10" ht="25.5" customHeight="1" x14ac:dyDescent="0.4">
      <c r="A865" s="37" t="str">
        <f>CONCATENATE($I855,"4")</f>
        <v>J4</v>
      </c>
      <c r="B865" s="222" t="str">
        <f>IF(VLOOKUP($A865,Players!$A$2:$C$132,3)&lt;&gt;0,VLOOKUP($A865,Players!$A$2:$C$132,3),"")</f>
        <v/>
      </c>
      <c r="C865" s="222"/>
      <c r="D865" s="222"/>
      <c r="E865" s="222"/>
      <c r="F865" s="222"/>
      <c r="G865" s="225" t="str">
        <f>IF(VLOOKUP($D855&amp;RIGHT($A865,1),Players!$A$2:$D$132,3)&lt;&gt;0,VLOOKUP($D855&amp;RIGHT($A865,1),Players!$A$2:$D$132,3),"")</f>
        <v/>
      </c>
      <c r="H865" s="225"/>
      <c r="I865" s="225"/>
      <c r="J865" s="168" t="str">
        <f>IF(VLOOKUP($D855&amp;RIGHT($A865,1),Players!$A$2:$D$132,3)&lt;&gt;0,"("&amp;VLOOKUP($D855&amp;RIGHT($A865,1),Players!$A$2:$D$132,4)&amp;")","")</f>
        <v/>
      </c>
    </row>
    <row r="866" spans="1:10" ht="25.5" customHeight="1" x14ac:dyDescent="0.4">
      <c r="A866" s="37" t="str">
        <f>CONCATENATE($I855,"5")</f>
        <v>J5</v>
      </c>
      <c r="B866" s="222" t="str">
        <f>IF(VLOOKUP($A866,Players!$A$2:$C$132,3)&lt;&gt;0,VLOOKUP($A866,Players!$A$2:$C$132,3),"")</f>
        <v/>
      </c>
      <c r="C866" s="222"/>
      <c r="D866" s="222"/>
      <c r="E866" s="222"/>
      <c r="F866" s="222"/>
      <c r="G866" s="225" t="str">
        <f>IF(VLOOKUP($D855&amp;RIGHT($A866,1),Players!$A$2:$D$132,3)&lt;&gt;0,VLOOKUP($D855&amp;RIGHT($A866,1),Players!$A$2:$D$132,3),"")</f>
        <v/>
      </c>
      <c r="H866" s="225"/>
      <c r="I866" s="225"/>
      <c r="J866" s="168" t="str">
        <f>IF(VLOOKUP($D855&amp;RIGHT($A866,1),Players!$A$2:$D$132,3)&lt;&gt;0,"("&amp;VLOOKUP($D855&amp;RIGHT($A866,1),Players!$A$2:$D$132,4)&amp;")","")</f>
        <v/>
      </c>
    </row>
    <row r="867" spans="1:10" ht="25.5" customHeight="1" x14ac:dyDescent="0.4">
      <c r="A867" s="37" t="str">
        <f>CONCATENATE($I855,"6")</f>
        <v>J6</v>
      </c>
      <c r="B867" s="222" t="str">
        <f>IF(VLOOKUP($A867,Players!$A$2:$C$132,3)&lt;&gt;0,VLOOKUP($A867,Players!$A$2:$C$132,3),"")</f>
        <v/>
      </c>
      <c r="C867" s="222"/>
      <c r="D867" s="222"/>
      <c r="E867" s="222"/>
      <c r="F867" s="222"/>
      <c r="G867" s="225" t="str">
        <f>IF(VLOOKUP($D855&amp;RIGHT($A867,1),Players!$A$2:$D$132,3)&lt;&gt;0,VLOOKUP($D855&amp;RIGHT($A867,1),Players!$A$2:$D$132,3),"")</f>
        <v/>
      </c>
      <c r="H867" s="225"/>
      <c r="I867" s="225"/>
      <c r="J867" s="168" t="str">
        <f>IF(VLOOKUP($D855&amp;RIGHT($A867,1),Players!$A$2:$D$132,3)&lt;&gt;0,"("&amp;VLOOKUP($D855&amp;RIGHT($A867,1),Players!$A$2:$D$132,4)&amp;")","")</f>
        <v/>
      </c>
    </row>
    <row r="868" spans="1:10" ht="25.5" customHeight="1" x14ac:dyDescent="0.4">
      <c r="A868" s="37" t="str">
        <f>CONCATENATE($I855,"7")</f>
        <v>J7</v>
      </c>
      <c r="B868" s="222" t="str">
        <f>IF(VLOOKUP($A868,Players!$A$2:$C$132,3)&lt;&gt;0,VLOOKUP($A868,Players!$A$2:$C$132,3),"")</f>
        <v/>
      </c>
      <c r="C868" s="222"/>
      <c r="D868" s="222"/>
      <c r="E868" s="222"/>
      <c r="F868" s="222"/>
      <c r="G868" s="225" t="str">
        <f>IF(VLOOKUP($D855&amp;RIGHT($A868,1),Players!$A$2:$D$132,3)&lt;&gt;0,VLOOKUP($D855&amp;RIGHT($A868,1),Players!$A$2:$D$132,3),"")</f>
        <v/>
      </c>
      <c r="H868" s="225"/>
      <c r="I868" s="225"/>
      <c r="J868" s="168" t="str">
        <f>IF(VLOOKUP($D855&amp;RIGHT($A868,1),Players!$A$2:$D$132,3)&lt;&gt;0,"("&amp;VLOOKUP($D855&amp;RIGHT($A868,1),Players!$A$2:$D$132,4)&amp;")","")</f>
        <v/>
      </c>
    </row>
    <row r="869" spans="1:10" ht="25.5" customHeight="1" x14ac:dyDescent="0.4">
      <c r="A869" s="37" t="str">
        <f>CONCATENATE($I855,"8")</f>
        <v>J8</v>
      </c>
      <c r="B869" s="222" t="str">
        <f>IF(VLOOKUP($A869,Players!$A$2:$C$132,3)&lt;&gt;0,VLOOKUP($A869,Players!$A$2:$C$132,3),"")</f>
        <v/>
      </c>
      <c r="C869" s="222"/>
      <c r="D869" s="222"/>
      <c r="E869" s="222"/>
      <c r="F869" s="222"/>
      <c r="G869" s="225" t="str">
        <f>IF(VLOOKUP($D855&amp;RIGHT($A869,1),Players!$A$2:$D$132,3)&lt;&gt;0,VLOOKUP($D855&amp;RIGHT($A869,1),Players!$A$2:$D$132,3),"")</f>
        <v/>
      </c>
      <c r="H869" s="225"/>
      <c r="I869" s="225"/>
      <c r="J869" s="168" t="str">
        <f>IF(VLOOKUP($D855&amp;RIGHT($A869,1),Players!$A$2:$D$132,3)&lt;&gt;0,"("&amp;VLOOKUP($D855&amp;RIGHT($A869,1),Players!$A$2:$D$132,4)&amp;")","")</f>
        <v/>
      </c>
    </row>
    <row r="870" spans="1:10" ht="25.5" customHeight="1" x14ac:dyDescent="0.25">
      <c r="A870" s="37"/>
      <c r="B870" s="7"/>
      <c r="C870" s="7"/>
      <c r="D870" s="7"/>
      <c r="E870" s="7"/>
    </row>
    <row r="871" spans="1:10" x14ac:dyDescent="0.25">
      <c r="A871" s="9" t="s">
        <v>157</v>
      </c>
    </row>
    <row r="872" spans="1:10" x14ac:dyDescent="0.25">
      <c r="A872" t="s">
        <v>179</v>
      </c>
    </row>
    <row r="873" spans="1:10" x14ac:dyDescent="0.25">
      <c r="A873" s="55" t="s">
        <v>918</v>
      </c>
    </row>
    <row r="874" spans="1:10" x14ac:dyDescent="0.25">
      <c r="A874" t="s">
        <v>919</v>
      </c>
    </row>
    <row r="875" spans="1:10" ht="25.5" customHeight="1" thickBot="1" x14ac:dyDescent="0.3">
      <c r="A875" s="37"/>
    </row>
    <row r="876" spans="1:10" x14ac:dyDescent="0.25">
      <c r="B876" s="213"/>
      <c r="C876" s="214"/>
      <c r="D876" s="214"/>
      <c r="E876" s="214"/>
      <c r="F876" s="215"/>
    </row>
    <row r="877" spans="1:10" ht="13.8" thickBot="1" x14ac:dyDescent="0.3">
      <c r="B877" s="216"/>
      <c r="C877" s="217"/>
      <c r="D877" s="217"/>
      <c r="E877" s="217"/>
      <c r="F877" s="218"/>
    </row>
    <row r="881" spans="1:10" ht="25.5" customHeight="1" x14ac:dyDescent="0.25">
      <c r="A881" s="36"/>
      <c r="B881" s="36"/>
      <c r="C881" s="36"/>
      <c r="D881" s="36"/>
      <c r="E881" s="36"/>
      <c r="G881" s="38"/>
      <c r="H881" s="227" t="s">
        <v>159</v>
      </c>
      <c r="I881" s="228"/>
    </row>
    <row r="882" spans="1:10" x14ac:dyDescent="0.25">
      <c r="A882" t="s">
        <v>158</v>
      </c>
    </row>
    <row r="884" spans="1:10" x14ac:dyDescent="0.25">
      <c r="E884" s="219" t="str">
        <f>CONCATENATE("(",$D855," vs ",$I855,")")</f>
        <v>(A vs J)</v>
      </c>
      <c r="F884" s="219"/>
    </row>
    <row r="885" spans="1:10" ht="15.6" x14ac:dyDescent="0.3">
      <c r="A885" s="33" t="s">
        <v>155</v>
      </c>
      <c r="J885" s="82" t="s">
        <v>497</v>
      </c>
    </row>
    <row r="886" spans="1:10" ht="12.75" customHeight="1" x14ac:dyDescent="0.3">
      <c r="A886" s="33"/>
      <c r="G886" t="str">
        <f ca="1">Team_Matches!$J$6</f>
        <v>[NCTTA Teams Template (v3.4).xlsx]</v>
      </c>
      <c r="J886" s="55"/>
    </row>
    <row r="887" spans="1:10" ht="12.75" customHeight="1" x14ac:dyDescent="0.3">
      <c r="A887" s="33"/>
      <c r="G887" s="229" t="str">
        <f>Team_Matches!$J670</f>
        <v>Round 3, Match 2</v>
      </c>
      <c r="H887" s="229"/>
      <c r="I887" s="127" t="str">
        <f>Team_Matches!$M670</f>
        <v/>
      </c>
      <c r="J887" s="127"/>
    </row>
    <row r="888" spans="1:10" ht="15.6" x14ac:dyDescent="0.3">
      <c r="A888" s="33"/>
    </row>
    <row r="889" spans="1:10" x14ac:dyDescent="0.25">
      <c r="C889" s="7" t="s">
        <v>160</v>
      </c>
      <c r="D889" s="39" t="str">
        <f>Team_Matches!$B672</f>
        <v>I</v>
      </c>
      <c r="F889" s="83" t="str">
        <f>CONCATENATE($D889,"-",$I889)</f>
        <v>I-K</v>
      </c>
      <c r="H889" s="7" t="s">
        <v>160</v>
      </c>
      <c r="I889" s="39" t="str">
        <f>Team_Matches!$K672</f>
        <v>K</v>
      </c>
    </row>
    <row r="890" spans="1:10" ht="25.5" customHeight="1" x14ac:dyDescent="0.25">
      <c r="A890" s="34"/>
      <c r="B890" s="220" t="str">
        <f>IF(VLOOKUP($D889,Draw!$A$4:$B$27,2)&lt;&gt;0,VLOOKUP($D889,Draw!$A$4:$B$27,2),"")</f>
        <v/>
      </c>
      <c r="C890" s="220"/>
      <c r="D890" s="220"/>
      <c r="E890" s="221"/>
      <c r="F890" s="35"/>
      <c r="G890" s="223" t="str">
        <f>IF(VLOOKUP($I889,Draw!$A$4:$B$27,2)&lt;&gt;0,VLOOKUP($I889,Draw!$A$4:$B$27,2),"")</f>
        <v/>
      </c>
      <c r="H890" s="223"/>
      <c r="I890" s="223"/>
      <c r="J890" s="224"/>
    </row>
    <row r="891" spans="1:10" ht="25.5" customHeight="1" x14ac:dyDescent="0.25"/>
    <row r="892" spans="1:10" ht="25.5" customHeight="1" x14ac:dyDescent="0.25"/>
    <row r="893" spans="1:10" ht="24" customHeight="1" x14ac:dyDescent="0.25">
      <c r="A893" s="9" t="s">
        <v>178</v>
      </c>
    </row>
    <row r="894" spans="1:10" ht="24" customHeight="1" x14ac:dyDescent="0.25">
      <c r="A894" s="9"/>
    </row>
    <row r="895" spans="1:10" x14ac:dyDescent="0.25">
      <c r="A895" s="9" t="s">
        <v>156</v>
      </c>
      <c r="G895" s="226" t="s">
        <v>873</v>
      </c>
      <c r="H895" s="226"/>
      <c r="I895" s="226"/>
      <c r="J895" s="226"/>
    </row>
    <row r="896" spans="1:10" ht="24" customHeight="1" x14ac:dyDescent="0.4">
      <c r="A896" s="37" t="str">
        <f>CONCATENATE($D889,"1")</f>
        <v>I1</v>
      </c>
      <c r="B896" s="222" t="str">
        <f>IF(VLOOKUP($A896,Players!$A$2:$C$132,3)&lt;&gt;0,VLOOKUP($A896,Players!$A$2:$C$132,3),"")</f>
        <v/>
      </c>
      <c r="C896" s="222"/>
      <c r="D896" s="222"/>
      <c r="E896" s="222"/>
      <c r="F896" s="222"/>
      <c r="G896" s="225" t="str">
        <f>IF(VLOOKUP($I889&amp;RIGHT($A896,1),Players!$A$2:$D$132,3)&lt;&gt;0,VLOOKUP($I889&amp;RIGHT($A896,1),Players!$A$2:$D$132,3),"")</f>
        <v/>
      </c>
      <c r="H896" s="225"/>
      <c r="I896" s="225"/>
      <c r="J896" s="168" t="str">
        <f>IF(VLOOKUP($I889&amp;RIGHT($A896,1),Players!$A$2:$D$132,3)&lt;&gt;0,"("&amp;VLOOKUP($I889&amp;RIGHT($A896,1),Players!$A$2:$D$132,4)&amp;")","")</f>
        <v/>
      </c>
    </row>
    <row r="897" spans="1:10" ht="25.5" customHeight="1" x14ac:dyDescent="0.4">
      <c r="A897" s="37" t="str">
        <f>CONCATENATE($D889,"2")</f>
        <v>I2</v>
      </c>
      <c r="B897" s="222" t="str">
        <f>IF(VLOOKUP($A897,Players!$A$2:$C$132,3)&lt;&gt;0,VLOOKUP($A897,Players!$A$2:$C$132,3),"")</f>
        <v/>
      </c>
      <c r="C897" s="222"/>
      <c r="D897" s="222"/>
      <c r="E897" s="222"/>
      <c r="F897" s="222"/>
      <c r="G897" s="225" t="str">
        <f>IF(VLOOKUP($I889&amp;RIGHT($A897,1),Players!$A$2:$D$132,3)&lt;&gt;0,VLOOKUP($I889&amp;RIGHT($A897,1),Players!$A$2:$D$132,3),"")</f>
        <v/>
      </c>
      <c r="H897" s="225"/>
      <c r="I897" s="225"/>
      <c r="J897" s="168" t="str">
        <f>IF(VLOOKUP($I889&amp;RIGHT($A897,1),Players!$A$2:$D$132,3)&lt;&gt;0,"("&amp;VLOOKUP($I889&amp;RIGHT($A897,1),Players!$A$2:$D$132,4)&amp;")","")</f>
        <v/>
      </c>
    </row>
    <row r="898" spans="1:10" ht="25.5" customHeight="1" x14ac:dyDescent="0.4">
      <c r="A898" s="37" t="str">
        <f>CONCATENATE($D889,"3")</f>
        <v>I3</v>
      </c>
      <c r="B898" s="222" t="str">
        <f>IF(VLOOKUP($A898,Players!$A$2:$C$132,3)&lt;&gt;0,VLOOKUP($A898,Players!$A$2:$C$132,3),"")</f>
        <v/>
      </c>
      <c r="C898" s="222"/>
      <c r="D898" s="222"/>
      <c r="E898" s="222"/>
      <c r="F898" s="222"/>
      <c r="G898" s="225" t="str">
        <f>IF(VLOOKUP($I889&amp;RIGHT($A898,1),Players!$A$2:$D$132,3)&lt;&gt;0,VLOOKUP($I889&amp;RIGHT($A898,1),Players!$A$2:$D$132,3),"")</f>
        <v/>
      </c>
      <c r="H898" s="225"/>
      <c r="I898" s="225"/>
      <c r="J898" s="168" t="str">
        <f>IF(VLOOKUP($I889&amp;RIGHT($A898,1),Players!$A$2:$D$132,3)&lt;&gt;0,"("&amp;VLOOKUP($I889&amp;RIGHT($A898,1),Players!$A$2:$D$132,4)&amp;")","")</f>
        <v/>
      </c>
    </row>
    <row r="899" spans="1:10" ht="25.5" customHeight="1" x14ac:dyDescent="0.4">
      <c r="A899" s="37" t="str">
        <f>CONCATENATE($D889,"4")</f>
        <v>I4</v>
      </c>
      <c r="B899" s="222" t="str">
        <f>IF(VLOOKUP($A899,Players!$A$2:$C$132,3)&lt;&gt;0,VLOOKUP($A899,Players!$A$2:$C$132,3),"")</f>
        <v/>
      </c>
      <c r="C899" s="222"/>
      <c r="D899" s="222"/>
      <c r="E899" s="222"/>
      <c r="F899" s="222"/>
      <c r="G899" s="225" t="str">
        <f>IF(VLOOKUP($I889&amp;RIGHT($A899,1),Players!$A$2:$D$132,3)&lt;&gt;0,VLOOKUP($I889&amp;RIGHT($A899,1),Players!$A$2:$D$132,3),"")</f>
        <v/>
      </c>
      <c r="H899" s="225"/>
      <c r="I899" s="225"/>
      <c r="J899" s="168" t="str">
        <f>IF(VLOOKUP($I889&amp;RIGHT($A899,1),Players!$A$2:$D$132,3)&lt;&gt;0,"("&amp;VLOOKUP($I889&amp;RIGHT($A899,1),Players!$A$2:$D$132,4)&amp;")","")</f>
        <v/>
      </c>
    </row>
    <row r="900" spans="1:10" ht="25.5" customHeight="1" x14ac:dyDescent="0.4">
      <c r="A900" s="37" t="str">
        <f>CONCATENATE($D889,"5")</f>
        <v>I5</v>
      </c>
      <c r="B900" s="222" t="str">
        <f>IF(VLOOKUP($A900,Players!$A$2:$C$132,3)&lt;&gt;0,VLOOKUP($A900,Players!$A$2:$C$132,3),"")</f>
        <v/>
      </c>
      <c r="C900" s="222"/>
      <c r="D900" s="222"/>
      <c r="E900" s="222"/>
      <c r="F900" s="222"/>
      <c r="G900" s="225" t="str">
        <f>IF(VLOOKUP($I889&amp;RIGHT($A900,1),Players!$A$2:$D$132,3)&lt;&gt;0,VLOOKUP($I889&amp;RIGHT($A900,1),Players!$A$2:$D$132,3),"")</f>
        <v/>
      </c>
      <c r="H900" s="225"/>
      <c r="I900" s="225"/>
      <c r="J900" s="168" t="str">
        <f>IF(VLOOKUP($I889&amp;RIGHT($A900,1),Players!$A$2:$D$132,3)&lt;&gt;0,"("&amp;VLOOKUP($I889&amp;RIGHT($A900,1),Players!$A$2:$D$132,4)&amp;")","")</f>
        <v/>
      </c>
    </row>
    <row r="901" spans="1:10" ht="25.5" customHeight="1" x14ac:dyDescent="0.4">
      <c r="A901" s="37" t="str">
        <f>CONCATENATE($D889,"6")</f>
        <v>I6</v>
      </c>
      <c r="B901" s="222" t="str">
        <f>IF(VLOOKUP($A901,Players!$A$2:$C$132,3)&lt;&gt;0,VLOOKUP($A901,Players!$A$2:$C$132,3),"")</f>
        <v/>
      </c>
      <c r="C901" s="222"/>
      <c r="D901" s="222"/>
      <c r="E901" s="222"/>
      <c r="F901" s="222"/>
      <c r="G901" s="225" t="str">
        <f>IF(VLOOKUP($I889&amp;RIGHT($A901,1),Players!$A$2:$D$132,3)&lt;&gt;0,VLOOKUP($I889&amp;RIGHT($A901,1),Players!$A$2:$D$132,3),"")</f>
        <v/>
      </c>
      <c r="H901" s="225"/>
      <c r="I901" s="225"/>
      <c r="J901" s="168" t="str">
        <f>IF(VLOOKUP($I889&amp;RIGHT($A901,1),Players!$A$2:$D$132,3)&lt;&gt;0,"("&amp;VLOOKUP($I889&amp;RIGHT($A901,1),Players!$A$2:$D$132,4)&amp;")","")</f>
        <v/>
      </c>
    </row>
    <row r="902" spans="1:10" ht="25.5" customHeight="1" x14ac:dyDescent="0.4">
      <c r="A902" s="37" t="str">
        <f>CONCATENATE($D889,"7")</f>
        <v>I7</v>
      </c>
      <c r="B902" s="222" t="str">
        <f>IF(VLOOKUP($A902,Players!$A$2:$C$132,3)&lt;&gt;0,VLOOKUP($A902,Players!$A$2:$C$132,3),"")</f>
        <v/>
      </c>
      <c r="C902" s="222"/>
      <c r="D902" s="222"/>
      <c r="E902" s="222"/>
      <c r="F902" s="222"/>
      <c r="G902" s="225" t="str">
        <f>IF(VLOOKUP($I889&amp;RIGHT($A902,1),Players!$A$2:$D$132,3)&lt;&gt;0,VLOOKUP($I889&amp;RIGHT($A902,1),Players!$A$2:$D$132,3),"")</f>
        <v/>
      </c>
      <c r="H902" s="225"/>
      <c r="I902" s="225"/>
      <c r="J902" s="168" t="str">
        <f>IF(VLOOKUP($I889&amp;RIGHT($A902,1),Players!$A$2:$D$132,3)&lt;&gt;0,"("&amp;VLOOKUP($I889&amp;RIGHT($A902,1),Players!$A$2:$D$132,4)&amp;")","")</f>
        <v/>
      </c>
    </row>
    <row r="903" spans="1:10" ht="25.5" customHeight="1" x14ac:dyDescent="0.4">
      <c r="A903" s="37" t="str">
        <f>CONCATENATE($D889,"8")</f>
        <v>I8</v>
      </c>
      <c r="B903" s="222" t="str">
        <f>IF(VLOOKUP($A903,Players!$A$2:$C$132,3)&lt;&gt;0,VLOOKUP($A903,Players!$A$2:$C$132,3),"")</f>
        <v/>
      </c>
      <c r="C903" s="222"/>
      <c r="D903" s="222"/>
      <c r="E903" s="222"/>
      <c r="F903" s="222"/>
      <c r="G903" s="225" t="str">
        <f>IF(VLOOKUP($I889&amp;RIGHT($A903,1),Players!$A$2:$D$132,3)&lt;&gt;0,VLOOKUP($I889&amp;RIGHT($A903,1),Players!$A$2:$D$132,3),"")</f>
        <v/>
      </c>
      <c r="H903" s="225"/>
      <c r="I903" s="225"/>
      <c r="J903" s="168" t="str">
        <f>IF(VLOOKUP($I889&amp;RIGHT($A903,1),Players!$A$2:$D$132,3)&lt;&gt;0,"("&amp;VLOOKUP($I889&amp;RIGHT($A903,1),Players!$A$2:$D$132,4)&amp;")","")</f>
        <v/>
      </c>
    </row>
    <row r="904" spans="1:10" ht="25.5" customHeight="1" x14ac:dyDescent="0.25">
      <c r="A904" s="37"/>
      <c r="B904" s="7"/>
      <c r="C904" s="7"/>
      <c r="D904" s="7"/>
      <c r="E904" s="7"/>
    </row>
    <row r="905" spans="1:10" x14ac:dyDescent="0.25">
      <c r="A905" s="9" t="s">
        <v>157</v>
      </c>
    </row>
    <row r="906" spans="1:10" x14ac:dyDescent="0.25">
      <c r="A906" t="s">
        <v>179</v>
      </c>
    </row>
    <row r="907" spans="1:10" x14ac:dyDescent="0.25">
      <c r="A907" s="55" t="s">
        <v>918</v>
      </c>
    </row>
    <row r="908" spans="1:10" x14ac:dyDescent="0.25">
      <c r="A908" t="s">
        <v>919</v>
      </c>
    </row>
    <row r="909" spans="1:10" ht="25.5" customHeight="1" thickBot="1" x14ac:dyDescent="0.3">
      <c r="A909" s="37"/>
    </row>
    <row r="910" spans="1:10" x14ac:dyDescent="0.25">
      <c r="B910" s="213"/>
      <c r="C910" s="214"/>
      <c r="D910" s="214"/>
      <c r="E910" s="214"/>
      <c r="F910" s="215"/>
    </row>
    <row r="911" spans="1:10" ht="13.8" thickBot="1" x14ac:dyDescent="0.3">
      <c r="B911" s="216"/>
      <c r="C911" s="217"/>
      <c r="D911" s="217"/>
      <c r="E911" s="217"/>
      <c r="F911" s="218"/>
    </row>
    <row r="915" spans="1:10" ht="25.5" customHeight="1" x14ac:dyDescent="0.25">
      <c r="A915" s="36"/>
      <c r="B915" s="36"/>
      <c r="C915" s="36"/>
      <c r="D915" s="36"/>
      <c r="E915" s="36"/>
      <c r="G915" s="38"/>
      <c r="H915" s="227" t="s">
        <v>159</v>
      </c>
      <c r="I915" s="228"/>
    </row>
    <row r="916" spans="1:10" x14ac:dyDescent="0.25">
      <c r="A916" t="s">
        <v>158</v>
      </c>
    </row>
    <row r="918" spans="1:10" x14ac:dyDescent="0.25">
      <c r="E918" s="219" t="str">
        <f>CONCATENATE("(",$D889," vs ",$I889,")")</f>
        <v>(I vs K)</v>
      </c>
      <c r="F918" s="219"/>
    </row>
    <row r="919" spans="1:10" ht="15.6" x14ac:dyDescent="0.3">
      <c r="A919" s="33" t="s">
        <v>155</v>
      </c>
      <c r="J919" s="82" t="s">
        <v>498</v>
      </c>
    </row>
    <row r="920" spans="1:10" ht="12.75" customHeight="1" x14ac:dyDescent="0.3">
      <c r="A920" s="33"/>
      <c r="G920" t="str">
        <f ca="1">Team_Matches!$J$6</f>
        <v>[NCTTA Teams Template (v3.4).xlsx]</v>
      </c>
      <c r="J920" s="55"/>
    </row>
    <row r="921" spans="1:10" ht="12.75" customHeight="1" x14ac:dyDescent="0.3">
      <c r="A921" s="33"/>
      <c r="G921" s="229" t="str">
        <f>Team_Matches!$J670</f>
        <v>Round 3, Match 2</v>
      </c>
      <c r="H921" s="229"/>
      <c r="I921" s="127">
        <v>670</v>
      </c>
      <c r="J921" s="127"/>
    </row>
    <row r="922" spans="1:10" ht="15.6" x14ac:dyDescent="0.3">
      <c r="A922" s="33"/>
    </row>
    <row r="923" spans="1:10" x14ac:dyDescent="0.25">
      <c r="C923" s="7" t="s">
        <v>160</v>
      </c>
      <c r="D923" s="39" t="str">
        <f>Team_Matches!$B672</f>
        <v>I</v>
      </c>
      <c r="F923" s="83" t="str">
        <f>CONCATENATE($D923,"-",$I923)</f>
        <v>I-K</v>
      </c>
      <c r="H923" s="7" t="s">
        <v>160</v>
      </c>
      <c r="I923" s="39" t="str">
        <f>Team_Matches!$K672</f>
        <v>K</v>
      </c>
    </row>
    <row r="924" spans="1:10" ht="25.5" customHeight="1" x14ac:dyDescent="0.25">
      <c r="A924" s="34"/>
      <c r="B924" s="223" t="str">
        <f>IF(VLOOKUP($D923,Draw!$A$4:$B$27,2)&lt;&gt;0,VLOOKUP($D923,Draw!$A$4:$B$27,2),"")</f>
        <v/>
      </c>
      <c r="C924" s="223"/>
      <c r="D924" s="223"/>
      <c r="E924" s="224"/>
      <c r="F924" s="35"/>
      <c r="G924" s="220" t="str">
        <f>IF(VLOOKUP($I923,Draw!$A$4:$B$27,2)&lt;&gt;0,VLOOKUP($I923,Draw!$A$4:$B$27,2),"")</f>
        <v/>
      </c>
      <c r="H924" s="220"/>
      <c r="I924" s="220"/>
      <c r="J924" s="221"/>
    </row>
    <row r="925" spans="1:10" ht="25.5" customHeight="1" x14ac:dyDescent="0.25"/>
    <row r="926" spans="1:10" ht="25.5" customHeight="1" x14ac:dyDescent="0.25"/>
    <row r="927" spans="1:10" ht="24" customHeight="1" x14ac:dyDescent="0.25">
      <c r="A927" s="9" t="s">
        <v>178</v>
      </c>
    </row>
    <row r="928" spans="1:10" ht="24" customHeight="1" x14ac:dyDescent="0.25">
      <c r="A928" s="9"/>
    </row>
    <row r="929" spans="1:10" x14ac:dyDescent="0.25">
      <c r="A929" s="9" t="s">
        <v>156</v>
      </c>
      <c r="G929" s="226" t="s">
        <v>873</v>
      </c>
      <c r="H929" s="226"/>
      <c r="I929" s="226"/>
      <c r="J929" s="226"/>
    </row>
    <row r="930" spans="1:10" ht="24" customHeight="1" x14ac:dyDescent="0.4">
      <c r="A930" s="37" t="str">
        <f>CONCATENATE($I923,"1")</f>
        <v>K1</v>
      </c>
      <c r="B930" s="222" t="str">
        <f>IF(VLOOKUP($A930,Players!$A$2:$C$132,3)&lt;&gt;0,VLOOKUP($A930,Players!$A$2:$C$132,3),"")</f>
        <v/>
      </c>
      <c r="C930" s="222"/>
      <c r="D930" s="222"/>
      <c r="E930" s="222"/>
      <c r="F930" s="222"/>
      <c r="G930" s="225" t="str">
        <f>IF(VLOOKUP($D923&amp;RIGHT($A930,1),Players!$A$2:$D$132,3)&lt;&gt;0,VLOOKUP($D923&amp;RIGHT($A930,1),Players!$A$2:$D$132,3),"")</f>
        <v/>
      </c>
      <c r="H930" s="225"/>
      <c r="I930" s="225"/>
      <c r="J930" s="168" t="str">
        <f>IF(VLOOKUP($D923&amp;RIGHT($A930,1),Players!$A$2:$D$132,3)&lt;&gt;0,"("&amp;VLOOKUP($D923&amp;RIGHT($A930,1),Players!$A$2:$D$132,4)&amp;")","")</f>
        <v/>
      </c>
    </row>
    <row r="931" spans="1:10" ht="25.5" customHeight="1" x14ac:dyDescent="0.4">
      <c r="A931" s="37" t="str">
        <f>CONCATENATE($I923,"2")</f>
        <v>K2</v>
      </c>
      <c r="B931" s="222" t="str">
        <f>IF(VLOOKUP($A931,Players!$A$2:$C$132,3)&lt;&gt;0,VLOOKUP($A931,Players!$A$2:$C$132,3),"")</f>
        <v/>
      </c>
      <c r="C931" s="222"/>
      <c r="D931" s="222"/>
      <c r="E931" s="222"/>
      <c r="F931" s="222"/>
      <c r="G931" s="225" t="str">
        <f>IF(VLOOKUP($D923&amp;RIGHT($A931,1),Players!$A$2:$D$132,3)&lt;&gt;0,VLOOKUP($D923&amp;RIGHT($A931,1),Players!$A$2:$D$132,3),"")</f>
        <v/>
      </c>
      <c r="H931" s="225"/>
      <c r="I931" s="225"/>
      <c r="J931" s="168" t="str">
        <f>IF(VLOOKUP($D923&amp;RIGHT($A931,1),Players!$A$2:$D$132,3)&lt;&gt;0,"("&amp;VLOOKUP($D923&amp;RIGHT($A931,1),Players!$A$2:$D$132,4)&amp;")","")</f>
        <v/>
      </c>
    </row>
    <row r="932" spans="1:10" ht="25.5" customHeight="1" x14ac:dyDescent="0.4">
      <c r="A932" s="37" t="str">
        <f>CONCATENATE($I923,"3")</f>
        <v>K3</v>
      </c>
      <c r="B932" s="222" t="str">
        <f>IF(VLOOKUP($A932,Players!$A$2:$C$132,3)&lt;&gt;0,VLOOKUP($A932,Players!$A$2:$C$132,3),"")</f>
        <v/>
      </c>
      <c r="C932" s="222"/>
      <c r="D932" s="222"/>
      <c r="E932" s="222"/>
      <c r="F932" s="222"/>
      <c r="G932" s="225" t="str">
        <f>IF(VLOOKUP($D923&amp;RIGHT($A932,1),Players!$A$2:$D$132,3)&lt;&gt;0,VLOOKUP($D923&amp;RIGHT($A932,1),Players!$A$2:$D$132,3),"")</f>
        <v/>
      </c>
      <c r="H932" s="225"/>
      <c r="I932" s="225"/>
      <c r="J932" s="168" t="str">
        <f>IF(VLOOKUP($D923&amp;RIGHT($A932,1),Players!$A$2:$D$132,3)&lt;&gt;0,"("&amp;VLOOKUP($D923&amp;RIGHT($A932,1),Players!$A$2:$D$132,4)&amp;")","")</f>
        <v/>
      </c>
    </row>
    <row r="933" spans="1:10" ht="25.5" customHeight="1" x14ac:dyDescent="0.4">
      <c r="A933" s="37" t="str">
        <f>CONCATENATE($I923,"4")</f>
        <v>K4</v>
      </c>
      <c r="B933" s="222" t="str">
        <f>IF(VLOOKUP($A933,Players!$A$2:$C$132,3)&lt;&gt;0,VLOOKUP($A933,Players!$A$2:$C$132,3),"")</f>
        <v/>
      </c>
      <c r="C933" s="222"/>
      <c r="D933" s="222"/>
      <c r="E933" s="222"/>
      <c r="F933" s="222"/>
      <c r="G933" s="225" t="str">
        <f>IF(VLOOKUP($D923&amp;RIGHT($A933,1),Players!$A$2:$D$132,3)&lt;&gt;0,VLOOKUP($D923&amp;RIGHT($A933,1),Players!$A$2:$D$132,3),"")</f>
        <v/>
      </c>
      <c r="H933" s="225"/>
      <c r="I933" s="225"/>
      <c r="J933" s="168" t="str">
        <f>IF(VLOOKUP($D923&amp;RIGHT($A933,1),Players!$A$2:$D$132,3)&lt;&gt;0,"("&amp;VLOOKUP($D923&amp;RIGHT($A933,1),Players!$A$2:$D$132,4)&amp;")","")</f>
        <v/>
      </c>
    </row>
    <row r="934" spans="1:10" ht="25.5" customHeight="1" x14ac:dyDescent="0.4">
      <c r="A934" s="37" t="str">
        <f>CONCATENATE($I923,"5")</f>
        <v>K5</v>
      </c>
      <c r="B934" s="222" t="str">
        <f>IF(VLOOKUP($A934,Players!$A$2:$C$132,3)&lt;&gt;0,VLOOKUP($A934,Players!$A$2:$C$132,3),"")</f>
        <v/>
      </c>
      <c r="C934" s="222"/>
      <c r="D934" s="222"/>
      <c r="E934" s="222"/>
      <c r="F934" s="222"/>
      <c r="G934" s="225" t="str">
        <f>IF(VLOOKUP($D923&amp;RIGHT($A934,1),Players!$A$2:$D$132,3)&lt;&gt;0,VLOOKUP($D923&amp;RIGHT($A934,1),Players!$A$2:$D$132,3),"")</f>
        <v/>
      </c>
      <c r="H934" s="225"/>
      <c r="I934" s="225"/>
      <c r="J934" s="168" t="str">
        <f>IF(VLOOKUP($D923&amp;RIGHT($A934,1),Players!$A$2:$D$132,3)&lt;&gt;0,"("&amp;VLOOKUP($D923&amp;RIGHT($A934,1),Players!$A$2:$D$132,4)&amp;")","")</f>
        <v/>
      </c>
    </row>
    <row r="935" spans="1:10" ht="25.5" customHeight="1" x14ac:dyDescent="0.4">
      <c r="A935" s="37" t="str">
        <f>CONCATENATE($I923,"6")</f>
        <v>K6</v>
      </c>
      <c r="B935" s="222" t="str">
        <f>IF(VLOOKUP($A935,Players!$A$2:$C$132,3)&lt;&gt;0,VLOOKUP($A935,Players!$A$2:$C$132,3),"")</f>
        <v/>
      </c>
      <c r="C935" s="222"/>
      <c r="D935" s="222"/>
      <c r="E935" s="222"/>
      <c r="F935" s="222"/>
      <c r="G935" s="225" t="str">
        <f>IF(VLOOKUP($D923&amp;RIGHT($A935,1),Players!$A$2:$D$132,3)&lt;&gt;0,VLOOKUP($D923&amp;RIGHT($A935,1),Players!$A$2:$D$132,3),"")</f>
        <v/>
      </c>
      <c r="H935" s="225"/>
      <c r="I935" s="225"/>
      <c r="J935" s="168" t="str">
        <f>IF(VLOOKUP($D923&amp;RIGHT($A935,1),Players!$A$2:$D$132,3)&lt;&gt;0,"("&amp;VLOOKUP($D923&amp;RIGHT($A935,1),Players!$A$2:$D$132,4)&amp;")","")</f>
        <v/>
      </c>
    </row>
    <row r="936" spans="1:10" ht="25.5" customHeight="1" x14ac:dyDescent="0.4">
      <c r="A936" s="37" t="str">
        <f>CONCATENATE($I923,"7")</f>
        <v>K7</v>
      </c>
      <c r="B936" s="222" t="str">
        <f>IF(VLOOKUP($A936,Players!$A$2:$C$132,3)&lt;&gt;0,VLOOKUP($A936,Players!$A$2:$C$132,3),"")</f>
        <v/>
      </c>
      <c r="C936" s="222"/>
      <c r="D936" s="222"/>
      <c r="E936" s="222"/>
      <c r="F936" s="222"/>
      <c r="G936" s="225" t="str">
        <f>IF(VLOOKUP($D923&amp;RIGHT($A936,1),Players!$A$2:$D$132,3)&lt;&gt;0,VLOOKUP($D923&amp;RIGHT($A936,1),Players!$A$2:$D$132,3),"")</f>
        <v/>
      </c>
      <c r="H936" s="225"/>
      <c r="I936" s="225"/>
      <c r="J936" s="168" t="str">
        <f>IF(VLOOKUP($D923&amp;RIGHT($A936,1),Players!$A$2:$D$132,3)&lt;&gt;0,"("&amp;VLOOKUP($D923&amp;RIGHT($A936,1),Players!$A$2:$D$132,4)&amp;")","")</f>
        <v/>
      </c>
    </row>
    <row r="937" spans="1:10" ht="25.5" customHeight="1" x14ac:dyDescent="0.4">
      <c r="A937" s="37" t="str">
        <f>CONCATENATE($I923,"8")</f>
        <v>K8</v>
      </c>
      <c r="B937" s="222" t="str">
        <f>IF(VLOOKUP($A937,Players!$A$2:$C$132,3)&lt;&gt;0,VLOOKUP($A937,Players!$A$2:$C$132,3),"")</f>
        <v/>
      </c>
      <c r="C937" s="222"/>
      <c r="D937" s="222"/>
      <c r="E937" s="222"/>
      <c r="F937" s="222"/>
      <c r="G937" s="225" t="str">
        <f>IF(VLOOKUP($D923&amp;RIGHT($A937,1),Players!$A$2:$D$132,3)&lt;&gt;0,VLOOKUP($D923&amp;RIGHT($A937,1),Players!$A$2:$D$132,3),"")</f>
        <v/>
      </c>
      <c r="H937" s="225"/>
      <c r="I937" s="225"/>
      <c r="J937" s="168" t="str">
        <f>IF(VLOOKUP($D923&amp;RIGHT($A937,1),Players!$A$2:$D$132,3)&lt;&gt;0,"("&amp;VLOOKUP($D923&amp;RIGHT($A937,1),Players!$A$2:$D$132,4)&amp;")","")</f>
        <v/>
      </c>
    </row>
    <row r="938" spans="1:10" ht="25.5" customHeight="1" x14ac:dyDescent="0.25">
      <c r="A938" s="37"/>
      <c r="B938" s="7"/>
      <c r="C938" s="7"/>
      <c r="D938" s="7"/>
      <c r="E938" s="7"/>
    </row>
    <row r="939" spans="1:10" x14ac:dyDescent="0.25">
      <c r="A939" s="9" t="s">
        <v>157</v>
      </c>
    </row>
    <row r="940" spans="1:10" x14ac:dyDescent="0.25">
      <c r="A940" t="s">
        <v>179</v>
      </c>
    </row>
    <row r="941" spans="1:10" x14ac:dyDescent="0.25">
      <c r="A941" s="55" t="s">
        <v>918</v>
      </c>
    </row>
    <row r="942" spans="1:10" x14ac:dyDescent="0.25">
      <c r="A942" t="s">
        <v>919</v>
      </c>
    </row>
    <row r="943" spans="1:10" ht="25.5" customHeight="1" thickBot="1" x14ac:dyDescent="0.3">
      <c r="A943" s="37"/>
    </row>
    <row r="944" spans="1:10" x14ac:dyDescent="0.25">
      <c r="B944" s="213"/>
      <c r="C944" s="214"/>
      <c r="D944" s="214"/>
      <c r="E944" s="214"/>
      <c r="F944" s="215"/>
    </row>
    <row r="945" spans="1:10" ht="13.8" thickBot="1" x14ac:dyDescent="0.3">
      <c r="B945" s="216"/>
      <c r="C945" s="217"/>
      <c r="D945" s="217"/>
      <c r="E945" s="217"/>
      <c r="F945" s="218"/>
    </row>
    <row r="949" spans="1:10" ht="25.5" customHeight="1" x14ac:dyDescent="0.25">
      <c r="A949" s="36"/>
      <c r="B949" s="36"/>
      <c r="C949" s="36"/>
      <c r="D949" s="36"/>
      <c r="E949" s="36"/>
      <c r="G949" s="38"/>
      <c r="H949" s="227" t="s">
        <v>159</v>
      </c>
      <c r="I949" s="228"/>
    </row>
    <row r="950" spans="1:10" x14ac:dyDescent="0.25">
      <c r="A950" t="s">
        <v>158</v>
      </c>
    </row>
    <row r="952" spans="1:10" x14ac:dyDescent="0.25">
      <c r="E952" s="219" t="str">
        <f>CONCATENATE("(",$D923," vs ",$I923,")")</f>
        <v>(I vs K)</v>
      </c>
      <c r="F952" s="219"/>
    </row>
    <row r="953" spans="1:10" ht="15.6" x14ac:dyDescent="0.3">
      <c r="A953" s="33" t="s">
        <v>155</v>
      </c>
      <c r="J953" s="82" t="s">
        <v>499</v>
      </c>
    </row>
    <row r="954" spans="1:10" ht="12.75" customHeight="1" x14ac:dyDescent="0.3">
      <c r="A954" s="33"/>
      <c r="G954" t="str">
        <f ca="1">Team_Matches!$J$6</f>
        <v>[NCTTA Teams Template (v3.4).xlsx]</v>
      </c>
      <c r="J954" s="55"/>
    </row>
    <row r="955" spans="1:10" ht="12.75" customHeight="1" x14ac:dyDescent="0.3">
      <c r="A955" s="33"/>
      <c r="G955" s="229" t="str">
        <f>Team_Matches!$J721</f>
        <v>Round 3, Match 3</v>
      </c>
      <c r="H955" s="229"/>
      <c r="I955" s="127" t="str">
        <f>Team_Matches!$M721</f>
        <v/>
      </c>
      <c r="J955" s="127"/>
    </row>
    <row r="956" spans="1:10" ht="15.6" x14ac:dyDescent="0.3">
      <c r="A956" s="33"/>
    </row>
    <row r="957" spans="1:10" x14ac:dyDescent="0.25">
      <c r="C957" s="7" t="s">
        <v>160</v>
      </c>
      <c r="D957" s="39" t="str">
        <f>Team_Matches!$B723</f>
        <v>H</v>
      </c>
      <c r="F957" s="83" t="str">
        <f>CONCATENATE($D957,"-",$I957)</f>
        <v>H-L</v>
      </c>
      <c r="H957" s="7" t="s">
        <v>160</v>
      </c>
      <c r="I957" s="3" t="str">
        <f>Team_Matches!$K723</f>
        <v>L</v>
      </c>
    </row>
    <row r="958" spans="1:10" ht="25.5" customHeight="1" x14ac:dyDescent="0.25">
      <c r="A958" s="34"/>
      <c r="B958" s="220" t="str">
        <f>IF(VLOOKUP($D957,Draw!$A$4:$B$27,2)&lt;&gt;0,VLOOKUP($D957,Draw!$A$4:$B$27,2),"")</f>
        <v/>
      </c>
      <c r="C958" s="220"/>
      <c r="D958" s="220"/>
      <c r="E958" s="221"/>
      <c r="F958" s="35"/>
      <c r="G958" s="223" t="str">
        <f>IF(VLOOKUP($I957,Draw!$A$4:$B$27,2)&lt;&gt;0,VLOOKUP($I957,Draw!$A$4:$B$27,2),"")</f>
        <v/>
      </c>
      <c r="H958" s="223"/>
      <c r="I958" s="223"/>
      <c r="J958" s="224"/>
    </row>
    <row r="959" spans="1:10" ht="25.5" customHeight="1" x14ac:dyDescent="0.25"/>
    <row r="960" spans="1:10" ht="25.5" customHeight="1" x14ac:dyDescent="0.25"/>
    <row r="961" spans="1:10" ht="24" customHeight="1" x14ac:dyDescent="0.25">
      <c r="A961" s="9" t="s">
        <v>178</v>
      </c>
    </row>
    <row r="962" spans="1:10" ht="24" customHeight="1" x14ac:dyDescent="0.25">
      <c r="A962" s="9"/>
    </row>
    <row r="963" spans="1:10" x14ac:dyDescent="0.25">
      <c r="A963" s="9" t="s">
        <v>156</v>
      </c>
      <c r="G963" s="226" t="s">
        <v>873</v>
      </c>
      <c r="H963" s="226"/>
      <c r="I963" s="226"/>
      <c r="J963" s="226"/>
    </row>
    <row r="964" spans="1:10" ht="24" customHeight="1" x14ac:dyDescent="0.4">
      <c r="A964" s="37" t="str">
        <f>CONCATENATE($D957,"1")</f>
        <v>H1</v>
      </c>
      <c r="B964" s="222" t="str">
        <f>IF(VLOOKUP($A964,Players!$A$2:$C$132,3)&lt;&gt;0,VLOOKUP($A964,Players!$A$2:$C$132,3),"")</f>
        <v/>
      </c>
      <c r="C964" s="222"/>
      <c r="D964" s="222"/>
      <c r="E964" s="222"/>
      <c r="F964" s="222"/>
      <c r="G964" s="225" t="str">
        <f>IF(VLOOKUP($I957&amp;RIGHT($A964,1),Players!$A$2:$D$132,3)&lt;&gt;0,VLOOKUP($I957&amp;RIGHT($A964,1),Players!$A$2:$D$132,3),"")</f>
        <v/>
      </c>
      <c r="H964" s="225"/>
      <c r="I964" s="225"/>
      <c r="J964" s="168" t="str">
        <f>IF(VLOOKUP($I957&amp;RIGHT($A964,1),Players!$A$2:$D$132,3)&lt;&gt;0,"("&amp;VLOOKUP($I957&amp;RIGHT($A964,1),Players!$A$2:$D$132,4)&amp;")","")</f>
        <v/>
      </c>
    </row>
    <row r="965" spans="1:10" ht="25.5" customHeight="1" x14ac:dyDescent="0.4">
      <c r="A965" s="37" t="str">
        <f>CONCATENATE($D957,"2")</f>
        <v>H2</v>
      </c>
      <c r="B965" s="222" t="str">
        <f>IF(VLOOKUP($A965,Players!$A$2:$C$132,3)&lt;&gt;0,VLOOKUP($A965,Players!$A$2:$C$132,3),"")</f>
        <v/>
      </c>
      <c r="C965" s="222"/>
      <c r="D965" s="222"/>
      <c r="E965" s="222"/>
      <c r="F965" s="222"/>
      <c r="G965" s="225" t="str">
        <f>IF(VLOOKUP($I957&amp;RIGHT($A965,1),Players!$A$2:$D$132,3)&lt;&gt;0,VLOOKUP($I957&amp;RIGHT($A965,1),Players!$A$2:$D$132,3),"")</f>
        <v/>
      </c>
      <c r="H965" s="225"/>
      <c r="I965" s="225"/>
      <c r="J965" s="168" t="str">
        <f>IF(VLOOKUP($I957&amp;RIGHT($A965,1),Players!$A$2:$D$132,3)&lt;&gt;0,"("&amp;VLOOKUP($I957&amp;RIGHT($A965,1),Players!$A$2:$D$132,4)&amp;")","")</f>
        <v/>
      </c>
    </row>
    <row r="966" spans="1:10" ht="25.5" customHeight="1" x14ac:dyDescent="0.4">
      <c r="A966" s="37" t="str">
        <f>CONCATENATE($D957,"3")</f>
        <v>H3</v>
      </c>
      <c r="B966" s="222" t="str">
        <f>IF(VLOOKUP($A966,Players!$A$2:$C$132,3)&lt;&gt;0,VLOOKUP($A966,Players!$A$2:$C$132,3),"")</f>
        <v/>
      </c>
      <c r="C966" s="222"/>
      <c r="D966" s="222"/>
      <c r="E966" s="222"/>
      <c r="F966" s="222"/>
      <c r="G966" s="225" t="str">
        <f>IF(VLOOKUP($I957&amp;RIGHT($A966,1),Players!$A$2:$D$132,3)&lt;&gt;0,VLOOKUP($I957&amp;RIGHT($A966,1),Players!$A$2:$D$132,3),"")</f>
        <v/>
      </c>
      <c r="H966" s="225"/>
      <c r="I966" s="225"/>
      <c r="J966" s="168" t="str">
        <f>IF(VLOOKUP($I957&amp;RIGHT($A966,1),Players!$A$2:$D$132,3)&lt;&gt;0,"("&amp;VLOOKUP($I957&amp;RIGHT($A966,1),Players!$A$2:$D$132,4)&amp;")","")</f>
        <v/>
      </c>
    </row>
    <row r="967" spans="1:10" ht="25.5" customHeight="1" x14ac:dyDescent="0.4">
      <c r="A967" s="37" t="str">
        <f>CONCATENATE($D957,"4")</f>
        <v>H4</v>
      </c>
      <c r="B967" s="222" t="str">
        <f>IF(VLOOKUP($A967,Players!$A$2:$C$132,3)&lt;&gt;0,VLOOKUP($A967,Players!$A$2:$C$132,3),"")</f>
        <v/>
      </c>
      <c r="C967" s="222"/>
      <c r="D967" s="222"/>
      <c r="E967" s="222"/>
      <c r="F967" s="222"/>
      <c r="G967" s="225" t="str">
        <f>IF(VLOOKUP($I957&amp;RIGHT($A967,1),Players!$A$2:$D$132,3)&lt;&gt;0,VLOOKUP($I957&amp;RIGHT($A967,1),Players!$A$2:$D$132,3),"")</f>
        <v/>
      </c>
      <c r="H967" s="225"/>
      <c r="I967" s="225"/>
      <c r="J967" s="168" t="str">
        <f>IF(VLOOKUP($I957&amp;RIGHT($A967,1),Players!$A$2:$D$132,3)&lt;&gt;0,"("&amp;VLOOKUP($I957&amp;RIGHT($A967,1),Players!$A$2:$D$132,4)&amp;")","")</f>
        <v/>
      </c>
    </row>
    <row r="968" spans="1:10" ht="25.5" customHeight="1" x14ac:dyDescent="0.4">
      <c r="A968" s="37" t="str">
        <f>CONCATENATE($D957,"5")</f>
        <v>H5</v>
      </c>
      <c r="B968" s="222" t="str">
        <f>IF(VLOOKUP($A968,Players!$A$2:$C$132,3)&lt;&gt;0,VLOOKUP($A968,Players!$A$2:$C$132,3),"")</f>
        <v/>
      </c>
      <c r="C968" s="222"/>
      <c r="D968" s="222"/>
      <c r="E968" s="222"/>
      <c r="F968" s="222"/>
      <c r="G968" s="225" t="str">
        <f>IF(VLOOKUP($I957&amp;RIGHT($A968,1),Players!$A$2:$D$132,3)&lt;&gt;0,VLOOKUP($I957&amp;RIGHT($A968,1),Players!$A$2:$D$132,3),"")</f>
        <v/>
      </c>
      <c r="H968" s="225"/>
      <c r="I968" s="225"/>
      <c r="J968" s="168" t="str">
        <f>IF(VLOOKUP($I957&amp;RIGHT($A968,1),Players!$A$2:$D$132,3)&lt;&gt;0,"("&amp;VLOOKUP($I957&amp;RIGHT($A968,1),Players!$A$2:$D$132,4)&amp;")","")</f>
        <v/>
      </c>
    </row>
    <row r="969" spans="1:10" ht="25.5" customHeight="1" x14ac:dyDescent="0.4">
      <c r="A969" s="37" t="str">
        <f>CONCATENATE($D957,"6")</f>
        <v>H6</v>
      </c>
      <c r="B969" s="222" t="str">
        <f>IF(VLOOKUP($A969,Players!$A$2:$C$132,3)&lt;&gt;0,VLOOKUP($A969,Players!$A$2:$C$132,3),"")</f>
        <v/>
      </c>
      <c r="C969" s="222"/>
      <c r="D969" s="222"/>
      <c r="E969" s="222"/>
      <c r="F969" s="222"/>
      <c r="G969" s="225" t="str">
        <f>IF(VLOOKUP($I957&amp;RIGHT($A969,1),Players!$A$2:$D$132,3)&lt;&gt;0,VLOOKUP($I957&amp;RIGHT($A969,1),Players!$A$2:$D$132,3),"")</f>
        <v/>
      </c>
      <c r="H969" s="225"/>
      <c r="I969" s="225"/>
      <c r="J969" s="168" t="str">
        <f>IF(VLOOKUP($I957&amp;RIGHT($A969,1),Players!$A$2:$D$132,3)&lt;&gt;0,"("&amp;VLOOKUP($I957&amp;RIGHT($A969,1),Players!$A$2:$D$132,4)&amp;")","")</f>
        <v/>
      </c>
    </row>
    <row r="970" spans="1:10" ht="25.5" customHeight="1" x14ac:dyDescent="0.4">
      <c r="A970" s="37" t="str">
        <f>CONCATENATE($D957,"7")</f>
        <v>H7</v>
      </c>
      <c r="B970" s="222" t="str">
        <f>IF(VLOOKUP($A970,Players!$A$2:$C$132,3)&lt;&gt;0,VLOOKUP($A970,Players!$A$2:$C$132,3),"")</f>
        <v/>
      </c>
      <c r="C970" s="222"/>
      <c r="D970" s="222"/>
      <c r="E970" s="222"/>
      <c r="F970" s="222"/>
      <c r="G970" s="225" t="str">
        <f>IF(VLOOKUP($I957&amp;RIGHT($A970,1),Players!$A$2:$D$132,3)&lt;&gt;0,VLOOKUP($I957&amp;RIGHT($A970,1),Players!$A$2:$D$132,3),"")</f>
        <v/>
      </c>
      <c r="H970" s="225"/>
      <c r="I970" s="225"/>
      <c r="J970" s="168" t="str">
        <f>IF(VLOOKUP($I957&amp;RIGHT($A970,1),Players!$A$2:$D$132,3)&lt;&gt;0,"("&amp;VLOOKUP($I957&amp;RIGHT($A970,1),Players!$A$2:$D$132,4)&amp;")","")</f>
        <v/>
      </c>
    </row>
    <row r="971" spans="1:10" ht="25.5" customHeight="1" x14ac:dyDescent="0.4">
      <c r="A971" s="37" t="str">
        <f>CONCATENATE($D957,"8")</f>
        <v>H8</v>
      </c>
      <c r="B971" s="222" t="str">
        <f>IF(VLOOKUP($A971,Players!$A$2:$C$132,3)&lt;&gt;0,VLOOKUP($A971,Players!$A$2:$C$132,3),"")</f>
        <v/>
      </c>
      <c r="C971" s="222"/>
      <c r="D971" s="222"/>
      <c r="E971" s="222"/>
      <c r="F971" s="222"/>
      <c r="G971" s="225" t="str">
        <f>IF(VLOOKUP($I957&amp;RIGHT($A971,1),Players!$A$2:$D$132,3)&lt;&gt;0,VLOOKUP($I957&amp;RIGHT($A971,1),Players!$A$2:$D$132,3),"")</f>
        <v/>
      </c>
      <c r="H971" s="225"/>
      <c r="I971" s="225"/>
      <c r="J971" s="168" t="str">
        <f>IF(VLOOKUP($I957&amp;RIGHT($A971,1),Players!$A$2:$D$132,3)&lt;&gt;0,"("&amp;VLOOKUP($I957&amp;RIGHT($A971,1),Players!$A$2:$D$132,4)&amp;")","")</f>
        <v/>
      </c>
    </row>
    <row r="972" spans="1:10" ht="25.5" customHeight="1" x14ac:dyDescent="0.25">
      <c r="A972" s="37"/>
      <c r="B972" s="7"/>
      <c r="C972" s="7"/>
      <c r="D972" s="7"/>
      <c r="E972" s="7"/>
    </row>
    <row r="973" spans="1:10" x14ac:dyDescent="0.25">
      <c r="A973" s="9" t="s">
        <v>157</v>
      </c>
    </row>
    <row r="974" spans="1:10" x14ac:dyDescent="0.25">
      <c r="A974" t="s">
        <v>179</v>
      </c>
    </row>
    <row r="975" spans="1:10" x14ac:dyDescent="0.25">
      <c r="A975" s="55" t="s">
        <v>918</v>
      </c>
    </row>
    <row r="976" spans="1:10" x14ac:dyDescent="0.25">
      <c r="A976" t="s">
        <v>919</v>
      </c>
    </row>
    <row r="977" spans="1:10" ht="25.5" customHeight="1" thickBot="1" x14ac:dyDescent="0.3">
      <c r="A977" s="37"/>
    </row>
    <row r="978" spans="1:10" x14ac:dyDescent="0.25">
      <c r="B978" s="213"/>
      <c r="C978" s="214"/>
      <c r="D978" s="214"/>
      <c r="E978" s="214"/>
      <c r="F978" s="215"/>
    </row>
    <row r="979" spans="1:10" ht="13.8" thickBot="1" x14ac:dyDescent="0.3">
      <c r="B979" s="216"/>
      <c r="C979" s="217"/>
      <c r="D979" s="217"/>
      <c r="E979" s="217"/>
      <c r="F979" s="218"/>
    </row>
    <row r="983" spans="1:10" ht="25.5" customHeight="1" x14ac:dyDescent="0.25">
      <c r="A983" s="36"/>
      <c r="B983" s="36"/>
      <c r="C983" s="36"/>
      <c r="D983" s="36"/>
      <c r="E983" s="36"/>
      <c r="G983" s="38"/>
      <c r="H983" s="227" t="s">
        <v>159</v>
      </c>
      <c r="I983" s="228"/>
    </row>
    <row r="984" spans="1:10" x14ac:dyDescent="0.25">
      <c r="A984" t="s">
        <v>158</v>
      </c>
    </row>
    <row r="986" spans="1:10" x14ac:dyDescent="0.25">
      <c r="E986" s="219" t="str">
        <f>CONCATENATE("(",$D957," vs ",$I957,")")</f>
        <v>(H vs L)</v>
      </c>
      <c r="F986" s="219"/>
    </row>
    <row r="987" spans="1:10" ht="15.6" x14ac:dyDescent="0.3">
      <c r="A987" s="33" t="s">
        <v>155</v>
      </c>
      <c r="J987" s="82" t="s">
        <v>500</v>
      </c>
    </row>
    <row r="988" spans="1:10" ht="12.75" customHeight="1" x14ac:dyDescent="0.3">
      <c r="A988" s="33"/>
      <c r="G988" t="str">
        <f ca="1">Team_Matches!$J$6</f>
        <v>[NCTTA Teams Template (v3.4).xlsx]</v>
      </c>
      <c r="J988" s="55"/>
    </row>
    <row r="989" spans="1:10" ht="12.75" customHeight="1" x14ac:dyDescent="0.3">
      <c r="A989" s="33"/>
      <c r="G989" s="229" t="str">
        <f>Team_Matches!$J721</f>
        <v>Round 3, Match 3</v>
      </c>
      <c r="H989" s="229"/>
      <c r="I989" s="127" t="str">
        <f>Team_Matches!$M721</f>
        <v/>
      </c>
      <c r="J989" s="127"/>
    </row>
    <row r="990" spans="1:10" ht="15.6" x14ac:dyDescent="0.3">
      <c r="A990" s="33"/>
    </row>
    <row r="991" spans="1:10" x14ac:dyDescent="0.25">
      <c r="C991" s="7" t="s">
        <v>160</v>
      </c>
      <c r="D991" s="39" t="str">
        <f>Team_Matches!$B723</f>
        <v>H</v>
      </c>
      <c r="F991" s="83" t="str">
        <f>CONCATENATE($D991,"-",$I991)</f>
        <v>H-L</v>
      </c>
      <c r="H991" s="7" t="s">
        <v>160</v>
      </c>
      <c r="I991" s="3" t="str">
        <f>Team_Matches!$K723</f>
        <v>L</v>
      </c>
    </row>
    <row r="992" spans="1:10" ht="25.5" customHeight="1" x14ac:dyDescent="0.25">
      <c r="A992" s="34"/>
      <c r="B992" s="223" t="str">
        <f>IF(VLOOKUP($D991,Draw!$A$4:$B$27,2)&lt;&gt;0,VLOOKUP($D991,Draw!$A$4:$B$27,2),"")</f>
        <v/>
      </c>
      <c r="C992" s="223"/>
      <c r="D992" s="223"/>
      <c r="E992" s="224"/>
      <c r="F992" s="35"/>
      <c r="G992" s="220" t="str">
        <f>IF(VLOOKUP($I991,Draw!$A$4:$B$27,2)&lt;&gt;0,VLOOKUP($I991,Draw!$A$4:$B$27,2),"")</f>
        <v/>
      </c>
      <c r="H992" s="220"/>
      <c r="I992" s="220"/>
      <c r="J992" s="221"/>
    </row>
    <row r="993" spans="1:10" ht="25.5" customHeight="1" x14ac:dyDescent="0.25"/>
    <row r="994" spans="1:10" ht="25.5" customHeight="1" x14ac:dyDescent="0.25"/>
    <row r="995" spans="1:10" ht="24" customHeight="1" x14ac:dyDescent="0.25">
      <c r="A995" s="9" t="s">
        <v>178</v>
      </c>
    </row>
    <row r="996" spans="1:10" ht="24" customHeight="1" x14ac:dyDescent="0.25">
      <c r="A996" s="9"/>
    </row>
    <row r="997" spans="1:10" x14ac:dyDescent="0.25">
      <c r="A997" s="9" t="s">
        <v>156</v>
      </c>
      <c r="G997" s="226" t="s">
        <v>873</v>
      </c>
      <c r="H997" s="226"/>
      <c r="I997" s="226"/>
      <c r="J997" s="226"/>
    </row>
    <row r="998" spans="1:10" ht="24" customHeight="1" x14ac:dyDescent="0.4">
      <c r="A998" s="37" t="str">
        <f>CONCATENATE($I991,"1")</f>
        <v>L1</v>
      </c>
      <c r="B998" s="222" t="str">
        <f>IF(VLOOKUP($A998,Players!$A$2:$C$132,3)&lt;&gt;0,VLOOKUP($A998,Players!$A$2:$C$132,3),"")</f>
        <v/>
      </c>
      <c r="C998" s="222"/>
      <c r="D998" s="222"/>
      <c r="E998" s="222"/>
      <c r="F998" s="222"/>
      <c r="G998" s="225" t="str">
        <f>IF(VLOOKUP($D991&amp;RIGHT($A998,1),Players!$A$2:$D$132,3)&lt;&gt;0,VLOOKUP($D991&amp;RIGHT($A998,1),Players!$A$2:$D$132,3),"")</f>
        <v/>
      </c>
      <c r="H998" s="225"/>
      <c r="I998" s="225"/>
      <c r="J998" s="168" t="str">
        <f>IF(VLOOKUP($D991&amp;RIGHT($A998,1),Players!$A$2:$D$132,3)&lt;&gt;0,"("&amp;VLOOKUP($D991&amp;RIGHT($A998,1),Players!$A$2:$D$132,4)&amp;")","")</f>
        <v/>
      </c>
    </row>
    <row r="999" spans="1:10" ht="25.5" customHeight="1" x14ac:dyDescent="0.4">
      <c r="A999" s="37" t="str">
        <f>CONCATENATE($I991,"2")</f>
        <v>L2</v>
      </c>
      <c r="B999" s="222" t="str">
        <f>IF(VLOOKUP($A999,Players!$A$2:$C$132,3)&lt;&gt;0,VLOOKUP($A999,Players!$A$2:$C$132,3),"")</f>
        <v/>
      </c>
      <c r="C999" s="222"/>
      <c r="D999" s="222"/>
      <c r="E999" s="222"/>
      <c r="F999" s="222"/>
      <c r="G999" s="225" t="str">
        <f>IF(VLOOKUP($D991&amp;RIGHT($A999,1),Players!$A$2:$D$132,3)&lt;&gt;0,VLOOKUP($D991&amp;RIGHT($A999,1),Players!$A$2:$D$132,3),"")</f>
        <v/>
      </c>
      <c r="H999" s="225"/>
      <c r="I999" s="225"/>
      <c r="J999" s="168" t="str">
        <f>IF(VLOOKUP($D991&amp;RIGHT($A999,1),Players!$A$2:$D$132,3)&lt;&gt;0,"("&amp;VLOOKUP($D991&amp;RIGHT($A999,1),Players!$A$2:$D$132,4)&amp;")","")</f>
        <v/>
      </c>
    </row>
    <row r="1000" spans="1:10" ht="25.5" customHeight="1" x14ac:dyDescent="0.4">
      <c r="A1000" s="37" t="str">
        <f>CONCATENATE($I991,"3")</f>
        <v>L3</v>
      </c>
      <c r="B1000" s="222" t="str">
        <f>IF(VLOOKUP($A1000,Players!$A$2:$C$132,3)&lt;&gt;0,VLOOKUP($A1000,Players!$A$2:$C$132,3),"")</f>
        <v/>
      </c>
      <c r="C1000" s="222"/>
      <c r="D1000" s="222"/>
      <c r="E1000" s="222"/>
      <c r="F1000" s="222"/>
      <c r="G1000" s="225" t="str">
        <f>IF(VLOOKUP($D991&amp;RIGHT($A1000,1),Players!$A$2:$D$132,3)&lt;&gt;0,VLOOKUP($D991&amp;RIGHT($A1000,1),Players!$A$2:$D$132,3),"")</f>
        <v/>
      </c>
      <c r="H1000" s="225"/>
      <c r="I1000" s="225"/>
      <c r="J1000" s="168" t="str">
        <f>IF(VLOOKUP($D991&amp;RIGHT($A1000,1),Players!$A$2:$D$132,3)&lt;&gt;0,"("&amp;VLOOKUP($D991&amp;RIGHT($A1000,1),Players!$A$2:$D$132,4)&amp;")","")</f>
        <v/>
      </c>
    </row>
    <row r="1001" spans="1:10" ht="25.5" customHeight="1" x14ac:dyDescent="0.4">
      <c r="A1001" s="37" t="str">
        <f>CONCATENATE($I991,"4")</f>
        <v>L4</v>
      </c>
      <c r="B1001" s="222" t="str">
        <f>IF(VLOOKUP($A1001,Players!$A$2:$C$132,3)&lt;&gt;0,VLOOKUP($A1001,Players!$A$2:$C$132,3),"")</f>
        <v/>
      </c>
      <c r="C1001" s="222"/>
      <c r="D1001" s="222"/>
      <c r="E1001" s="222"/>
      <c r="F1001" s="222"/>
      <c r="G1001" s="225" t="str">
        <f>IF(VLOOKUP($D991&amp;RIGHT($A1001,1),Players!$A$2:$D$132,3)&lt;&gt;0,VLOOKUP($D991&amp;RIGHT($A1001,1),Players!$A$2:$D$132,3),"")</f>
        <v/>
      </c>
      <c r="H1001" s="225"/>
      <c r="I1001" s="225"/>
      <c r="J1001" s="168" t="str">
        <f>IF(VLOOKUP($D991&amp;RIGHT($A1001,1),Players!$A$2:$D$132,3)&lt;&gt;0,"("&amp;VLOOKUP($D991&amp;RIGHT($A1001,1),Players!$A$2:$D$132,4)&amp;")","")</f>
        <v/>
      </c>
    </row>
    <row r="1002" spans="1:10" ht="25.5" customHeight="1" x14ac:dyDescent="0.4">
      <c r="A1002" s="37" t="str">
        <f>CONCATENATE($I991,"5")</f>
        <v>L5</v>
      </c>
      <c r="B1002" s="222" t="str">
        <f>IF(VLOOKUP($A1002,Players!$A$2:$C$132,3)&lt;&gt;0,VLOOKUP($A1002,Players!$A$2:$C$132,3),"")</f>
        <v/>
      </c>
      <c r="C1002" s="222"/>
      <c r="D1002" s="222"/>
      <c r="E1002" s="222"/>
      <c r="F1002" s="222"/>
      <c r="G1002" s="225" t="str">
        <f>IF(VLOOKUP($D991&amp;RIGHT($A1002,1),Players!$A$2:$D$132,3)&lt;&gt;0,VLOOKUP($D991&amp;RIGHT($A1002,1),Players!$A$2:$D$132,3),"")</f>
        <v/>
      </c>
      <c r="H1002" s="225"/>
      <c r="I1002" s="225"/>
      <c r="J1002" s="168" t="str">
        <f>IF(VLOOKUP($D991&amp;RIGHT($A1002,1),Players!$A$2:$D$132,3)&lt;&gt;0,"("&amp;VLOOKUP($D991&amp;RIGHT($A1002,1),Players!$A$2:$D$132,4)&amp;")","")</f>
        <v/>
      </c>
    </row>
    <row r="1003" spans="1:10" ht="25.5" customHeight="1" x14ac:dyDescent="0.4">
      <c r="A1003" s="37" t="str">
        <f>CONCATENATE($I991,"6")</f>
        <v>L6</v>
      </c>
      <c r="B1003" s="222" t="str">
        <f>IF(VLOOKUP($A1003,Players!$A$2:$C$132,3)&lt;&gt;0,VLOOKUP($A1003,Players!$A$2:$C$132,3),"")</f>
        <v/>
      </c>
      <c r="C1003" s="222"/>
      <c r="D1003" s="222"/>
      <c r="E1003" s="222"/>
      <c r="F1003" s="222"/>
      <c r="G1003" s="225" t="str">
        <f>IF(VLOOKUP($D991&amp;RIGHT($A1003,1),Players!$A$2:$D$132,3)&lt;&gt;0,VLOOKUP($D991&amp;RIGHT($A1003,1),Players!$A$2:$D$132,3),"")</f>
        <v/>
      </c>
      <c r="H1003" s="225"/>
      <c r="I1003" s="225"/>
      <c r="J1003" s="168" t="str">
        <f>IF(VLOOKUP($D991&amp;RIGHT($A1003,1),Players!$A$2:$D$132,3)&lt;&gt;0,"("&amp;VLOOKUP($D991&amp;RIGHT($A1003,1),Players!$A$2:$D$132,4)&amp;")","")</f>
        <v/>
      </c>
    </row>
    <row r="1004" spans="1:10" ht="25.5" customHeight="1" x14ac:dyDescent="0.4">
      <c r="A1004" s="37" t="str">
        <f>CONCATENATE($I991,"7")</f>
        <v>L7</v>
      </c>
      <c r="B1004" s="222" t="str">
        <f>IF(VLOOKUP($A1004,Players!$A$2:$C$132,3)&lt;&gt;0,VLOOKUP($A1004,Players!$A$2:$C$132,3),"")</f>
        <v/>
      </c>
      <c r="C1004" s="222"/>
      <c r="D1004" s="222"/>
      <c r="E1004" s="222"/>
      <c r="F1004" s="222"/>
      <c r="G1004" s="225" t="str">
        <f>IF(VLOOKUP($D991&amp;RIGHT($A1004,1),Players!$A$2:$D$132,3)&lt;&gt;0,VLOOKUP($D991&amp;RIGHT($A1004,1),Players!$A$2:$D$132,3),"")</f>
        <v/>
      </c>
      <c r="H1004" s="225"/>
      <c r="I1004" s="225"/>
      <c r="J1004" s="168" t="str">
        <f>IF(VLOOKUP($D991&amp;RIGHT($A1004,1),Players!$A$2:$D$132,3)&lt;&gt;0,"("&amp;VLOOKUP($D991&amp;RIGHT($A1004,1),Players!$A$2:$D$132,4)&amp;")","")</f>
        <v/>
      </c>
    </row>
    <row r="1005" spans="1:10" ht="25.5" customHeight="1" x14ac:dyDescent="0.4">
      <c r="A1005" s="37" t="str">
        <f>CONCATENATE($I991,"8")</f>
        <v>L8</v>
      </c>
      <c r="B1005" s="222" t="str">
        <f>IF(VLOOKUP($A1005,Players!$A$2:$C$132,3)&lt;&gt;0,VLOOKUP($A1005,Players!$A$2:$C$132,3),"")</f>
        <v/>
      </c>
      <c r="C1005" s="222"/>
      <c r="D1005" s="222"/>
      <c r="E1005" s="222"/>
      <c r="F1005" s="222"/>
      <c r="G1005" s="225" t="str">
        <f>IF(VLOOKUP($D991&amp;RIGHT($A1005,1),Players!$A$2:$D$132,3)&lt;&gt;0,VLOOKUP($D991&amp;RIGHT($A1005,1),Players!$A$2:$D$132,3),"")</f>
        <v/>
      </c>
      <c r="H1005" s="225"/>
      <c r="I1005" s="225"/>
      <c r="J1005" s="168" t="str">
        <f>IF(VLOOKUP($D991&amp;RIGHT($A1005,1),Players!$A$2:$D$132,3)&lt;&gt;0,"("&amp;VLOOKUP($D991&amp;RIGHT($A1005,1),Players!$A$2:$D$132,4)&amp;")","")</f>
        <v/>
      </c>
    </row>
    <row r="1006" spans="1:10" ht="25.5" customHeight="1" x14ac:dyDescent="0.25">
      <c r="A1006" s="37"/>
      <c r="B1006" s="7"/>
      <c r="C1006" s="7"/>
      <c r="D1006" s="7"/>
      <c r="E1006" s="7"/>
    </row>
    <row r="1007" spans="1:10" x14ac:dyDescent="0.25">
      <c r="A1007" s="9" t="s">
        <v>157</v>
      </c>
    </row>
    <row r="1008" spans="1:10" x14ac:dyDescent="0.25">
      <c r="A1008" t="s">
        <v>179</v>
      </c>
    </row>
    <row r="1009" spans="1:10" x14ac:dyDescent="0.25">
      <c r="A1009" s="55" t="s">
        <v>918</v>
      </c>
    </row>
    <row r="1010" spans="1:10" x14ac:dyDescent="0.25">
      <c r="A1010" t="s">
        <v>919</v>
      </c>
    </row>
    <row r="1011" spans="1:10" ht="25.5" customHeight="1" thickBot="1" x14ac:dyDescent="0.3">
      <c r="A1011" s="37"/>
    </row>
    <row r="1012" spans="1:10" x14ac:dyDescent="0.25">
      <c r="B1012" s="213"/>
      <c r="C1012" s="214"/>
      <c r="D1012" s="214"/>
      <c r="E1012" s="214"/>
      <c r="F1012" s="215"/>
    </row>
    <row r="1013" spans="1:10" ht="13.8" thickBot="1" x14ac:dyDescent="0.3">
      <c r="B1013" s="216"/>
      <c r="C1013" s="217"/>
      <c r="D1013" s="217"/>
      <c r="E1013" s="217"/>
      <c r="F1013" s="218"/>
    </row>
    <row r="1017" spans="1:10" ht="25.5" customHeight="1" x14ac:dyDescent="0.25">
      <c r="A1017" s="36"/>
      <c r="B1017" s="36"/>
      <c r="C1017" s="36"/>
      <c r="D1017" s="36"/>
      <c r="E1017" s="36"/>
      <c r="G1017" s="38"/>
      <c r="H1017" s="227" t="s">
        <v>159</v>
      </c>
      <c r="I1017" s="228"/>
    </row>
    <row r="1018" spans="1:10" x14ac:dyDescent="0.25">
      <c r="A1018" t="s">
        <v>158</v>
      </c>
    </row>
    <row r="1020" spans="1:10" x14ac:dyDescent="0.25">
      <c r="E1020" s="219" t="str">
        <f>CONCATENATE("(",$D991," vs ",$I991,")")</f>
        <v>(H vs L)</v>
      </c>
      <c r="F1020" s="219"/>
    </row>
    <row r="1021" spans="1:10" ht="15.6" x14ac:dyDescent="0.3">
      <c r="A1021" s="33" t="s">
        <v>155</v>
      </c>
      <c r="J1021" s="82" t="s">
        <v>501</v>
      </c>
    </row>
    <row r="1022" spans="1:10" ht="12.75" customHeight="1" x14ac:dyDescent="0.3">
      <c r="A1022" s="33"/>
      <c r="G1022" t="str">
        <f ca="1">Team_Matches!$J$6</f>
        <v>[NCTTA Teams Template (v3.4).xlsx]</v>
      </c>
      <c r="J1022" s="55"/>
    </row>
    <row r="1023" spans="1:10" ht="12.75" customHeight="1" x14ac:dyDescent="0.3">
      <c r="A1023" s="33"/>
      <c r="G1023" s="229" t="str">
        <f>Team_Matches!$J772</f>
        <v>Round 3, Match 4</v>
      </c>
      <c r="H1023" s="229"/>
      <c r="I1023" s="127" t="str">
        <f>Team_Matches!$M772</f>
        <v/>
      </c>
      <c r="J1023" s="127"/>
    </row>
    <row r="1024" spans="1:10" ht="15.6" x14ac:dyDescent="0.3">
      <c r="A1024" s="33"/>
    </row>
    <row r="1025" spans="1:10" x14ac:dyDescent="0.25">
      <c r="C1025" s="7" t="s">
        <v>160</v>
      </c>
      <c r="D1025" s="39" t="str">
        <f>Team_Matches!$B774</f>
        <v>B</v>
      </c>
      <c r="F1025" s="83" t="str">
        <f>CONCATENATE($D1025,"-",$I1025)</f>
        <v>B-G</v>
      </c>
      <c r="H1025" s="7" t="s">
        <v>160</v>
      </c>
      <c r="I1025" s="3" t="str">
        <f>Team_Matches!$K774</f>
        <v>G</v>
      </c>
    </row>
    <row r="1026" spans="1:10" ht="25.5" customHeight="1" x14ac:dyDescent="0.25">
      <c r="A1026" s="34"/>
      <c r="B1026" s="220" t="str">
        <f>IF(VLOOKUP($D1025,Draw!$A$4:$B$27,2)&lt;&gt;0,VLOOKUP($D1025,Draw!$A$4:$B$27,2),"")</f>
        <v/>
      </c>
      <c r="C1026" s="220"/>
      <c r="D1026" s="220"/>
      <c r="E1026" s="221"/>
      <c r="F1026" s="35"/>
      <c r="G1026" s="223" t="str">
        <f>IF(VLOOKUP($I1025,Draw!$A$4:$B$27,2)&lt;&gt;0,VLOOKUP($I1025,Draw!$A$4:$B$27,2),"")</f>
        <v/>
      </c>
      <c r="H1026" s="223"/>
      <c r="I1026" s="223"/>
      <c r="J1026" s="224"/>
    </row>
    <row r="1027" spans="1:10" ht="25.5" customHeight="1" x14ac:dyDescent="0.25"/>
    <row r="1028" spans="1:10" ht="25.5" customHeight="1" x14ac:dyDescent="0.25"/>
    <row r="1029" spans="1:10" ht="24" customHeight="1" x14ac:dyDescent="0.25">
      <c r="A1029" s="9" t="s">
        <v>178</v>
      </c>
    </row>
    <row r="1030" spans="1:10" ht="24" customHeight="1" x14ac:dyDescent="0.25">
      <c r="A1030" s="9"/>
    </row>
    <row r="1031" spans="1:10" x14ac:dyDescent="0.25">
      <c r="A1031" s="9" t="s">
        <v>156</v>
      </c>
      <c r="G1031" s="226" t="s">
        <v>873</v>
      </c>
      <c r="H1031" s="226"/>
      <c r="I1031" s="226"/>
      <c r="J1031" s="226"/>
    </row>
    <row r="1032" spans="1:10" ht="24" customHeight="1" x14ac:dyDescent="0.4">
      <c r="A1032" s="37" t="str">
        <f>CONCATENATE($D1025,"1")</f>
        <v>B1</v>
      </c>
      <c r="B1032" s="222" t="str">
        <f>IF(VLOOKUP($A1032,Players!$A$2:$C$132,3)&lt;&gt;0,VLOOKUP($A1032,Players!$A$2:$C$132,3),"")</f>
        <v/>
      </c>
      <c r="C1032" s="222"/>
      <c r="D1032" s="222"/>
      <c r="E1032" s="222"/>
      <c r="F1032" s="222"/>
      <c r="G1032" s="225" t="str">
        <f>IF(VLOOKUP($I1025&amp;RIGHT($A1032,1),Players!$A$2:$D$132,3)&lt;&gt;0,VLOOKUP($I1025&amp;RIGHT($A1032,1),Players!$A$2:$D$132,3),"")</f>
        <v/>
      </c>
      <c r="H1032" s="225"/>
      <c r="I1032" s="225"/>
      <c r="J1032" s="168" t="str">
        <f>IF(VLOOKUP($I1025&amp;RIGHT($A1032,1),Players!$A$2:$D$132,3)&lt;&gt;0,"("&amp;VLOOKUP($I1025&amp;RIGHT($A1032,1),Players!$A$2:$D$132,4)&amp;")","")</f>
        <v/>
      </c>
    </row>
    <row r="1033" spans="1:10" ht="25.5" customHeight="1" x14ac:dyDescent="0.4">
      <c r="A1033" s="37" t="str">
        <f>CONCATENATE($D1025,"2")</f>
        <v>B2</v>
      </c>
      <c r="B1033" s="222" t="str">
        <f>IF(VLOOKUP($A1033,Players!$A$2:$C$132,3)&lt;&gt;0,VLOOKUP($A1033,Players!$A$2:$C$132,3),"")</f>
        <v/>
      </c>
      <c r="C1033" s="222"/>
      <c r="D1033" s="222"/>
      <c r="E1033" s="222"/>
      <c r="F1033" s="222"/>
      <c r="G1033" s="225" t="str">
        <f>IF(VLOOKUP($I1025&amp;RIGHT($A1033,1),Players!$A$2:$D$132,3)&lt;&gt;0,VLOOKUP($I1025&amp;RIGHT($A1033,1),Players!$A$2:$D$132,3),"")</f>
        <v/>
      </c>
      <c r="H1033" s="225"/>
      <c r="I1033" s="225"/>
      <c r="J1033" s="168" t="str">
        <f>IF(VLOOKUP($I1025&amp;RIGHT($A1033,1),Players!$A$2:$D$132,3)&lt;&gt;0,"("&amp;VLOOKUP($I1025&amp;RIGHT($A1033,1),Players!$A$2:$D$132,4)&amp;")","")</f>
        <v/>
      </c>
    </row>
    <row r="1034" spans="1:10" ht="25.5" customHeight="1" x14ac:dyDescent="0.4">
      <c r="A1034" s="37" t="str">
        <f>CONCATENATE($D1025,"3")</f>
        <v>B3</v>
      </c>
      <c r="B1034" s="222" t="str">
        <f>IF(VLOOKUP($A1034,Players!$A$2:$C$132,3)&lt;&gt;0,VLOOKUP($A1034,Players!$A$2:$C$132,3),"")</f>
        <v/>
      </c>
      <c r="C1034" s="222"/>
      <c r="D1034" s="222"/>
      <c r="E1034" s="222"/>
      <c r="F1034" s="222"/>
      <c r="G1034" s="225" t="str">
        <f>IF(VLOOKUP($I1025&amp;RIGHT($A1034,1),Players!$A$2:$D$132,3)&lt;&gt;0,VLOOKUP($I1025&amp;RIGHT($A1034,1),Players!$A$2:$D$132,3),"")</f>
        <v/>
      </c>
      <c r="H1034" s="225"/>
      <c r="I1034" s="225"/>
      <c r="J1034" s="168" t="str">
        <f>IF(VLOOKUP($I1025&amp;RIGHT($A1034,1),Players!$A$2:$D$132,3)&lt;&gt;0,"("&amp;VLOOKUP($I1025&amp;RIGHT($A1034,1),Players!$A$2:$D$132,4)&amp;")","")</f>
        <v/>
      </c>
    </row>
    <row r="1035" spans="1:10" ht="25.5" customHeight="1" x14ac:dyDescent="0.4">
      <c r="A1035" s="37" t="str">
        <f>CONCATENATE($D1025,"4")</f>
        <v>B4</v>
      </c>
      <c r="B1035" s="222" t="str">
        <f>IF(VLOOKUP($A1035,Players!$A$2:$C$132,3)&lt;&gt;0,VLOOKUP($A1035,Players!$A$2:$C$132,3),"")</f>
        <v/>
      </c>
      <c r="C1035" s="222"/>
      <c r="D1035" s="222"/>
      <c r="E1035" s="222"/>
      <c r="F1035" s="222"/>
      <c r="G1035" s="225" t="str">
        <f>IF(VLOOKUP($I1025&amp;RIGHT($A1035,1),Players!$A$2:$D$132,3)&lt;&gt;0,VLOOKUP($I1025&amp;RIGHT($A1035,1),Players!$A$2:$D$132,3),"")</f>
        <v/>
      </c>
      <c r="H1035" s="225"/>
      <c r="I1035" s="225"/>
      <c r="J1035" s="168" t="str">
        <f>IF(VLOOKUP($I1025&amp;RIGHT($A1035,1),Players!$A$2:$D$132,3)&lt;&gt;0,"("&amp;VLOOKUP($I1025&amp;RIGHT($A1035,1),Players!$A$2:$D$132,4)&amp;")","")</f>
        <v/>
      </c>
    </row>
    <row r="1036" spans="1:10" ht="25.5" customHeight="1" x14ac:dyDescent="0.4">
      <c r="A1036" s="37" t="str">
        <f>CONCATENATE($D1025,"5")</f>
        <v>B5</v>
      </c>
      <c r="B1036" s="222" t="str">
        <f>IF(VLOOKUP($A1036,Players!$A$2:$C$132,3)&lt;&gt;0,VLOOKUP($A1036,Players!$A$2:$C$132,3),"")</f>
        <v/>
      </c>
      <c r="C1036" s="222"/>
      <c r="D1036" s="222"/>
      <c r="E1036" s="222"/>
      <c r="F1036" s="222"/>
      <c r="G1036" s="225" t="str">
        <f>IF(VLOOKUP($I1025&amp;RIGHT($A1036,1),Players!$A$2:$D$132,3)&lt;&gt;0,VLOOKUP($I1025&amp;RIGHT($A1036,1),Players!$A$2:$D$132,3),"")</f>
        <v/>
      </c>
      <c r="H1036" s="225"/>
      <c r="I1036" s="225"/>
      <c r="J1036" s="168" t="str">
        <f>IF(VLOOKUP($I1025&amp;RIGHT($A1036,1),Players!$A$2:$D$132,3)&lt;&gt;0,"("&amp;VLOOKUP($I1025&amp;RIGHT($A1036,1),Players!$A$2:$D$132,4)&amp;")","")</f>
        <v/>
      </c>
    </row>
    <row r="1037" spans="1:10" ht="25.5" customHeight="1" x14ac:dyDescent="0.4">
      <c r="A1037" s="37" t="str">
        <f>CONCATENATE($D1025,"6")</f>
        <v>B6</v>
      </c>
      <c r="B1037" s="222" t="str">
        <f>IF(VLOOKUP($A1037,Players!$A$2:$C$132,3)&lt;&gt;0,VLOOKUP($A1037,Players!$A$2:$C$132,3),"")</f>
        <v/>
      </c>
      <c r="C1037" s="222"/>
      <c r="D1037" s="222"/>
      <c r="E1037" s="222"/>
      <c r="F1037" s="222"/>
      <c r="G1037" s="225" t="str">
        <f>IF(VLOOKUP($I1025&amp;RIGHT($A1037,1),Players!$A$2:$D$132,3)&lt;&gt;0,VLOOKUP($I1025&amp;RIGHT($A1037,1),Players!$A$2:$D$132,3),"")</f>
        <v/>
      </c>
      <c r="H1037" s="225"/>
      <c r="I1037" s="225"/>
      <c r="J1037" s="168" t="str">
        <f>IF(VLOOKUP($I1025&amp;RIGHT($A1037,1),Players!$A$2:$D$132,3)&lt;&gt;0,"("&amp;VLOOKUP($I1025&amp;RIGHT($A1037,1),Players!$A$2:$D$132,4)&amp;")","")</f>
        <v/>
      </c>
    </row>
    <row r="1038" spans="1:10" ht="25.5" customHeight="1" x14ac:dyDescent="0.4">
      <c r="A1038" s="37" t="str">
        <f>CONCATENATE($D1025,"7")</f>
        <v>B7</v>
      </c>
      <c r="B1038" s="222" t="str">
        <f>IF(VLOOKUP($A1038,Players!$A$2:$C$132,3)&lt;&gt;0,VLOOKUP($A1038,Players!$A$2:$C$132,3),"")</f>
        <v/>
      </c>
      <c r="C1038" s="222"/>
      <c r="D1038" s="222"/>
      <c r="E1038" s="222"/>
      <c r="F1038" s="222"/>
      <c r="G1038" s="225" t="str">
        <f>IF(VLOOKUP($I1025&amp;RIGHT($A1038,1),Players!$A$2:$D$132,3)&lt;&gt;0,VLOOKUP($I1025&amp;RIGHT($A1038,1),Players!$A$2:$D$132,3),"")</f>
        <v/>
      </c>
      <c r="H1038" s="225"/>
      <c r="I1038" s="225"/>
      <c r="J1038" s="168" t="str">
        <f>IF(VLOOKUP($I1025&amp;RIGHT($A1038,1),Players!$A$2:$D$132,3)&lt;&gt;0,"("&amp;VLOOKUP($I1025&amp;RIGHT($A1038,1),Players!$A$2:$D$132,4)&amp;")","")</f>
        <v/>
      </c>
    </row>
    <row r="1039" spans="1:10" ht="25.5" customHeight="1" x14ac:dyDescent="0.4">
      <c r="A1039" s="37" t="str">
        <f>CONCATENATE($D1025,"8")</f>
        <v>B8</v>
      </c>
      <c r="B1039" s="222" t="str">
        <f>IF(VLOOKUP($A1039,Players!$A$2:$C$132,3)&lt;&gt;0,VLOOKUP($A1039,Players!$A$2:$C$132,3),"")</f>
        <v/>
      </c>
      <c r="C1039" s="222"/>
      <c r="D1039" s="222"/>
      <c r="E1039" s="222"/>
      <c r="F1039" s="222"/>
      <c r="G1039" s="225" t="str">
        <f>IF(VLOOKUP($I1025&amp;RIGHT($A1039,1),Players!$A$2:$D$132,3)&lt;&gt;0,VLOOKUP($I1025&amp;RIGHT($A1039,1),Players!$A$2:$D$132,3),"")</f>
        <v/>
      </c>
      <c r="H1039" s="225"/>
      <c r="I1039" s="225"/>
      <c r="J1039" s="168" t="str">
        <f>IF(VLOOKUP($I1025&amp;RIGHT($A1039,1),Players!$A$2:$D$132,3)&lt;&gt;0,"("&amp;VLOOKUP($I1025&amp;RIGHT($A1039,1),Players!$A$2:$D$132,4)&amp;")","")</f>
        <v/>
      </c>
    </row>
    <row r="1040" spans="1:10" ht="25.5" customHeight="1" x14ac:dyDescent="0.25">
      <c r="A1040" s="37"/>
      <c r="B1040" s="7"/>
      <c r="C1040" s="7"/>
      <c r="D1040" s="7"/>
      <c r="E1040" s="7"/>
    </row>
    <row r="1041" spans="1:10" x14ac:dyDescent="0.25">
      <c r="A1041" s="9" t="s">
        <v>157</v>
      </c>
    </row>
    <row r="1042" spans="1:10" x14ac:dyDescent="0.25">
      <c r="A1042" t="s">
        <v>179</v>
      </c>
    </row>
    <row r="1043" spans="1:10" x14ac:dyDescent="0.25">
      <c r="A1043" s="55" t="s">
        <v>918</v>
      </c>
    </row>
    <row r="1044" spans="1:10" x14ac:dyDescent="0.25">
      <c r="A1044" t="s">
        <v>919</v>
      </c>
    </row>
    <row r="1045" spans="1:10" ht="25.5" customHeight="1" thickBot="1" x14ac:dyDescent="0.3">
      <c r="A1045" s="37"/>
    </row>
    <row r="1046" spans="1:10" x14ac:dyDescent="0.25">
      <c r="B1046" s="213"/>
      <c r="C1046" s="214"/>
      <c r="D1046" s="214"/>
      <c r="E1046" s="214"/>
      <c r="F1046" s="215"/>
    </row>
    <row r="1047" spans="1:10" ht="13.8" thickBot="1" x14ac:dyDescent="0.3">
      <c r="B1047" s="216"/>
      <c r="C1047" s="217"/>
      <c r="D1047" s="217"/>
      <c r="E1047" s="217"/>
      <c r="F1047" s="218"/>
    </row>
    <row r="1051" spans="1:10" ht="25.5" customHeight="1" x14ac:dyDescent="0.25">
      <c r="A1051" s="36"/>
      <c r="B1051" s="36"/>
      <c r="C1051" s="36"/>
      <c r="D1051" s="36"/>
      <c r="E1051" s="36"/>
      <c r="G1051" s="38"/>
      <c r="H1051" s="227" t="s">
        <v>159</v>
      </c>
      <c r="I1051" s="228"/>
    </row>
    <row r="1052" spans="1:10" x14ac:dyDescent="0.25">
      <c r="A1052" t="s">
        <v>158</v>
      </c>
    </row>
    <row r="1054" spans="1:10" x14ac:dyDescent="0.25">
      <c r="E1054" s="219" t="str">
        <f>CONCATENATE("(",$D1025," vs ",$I1025,")")</f>
        <v>(B vs G)</v>
      </c>
      <c r="F1054" s="219"/>
    </row>
    <row r="1055" spans="1:10" ht="15.6" x14ac:dyDescent="0.3">
      <c r="A1055" s="33" t="s">
        <v>155</v>
      </c>
      <c r="J1055" s="82" t="s">
        <v>502</v>
      </c>
    </row>
    <row r="1056" spans="1:10" ht="12.75" customHeight="1" x14ac:dyDescent="0.3">
      <c r="A1056" s="33"/>
      <c r="G1056" t="str">
        <f ca="1">Team_Matches!$J$6</f>
        <v>[NCTTA Teams Template (v3.4).xlsx]</v>
      </c>
      <c r="J1056" s="55"/>
    </row>
    <row r="1057" spans="1:10" ht="12.75" customHeight="1" x14ac:dyDescent="0.3">
      <c r="A1057" s="33"/>
      <c r="G1057" s="229" t="str">
        <f>Team_Matches!$J772</f>
        <v>Round 3, Match 4</v>
      </c>
      <c r="H1057" s="229"/>
      <c r="I1057" s="127" t="str">
        <f>Team_Matches!$M772</f>
        <v/>
      </c>
      <c r="J1057" s="127"/>
    </row>
    <row r="1058" spans="1:10" ht="15.6" x14ac:dyDescent="0.3">
      <c r="A1058" s="33"/>
    </row>
    <row r="1059" spans="1:10" x14ac:dyDescent="0.25">
      <c r="C1059" s="7" t="s">
        <v>160</v>
      </c>
      <c r="D1059" s="39" t="str">
        <f>Team_Matches!$B774</f>
        <v>B</v>
      </c>
      <c r="F1059" s="83" t="str">
        <f>CONCATENATE($D1059,"-",$I1059)</f>
        <v>B-G</v>
      </c>
      <c r="H1059" s="7" t="s">
        <v>160</v>
      </c>
      <c r="I1059" s="3" t="str">
        <f>Team_Matches!$K774</f>
        <v>G</v>
      </c>
    </row>
    <row r="1060" spans="1:10" ht="25.5" customHeight="1" x14ac:dyDescent="0.25">
      <c r="A1060" s="34"/>
      <c r="B1060" s="223" t="str">
        <f>IF(VLOOKUP($D1059,Draw!$A$4:$B$27,2)&lt;&gt;0,VLOOKUP($D1059,Draw!$A$4:$B$27,2),"")</f>
        <v/>
      </c>
      <c r="C1060" s="223"/>
      <c r="D1060" s="223"/>
      <c r="E1060" s="224"/>
      <c r="F1060" s="35"/>
      <c r="G1060" s="220" t="str">
        <f>IF(VLOOKUP($I1059,Draw!$A$4:$B$27,2)&lt;&gt;0,VLOOKUP($I1059,Draw!$A$4:$B$27,2),"")</f>
        <v/>
      </c>
      <c r="H1060" s="220"/>
      <c r="I1060" s="220"/>
      <c r="J1060" s="221"/>
    </row>
    <row r="1061" spans="1:10" ht="25.5" customHeight="1" x14ac:dyDescent="0.25"/>
    <row r="1062" spans="1:10" ht="25.5" customHeight="1" x14ac:dyDescent="0.25"/>
    <row r="1063" spans="1:10" ht="24" customHeight="1" x14ac:dyDescent="0.25">
      <c r="A1063" s="9" t="s">
        <v>178</v>
      </c>
    </row>
    <row r="1064" spans="1:10" ht="24" customHeight="1" x14ac:dyDescent="0.25">
      <c r="A1064" s="9"/>
    </row>
    <row r="1065" spans="1:10" x14ac:dyDescent="0.25">
      <c r="A1065" s="9" t="s">
        <v>156</v>
      </c>
      <c r="G1065" s="226" t="s">
        <v>873</v>
      </c>
      <c r="H1065" s="226"/>
      <c r="I1065" s="226"/>
      <c r="J1065" s="226"/>
    </row>
    <row r="1066" spans="1:10" ht="24" customHeight="1" x14ac:dyDescent="0.4">
      <c r="A1066" s="37" t="str">
        <f>CONCATENATE($I1059,"1")</f>
        <v>G1</v>
      </c>
      <c r="B1066" s="222" t="str">
        <f>IF(VLOOKUP($A1066,Players!$A$2:$C$132,3)&lt;&gt;0,VLOOKUP($A1066,Players!$A$2:$C$132,3),"")</f>
        <v/>
      </c>
      <c r="C1066" s="222"/>
      <c r="D1066" s="222"/>
      <c r="E1066" s="222"/>
      <c r="F1066" s="222"/>
      <c r="G1066" s="225" t="str">
        <f>IF(VLOOKUP($D1059&amp;RIGHT($A1066,1),Players!$A$2:$D$132,3)&lt;&gt;0,VLOOKUP($D1059&amp;RIGHT($A1066,1),Players!$A$2:$D$132,3),"")</f>
        <v/>
      </c>
      <c r="H1066" s="225"/>
      <c r="I1066" s="225"/>
      <c r="J1066" s="168" t="str">
        <f>IF(VLOOKUP($D1059&amp;RIGHT($A1066,1),Players!$A$2:$D$132,3)&lt;&gt;0,"("&amp;VLOOKUP($D1059&amp;RIGHT($A1066,1),Players!$A$2:$D$132,4)&amp;")","")</f>
        <v/>
      </c>
    </row>
    <row r="1067" spans="1:10" ht="25.5" customHeight="1" x14ac:dyDescent="0.4">
      <c r="A1067" s="37" t="str">
        <f>CONCATENATE($I1059,"2")</f>
        <v>G2</v>
      </c>
      <c r="B1067" s="222" t="str">
        <f>IF(VLOOKUP($A1067,Players!$A$2:$C$132,3)&lt;&gt;0,VLOOKUP($A1067,Players!$A$2:$C$132,3),"")</f>
        <v/>
      </c>
      <c r="C1067" s="222"/>
      <c r="D1067" s="222"/>
      <c r="E1067" s="222"/>
      <c r="F1067" s="222"/>
      <c r="G1067" s="225" t="str">
        <f>IF(VLOOKUP($D1059&amp;RIGHT($A1067,1),Players!$A$2:$D$132,3)&lt;&gt;0,VLOOKUP($D1059&amp;RIGHT($A1067,1),Players!$A$2:$D$132,3),"")</f>
        <v/>
      </c>
      <c r="H1067" s="225"/>
      <c r="I1067" s="225"/>
      <c r="J1067" s="168" t="str">
        <f>IF(VLOOKUP($D1059&amp;RIGHT($A1067,1),Players!$A$2:$D$132,3)&lt;&gt;0,"("&amp;VLOOKUP($D1059&amp;RIGHT($A1067,1),Players!$A$2:$D$132,4)&amp;")","")</f>
        <v/>
      </c>
    </row>
    <row r="1068" spans="1:10" ht="25.5" customHeight="1" x14ac:dyDescent="0.4">
      <c r="A1068" s="37" t="str">
        <f>CONCATENATE($I1059,"3")</f>
        <v>G3</v>
      </c>
      <c r="B1068" s="222" t="str">
        <f>IF(VLOOKUP($A1068,Players!$A$2:$C$132,3)&lt;&gt;0,VLOOKUP($A1068,Players!$A$2:$C$132,3),"")</f>
        <v/>
      </c>
      <c r="C1068" s="222"/>
      <c r="D1068" s="222"/>
      <c r="E1068" s="222"/>
      <c r="F1068" s="222"/>
      <c r="G1068" s="225" t="str">
        <f>IF(VLOOKUP($D1059&amp;RIGHT($A1068,1),Players!$A$2:$D$132,3)&lt;&gt;0,VLOOKUP($D1059&amp;RIGHT($A1068,1),Players!$A$2:$D$132,3),"")</f>
        <v/>
      </c>
      <c r="H1068" s="225"/>
      <c r="I1068" s="225"/>
      <c r="J1068" s="168" t="str">
        <f>IF(VLOOKUP($D1059&amp;RIGHT($A1068,1),Players!$A$2:$D$132,3)&lt;&gt;0,"("&amp;VLOOKUP($D1059&amp;RIGHT($A1068,1),Players!$A$2:$D$132,4)&amp;")","")</f>
        <v/>
      </c>
    </row>
    <row r="1069" spans="1:10" ht="25.5" customHeight="1" x14ac:dyDescent="0.4">
      <c r="A1069" s="37" t="str">
        <f>CONCATENATE($I1059,"4")</f>
        <v>G4</v>
      </c>
      <c r="B1069" s="222" t="str">
        <f>IF(VLOOKUP($A1069,Players!$A$2:$C$132,3)&lt;&gt;0,VLOOKUP($A1069,Players!$A$2:$C$132,3),"")</f>
        <v/>
      </c>
      <c r="C1069" s="222"/>
      <c r="D1069" s="222"/>
      <c r="E1069" s="222"/>
      <c r="F1069" s="222"/>
      <c r="G1069" s="225" t="str">
        <f>IF(VLOOKUP($D1059&amp;RIGHT($A1069,1),Players!$A$2:$D$132,3)&lt;&gt;0,VLOOKUP($D1059&amp;RIGHT($A1069,1),Players!$A$2:$D$132,3),"")</f>
        <v/>
      </c>
      <c r="H1069" s="225"/>
      <c r="I1069" s="225"/>
      <c r="J1069" s="168" t="str">
        <f>IF(VLOOKUP($D1059&amp;RIGHT($A1069,1),Players!$A$2:$D$132,3)&lt;&gt;0,"("&amp;VLOOKUP($D1059&amp;RIGHT($A1069,1),Players!$A$2:$D$132,4)&amp;")","")</f>
        <v/>
      </c>
    </row>
    <row r="1070" spans="1:10" ht="25.5" customHeight="1" x14ac:dyDescent="0.4">
      <c r="A1070" s="37" t="str">
        <f>CONCATENATE($I1059,"5")</f>
        <v>G5</v>
      </c>
      <c r="B1070" s="222" t="str">
        <f>IF(VLOOKUP($A1070,Players!$A$2:$C$132,3)&lt;&gt;0,VLOOKUP($A1070,Players!$A$2:$C$132,3),"")</f>
        <v/>
      </c>
      <c r="C1070" s="222"/>
      <c r="D1070" s="222"/>
      <c r="E1070" s="222"/>
      <c r="F1070" s="222"/>
      <c r="G1070" s="225" t="str">
        <f>IF(VLOOKUP($D1059&amp;RIGHT($A1070,1),Players!$A$2:$D$132,3)&lt;&gt;0,VLOOKUP($D1059&amp;RIGHT($A1070,1),Players!$A$2:$D$132,3),"")</f>
        <v/>
      </c>
      <c r="H1070" s="225"/>
      <c r="I1070" s="225"/>
      <c r="J1070" s="168" t="str">
        <f>IF(VLOOKUP($D1059&amp;RIGHT($A1070,1),Players!$A$2:$D$132,3)&lt;&gt;0,"("&amp;VLOOKUP($D1059&amp;RIGHT($A1070,1),Players!$A$2:$D$132,4)&amp;")","")</f>
        <v/>
      </c>
    </row>
    <row r="1071" spans="1:10" ht="25.5" customHeight="1" x14ac:dyDescent="0.4">
      <c r="A1071" s="37" t="str">
        <f>CONCATENATE($I1059,"6")</f>
        <v>G6</v>
      </c>
      <c r="B1071" s="222" t="str">
        <f>IF(VLOOKUP($A1071,Players!$A$2:$C$132,3)&lt;&gt;0,VLOOKUP($A1071,Players!$A$2:$C$132,3),"")</f>
        <v/>
      </c>
      <c r="C1071" s="222"/>
      <c r="D1071" s="222"/>
      <c r="E1071" s="222"/>
      <c r="F1071" s="222"/>
      <c r="G1071" s="225" t="str">
        <f>IF(VLOOKUP($D1059&amp;RIGHT($A1071,1),Players!$A$2:$D$132,3)&lt;&gt;0,VLOOKUP($D1059&amp;RIGHT($A1071,1),Players!$A$2:$D$132,3),"")</f>
        <v/>
      </c>
      <c r="H1071" s="225"/>
      <c r="I1071" s="225"/>
      <c r="J1071" s="168" t="str">
        <f>IF(VLOOKUP($D1059&amp;RIGHT($A1071,1),Players!$A$2:$D$132,3)&lt;&gt;0,"("&amp;VLOOKUP($D1059&amp;RIGHT($A1071,1),Players!$A$2:$D$132,4)&amp;")","")</f>
        <v/>
      </c>
    </row>
    <row r="1072" spans="1:10" ht="25.5" customHeight="1" x14ac:dyDescent="0.4">
      <c r="A1072" s="37" t="str">
        <f>CONCATENATE($I1059,"7")</f>
        <v>G7</v>
      </c>
      <c r="B1072" s="222" t="str">
        <f>IF(VLOOKUP($A1072,Players!$A$2:$C$132,3)&lt;&gt;0,VLOOKUP($A1072,Players!$A$2:$C$132,3),"")</f>
        <v/>
      </c>
      <c r="C1072" s="222"/>
      <c r="D1072" s="222"/>
      <c r="E1072" s="222"/>
      <c r="F1072" s="222"/>
      <c r="G1072" s="225" t="str">
        <f>IF(VLOOKUP($D1059&amp;RIGHT($A1072,1),Players!$A$2:$D$132,3)&lt;&gt;0,VLOOKUP($D1059&amp;RIGHT($A1072,1),Players!$A$2:$D$132,3),"")</f>
        <v/>
      </c>
      <c r="H1072" s="225"/>
      <c r="I1072" s="225"/>
      <c r="J1072" s="168" t="str">
        <f>IF(VLOOKUP($D1059&amp;RIGHT($A1072,1),Players!$A$2:$D$132,3)&lt;&gt;0,"("&amp;VLOOKUP($D1059&amp;RIGHT($A1072,1),Players!$A$2:$D$132,4)&amp;")","")</f>
        <v/>
      </c>
    </row>
    <row r="1073" spans="1:10" ht="25.5" customHeight="1" x14ac:dyDescent="0.4">
      <c r="A1073" s="37" t="str">
        <f>CONCATENATE($I1059,"8")</f>
        <v>G8</v>
      </c>
      <c r="B1073" s="222" t="str">
        <f>IF(VLOOKUP($A1073,Players!$A$2:$C$132,3)&lt;&gt;0,VLOOKUP($A1073,Players!$A$2:$C$132,3),"")</f>
        <v/>
      </c>
      <c r="C1073" s="222"/>
      <c r="D1073" s="222"/>
      <c r="E1073" s="222"/>
      <c r="F1073" s="222"/>
      <c r="G1073" s="225" t="str">
        <f>IF(VLOOKUP($D1059&amp;RIGHT($A1073,1),Players!$A$2:$D$132,3)&lt;&gt;0,VLOOKUP($D1059&amp;RIGHT($A1073,1),Players!$A$2:$D$132,3),"")</f>
        <v/>
      </c>
      <c r="H1073" s="225"/>
      <c r="I1073" s="225"/>
      <c r="J1073" s="168" t="str">
        <f>IF(VLOOKUP($D1059&amp;RIGHT($A1073,1),Players!$A$2:$D$132,3)&lt;&gt;0,"("&amp;VLOOKUP($D1059&amp;RIGHT($A1073,1),Players!$A$2:$D$132,4)&amp;")","")</f>
        <v/>
      </c>
    </row>
    <row r="1074" spans="1:10" ht="25.5" customHeight="1" x14ac:dyDescent="0.25">
      <c r="A1074" s="37"/>
      <c r="B1074" s="7"/>
      <c r="C1074" s="7"/>
      <c r="D1074" s="7"/>
      <c r="E1074" s="7"/>
    </row>
    <row r="1075" spans="1:10" x14ac:dyDescent="0.25">
      <c r="A1075" s="9" t="s">
        <v>157</v>
      </c>
    </row>
    <row r="1076" spans="1:10" x14ac:dyDescent="0.25">
      <c r="A1076" t="s">
        <v>179</v>
      </c>
    </row>
    <row r="1077" spans="1:10" x14ac:dyDescent="0.25">
      <c r="A1077" s="55" t="s">
        <v>918</v>
      </c>
    </row>
    <row r="1078" spans="1:10" x14ac:dyDescent="0.25">
      <c r="A1078" t="s">
        <v>919</v>
      </c>
    </row>
    <row r="1079" spans="1:10" ht="25.5" customHeight="1" thickBot="1" x14ac:dyDescent="0.3">
      <c r="A1079" s="37"/>
    </row>
    <row r="1080" spans="1:10" x14ac:dyDescent="0.25">
      <c r="B1080" s="213"/>
      <c r="C1080" s="214"/>
      <c r="D1080" s="214"/>
      <c r="E1080" s="214"/>
      <c r="F1080" s="215"/>
    </row>
    <row r="1081" spans="1:10" ht="13.8" thickBot="1" x14ac:dyDescent="0.3">
      <c r="B1081" s="216"/>
      <c r="C1081" s="217"/>
      <c r="D1081" s="217"/>
      <c r="E1081" s="217"/>
      <c r="F1081" s="218"/>
    </row>
    <row r="1085" spans="1:10" ht="25.5" customHeight="1" x14ac:dyDescent="0.25">
      <c r="A1085" s="36"/>
      <c r="B1085" s="36"/>
      <c r="C1085" s="36"/>
      <c r="D1085" s="36"/>
      <c r="E1085" s="36"/>
      <c r="G1085" s="38"/>
      <c r="H1085" s="227" t="s">
        <v>159</v>
      </c>
      <c r="I1085" s="228"/>
    </row>
    <row r="1086" spans="1:10" x14ac:dyDescent="0.25">
      <c r="A1086" t="s">
        <v>158</v>
      </c>
    </row>
    <row r="1088" spans="1:10" x14ac:dyDescent="0.25">
      <c r="E1088" s="219" t="str">
        <f>CONCATENATE("(",$D1059," vs ",$I1059,")")</f>
        <v>(B vs G)</v>
      </c>
      <c r="F1088" s="219"/>
    </row>
    <row r="1089" spans="1:10" ht="15.6" x14ac:dyDescent="0.3">
      <c r="A1089" s="33" t="s">
        <v>155</v>
      </c>
      <c r="J1089" s="82" t="s">
        <v>503</v>
      </c>
    </row>
    <row r="1090" spans="1:10" ht="12.75" customHeight="1" x14ac:dyDescent="0.3">
      <c r="A1090" s="33"/>
      <c r="G1090" t="str">
        <f ca="1">Team_Matches!$J$6</f>
        <v>[NCTTA Teams Template (v3.4).xlsx]</v>
      </c>
      <c r="J1090" s="55"/>
    </row>
    <row r="1091" spans="1:10" ht="12.75" customHeight="1" x14ac:dyDescent="0.3">
      <c r="A1091" s="33"/>
      <c r="G1091" s="229" t="str">
        <f>Team_Matches!$J823</f>
        <v>Round 3, Match 5</v>
      </c>
      <c r="H1091" s="229"/>
      <c r="I1091" s="127" t="str">
        <f>Team_Matches!$M823</f>
        <v/>
      </c>
      <c r="J1091" s="127"/>
    </row>
    <row r="1092" spans="1:10" ht="15.6" x14ac:dyDescent="0.3">
      <c r="A1092" s="33"/>
    </row>
    <row r="1093" spans="1:10" x14ac:dyDescent="0.25">
      <c r="C1093" s="7" t="s">
        <v>160</v>
      </c>
      <c r="D1093" s="3" t="str">
        <f>Team_Matches!$B825</f>
        <v>C</v>
      </c>
      <c r="F1093" s="83" t="str">
        <f>CONCATENATE($D1093,"-",$I1093)</f>
        <v>C-F</v>
      </c>
      <c r="H1093" s="7" t="s">
        <v>160</v>
      </c>
      <c r="I1093" s="39" t="str">
        <f>Team_Matches!$K825</f>
        <v>F</v>
      </c>
    </row>
    <row r="1094" spans="1:10" ht="25.5" customHeight="1" x14ac:dyDescent="0.25">
      <c r="A1094" s="34"/>
      <c r="B1094" s="220" t="str">
        <f>IF(VLOOKUP($D1093,Draw!$A$4:$B$27,2)&lt;&gt;0,VLOOKUP($D1093,Draw!$A$4:$B$27,2),"")</f>
        <v/>
      </c>
      <c r="C1094" s="220"/>
      <c r="D1094" s="220"/>
      <c r="E1094" s="221"/>
      <c r="F1094" s="35"/>
      <c r="G1094" s="223" t="str">
        <f>IF(VLOOKUP($I1093,Draw!$A$4:$B$27,2)&lt;&gt;0,VLOOKUP($I1093,Draw!$A$4:$B$27,2),"")</f>
        <v/>
      </c>
      <c r="H1094" s="223"/>
      <c r="I1094" s="223"/>
      <c r="J1094" s="224"/>
    </row>
    <row r="1095" spans="1:10" ht="25.5" customHeight="1" x14ac:dyDescent="0.25"/>
    <row r="1096" spans="1:10" ht="25.5" customHeight="1" x14ac:dyDescent="0.25"/>
    <row r="1097" spans="1:10" ht="24" customHeight="1" x14ac:dyDescent="0.25">
      <c r="A1097" s="9" t="s">
        <v>178</v>
      </c>
    </row>
    <row r="1098" spans="1:10" ht="24" customHeight="1" x14ac:dyDescent="0.25">
      <c r="A1098" s="9"/>
    </row>
    <row r="1099" spans="1:10" x14ac:dyDescent="0.25">
      <c r="A1099" s="9" t="s">
        <v>156</v>
      </c>
      <c r="G1099" s="226" t="s">
        <v>873</v>
      </c>
      <c r="H1099" s="226"/>
      <c r="I1099" s="226"/>
      <c r="J1099" s="226"/>
    </row>
    <row r="1100" spans="1:10" ht="24" customHeight="1" x14ac:dyDescent="0.4">
      <c r="A1100" s="37" t="str">
        <f>CONCATENATE($D1093,"1")</f>
        <v>C1</v>
      </c>
      <c r="B1100" s="222" t="str">
        <f>IF(VLOOKUP($A1100,Players!$A$2:$C$132,3)&lt;&gt;0,VLOOKUP($A1100,Players!$A$2:$C$132,3),"")</f>
        <v/>
      </c>
      <c r="C1100" s="222"/>
      <c r="D1100" s="222"/>
      <c r="E1100" s="222"/>
      <c r="F1100" s="222"/>
      <c r="G1100" s="225" t="str">
        <f>IF(VLOOKUP($I1093&amp;RIGHT($A1100,1),Players!$A$2:$D$132,3)&lt;&gt;0,VLOOKUP($I1093&amp;RIGHT($A1100,1),Players!$A$2:$D$132,3),"")</f>
        <v/>
      </c>
      <c r="H1100" s="225"/>
      <c r="I1100" s="225"/>
      <c r="J1100" s="168" t="str">
        <f>IF(VLOOKUP($I1093&amp;RIGHT($A1100,1),Players!$A$2:$D$132,3)&lt;&gt;0,"("&amp;VLOOKUP($I1093&amp;RIGHT($A1100,1),Players!$A$2:$D$132,4)&amp;")","")</f>
        <v/>
      </c>
    </row>
    <row r="1101" spans="1:10" ht="25.5" customHeight="1" x14ac:dyDescent="0.4">
      <c r="A1101" s="37" t="str">
        <f>CONCATENATE($D1093,"2")</f>
        <v>C2</v>
      </c>
      <c r="B1101" s="222" t="str">
        <f>IF(VLOOKUP($A1101,Players!$A$2:$C$132,3)&lt;&gt;0,VLOOKUP($A1101,Players!$A$2:$C$132,3),"")</f>
        <v/>
      </c>
      <c r="C1101" s="222"/>
      <c r="D1101" s="222"/>
      <c r="E1101" s="222"/>
      <c r="F1101" s="222"/>
      <c r="G1101" s="225" t="str">
        <f>IF(VLOOKUP($I1093&amp;RIGHT($A1101,1),Players!$A$2:$D$132,3)&lt;&gt;0,VLOOKUP($I1093&amp;RIGHT($A1101,1),Players!$A$2:$D$132,3),"")</f>
        <v/>
      </c>
      <c r="H1101" s="225"/>
      <c r="I1101" s="225"/>
      <c r="J1101" s="168" t="str">
        <f>IF(VLOOKUP($I1093&amp;RIGHT($A1101,1),Players!$A$2:$D$132,3)&lt;&gt;0,"("&amp;VLOOKUP($I1093&amp;RIGHT($A1101,1),Players!$A$2:$D$132,4)&amp;")","")</f>
        <v/>
      </c>
    </row>
    <row r="1102" spans="1:10" ht="25.5" customHeight="1" x14ac:dyDescent="0.4">
      <c r="A1102" s="37" t="str">
        <f>CONCATENATE($D1093,"3")</f>
        <v>C3</v>
      </c>
      <c r="B1102" s="222" t="str">
        <f>IF(VLOOKUP($A1102,Players!$A$2:$C$132,3)&lt;&gt;0,VLOOKUP($A1102,Players!$A$2:$C$132,3),"")</f>
        <v/>
      </c>
      <c r="C1102" s="222"/>
      <c r="D1102" s="222"/>
      <c r="E1102" s="222"/>
      <c r="F1102" s="222"/>
      <c r="G1102" s="225" t="str">
        <f>IF(VLOOKUP($I1093&amp;RIGHT($A1102,1),Players!$A$2:$D$132,3)&lt;&gt;0,VLOOKUP($I1093&amp;RIGHT($A1102,1),Players!$A$2:$D$132,3),"")</f>
        <v/>
      </c>
      <c r="H1102" s="225"/>
      <c r="I1102" s="225"/>
      <c r="J1102" s="168" t="str">
        <f>IF(VLOOKUP($I1093&amp;RIGHT($A1102,1),Players!$A$2:$D$132,3)&lt;&gt;0,"("&amp;VLOOKUP($I1093&amp;RIGHT($A1102,1),Players!$A$2:$D$132,4)&amp;")","")</f>
        <v/>
      </c>
    </row>
    <row r="1103" spans="1:10" ht="25.5" customHeight="1" x14ac:dyDescent="0.4">
      <c r="A1103" s="37" t="str">
        <f>CONCATENATE($D1093,"4")</f>
        <v>C4</v>
      </c>
      <c r="B1103" s="222" t="str">
        <f>IF(VLOOKUP($A1103,Players!$A$2:$C$132,3)&lt;&gt;0,VLOOKUP($A1103,Players!$A$2:$C$132,3),"")</f>
        <v/>
      </c>
      <c r="C1103" s="222"/>
      <c r="D1103" s="222"/>
      <c r="E1103" s="222"/>
      <c r="F1103" s="222"/>
      <c r="G1103" s="225" t="str">
        <f>IF(VLOOKUP($I1093&amp;RIGHT($A1103,1),Players!$A$2:$D$132,3)&lt;&gt;0,VLOOKUP($I1093&amp;RIGHT($A1103,1),Players!$A$2:$D$132,3),"")</f>
        <v/>
      </c>
      <c r="H1103" s="225"/>
      <c r="I1103" s="225"/>
      <c r="J1103" s="168" t="str">
        <f>IF(VLOOKUP($I1093&amp;RIGHT($A1103,1),Players!$A$2:$D$132,3)&lt;&gt;0,"("&amp;VLOOKUP($I1093&amp;RIGHT($A1103,1),Players!$A$2:$D$132,4)&amp;")","")</f>
        <v/>
      </c>
    </row>
    <row r="1104" spans="1:10" ht="25.5" customHeight="1" x14ac:dyDescent="0.4">
      <c r="A1104" s="37" t="str">
        <f>CONCATENATE($D1093,"5")</f>
        <v>C5</v>
      </c>
      <c r="B1104" s="222" t="str">
        <f>IF(VLOOKUP($A1104,Players!$A$2:$C$132,3)&lt;&gt;0,VLOOKUP($A1104,Players!$A$2:$C$132,3),"")</f>
        <v/>
      </c>
      <c r="C1104" s="222"/>
      <c r="D1104" s="222"/>
      <c r="E1104" s="222"/>
      <c r="F1104" s="222"/>
      <c r="G1104" s="225" t="str">
        <f>IF(VLOOKUP($I1093&amp;RIGHT($A1104,1),Players!$A$2:$D$132,3)&lt;&gt;0,VLOOKUP($I1093&amp;RIGHT($A1104,1),Players!$A$2:$D$132,3),"")</f>
        <v/>
      </c>
      <c r="H1104" s="225"/>
      <c r="I1104" s="225"/>
      <c r="J1104" s="168" t="str">
        <f>IF(VLOOKUP($I1093&amp;RIGHT($A1104,1),Players!$A$2:$D$132,3)&lt;&gt;0,"("&amp;VLOOKUP($I1093&amp;RIGHT($A1104,1),Players!$A$2:$D$132,4)&amp;")","")</f>
        <v/>
      </c>
    </row>
    <row r="1105" spans="1:10" ht="25.5" customHeight="1" x14ac:dyDescent="0.4">
      <c r="A1105" s="37" t="str">
        <f>CONCATENATE($D1093,"6")</f>
        <v>C6</v>
      </c>
      <c r="B1105" s="222" t="str">
        <f>IF(VLOOKUP($A1105,Players!$A$2:$C$132,3)&lt;&gt;0,VLOOKUP($A1105,Players!$A$2:$C$132,3),"")</f>
        <v/>
      </c>
      <c r="C1105" s="222"/>
      <c r="D1105" s="222"/>
      <c r="E1105" s="222"/>
      <c r="F1105" s="222"/>
      <c r="G1105" s="225" t="str">
        <f>IF(VLOOKUP($I1093&amp;RIGHT($A1105,1),Players!$A$2:$D$132,3)&lt;&gt;0,VLOOKUP($I1093&amp;RIGHT($A1105,1),Players!$A$2:$D$132,3),"")</f>
        <v/>
      </c>
      <c r="H1105" s="225"/>
      <c r="I1105" s="225"/>
      <c r="J1105" s="168" t="str">
        <f>IF(VLOOKUP($I1093&amp;RIGHT($A1105,1),Players!$A$2:$D$132,3)&lt;&gt;0,"("&amp;VLOOKUP($I1093&amp;RIGHT($A1105,1),Players!$A$2:$D$132,4)&amp;")","")</f>
        <v/>
      </c>
    </row>
    <row r="1106" spans="1:10" ht="25.5" customHeight="1" x14ac:dyDescent="0.4">
      <c r="A1106" s="37" t="str">
        <f>CONCATENATE($D1093,"7")</f>
        <v>C7</v>
      </c>
      <c r="B1106" s="222" t="str">
        <f>IF(VLOOKUP($A1106,Players!$A$2:$C$132,3)&lt;&gt;0,VLOOKUP($A1106,Players!$A$2:$C$132,3),"")</f>
        <v/>
      </c>
      <c r="C1106" s="222"/>
      <c r="D1106" s="222"/>
      <c r="E1106" s="222"/>
      <c r="F1106" s="222"/>
      <c r="G1106" s="225" t="str">
        <f>IF(VLOOKUP($I1093&amp;RIGHT($A1106,1),Players!$A$2:$D$132,3)&lt;&gt;0,VLOOKUP($I1093&amp;RIGHT($A1106,1),Players!$A$2:$D$132,3),"")</f>
        <v/>
      </c>
      <c r="H1106" s="225"/>
      <c r="I1106" s="225"/>
      <c r="J1106" s="168" t="str">
        <f>IF(VLOOKUP($I1093&amp;RIGHT($A1106,1),Players!$A$2:$D$132,3)&lt;&gt;0,"("&amp;VLOOKUP($I1093&amp;RIGHT($A1106,1),Players!$A$2:$D$132,4)&amp;")","")</f>
        <v/>
      </c>
    </row>
    <row r="1107" spans="1:10" ht="25.5" customHeight="1" x14ac:dyDescent="0.4">
      <c r="A1107" s="37" t="str">
        <f>CONCATENATE($D1093,"8")</f>
        <v>C8</v>
      </c>
      <c r="B1107" s="222" t="str">
        <f>IF(VLOOKUP($A1107,Players!$A$2:$C$132,3)&lt;&gt;0,VLOOKUP($A1107,Players!$A$2:$C$132,3),"")</f>
        <v/>
      </c>
      <c r="C1107" s="222"/>
      <c r="D1107" s="222"/>
      <c r="E1107" s="222"/>
      <c r="F1107" s="222"/>
      <c r="G1107" s="225" t="str">
        <f>IF(VLOOKUP($I1093&amp;RIGHT($A1107,1),Players!$A$2:$D$132,3)&lt;&gt;0,VLOOKUP($I1093&amp;RIGHT($A1107,1),Players!$A$2:$D$132,3),"")</f>
        <v/>
      </c>
      <c r="H1107" s="225"/>
      <c r="I1107" s="225"/>
      <c r="J1107" s="168" t="str">
        <f>IF(VLOOKUP($I1093&amp;RIGHT($A1107,1),Players!$A$2:$D$132,3)&lt;&gt;0,"("&amp;VLOOKUP($I1093&amp;RIGHT($A1107,1),Players!$A$2:$D$132,4)&amp;")","")</f>
        <v/>
      </c>
    </row>
    <row r="1108" spans="1:10" ht="25.5" customHeight="1" x14ac:dyDescent="0.25">
      <c r="A1108" s="37"/>
      <c r="B1108" s="7"/>
      <c r="C1108" s="7"/>
      <c r="D1108" s="7"/>
      <c r="E1108" s="7"/>
    </row>
    <row r="1109" spans="1:10" x14ac:dyDescent="0.25">
      <c r="A1109" s="9" t="s">
        <v>157</v>
      </c>
    </row>
    <row r="1110" spans="1:10" x14ac:dyDescent="0.25">
      <c r="A1110" t="s">
        <v>179</v>
      </c>
    </row>
    <row r="1111" spans="1:10" x14ac:dyDescent="0.25">
      <c r="A1111" s="55" t="s">
        <v>918</v>
      </c>
    </row>
    <row r="1112" spans="1:10" x14ac:dyDescent="0.25">
      <c r="A1112" t="s">
        <v>919</v>
      </c>
    </row>
    <row r="1113" spans="1:10" ht="25.5" customHeight="1" thickBot="1" x14ac:dyDescent="0.3">
      <c r="A1113" s="37"/>
    </row>
    <row r="1114" spans="1:10" x14ac:dyDescent="0.25">
      <c r="B1114" s="213"/>
      <c r="C1114" s="214"/>
      <c r="D1114" s="214"/>
      <c r="E1114" s="214"/>
      <c r="F1114" s="215"/>
    </row>
    <row r="1115" spans="1:10" ht="13.8" thickBot="1" x14ac:dyDescent="0.3">
      <c r="B1115" s="216"/>
      <c r="C1115" s="217"/>
      <c r="D1115" s="217"/>
      <c r="E1115" s="217"/>
      <c r="F1115" s="218"/>
    </row>
    <row r="1119" spans="1:10" ht="25.5" customHeight="1" x14ac:dyDescent="0.25">
      <c r="A1119" s="36"/>
      <c r="B1119" s="36"/>
      <c r="C1119" s="36"/>
      <c r="D1119" s="36"/>
      <c r="E1119" s="36"/>
      <c r="G1119" s="38"/>
      <c r="H1119" s="227" t="s">
        <v>159</v>
      </c>
      <c r="I1119" s="228"/>
    </row>
    <row r="1120" spans="1:10" x14ac:dyDescent="0.25">
      <c r="A1120" t="s">
        <v>158</v>
      </c>
    </row>
    <row r="1122" spans="1:10" x14ac:dyDescent="0.25">
      <c r="E1122" s="219" t="str">
        <f>CONCATENATE("(",$D1093," vs ",$I1093,")")</f>
        <v>(C vs F)</v>
      </c>
      <c r="F1122" s="219"/>
    </row>
    <row r="1123" spans="1:10" ht="15.6" x14ac:dyDescent="0.3">
      <c r="A1123" s="33" t="s">
        <v>155</v>
      </c>
      <c r="J1123" s="82" t="s">
        <v>504</v>
      </c>
    </row>
    <row r="1124" spans="1:10" ht="12.75" customHeight="1" x14ac:dyDescent="0.3">
      <c r="A1124" s="33"/>
      <c r="G1124" t="str">
        <f ca="1">Team_Matches!$J$6</f>
        <v>[NCTTA Teams Template (v3.4).xlsx]</v>
      </c>
      <c r="J1124" s="55"/>
    </row>
    <row r="1125" spans="1:10" ht="12.75" customHeight="1" x14ac:dyDescent="0.3">
      <c r="A1125" s="33"/>
      <c r="G1125" s="229" t="str">
        <f>Team_Matches!$J823</f>
        <v>Round 3, Match 5</v>
      </c>
      <c r="H1125" s="229"/>
      <c r="I1125" s="127" t="str">
        <f>Team_Matches!$M823</f>
        <v/>
      </c>
      <c r="J1125" s="127"/>
    </row>
    <row r="1126" spans="1:10" ht="15.6" x14ac:dyDescent="0.3">
      <c r="A1126" s="33"/>
    </row>
    <row r="1127" spans="1:10" x14ac:dyDescent="0.25">
      <c r="C1127" s="7" t="s">
        <v>160</v>
      </c>
      <c r="D1127" s="3" t="str">
        <f>Team_Matches!$B825</f>
        <v>C</v>
      </c>
      <c r="F1127" s="83" t="str">
        <f>CONCATENATE($D1127,"-",$I1127)</f>
        <v>C-F</v>
      </c>
      <c r="H1127" s="7" t="s">
        <v>160</v>
      </c>
      <c r="I1127" s="39" t="str">
        <f>Team_Matches!$K825</f>
        <v>F</v>
      </c>
    </row>
    <row r="1128" spans="1:10" ht="25.5" customHeight="1" x14ac:dyDescent="0.25">
      <c r="A1128" s="34"/>
      <c r="B1128" s="223" t="str">
        <f>IF(VLOOKUP($D1127,Draw!$A$4:$B$27,2)&lt;&gt;0,VLOOKUP($D1127,Draw!$A$4:$B$27,2),"")</f>
        <v/>
      </c>
      <c r="C1128" s="223"/>
      <c r="D1128" s="223"/>
      <c r="E1128" s="224"/>
      <c r="F1128" s="35"/>
      <c r="G1128" s="220" t="str">
        <f>IF(VLOOKUP($I1127,Draw!$A$4:$B$27,2)&lt;&gt;0,VLOOKUP($I1127,Draw!$A$4:$B$27,2),"")</f>
        <v/>
      </c>
      <c r="H1128" s="220"/>
      <c r="I1128" s="220"/>
      <c r="J1128" s="221"/>
    </row>
    <row r="1129" spans="1:10" ht="25.5" customHeight="1" x14ac:dyDescent="0.25"/>
    <row r="1130" spans="1:10" ht="25.5" customHeight="1" x14ac:dyDescent="0.25"/>
    <row r="1131" spans="1:10" ht="24" customHeight="1" x14ac:dyDescent="0.25">
      <c r="A1131" s="9" t="s">
        <v>178</v>
      </c>
    </row>
    <row r="1132" spans="1:10" ht="24" customHeight="1" x14ac:dyDescent="0.25">
      <c r="A1132" s="9"/>
    </row>
    <row r="1133" spans="1:10" x14ac:dyDescent="0.25">
      <c r="A1133" s="9" t="s">
        <v>156</v>
      </c>
      <c r="G1133" s="226" t="s">
        <v>873</v>
      </c>
      <c r="H1133" s="226"/>
      <c r="I1133" s="226"/>
      <c r="J1133" s="226"/>
    </row>
    <row r="1134" spans="1:10" ht="24" customHeight="1" x14ac:dyDescent="0.4">
      <c r="A1134" s="37" t="str">
        <f>CONCATENATE($I1127,"1")</f>
        <v>F1</v>
      </c>
      <c r="B1134" s="222" t="str">
        <f>IF(VLOOKUP($A1134,Players!$A$2:$C$132,3)&lt;&gt;0,VLOOKUP($A1134,Players!$A$2:$C$132,3),"")</f>
        <v/>
      </c>
      <c r="C1134" s="222"/>
      <c r="D1134" s="222"/>
      <c r="E1134" s="222"/>
      <c r="F1134" s="222"/>
      <c r="G1134" s="225" t="str">
        <f>IF(VLOOKUP($D1127&amp;RIGHT($A1134,1),Players!$A$2:$D$132,3)&lt;&gt;0,VLOOKUP($D1127&amp;RIGHT($A1134,1),Players!$A$2:$D$132,3),"")</f>
        <v/>
      </c>
      <c r="H1134" s="225"/>
      <c r="I1134" s="225"/>
      <c r="J1134" s="168" t="str">
        <f>IF(VLOOKUP($D1127&amp;RIGHT($A1134,1),Players!$A$2:$D$132,3)&lt;&gt;0,"("&amp;VLOOKUP($D1127&amp;RIGHT($A1134,1),Players!$A$2:$D$132,4)&amp;")","")</f>
        <v/>
      </c>
    </row>
    <row r="1135" spans="1:10" ht="25.5" customHeight="1" x14ac:dyDescent="0.4">
      <c r="A1135" s="37" t="str">
        <f>CONCATENATE($I1127,"2")</f>
        <v>F2</v>
      </c>
      <c r="B1135" s="222" t="str">
        <f>IF(VLOOKUP($A1135,Players!$A$2:$C$132,3)&lt;&gt;0,VLOOKUP($A1135,Players!$A$2:$C$132,3),"")</f>
        <v/>
      </c>
      <c r="C1135" s="222"/>
      <c r="D1135" s="222"/>
      <c r="E1135" s="222"/>
      <c r="F1135" s="222"/>
      <c r="G1135" s="225" t="str">
        <f>IF(VLOOKUP($D1127&amp;RIGHT($A1135,1),Players!$A$2:$D$132,3)&lt;&gt;0,VLOOKUP($D1127&amp;RIGHT($A1135,1),Players!$A$2:$D$132,3),"")</f>
        <v/>
      </c>
      <c r="H1135" s="225"/>
      <c r="I1135" s="225"/>
      <c r="J1135" s="168" t="str">
        <f>IF(VLOOKUP($D1127&amp;RIGHT($A1135,1),Players!$A$2:$D$132,3)&lt;&gt;0,"("&amp;VLOOKUP($D1127&amp;RIGHT($A1135,1),Players!$A$2:$D$132,4)&amp;")","")</f>
        <v/>
      </c>
    </row>
    <row r="1136" spans="1:10" ht="25.5" customHeight="1" x14ac:dyDescent="0.4">
      <c r="A1136" s="37" t="str">
        <f>CONCATENATE($I1127,"3")</f>
        <v>F3</v>
      </c>
      <c r="B1136" s="222" t="str">
        <f>IF(VLOOKUP($A1136,Players!$A$2:$C$132,3)&lt;&gt;0,VLOOKUP($A1136,Players!$A$2:$C$132,3),"")</f>
        <v/>
      </c>
      <c r="C1136" s="222"/>
      <c r="D1136" s="222"/>
      <c r="E1136" s="222"/>
      <c r="F1136" s="222"/>
      <c r="G1136" s="225" t="str">
        <f>IF(VLOOKUP($D1127&amp;RIGHT($A1136,1),Players!$A$2:$D$132,3)&lt;&gt;0,VLOOKUP($D1127&amp;RIGHT($A1136,1),Players!$A$2:$D$132,3),"")</f>
        <v/>
      </c>
      <c r="H1136" s="225"/>
      <c r="I1136" s="225"/>
      <c r="J1136" s="168" t="str">
        <f>IF(VLOOKUP($D1127&amp;RIGHT($A1136,1),Players!$A$2:$D$132,3)&lt;&gt;0,"("&amp;VLOOKUP($D1127&amp;RIGHT($A1136,1),Players!$A$2:$D$132,4)&amp;")","")</f>
        <v/>
      </c>
    </row>
    <row r="1137" spans="1:10" ht="25.5" customHeight="1" x14ac:dyDescent="0.4">
      <c r="A1137" s="37" t="str">
        <f>CONCATENATE($I1127,"4")</f>
        <v>F4</v>
      </c>
      <c r="B1137" s="222" t="str">
        <f>IF(VLOOKUP($A1137,Players!$A$2:$C$132,3)&lt;&gt;0,VLOOKUP($A1137,Players!$A$2:$C$132,3),"")</f>
        <v/>
      </c>
      <c r="C1137" s="222"/>
      <c r="D1137" s="222"/>
      <c r="E1137" s="222"/>
      <c r="F1137" s="222"/>
      <c r="G1137" s="225" t="str">
        <f>IF(VLOOKUP($D1127&amp;RIGHT($A1137,1),Players!$A$2:$D$132,3)&lt;&gt;0,VLOOKUP($D1127&amp;RIGHT($A1137,1),Players!$A$2:$D$132,3),"")</f>
        <v/>
      </c>
      <c r="H1137" s="225"/>
      <c r="I1137" s="225"/>
      <c r="J1137" s="168" t="str">
        <f>IF(VLOOKUP($D1127&amp;RIGHT($A1137,1),Players!$A$2:$D$132,3)&lt;&gt;0,"("&amp;VLOOKUP($D1127&amp;RIGHT($A1137,1),Players!$A$2:$D$132,4)&amp;")","")</f>
        <v/>
      </c>
    </row>
    <row r="1138" spans="1:10" ht="25.5" customHeight="1" x14ac:dyDescent="0.4">
      <c r="A1138" s="37" t="str">
        <f>CONCATENATE($I1127,"5")</f>
        <v>F5</v>
      </c>
      <c r="B1138" s="222" t="str">
        <f>IF(VLOOKUP($A1138,Players!$A$2:$C$132,3)&lt;&gt;0,VLOOKUP($A1138,Players!$A$2:$C$132,3),"")</f>
        <v/>
      </c>
      <c r="C1138" s="222"/>
      <c r="D1138" s="222"/>
      <c r="E1138" s="222"/>
      <c r="F1138" s="222"/>
      <c r="G1138" s="225" t="str">
        <f>IF(VLOOKUP($D1127&amp;RIGHT($A1138,1),Players!$A$2:$D$132,3)&lt;&gt;0,VLOOKUP($D1127&amp;RIGHT($A1138,1),Players!$A$2:$D$132,3),"")</f>
        <v/>
      </c>
      <c r="H1138" s="225"/>
      <c r="I1138" s="225"/>
      <c r="J1138" s="168" t="str">
        <f>IF(VLOOKUP($D1127&amp;RIGHT($A1138,1),Players!$A$2:$D$132,3)&lt;&gt;0,"("&amp;VLOOKUP($D1127&amp;RIGHT($A1138,1),Players!$A$2:$D$132,4)&amp;")","")</f>
        <v/>
      </c>
    </row>
    <row r="1139" spans="1:10" ht="25.5" customHeight="1" x14ac:dyDescent="0.4">
      <c r="A1139" s="37" t="str">
        <f>CONCATENATE($I1127,"6")</f>
        <v>F6</v>
      </c>
      <c r="B1139" s="222" t="str">
        <f>IF(VLOOKUP($A1139,Players!$A$2:$C$132,3)&lt;&gt;0,VLOOKUP($A1139,Players!$A$2:$C$132,3),"")</f>
        <v/>
      </c>
      <c r="C1139" s="222"/>
      <c r="D1139" s="222"/>
      <c r="E1139" s="222"/>
      <c r="F1139" s="222"/>
      <c r="G1139" s="225" t="str">
        <f>IF(VLOOKUP($D1127&amp;RIGHT($A1139,1),Players!$A$2:$D$132,3)&lt;&gt;0,VLOOKUP($D1127&amp;RIGHT($A1139,1),Players!$A$2:$D$132,3),"")</f>
        <v/>
      </c>
      <c r="H1139" s="225"/>
      <c r="I1139" s="225"/>
      <c r="J1139" s="168" t="str">
        <f>IF(VLOOKUP($D1127&amp;RIGHT($A1139,1),Players!$A$2:$D$132,3)&lt;&gt;0,"("&amp;VLOOKUP($D1127&amp;RIGHT($A1139,1),Players!$A$2:$D$132,4)&amp;")","")</f>
        <v/>
      </c>
    </row>
    <row r="1140" spans="1:10" ht="25.5" customHeight="1" x14ac:dyDescent="0.4">
      <c r="A1140" s="37" t="str">
        <f>CONCATENATE($I1127,"7")</f>
        <v>F7</v>
      </c>
      <c r="B1140" s="222" t="str">
        <f>IF(VLOOKUP($A1140,Players!$A$2:$C$132,3)&lt;&gt;0,VLOOKUP($A1140,Players!$A$2:$C$132,3),"")</f>
        <v/>
      </c>
      <c r="C1140" s="222"/>
      <c r="D1140" s="222"/>
      <c r="E1140" s="222"/>
      <c r="F1140" s="222"/>
      <c r="G1140" s="225" t="str">
        <f>IF(VLOOKUP($D1127&amp;RIGHT($A1140,1),Players!$A$2:$D$132,3)&lt;&gt;0,VLOOKUP($D1127&amp;RIGHT($A1140,1),Players!$A$2:$D$132,3),"")</f>
        <v/>
      </c>
      <c r="H1140" s="225"/>
      <c r="I1140" s="225"/>
      <c r="J1140" s="168" t="str">
        <f>IF(VLOOKUP($D1127&amp;RIGHT($A1140,1),Players!$A$2:$D$132,3)&lt;&gt;0,"("&amp;VLOOKUP($D1127&amp;RIGHT($A1140,1),Players!$A$2:$D$132,4)&amp;")","")</f>
        <v/>
      </c>
    </row>
    <row r="1141" spans="1:10" ht="25.5" customHeight="1" x14ac:dyDescent="0.4">
      <c r="A1141" s="37" t="str">
        <f>CONCATENATE($I1127,"8")</f>
        <v>F8</v>
      </c>
      <c r="B1141" s="222" t="str">
        <f>IF(VLOOKUP($A1141,Players!$A$2:$C$132,3)&lt;&gt;0,VLOOKUP($A1141,Players!$A$2:$C$132,3),"")</f>
        <v/>
      </c>
      <c r="C1141" s="222"/>
      <c r="D1141" s="222"/>
      <c r="E1141" s="222"/>
      <c r="F1141" s="222"/>
      <c r="G1141" s="225" t="str">
        <f>IF(VLOOKUP($D1127&amp;RIGHT($A1141,1),Players!$A$2:$D$132,3)&lt;&gt;0,VLOOKUP($D1127&amp;RIGHT($A1141,1),Players!$A$2:$D$132,3),"")</f>
        <v/>
      </c>
      <c r="H1141" s="225"/>
      <c r="I1141" s="225"/>
      <c r="J1141" s="168" t="str">
        <f>IF(VLOOKUP($D1127&amp;RIGHT($A1141,1),Players!$A$2:$D$132,3)&lt;&gt;0,"("&amp;VLOOKUP($D1127&amp;RIGHT($A1141,1),Players!$A$2:$D$132,4)&amp;")","")</f>
        <v/>
      </c>
    </row>
    <row r="1142" spans="1:10" ht="25.5" customHeight="1" x14ac:dyDescent="0.25">
      <c r="A1142" s="37"/>
      <c r="B1142" s="7"/>
      <c r="C1142" s="7"/>
      <c r="D1142" s="7"/>
      <c r="E1142" s="7"/>
    </row>
    <row r="1143" spans="1:10" x14ac:dyDescent="0.25">
      <c r="A1143" s="9" t="s">
        <v>157</v>
      </c>
    </row>
    <row r="1144" spans="1:10" x14ac:dyDescent="0.25">
      <c r="A1144" t="s">
        <v>179</v>
      </c>
    </row>
    <row r="1145" spans="1:10" x14ac:dyDescent="0.25">
      <c r="A1145" s="55" t="s">
        <v>918</v>
      </c>
    </row>
    <row r="1146" spans="1:10" x14ac:dyDescent="0.25">
      <c r="A1146" t="s">
        <v>919</v>
      </c>
    </row>
    <row r="1147" spans="1:10" ht="25.5" customHeight="1" thickBot="1" x14ac:dyDescent="0.3">
      <c r="A1147" s="37"/>
    </row>
    <row r="1148" spans="1:10" x14ac:dyDescent="0.25">
      <c r="B1148" s="213"/>
      <c r="C1148" s="214"/>
      <c r="D1148" s="214"/>
      <c r="E1148" s="214"/>
      <c r="F1148" s="215"/>
    </row>
    <row r="1149" spans="1:10" ht="13.8" thickBot="1" x14ac:dyDescent="0.3">
      <c r="B1149" s="216"/>
      <c r="C1149" s="217"/>
      <c r="D1149" s="217"/>
      <c r="E1149" s="217"/>
      <c r="F1149" s="218"/>
    </row>
    <row r="1153" spans="1:10" ht="25.5" customHeight="1" x14ac:dyDescent="0.25">
      <c r="A1153" s="36"/>
      <c r="B1153" s="36"/>
      <c r="C1153" s="36"/>
      <c r="D1153" s="36"/>
      <c r="E1153" s="36"/>
      <c r="G1153" s="38"/>
      <c r="H1153" s="227" t="s">
        <v>159</v>
      </c>
      <c r="I1153" s="228"/>
    </row>
    <row r="1154" spans="1:10" x14ac:dyDescent="0.25">
      <c r="A1154" t="s">
        <v>158</v>
      </c>
    </row>
    <row r="1156" spans="1:10" x14ac:dyDescent="0.25">
      <c r="E1156" s="219" t="str">
        <f>CONCATENATE("(",$D1127," vs ",$I1127,")")</f>
        <v>(C vs F)</v>
      </c>
      <c r="F1156" s="219"/>
    </row>
    <row r="1157" spans="1:10" ht="15.6" x14ac:dyDescent="0.3">
      <c r="A1157" s="33" t="s">
        <v>155</v>
      </c>
      <c r="J1157" s="82" t="s">
        <v>505</v>
      </c>
    </row>
    <row r="1158" spans="1:10" ht="12.75" customHeight="1" x14ac:dyDescent="0.3">
      <c r="A1158" s="33"/>
      <c r="G1158" t="str">
        <f ca="1">Team_Matches!$J$6</f>
        <v>[NCTTA Teams Template (v3.4).xlsx]</v>
      </c>
      <c r="J1158" s="55"/>
    </row>
    <row r="1159" spans="1:10" ht="12.75" customHeight="1" x14ac:dyDescent="0.3">
      <c r="A1159" s="33"/>
      <c r="G1159" s="229" t="str">
        <f>Team_Matches!$J874</f>
        <v>Round 3, Match 6</v>
      </c>
      <c r="H1159" s="229"/>
      <c r="I1159" s="127" t="str">
        <f>Team_Matches!$M874</f>
        <v/>
      </c>
      <c r="J1159" s="127"/>
    </row>
    <row r="1160" spans="1:10" ht="15.6" x14ac:dyDescent="0.3">
      <c r="A1160" s="33"/>
    </row>
    <row r="1161" spans="1:10" x14ac:dyDescent="0.25">
      <c r="C1161" s="7" t="s">
        <v>160</v>
      </c>
      <c r="D1161" s="39" t="str">
        <f>Team_Matches!$B876</f>
        <v>D</v>
      </c>
      <c r="F1161" s="83" t="str">
        <f>CONCATENATE($D1161,"-",$I1161)</f>
        <v>D-E</v>
      </c>
      <c r="H1161" s="7" t="s">
        <v>160</v>
      </c>
      <c r="I1161" s="39" t="str">
        <f>Team_Matches!$K876</f>
        <v>E</v>
      </c>
    </row>
    <row r="1162" spans="1:10" ht="25.5" customHeight="1" x14ac:dyDescent="0.25">
      <c r="A1162" s="34"/>
      <c r="B1162" s="220" t="str">
        <f>IF(VLOOKUP($D1161,Draw!$A$4:$B$27,2)&lt;&gt;0,VLOOKUP($D1161,Draw!$A$4:$B$27,2),"")</f>
        <v/>
      </c>
      <c r="C1162" s="220"/>
      <c r="D1162" s="220"/>
      <c r="E1162" s="221"/>
      <c r="F1162" s="35"/>
      <c r="G1162" s="223" t="str">
        <f>IF(VLOOKUP($I1161,Draw!$A$4:$B$27,2)&lt;&gt;0,VLOOKUP($I1161,Draw!$A$4:$B$27,2),"")</f>
        <v/>
      </c>
      <c r="H1162" s="223"/>
      <c r="I1162" s="223"/>
      <c r="J1162" s="224"/>
    </row>
    <row r="1163" spans="1:10" ht="25.5" customHeight="1" x14ac:dyDescent="0.25"/>
    <row r="1164" spans="1:10" ht="25.5" customHeight="1" x14ac:dyDescent="0.25"/>
    <row r="1165" spans="1:10" ht="24" customHeight="1" x14ac:dyDescent="0.25">
      <c r="A1165" s="9" t="s">
        <v>178</v>
      </c>
    </row>
    <row r="1166" spans="1:10" ht="24" customHeight="1" x14ac:dyDescent="0.25">
      <c r="A1166" s="9"/>
    </row>
    <row r="1167" spans="1:10" x14ac:dyDescent="0.25">
      <c r="A1167" s="9" t="s">
        <v>156</v>
      </c>
      <c r="G1167" s="226" t="s">
        <v>873</v>
      </c>
      <c r="H1167" s="226"/>
      <c r="I1167" s="226"/>
      <c r="J1167" s="226"/>
    </row>
    <row r="1168" spans="1:10" ht="24" customHeight="1" x14ac:dyDescent="0.4">
      <c r="A1168" s="37" t="str">
        <f>CONCATENATE($D1161,"1")</f>
        <v>D1</v>
      </c>
      <c r="B1168" s="222" t="str">
        <f>IF(VLOOKUP($A1168,Players!$A$2:$C$132,3)&lt;&gt;0,VLOOKUP($A1168,Players!$A$2:$C$132,3),"")</f>
        <v/>
      </c>
      <c r="C1168" s="222"/>
      <c r="D1168" s="222"/>
      <c r="E1168" s="222"/>
      <c r="F1168" s="222"/>
      <c r="G1168" s="225" t="str">
        <f>IF(VLOOKUP($I1161&amp;RIGHT($A1168,1),Players!$A$2:$D$132,3)&lt;&gt;0,VLOOKUP($I1161&amp;RIGHT($A1168,1),Players!$A$2:$D$132,3),"")</f>
        <v/>
      </c>
      <c r="H1168" s="225"/>
      <c r="I1168" s="225"/>
      <c r="J1168" s="168" t="str">
        <f>IF(VLOOKUP($I1161&amp;RIGHT($A1168,1),Players!$A$2:$D$132,3)&lt;&gt;0,"("&amp;VLOOKUP($I1161&amp;RIGHT($A1168,1),Players!$A$2:$D$132,4)&amp;")","")</f>
        <v/>
      </c>
    </row>
    <row r="1169" spans="1:10" ht="25.5" customHeight="1" x14ac:dyDescent="0.4">
      <c r="A1169" s="37" t="str">
        <f>CONCATENATE($D1161,"2")</f>
        <v>D2</v>
      </c>
      <c r="B1169" s="222" t="str">
        <f>IF(VLOOKUP($A1169,Players!$A$2:$C$132,3)&lt;&gt;0,VLOOKUP($A1169,Players!$A$2:$C$132,3),"")</f>
        <v/>
      </c>
      <c r="C1169" s="222"/>
      <c r="D1169" s="222"/>
      <c r="E1169" s="222"/>
      <c r="F1169" s="222"/>
      <c r="G1169" s="225" t="str">
        <f>IF(VLOOKUP($I1161&amp;RIGHT($A1169,1),Players!$A$2:$D$132,3)&lt;&gt;0,VLOOKUP($I1161&amp;RIGHT($A1169,1),Players!$A$2:$D$132,3),"")</f>
        <v/>
      </c>
      <c r="H1169" s="225"/>
      <c r="I1169" s="225"/>
      <c r="J1169" s="168" t="str">
        <f>IF(VLOOKUP($I1161&amp;RIGHT($A1169,1),Players!$A$2:$D$132,3)&lt;&gt;0,"("&amp;VLOOKUP($I1161&amp;RIGHT($A1169,1),Players!$A$2:$D$132,4)&amp;")","")</f>
        <v/>
      </c>
    </row>
    <row r="1170" spans="1:10" ht="25.5" customHeight="1" x14ac:dyDescent="0.4">
      <c r="A1170" s="37" t="str">
        <f>CONCATENATE($D1161,"3")</f>
        <v>D3</v>
      </c>
      <c r="B1170" s="222" t="str">
        <f>IF(VLOOKUP($A1170,Players!$A$2:$C$132,3)&lt;&gt;0,VLOOKUP($A1170,Players!$A$2:$C$132,3),"")</f>
        <v/>
      </c>
      <c r="C1170" s="222"/>
      <c r="D1170" s="222"/>
      <c r="E1170" s="222"/>
      <c r="F1170" s="222"/>
      <c r="G1170" s="225" t="str">
        <f>IF(VLOOKUP($I1161&amp;RIGHT($A1170,1),Players!$A$2:$D$132,3)&lt;&gt;0,VLOOKUP($I1161&amp;RIGHT($A1170,1),Players!$A$2:$D$132,3),"")</f>
        <v/>
      </c>
      <c r="H1170" s="225"/>
      <c r="I1170" s="225"/>
      <c r="J1170" s="168" t="str">
        <f>IF(VLOOKUP($I1161&amp;RIGHT($A1170,1),Players!$A$2:$D$132,3)&lt;&gt;0,"("&amp;VLOOKUP($I1161&amp;RIGHT($A1170,1),Players!$A$2:$D$132,4)&amp;")","")</f>
        <v/>
      </c>
    </row>
    <row r="1171" spans="1:10" ht="25.5" customHeight="1" x14ac:dyDescent="0.4">
      <c r="A1171" s="37" t="str">
        <f>CONCATENATE($D1161,"4")</f>
        <v>D4</v>
      </c>
      <c r="B1171" s="222" t="str">
        <f>IF(VLOOKUP($A1171,Players!$A$2:$C$132,3)&lt;&gt;0,VLOOKUP($A1171,Players!$A$2:$C$132,3),"")</f>
        <v/>
      </c>
      <c r="C1171" s="222"/>
      <c r="D1171" s="222"/>
      <c r="E1171" s="222"/>
      <c r="F1171" s="222"/>
      <c r="G1171" s="225" t="str">
        <f>IF(VLOOKUP($I1161&amp;RIGHT($A1171,1),Players!$A$2:$D$132,3)&lt;&gt;0,VLOOKUP($I1161&amp;RIGHT($A1171,1),Players!$A$2:$D$132,3),"")</f>
        <v/>
      </c>
      <c r="H1171" s="225"/>
      <c r="I1171" s="225"/>
      <c r="J1171" s="168" t="str">
        <f>IF(VLOOKUP($I1161&amp;RIGHT($A1171,1),Players!$A$2:$D$132,3)&lt;&gt;0,"("&amp;VLOOKUP($I1161&amp;RIGHT($A1171,1),Players!$A$2:$D$132,4)&amp;")","")</f>
        <v/>
      </c>
    </row>
    <row r="1172" spans="1:10" ht="25.5" customHeight="1" x14ac:dyDescent="0.4">
      <c r="A1172" s="37" t="str">
        <f>CONCATENATE($D1161,"5")</f>
        <v>D5</v>
      </c>
      <c r="B1172" s="222" t="str">
        <f>IF(VLOOKUP($A1172,Players!$A$2:$C$132,3)&lt;&gt;0,VLOOKUP($A1172,Players!$A$2:$C$132,3),"")</f>
        <v/>
      </c>
      <c r="C1172" s="222"/>
      <c r="D1172" s="222"/>
      <c r="E1172" s="222"/>
      <c r="F1172" s="222"/>
      <c r="G1172" s="225" t="str">
        <f>IF(VLOOKUP($I1161&amp;RIGHT($A1172,1),Players!$A$2:$D$132,3)&lt;&gt;0,VLOOKUP($I1161&amp;RIGHT($A1172,1),Players!$A$2:$D$132,3),"")</f>
        <v/>
      </c>
      <c r="H1172" s="225"/>
      <c r="I1172" s="225"/>
      <c r="J1172" s="168" t="str">
        <f>IF(VLOOKUP($I1161&amp;RIGHT($A1172,1),Players!$A$2:$D$132,3)&lt;&gt;0,"("&amp;VLOOKUP($I1161&amp;RIGHT($A1172,1),Players!$A$2:$D$132,4)&amp;")","")</f>
        <v/>
      </c>
    </row>
    <row r="1173" spans="1:10" ht="25.5" customHeight="1" x14ac:dyDescent="0.4">
      <c r="A1173" s="37" t="str">
        <f>CONCATENATE($D1161,"6")</f>
        <v>D6</v>
      </c>
      <c r="B1173" s="222" t="str">
        <f>IF(VLOOKUP($A1173,Players!$A$2:$C$132,3)&lt;&gt;0,VLOOKUP($A1173,Players!$A$2:$C$132,3),"")</f>
        <v/>
      </c>
      <c r="C1173" s="222"/>
      <c r="D1173" s="222"/>
      <c r="E1173" s="222"/>
      <c r="F1173" s="222"/>
      <c r="G1173" s="225" t="str">
        <f>IF(VLOOKUP($I1161&amp;RIGHT($A1173,1),Players!$A$2:$D$132,3)&lt;&gt;0,VLOOKUP($I1161&amp;RIGHT($A1173,1),Players!$A$2:$D$132,3),"")</f>
        <v/>
      </c>
      <c r="H1173" s="225"/>
      <c r="I1173" s="225"/>
      <c r="J1173" s="168" t="str">
        <f>IF(VLOOKUP($I1161&amp;RIGHT($A1173,1),Players!$A$2:$D$132,3)&lt;&gt;0,"("&amp;VLOOKUP($I1161&amp;RIGHT($A1173,1),Players!$A$2:$D$132,4)&amp;")","")</f>
        <v/>
      </c>
    </row>
    <row r="1174" spans="1:10" ht="25.5" customHeight="1" x14ac:dyDescent="0.4">
      <c r="A1174" s="37" t="str">
        <f>CONCATENATE($D1161,"7")</f>
        <v>D7</v>
      </c>
      <c r="B1174" s="222" t="str">
        <f>IF(VLOOKUP($A1174,Players!$A$2:$C$132,3)&lt;&gt;0,VLOOKUP($A1174,Players!$A$2:$C$132,3),"")</f>
        <v/>
      </c>
      <c r="C1174" s="222"/>
      <c r="D1174" s="222"/>
      <c r="E1174" s="222"/>
      <c r="F1174" s="222"/>
      <c r="G1174" s="225" t="str">
        <f>IF(VLOOKUP($I1161&amp;RIGHT($A1174,1),Players!$A$2:$D$132,3)&lt;&gt;0,VLOOKUP($I1161&amp;RIGHT($A1174,1),Players!$A$2:$D$132,3),"")</f>
        <v/>
      </c>
      <c r="H1174" s="225"/>
      <c r="I1174" s="225"/>
      <c r="J1174" s="168" t="str">
        <f>IF(VLOOKUP($I1161&amp;RIGHT($A1174,1),Players!$A$2:$D$132,3)&lt;&gt;0,"("&amp;VLOOKUP($I1161&amp;RIGHT($A1174,1),Players!$A$2:$D$132,4)&amp;")","")</f>
        <v/>
      </c>
    </row>
    <row r="1175" spans="1:10" ht="25.5" customHeight="1" x14ac:dyDescent="0.4">
      <c r="A1175" s="37" t="str">
        <f>CONCATENATE($D1161,"8")</f>
        <v>D8</v>
      </c>
      <c r="B1175" s="222" t="str">
        <f>IF(VLOOKUP($A1175,Players!$A$2:$C$132,3)&lt;&gt;0,VLOOKUP($A1175,Players!$A$2:$C$132,3),"")</f>
        <v/>
      </c>
      <c r="C1175" s="222"/>
      <c r="D1175" s="222"/>
      <c r="E1175" s="222"/>
      <c r="F1175" s="222"/>
      <c r="G1175" s="225" t="str">
        <f>IF(VLOOKUP($I1161&amp;RIGHT($A1175,1),Players!$A$2:$D$132,3)&lt;&gt;0,VLOOKUP($I1161&amp;RIGHT($A1175,1),Players!$A$2:$D$132,3),"")</f>
        <v/>
      </c>
      <c r="H1175" s="225"/>
      <c r="I1175" s="225"/>
      <c r="J1175" s="168" t="str">
        <f>IF(VLOOKUP($I1161&amp;RIGHT($A1175,1),Players!$A$2:$D$132,3)&lt;&gt;0,"("&amp;VLOOKUP($I1161&amp;RIGHT($A1175,1),Players!$A$2:$D$132,4)&amp;")","")</f>
        <v/>
      </c>
    </row>
    <row r="1176" spans="1:10" ht="25.5" customHeight="1" x14ac:dyDescent="0.25">
      <c r="A1176" s="37"/>
      <c r="B1176" s="7"/>
      <c r="C1176" s="7"/>
      <c r="D1176" s="7"/>
      <c r="E1176" s="7"/>
    </row>
    <row r="1177" spans="1:10" x14ac:dyDescent="0.25">
      <c r="A1177" s="9" t="s">
        <v>157</v>
      </c>
    </row>
    <row r="1178" spans="1:10" x14ac:dyDescent="0.25">
      <c r="A1178" t="s">
        <v>179</v>
      </c>
    </row>
    <row r="1179" spans="1:10" x14ac:dyDescent="0.25">
      <c r="A1179" s="55" t="s">
        <v>918</v>
      </c>
    </row>
    <row r="1180" spans="1:10" x14ac:dyDescent="0.25">
      <c r="A1180" t="s">
        <v>919</v>
      </c>
    </row>
    <row r="1181" spans="1:10" ht="25.5" customHeight="1" thickBot="1" x14ac:dyDescent="0.3">
      <c r="A1181" s="37"/>
    </row>
    <row r="1182" spans="1:10" x14ac:dyDescent="0.25">
      <c r="B1182" s="213"/>
      <c r="C1182" s="214"/>
      <c r="D1182" s="214"/>
      <c r="E1182" s="214"/>
      <c r="F1182" s="215"/>
    </row>
    <row r="1183" spans="1:10" ht="13.8" thickBot="1" x14ac:dyDescent="0.3">
      <c r="B1183" s="216"/>
      <c r="C1183" s="217"/>
      <c r="D1183" s="217"/>
      <c r="E1183" s="217"/>
      <c r="F1183" s="218"/>
    </row>
    <row r="1187" spans="1:10" ht="25.5" customHeight="1" x14ac:dyDescent="0.25">
      <c r="A1187" s="36"/>
      <c r="B1187" s="36"/>
      <c r="C1187" s="36"/>
      <c r="D1187" s="36"/>
      <c r="E1187" s="36"/>
      <c r="G1187" s="38"/>
      <c r="H1187" s="227" t="s">
        <v>159</v>
      </c>
      <c r="I1187" s="228"/>
    </row>
    <row r="1188" spans="1:10" x14ac:dyDescent="0.25">
      <c r="A1188" t="s">
        <v>158</v>
      </c>
    </row>
    <row r="1190" spans="1:10" x14ac:dyDescent="0.25">
      <c r="E1190" s="219" t="str">
        <f>CONCATENATE("(",$D1161," vs ",$I1161,")")</f>
        <v>(D vs E)</v>
      </c>
      <c r="F1190" s="219"/>
    </row>
    <row r="1191" spans="1:10" ht="15.6" x14ac:dyDescent="0.3">
      <c r="A1191" s="33" t="s">
        <v>155</v>
      </c>
      <c r="J1191" s="82" t="s">
        <v>506</v>
      </c>
    </row>
    <row r="1192" spans="1:10" ht="12.75" customHeight="1" x14ac:dyDescent="0.3">
      <c r="A1192" s="33"/>
      <c r="G1192" t="str">
        <f ca="1">Team_Matches!$J$6</f>
        <v>[NCTTA Teams Template (v3.4).xlsx]</v>
      </c>
      <c r="J1192" s="55"/>
    </row>
    <row r="1193" spans="1:10" ht="12.75" customHeight="1" x14ac:dyDescent="0.3">
      <c r="A1193" s="33"/>
      <c r="G1193" s="229" t="str">
        <f>Team_Matches!$J874</f>
        <v>Round 3, Match 6</v>
      </c>
      <c r="H1193" s="229"/>
      <c r="I1193" s="127" t="str">
        <f>Team_Matches!$M874</f>
        <v/>
      </c>
      <c r="J1193" s="127"/>
    </row>
    <row r="1194" spans="1:10" ht="15.6" x14ac:dyDescent="0.3">
      <c r="A1194" s="33"/>
    </row>
    <row r="1195" spans="1:10" x14ac:dyDescent="0.25">
      <c r="C1195" s="7" t="s">
        <v>160</v>
      </c>
      <c r="D1195" s="39" t="str">
        <f>Team_Matches!$B876</f>
        <v>D</v>
      </c>
      <c r="F1195" s="83" t="str">
        <f>CONCATENATE($D1195,"-",$I1195)</f>
        <v>D-E</v>
      </c>
      <c r="H1195" s="7" t="s">
        <v>160</v>
      </c>
      <c r="I1195" s="39" t="str">
        <f>Team_Matches!$K876</f>
        <v>E</v>
      </c>
    </row>
    <row r="1196" spans="1:10" ht="25.5" customHeight="1" x14ac:dyDescent="0.25">
      <c r="A1196" s="34"/>
      <c r="B1196" s="223" t="str">
        <f>IF(VLOOKUP($D1195,Draw!$A$4:$B$27,2)&lt;&gt;0,VLOOKUP($D1195,Draw!$A$4:$B$27,2),"")</f>
        <v/>
      </c>
      <c r="C1196" s="223"/>
      <c r="D1196" s="223"/>
      <c r="E1196" s="224"/>
      <c r="F1196" s="35"/>
      <c r="G1196" s="220" t="str">
        <f>IF(VLOOKUP($I1195,Draw!$A$4:$B$27,2)&lt;&gt;0,VLOOKUP($I1195,Draw!$A$4:$B$27,2),"")</f>
        <v/>
      </c>
      <c r="H1196" s="220"/>
      <c r="I1196" s="220"/>
      <c r="J1196" s="221"/>
    </row>
    <row r="1197" spans="1:10" ht="25.5" customHeight="1" x14ac:dyDescent="0.25"/>
    <row r="1198" spans="1:10" ht="25.5" customHeight="1" x14ac:dyDescent="0.25"/>
    <row r="1199" spans="1:10" ht="24" customHeight="1" x14ac:dyDescent="0.25">
      <c r="A1199" s="9" t="s">
        <v>178</v>
      </c>
    </row>
    <row r="1200" spans="1:10" ht="24" customHeight="1" x14ac:dyDescent="0.25">
      <c r="A1200" s="9"/>
    </row>
    <row r="1201" spans="1:10" x14ac:dyDescent="0.25">
      <c r="A1201" s="9" t="s">
        <v>156</v>
      </c>
      <c r="G1201" s="226" t="s">
        <v>873</v>
      </c>
      <c r="H1201" s="226"/>
      <c r="I1201" s="226"/>
      <c r="J1201" s="226"/>
    </row>
    <row r="1202" spans="1:10" ht="24" customHeight="1" x14ac:dyDescent="0.4">
      <c r="A1202" s="37" t="str">
        <f>CONCATENATE($I1195,"1")</f>
        <v>E1</v>
      </c>
      <c r="B1202" s="222" t="str">
        <f>IF(VLOOKUP($A1202,Players!$A$2:$C$132,3)&lt;&gt;0,VLOOKUP($A1202,Players!$A$2:$C$132,3),"")</f>
        <v/>
      </c>
      <c r="C1202" s="222"/>
      <c r="D1202" s="222"/>
      <c r="E1202" s="222"/>
      <c r="F1202" s="222"/>
      <c r="G1202" s="225" t="str">
        <f>IF(VLOOKUP($D1195&amp;RIGHT($A1202,1),Players!$A$2:$D$132,3)&lt;&gt;0,VLOOKUP($D1195&amp;RIGHT($A1202,1),Players!$A$2:$D$132,3),"")</f>
        <v/>
      </c>
      <c r="H1202" s="225"/>
      <c r="I1202" s="225"/>
      <c r="J1202" s="168" t="str">
        <f>IF(VLOOKUP($D1195&amp;RIGHT($A1202,1),Players!$A$2:$D$132,3)&lt;&gt;0,"("&amp;VLOOKUP($D1195&amp;RIGHT($A1202,1),Players!$A$2:$D$132,4)&amp;")","")</f>
        <v/>
      </c>
    </row>
    <row r="1203" spans="1:10" ht="25.5" customHeight="1" x14ac:dyDescent="0.4">
      <c r="A1203" s="37" t="str">
        <f>CONCATENATE($I1195,"2")</f>
        <v>E2</v>
      </c>
      <c r="B1203" s="222" t="str">
        <f>IF(VLOOKUP($A1203,Players!$A$2:$C$132,3)&lt;&gt;0,VLOOKUP($A1203,Players!$A$2:$C$132,3),"")</f>
        <v/>
      </c>
      <c r="C1203" s="222"/>
      <c r="D1203" s="222"/>
      <c r="E1203" s="222"/>
      <c r="F1203" s="222"/>
      <c r="G1203" s="225" t="str">
        <f>IF(VLOOKUP($D1195&amp;RIGHT($A1203,1),Players!$A$2:$D$132,3)&lt;&gt;0,VLOOKUP($D1195&amp;RIGHT($A1203,1),Players!$A$2:$D$132,3),"")</f>
        <v/>
      </c>
      <c r="H1203" s="225"/>
      <c r="I1203" s="225"/>
      <c r="J1203" s="168" t="str">
        <f>IF(VLOOKUP($D1195&amp;RIGHT($A1203,1),Players!$A$2:$D$132,3)&lt;&gt;0,"("&amp;VLOOKUP($D1195&amp;RIGHT($A1203,1),Players!$A$2:$D$132,4)&amp;")","")</f>
        <v/>
      </c>
    </row>
    <row r="1204" spans="1:10" ht="25.5" customHeight="1" x14ac:dyDescent="0.4">
      <c r="A1204" s="37" t="str">
        <f>CONCATENATE($I1195,"3")</f>
        <v>E3</v>
      </c>
      <c r="B1204" s="222" t="str">
        <f>IF(VLOOKUP($A1204,Players!$A$2:$C$132,3)&lt;&gt;0,VLOOKUP($A1204,Players!$A$2:$C$132,3),"")</f>
        <v/>
      </c>
      <c r="C1204" s="222"/>
      <c r="D1204" s="222"/>
      <c r="E1204" s="222"/>
      <c r="F1204" s="222"/>
      <c r="G1204" s="225" t="str">
        <f>IF(VLOOKUP($D1195&amp;RIGHT($A1204,1),Players!$A$2:$D$132,3)&lt;&gt;0,VLOOKUP($D1195&amp;RIGHT($A1204,1),Players!$A$2:$D$132,3),"")</f>
        <v/>
      </c>
      <c r="H1204" s="225"/>
      <c r="I1204" s="225"/>
      <c r="J1204" s="168" t="str">
        <f>IF(VLOOKUP($D1195&amp;RIGHT($A1204,1),Players!$A$2:$D$132,3)&lt;&gt;0,"("&amp;VLOOKUP($D1195&amp;RIGHT($A1204,1),Players!$A$2:$D$132,4)&amp;")","")</f>
        <v/>
      </c>
    </row>
    <row r="1205" spans="1:10" ht="25.5" customHeight="1" x14ac:dyDescent="0.4">
      <c r="A1205" s="37" t="str">
        <f>CONCATENATE($I1195,"4")</f>
        <v>E4</v>
      </c>
      <c r="B1205" s="222" t="str">
        <f>IF(VLOOKUP($A1205,Players!$A$2:$C$132,3)&lt;&gt;0,VLOOKUP($A1205,Players!$A$2:$C$132,3),"")</f>
        <v/>
      </c>
      <c r="C1205" s="222"/>
      <c r="D1205" s="222"/>
      <c r="E1205" s="222"/>
      <c r="F1205" s="222"/>
      <c r="G1205" s="225" t="str">
        <f>IF(VLOOKUP($D1195&amp;RIGHT($A1205,1),Players!$A$2:$D$132,3)&lt;&gt;0,VLOOKUP($D1195&amp;RIGHT($A1205,1),Players!$A$2:$D$132,3),"")</f>
        <v/>
      </c>
      <c r="H1205" s="225"/>
      <c r="I1205" s="225"/>
      <c r="J1205" s="168" t="str">
        <f>IF(VLOOKUP($D1195&amp;RIGHT($A1205,1),Players!$A$2:$D$132,3)&lt;&gt;0,"("&amp;VLOOKUP($D1195&amp;RIGHT($A1205,1),Players!$A$2:$D$132,4)&amp;")","")</f>
        <v/>
      </c>
    </row>
    <row r="1206" spans="1:10" ht="25.5" customHeight="1" x14ac:dyDescent="0.4">
      <c r="A1206" s="37" t="str">
        <f>CONCATENATE($I1195,"5")</f>
        <v>E5</v>
      </c>
      <c r="B1206" s="222" t="str">
        <f>IF(VLOOKUP($A1206,Players!$A$2:$C$132,3)&lt;&gt;0,VLOOKUP($A1206,Players!$A$2:$C$132,3),"")</f>
        <v/>
      </c>
      <c r="C1206" s="222"/>
      <c r="D1206" s="222"/>
      <c r="E1206" s="222"/>
      <c r="F1206" s="222"/>
      <c r="G1206" s="225" t="str">
        <f>IF(VLOOKUP($D1195&amp;RIGHT($A1206,1),Players!$A$2:$D$132,3)&lt;&gt;0,VLOOKUP($D1195&amp;RIGHT($A1206,1),Players!$A$2:$D$132,3),"")</f>
        <v/>
      </c>
      <c r="H1206" s="225"/>
      <c r="I1206" s="225"/>
      <c r="J1206" s="168" t="str">
        <f>IF(VLOOKUP($D1195&amp;RIGHT($A1206,1),Players!$A$2:$D$132,3)&lt;&gt;0,"("&amp;VLOOKUP($D1195&amp;RIGHT($A1206,1),Players!$A$2:$D$132,4)&amp;")","")</f>
        <v/>
      </c>
    </row>
    <row r="1207" spans="1:10" ht="25.5" customHeight="1" x14ac:dyDescent="0.4">
      <c r="A1207" s="37" t="str">
        <f>CONCATENATE($I1195,"6")</f>
        <v>E6</v>
      </c>
      <c r="B1207" s="222" t="str">
        <f>IF(VLOOKUP($A1207,Players!$A$2:$C$132,3)&lt;&gt;0,VLOOKUP($A1207,Players!$A$2:$C$132,3),"")</f>
        <v/>
      </c>
      <c r="C1207" s="222"/>
      <c r="D1207" s="222"/>
      <c r="E1207" s="222"/>
      <c r="F1207" s="222"/>
      <c r="G1207" s="225" t="str">
        <f>IF(VLOOKUP($D1195&amp;RIGHT($A1207,1),Players!$A$2:$D$132,3)&lt;&gt;0,VLOOKUP($D1195&amp;RIGHT($A1207,1),Players!$A$2:$D$132,3),"")</f>
        <v/>
      </c>
      <c r="H1207" s="225"/>
      <c r="I1207" s="225"/>
      <c r="J1207" s="168" t="str">
        <f>IF(VLOOKUP($D1195&amp;RIGHT($A1207,1),Players!$A$2:$D$132,3)&lt;&gt;0,"("&amp;VLOOKUP($D1195&amp;RIGHT($A1207,1),Players!$A$2:$D$132,4)&amp;")","")</f>
        <v/>
      </c>
    </row>
    <row r="1208" spans="1:10" ht="25.5" customHeight="1" x14ac:dyDescent="0.4">
      <c r="A1208" s="37" t="str">
        <f>CONCATENATE($I1195,"7")</f>
        <v>E7</v>
      </c>
      <c r="B1208" s="222" t="str">
        <f>IF(VLOOKUP($A1208,Players!$A$2:$C$132,3)&lt;&gt;0,VLOOKUP($A1208,Players!$A$2:$C$132,3),"")</f>
        <v/>
      </c>
      <c r="C1208" s="222"/>
      <c r="D1208" s="222"/>
      <c r="E1208" s="222"/>
      <c r="F1208" s="222"/>
      <c r="G1208" s="225" t="str">
        <f>IF(VLOOKUP($D1195&amp;RIGHT($A1208,1),Players!$A$2:$D$132,3)&lt;&gt;0,VLOOKUP($D1195&amp;RIGHT($A1208,1),Players!$A$2:$D$132,3),"")</f>
        <v/>
      </c>
      <c r="H1208" s="225"/>
      <c r="I1208" s="225"/>
      <c r="J1208" s="168" t="str">
        <f>IF(VLOOKUP($D1195&amp;RIGHT($A1208,1),Players!$A$2:$D$132,3)&lt;&gt;0,"("&amp;VLOOKUP($D1195&amp;RIGHT($A1208,1),Players!$A$2:$D$132,4)&amp;")","")</f>
        <v/>
      </c>
    </row>
    <row r="1209" spans="1:10" ht="25.5" customHeight="1" x14ac:dyDescent="0.4">
      <c r="A1209" s="37" t="str">
        <f>CONCATENATE($I1195,"8")</f>
        <v>E8</v>
      </c>
      <c r="B1209" s="222" t="str">
        <f>IF(VLOOKUP($A1209,Players!$A$2:$C$132,3)&lt;&gt;0,VLOOKUP($A1209,Players!$A$2:$C$132,3),"")</f>
        <v/>
      </c>
      <c r="C1209" s="222"/>
      <c r="D1209" s="222"/>
      <c r="E1209" s="222"/>
      <c r="F1209" s="222"/>
      <c r="G1209" s="225" t="str">
        <f>IF(VLOOKUP($D1195&amp;RIGHT($A1209,1),Players!$A$2:$D$132,3)&lt;&gt;0,VLOOKUP($D1195&amp;RIGHT($A1209,1),Players!$A$2:$D$132,3),"")</f>
        <v/>
      </c>
      <c r="H1209" s="225"/>
      <c r="I1209" s="225"/>
      <c r="J1209" s="168" t="str">
        <f>IF(VLOOKUP($D1195&amp;RIGHT($A1209,1),Players!$A$2:$D$132,3)&lt;&gt;0,"("&amp;VLOOKUP($D1195&amp;RIGHT($A1209,1),Players!$A$2:$D$132,4)&amp;")","")</f>
        <v/>
      </c>
    </row>
    <row r="1210" spans="1:10" ht="25.5" customHeight="1" x14ac:dyDescent="0.25">
      <c r="A1210" s="37"/>
      <c r="B1210" s="7"/>
      <c r="C1210" s="7"/>
      <c r="D1210" s="7"/>
      <c r="E1210" s="7"/>
    </row>
    <row r="1211" spans="1:10" x14ac:dyDescent="0.25">
      <c r="A1211" s="9" t="s">
        <v>157</v>
      </c>
    </row>
    <row r="1212" spans="1:10" x14ac:dyDescent="0.25">
      <c r="A1212" t="s">
        <v>179</v>
      </c>
    </row>
    <row r="1213" spans="1:10" x14ac:dyDescent="0.25">
      <c r="A1213" s="55" t="s">
        <v>918</v>
      </c>
    </row>
    <row r="1214" spans="1:10" x14ac:dyDescent="0.25">
      <c r="A1214" t="s">
        <v>919</v>
      </c>
    </row>
    <row r="1215" spans="1:10" ht="25.5" customHeight="1" thickBot="1" x14ac:dyDescent="0.3">
      <c r="A1215" s="37"/>
    </row>
    <row r="1216" spans="1:10" x14ac:dyDescent="0.25">
      <c r="B1216" s="213"/>
      <c r="C1216" s="214"/>
      <c r="D1216" s="214"/>
      <c r="E1216" s="214"/>
      <c r="F1216" s="215"/>
    </row>
    <row r="1217" spans="1:10" ht="13.8" thickBot="1" x14ac:dyDescent="0.3">
      <c r="B1217" s="216"/>
      <c r="C1217" s="217"/>
      <c r="D1217" s="217"/>
      <c r="E1217" s="217"/>
      <c r="F1217" s="218"/>
    </row>
    <row r="1221" spans="1:10" ht="25.5" customHeight="1" x14ac:dyDescent="0.25">
      <c r="A1221" s="36"/>
      <c r="B1221" s="36"/>
      <c r="C1221" s="36"/>
      <c r="D1221" s="36"/>
      <c r="E1221" s="36"/>
      <c r="G1221" s="38"/>
      <c r="H1221" s="227" t="s">
        <v>159</v>
      </c>
      <c r="I1221" s="228"/>
    </row>
    <row r="1222" spans="1:10" x14ac:dyDescent="0.25">
      <c r="A1222" t="s">
        <v>158</v>
      </c>
    </row>
    <row r="1224" spans="1:10" x14ac:dyDescent="0.25">
      <c r="E1224" s="219" t="str">
        <f>CONCATENATE("(",$D1195," vs ",$I1195,")")</f>
        <v>(D vs E)</v>
      </c>
      <c r="F1224" s="219"/>
    </row>
    <row r="1225" spans="1:10" ht="15.6" x14ac:dyDescent="0.3">
      <c r="A1225" s="33" t="s">
        <v>155</v>
      </c>
      <c r="J1225" s="82" t="s">
        <v>507</v>
      </c>
    </row>
    <row r="1226" spans="1:10" ht="12.75" customHeight="1" x14ac:dyDescent="0.3">
      <c r="A1226" s="33"/>
      <c r="G1226" t="str">
        <f ca="1">Team_Matches!$J$6</f>
        <v>[NCTTA Teams Template (v3.4).xlsx]</v>
      </c>
      <c r="J1226" s="55"/>
    </row>
    <row r="1227" spans="1:10" ht="12.75" customHeight="1" x14ac:dyDescent="0.3">
      <c r="A1227" s="33"/>
      <c r="G1227" s="229" t="str">
        <f>Team_Matches!$J925</f>
        <v>Round 4, Match 1</v>
      </c>
      <c r="H1227" s="229"/>
      <c r="I1227" s="127" t="str">
        <f>Team_Matches!$M925</f>
        <v/>
      </c>
      <c r="J1227" s="127"/>
    </row>
    <row r="1228" spans="1:10" ht="15.6" x14ac:dyDescent="0.3">
      <c r="A1228" s="33"/>
    </row>
    <row r="1229" spans="1:10" x14ac:dyDescent="0.25">
      <c r="C1229" s="7" t="s">
        <v>160</v>
      </c>
      <c r="D1229" s="39" t="str">
        <f>Team_Matches!$B927</f>
        <v>A</v>
      </c>
      <c r="F1229" s="83" t="str">
        <f>CONCATENATE($D1229,"-",$I1229)</f>
        <v>A-I</v>
      </c>
      <c r="H1229" s="7" t="s">
        <v>160</v>
      </c>
      <c r="I1229" s="39" t="str">
        <f>Team_Matches!$K927</f>
        <v>I</v>
      </c>
    </row>
    <row r="1230" spans="1:10" ht="25.5" customHeight="1" x14ac:dyDescent="0.25">
      <c r="A1230" s="34"/>
      <c r="B1230" s="220" t="str">
        <f>IF(VLOOKUP($D1229,Draw!$A$4:$B$27,2)&lt;&gt;0,VLOOKUP($D1229,Draw!$A$4:$B$27,2),"")</f>
        <v/>
      </c>
      <c r="C1230" s="220"/>
      <c r="D1230" s="220"/>
      <c r="E1230" s="221"/>
      <c r="F1230" s="35"/>
      <c r="G1230" s="223" t="str">
        <f>IF(VLOOKUP($I1229,Draw!$A$4:$B$27,2)&lt;&gt;0,VLOOKUP($I1229,Draw!$A$4:$B$27,2),"")</f>
        <v/>
      </c>
      <c r="H1230" s="223"/>
      <c r="I1230" s="223"/>
      <c r="J1230" s="224"/>
    </row>
    <row r="1231" spans="1:10" ht="25.5" customHeight="1" x14ac:dyDescent="0.25"/>
    <row r="1232" spans="1:10" ht="25.5" customHeight="1" x14ac:dyDescent="0.25"/>
    <row r="1233" spans="1:10" ht="24" customHeight="1" x14ac:dyDescent="0.25">
      <c r="A1233" s="9" t="s">
        <v>178</v>
      </c>
    </row>
    <row r="1234" spans="1:10" ht="24" customHeight="1" x14ac:dyDescent="0.25">
      <c r="A1234" s="9"/>
    </row>
    <row r="1235" spans="1:10" x14ac:dyDescent="0.25">
      <c r="A1235" s="9" t="s">
        <v>156</v>
      </c>
      <c r="G1235" s="226" t="s">
        <v>873</v>
      </c>
      <c r="H1235" s="226"/>
      <c r="I1235" s="226"/>
      <c r="J1235" s="226"/>
    </row>
    <row r="1236" spans="1:10" ht="24" customHeight="1" x14ac:dyDescent="0.4">
      <c r="A1236" s="37" t="str">
        <f>CONCATENATE($D1229,"1")</f>
        <v>A1</v>
      </c>
      <c r="B1236" s="222" t="str">
        <f>IF(VLOOKUP($A1236,Players!$A$2:$C$132,3)&lt;&gt;0,VLOOKUP($A1236,Players!$A$2:$C$132,3),"")</f>
        <v/>
      </c>
      <c r="C1236" s="222"/>
      <c r="D1236" s="222"/>
      <c r="E1236" s="222"/>
      <c r="F1236" s="222"/>
      <c r="G1236" s="225" t="str">
        <f>IF(VLOOKUP($I1229&amp;RIGHT($A1236,1),Players!$A$2:$D$132,3)&lt;&gt;0,VLOOKUP($I1229&amp;RIGHT($A1236,1),Players!$A$2:$D$132,3),"")</f>
        <v/>
      </c>
      <c r="H1236" s="225"/>
      <c r="I1236" s="225"/>
      <c r="J1236" s="168" t="str">
        <f>IF(VLOOKUP($I1229&amp;RIGHT($A1236,1),Players!$A$2:$D$132,3)&lt;&gt;0,"("&amp;VLOOKUP($I1229&amp;RIGHT($A1236,1),Players!$A$2:$D$132,4)&amp;")","")</f>
        <v/>
      </c>
    </row>
    <row r="1237" spans="1:10" ht="25.5" customHeight="1" x14ac:dyDescent="0.4">
      <c r="A1237" s="37" t="str">
        <f>CONCATENATE($D1229,"2")</f>
        <v>A2</v>
      </c>
      <c r="B1237" s="222" t="str">
        <f>IF(VLOOKUP($A1237,Players!$A$2:$C$132,3)&lt;&gt;0,VLOOKUP($A1237,Players!$A$2:$C$132,3),"")</f>
        <v/>
      </c>
      <c r="C1237" s="222"/>
      <c r="D1237" s="222"/>
      <c r="E1237" s="222"/>
      <c r="F1237" s="222"/>
      <c r="G1237" s="225" t="str">
        <f>IF(VLOOKUP($I1229&amp;RIGHT($A1237,1),Players!$A$2:$D$132,3)&lt;&gt;0,VLOOKUP($I1229&amp;RIGHT($A1237,1),Players!$A$2:$D$132,3),"")</f>
        <v/>
      </c>
      <c r="H1237" s="225"/>
      <c r="I1237" s="225"/>
      <c r="J1237" s="168" t="str">
        <f>IF(VLOOKUP($I1229&amp;RIGHT($A1237,1),Players!$A$2:$D$132,3)&lt;&gt;0,"("&amp;VLOOKUP($I1229&amp;RIGHT($A1237,1),Players!$A$2:$D$132,4)&amp;")","")</f>
        <v/>
      </c>
    </row>
    <row r="1238" spans="1:10" ht="25.5" customHeight="1" x14ac:dyDescent="0.4">
      <c r="A1238" s="37" t="str">
        <f>CONCATENATE($D1229,"3")</f>
        <v>A3</v>
      </c>
      <c r="B1238" s="222" t="str">
        <f>IF(VLOOKUP($A1238,Players!$A$2:$C$132,3)&lt;&gt;0,VLOOKUP($A1238,Players!$A$2:$C$132,3),"")</f>
        <v/>
      </c>
      <c r="C1238" s="222"/>
      <c r="D1238" s="222"/>
      <c r="E1238" s="222"/>
      <c r="F1238" s="222"/>
      <c r="G1238" s="225" t="str">
        <f>IF(VLOOKUP($I1229&amp;RIGHT($A1238,1),Players!$A$2:$D$132,3)&lt;&gt;0,VLOOKUP($I1229&amp;RIGHT($A1238,1),Players!$A$2:$D$132,3),"")</f>
        <v/>
      </c>
      <c r="H1238" s="225"/>
      <c r="I1238" s="225"/>
      <c r="J1238" s="168" t="str">
        <f>IF(VLOOKUP($I1229&amp;RIGHT($A1238,1),Players!$A$2:$D$132,3)&lt;&gt;0,"("&amp;VLOOKUP($I1229&amp;RIGHT($A1238,1),Players!$A$2:$D$132,4)&amp;")","")</f>
        <v/>
      </c>
    </row>
    <row r="1239" spans="1:10" ht="25.5" customHeight="1" x14ac:dyDescent="0.4">
      <c r="A1239" s="37" t="str">
        <f>CONCATENATE($D1229,"4")</f>
        <v>A4</v>
      </c>
      <c r="B1239" s="222" t="str">
        <f>IF(VLOOKUP($A1239,Players!$A$2:$C$132,3)&lt;&gt;0,VLOOKUP($A1239,Players!$A$2:$C$132,3),"")</f>
        <v/>
      </c>
      <c r="C1239" s="222"/>
      <c r="D1239" s="222"/>
      <c r="E1239" s="222"/>
      <c r="F1239" s="222"/>
      <c r="G1239" s="225" t="str">
        <f>IF(VLOOKUP($I1229&amp;RIGHT($A1239,1),Players!$A$2:$D$132,3)&lt;&gt;0,VLOOKUP($I1229&amp;RIGHT($A1239,1),Players!$A$2:$D$132,3),"")</f>
        <v/>
      </c>
      <c r="H1239" s="225"/>
      <c r="I1239" s="225"/>
      <c r="J1239" s="168" t="str">
        <f>IF(VLOOKUP($I1229&amp;RIGHT($A1239,1),Players!$A$2:$D$132,3)&lt;&gt;0,"("&amp;VLOOKUP($I1229&amp;RIGHT($A1239,1),Players!$A$2:$D$132,4)&amp;")","")</f>
        <v/>
      </c>
    </row>
    <row r="1240" spans="1:10" ht="25.5" customHeight="1" x14ac:dyDescent="0.4">
      <c r="A1240" s="37" t="str">
        <f>CONCATENATE($D1229,"5")</f>
        <v>A5</v>
      </c>
      <c r="B1240" s="222" t="str">
        <f>IF(VLOOKUP($A1240,Players!$A$2:$C$132,3)&lt;&gt;0,VLOOKUP($A1240,Players!$A$2:$C$132,3),"")</f>
        <v/>
      </c>
      <c r="C1240" s="222"/>
      <c r="D1240" s="222"/>
      <c r="E1240" s="222"/>
      <c r="F1240" s="222"/>
      <c r="G1240" s="225" t="str">
        <f>IF(VLOOKUP($I1229&amp;RIGHT($A1240,1),Players!$A$2:$D$132,3)&lt;&gt;0,VLOOKUP($I1229&amp;RIGHT($A1240,1),Players!$A$2:$D$132,3),"")</f>
        <v/>
      </c>
      <c r="H1240" s="225"/>
      <c r="I1240" s="225"/>
      <c r="J1240" s="168" t="str">
        <f>IF(VLOOKUP($I1229&amp;RIGHT($A1240,1),Players!$A$2:$D$132,3)&lt;&gt;0,"("&amp;VLOOKUP($I1229&amp;RIGHT($A1240,1),Players!$A$2:$D$132,4)&amp;")","")</f>
        <v/>
      </c>
    </row>
    <row r="1241" spans="1:10" ht="25.5" customHeight="1" x14ac:dyDescent="0.4">
      <c r="A1241" s="37" t="str">
        <f>CONCATENATE($D1229,"6")</f>
        <v>A6</v>
      </c>
      <c r="B1241" s="222" t="str">
        <f>IF(VLOOKUP($A1241,Players!$A$2:$C$132,3)&lt;&gt;0,VLOOKUP($A1241,Players!$A$2:$C$132,3),"")</f>
        <v/>
      </c>
      <c r="C1241" s="222"/>
      <c r="D1241" s="222"/>
      <c r="E1241" s="222"/>
      <c r="F1241" s="222"/>
      <c r="G1241" s="225" t="str">
        <f>IF(VLOOKUP($I1229&amp;RIGHT($A1241,1),Players!$A$2:$D$132,3)&lt;&gt;0,VLOOKUP($I1229&amp;RIGHT($A1241,1),Players!$A$2:$D$132,3),"")</f>
        <v/>
      </c>
      <c r="H1241" s="225"/>
      <c r="I1241" s="225"/>
      <c r="J1241" s="168" t="str">
        <f>IF(VLOOKUP($I1229&amp;RIGHT($A1241,1),Players!$A$2:$D$132,3)&lt;&gt;0,"("&amp;VLOOKUP($I1229&amp;RIGHT($A1241,1),Players!$A$2:$D$132,4)&amp;")","")</f>
        <v/>
      </c>
    </row>
    <row r="1242" spans="1:10" ht="25.5" customHeight="1" x14ac:dyDescent="0.4">
      <c r="A1242" s="37" t="str">
        <f>CONCATENATE($D1229,"7")</f>
        <v>A7</v>
      </c>
      <c r="B1242" s="222" t="str">
        <f>IF(VLOOKUP($A1242,Players!$A$2:$C$132,3)&lt;&gt;0,VLOOKUP($A1242,Players!$A$2:$C$132,3),"")</f>
        <v/>
      </c>
      <c r="C1242" s="222"/>
      <c r="D1242" s="222"/>
      <c r="E1242" s="222"/>
      <c r="F1242" s="222"/>
      <c r="G1242" s="225" t="str">
        <f>IF(VLOOKUP($I1229&amp;RIGHT($A1242,1),Players!$A$2:$D$132,3)&lt;&gt;0,VLOOKUP($I1229&amp;RIGHT($A1242,1),Players!$A$2:$D$132,3),"")</f>
        <v/>
      </c>
      <c r="H1242" s="225"/>
      <c r="I1242" s="225"/>
      <c r="J1242" s="168" t="str">
        <f>IF(VLOOKUP($I1229&amp;RIGHT($A1242,1),Players!$A$2:$D$132,3)&lt;&gt;0,"("&amp;VLOOKUP($I1229&amp;RIGHT($A1242,1),Players!$A$2:$D$132,4)&amp;")","")</f>
        <v/>
      </c>
    </row>
    <row r="1243" spans="1:10" ht="25.5" customHeight="1" x14ac:dyDescent="0.4">
      <c r="A1243" s="37" t="str">
        <f>CONCATENATE($D1229,"8")</f>
        <v>A8</v>
      </c>
      <c r="B1243" s="222" t="str">
        <f>IF(VLOOKUP($A1243,Players!$A$2:$C$132,3)&lt;&gt;0,VLOOKUP($A1243,Players!$A$2:$C$132,3),"")</f>
        <v/>
      </c>
      <c r="C1243" s="222"/>
      <c r="D1243" s="222"/>
      <c r="E1243" s="222"/>
      <c r="F1243" s="222"/>
      <c r="G1243" s="225" t="str">
        <f>IF(VLOOKUP($I1229&amp;RIGHT($A1243,1),Players!$A$2:$D$132,3)&lt;&gt;0,VLOOKUP($I1229&amp;RIGHT($A1243,1),Players!$A$2:$D$132,3),"")</f>
        <v/>
      </c>
      <c r="H1243" s="225"/>
      <c r="I1243" s="225"/>
      <c r="J1243" s="168" t="str">
        <f>IF(VLOOKUP($I1229&amp;RIGHT($A1243,1),Players!$A$2:$D$132,3)&lt;&gt;0,"("&amp;VLOOKUP($I1229&amp;RIGHT($A1243,1),Players!$A$2:$D$132,4)&amp;")","")</f>
        <v/>
      </c>
    </row>
    <row r="1244" spans="1:10" ht="25.5" customHeight="1" x14ac:dyDescent="0.25">
      <c r="A1244" s="37"/>
      <c r="B1244" s="7"/>
      <c r="C1244" s="7"/>
      <c r="D1244" s="7"/>
      <c r="E1244" s="7"/>
    </row>
    <row r="1245" spans="1:10" x14ac:dyDescent="0.25">
      <c r="A1245" s="9" t="s">
        <v>157</v>
      </c>
    </row>
    <row r="1246" spans="1:10" x14ac:dyDescent="0.25">
      <c r="A1246" t="s">
        <v>179</v>
      </c>
    </row>
    <row r="1247" spans="1:10" x14ac:dyDescent="0.25">
      <c r="A1247" s="55" t="s">
        <v>918</v>
      </c>
    </row>
    <row r="1248" spans="1:10" x14ac:dyDescent="0.25">
      <c r="A1248" t="s">
        <v>919</v>
      </c>
    </row>
    <row r="1249" spans="1:10" ht="25.5" customHeight="1" thickBot="1" x14ac:dyDescent="0.3">
      <c r="A1249" s="37"/>
    </row>
    <row r="1250" spans="1:10" x14ac:dyDescent="0.25">
      <c r="B1250" s="213"/>
      <c r="C1250" s="214"/>
      <c r="D1250" s="214"/>
      <c r="E1250" s="214"/>
      <c r="F1250" s="215"/>
    </row>
    <row r="1251" spans="1:10" ht="13.8" thickBot="1" x14ac:dyDescent="0.3">
      <c r="B1251" s="216"/>
      <c r="C1251" s="217"/>
      <c r="D1251" s="217"/>
      <c r="E1251" s="217"/>
      <c r="F1251" s="218"/>
    </row>
    <row r="1255" spans="1:10" ht="25.5" customHeight="1" x14ac:dyDescent="0.25">
      <c r="A1255" s="36"/>
      <c r="B1255" s="36"/>
      <c r="C1255" s="36"/>
      <c r="D1255" s="36"/>
      <c r="E1255" s="36"/>
      <c r="G1255" s="38"/>
      <c r="H1255" s="227" t="s">
        <v>159</v>
      </c>
      <c r="I1255" s="228"/>
    </row>
    <row r="1256" spans="1:10" x14ac:dyDescent="0.25">
      <c r="A1256" t="s">
        <v>158</v>
      </c>
    </row>
    <row r="1258" spans="1:10" x14ac:dyDescent="0.25">
      <c r="E1258" s="219" t="str">
        <f>CONCATENATE("(",$D1229," vs ",$I1229,")")</f>
        <v>(A vs I)</v>
      </c>
      <c r="F1258" s="219"/>
    </row>
    <row r="1259" spans="1:10" ht="15.6" x14ac:dyDescent="0.3">
      <c r="A1259" s="33" t="s">
        <v>155</v>
      </c>
      <c r="J1259" s="82" t="s">
        <v>508</v>
      </c>
    </row>
    <row r="1260" spans="1:10" ht="12.75" customHeight="1" x14ac:dyDescent="0.3">
      <c r="A1260" s="33"/>
      <c r="G1260" t="str">
        <f ca="1">Team_Matches!$J$6</f>
        <v>[NCTTA Teams Template (v3.4).xlsx]</v>
      </c>
      <c r="J1260" s="55"/>
    </row>
    <row r="1261" spans="1:10" ht="12.75" customHeight="1" x14ac:dyDescent="0.3">
      <c r="A1261" s="33"/>
      <c r="G1261" s="229" t="str">
        <f>Team_Matches!$J925</f>
        <v>Round 4, Match 1</v>
      </c>
      <c r="H1261" s="229"/>
      <c r="I1261" s="127" t="str">
        <f>Team_Matches!$M925</f>
        <v/>
      </c>
      <c r="J1261" s="127"/>
    </row>
    <row r="1262" spans="1:10" ht="15.6" x14ac:dyDescent="0.3">
      <c r="A1262" s="33"/>
    </row>
    <row r="1263" spans="1:10" x14ac:dyDescent="0.25">
      <c r="C1263" s="7" t="s">
        <v>160</v>
      </c>
      <c r="D1263" s="39" t="str">
        <f>Team_Matches!$B927</f>
        <v>A</v>
      </c>
      <c r="F1263" s="83" t="str">
        <f>CONCATENATE($D1263,"-",$I1263)</f>
        <v>A-I</v>
      </c>
      <c r="H1263" s="7" t="s">
        <v>160</v>
      </c>
      <c r="I1263" s="39" t="str">
        <f>Team_Matches!$K927</f>
        <v>I</v>
      </c>
    </row>
    <row r="1264" spans="1:10" ht="25.5" customHeight="1" x14ac:dyDescent="0.25">
      <c r="A1264" s="34"/>
      <c r="B1264" s="223" t="str">
        <f>IF(VLOOKUP($D1263,Draw!$A$4:$B$27,2)&lt;&gt;0,VLOOKUP($D1263,Draw!$A$4:$B$27,2),"")</f>
        <v/>
      </c>
      <c r="C1264" s="223"/>
      <c r="D1264" s="223"/>
      <c r="E1264" s="224"/>
      <c r="F1264" s="35"/>
      <c r="G1264" s="220" t="str">
        <f>IF(VLOOKUP($I1263,Draw!$A$4:$B$27,2)&lt;&gt;0,VLOOKUP($I1263,Draw!$A$4:$B$27,2),"")</f>
        <v/>
      </c>
      <c r="H1264" s="220"/>
      <c r="I1264" s="220"/>
      <c r="J1264" s="221"/>
    </row>
    <row r="1265" spans="1:10" ht="25.5" customHeight="1" x14ac:dyDescent="0.25"/>
    <row r="1266" spans="1:10" ht="25.5" customHeight="1" x14ac:dyDescent="0.25"/>
    <row r="1267" spans="1:10" ht="24" customHeight="1" x14ac:dyDescent="0.25">
      <c r="A1267" s="9" t="s">
        <v>178</v>
      </c>
    </row>
    <row r="1268" spans="1:10" ht="24" customHeight="1" x14ac:dyDescent="0.25">
      <c r="A1268" s="9"/>
    </row>
    <row r="1269" spans="1:10" x14ac:dyDescent="0.25">
      <c r="A1269" s="9" t="s">
        <v>156</v>
      </c>
      <c r="G1269" s="226" t="s">
        <v>873</v>
      </c>
      <c r="H1269" s="226"/>
      <c r="I1269" s="226"/>
      <c r="J1269" s="226"/>
    </row>
    <row r="1270" spans="1:10" ht="24" customHeight="1" x14ac:dyDescent="0.4">
      <c r="A1270" s="37" t="str">
        <f>CONCATENATE($I1263,"1")</f>
        <v>I1</v>
      </c>
      <c r="B1270" s="222" t="str">
        <f>IF(VLOOKUP($A1270,Players!$A$2:$C$132,3)&lt;&gt;0,VLOOKUP($A1270,Players!$A$2:$C$132,3),"")</f>
        <v/>
      </c>
      <c r="C1270" s="222"/>
      <c r="D1270" s="222"/>
      <c r="E1270" s="222"/>
      <c r="F1270" s="222"/>
      <c r="G1270" s="225" t="str">
        <f>IF(VLOOKUP($D1263&amp;RIGHT($A1270,1),Players!$A$2:$D$132,3)&lt;&gt;0,VLOOKUP($D1263&amp;RIGHT($A1270,1),Players!$A$2:$D$132,3),"")</f>
        <v/>
      </c>
      <c r="H1270" s="225"/>
      <c r="I1270" s="225"/>
      <c r="J1270" s="168" t="str">
        <f>IF(VLOOKUP($D1263&amp;RIGHT($A1270,1),Players!$A$2:$D$132,3)&lt;&gt;0,"("&amp;VLOOKUP($D1263&amp;RIGHT($A1270,1),Players!$A$2:$D$132,4)&amp;")","")</f>
        <v/>
      </c>
    </row>
    <row r="1271" spans="1:10" ht="25.5" customHeight="1" x14ac:dyDescent="0.4">
      <c r="A1271" s="37" t="str">
        <f>CONCATENATE($I1263,"2")</f>
        <v>I2</v>
      </c>
      <c r="B1271" s="222" t="str">
        <f>IF(VLOOKUP($A1271,Players!$A$2:$C$132,3)&lt;&gt;0,VLOOKUP($A1271,Players!$A$2:$C$132,3),"")</f>
        <v/>
      </c>
      <c r="C1271" s="222"/>
      <c r="D1271" s="222"/>
      <c r="E1271" s="222"/>
      <c r="F1271" s="222"/>
      <c r="G1271" s="225" t="str">
        <f>IF(VLOOKUP($D1263&amp;RIGHT($A1271,1),Players!$A$2:$D$132,3)&lt;&gt;0,VLOOKUP($D1263&amp;RIGHT($A1271,1),Players!$A$2:$D$132,3),"")</f>
        <v/>
      </c>
      <c r="H1271" s="225"/>
      <c r="I1271" s="225"/>
      <c r="J1271" s="168" t="str">
        <f>IF(VLOOKUP($D1263&amp;RIGHT($A1271,1),Players!$A$2:$D$132,3)&lt;&gt;0,"("&amp;VLOOKUP($D1263&amp;RIGHT($A1271,1),Players!$A$2:$D$132,4)&amp;")","")</f>
        <v/>
      </c>
    </row>
    <row r="1272" spans="1:10" ht="25.5" customHeight="1" x14ac:dyDescent="0.4">
      <c r="A1272" s="37" t="str">
        <f>CONCATENATE($I1263,"3")</f>
        <v>I3</v>
      </c>
      <c r="B1272" s="222" t="str">
        <f>IF(VLOOKUP($A1272,Players!$A$2:$C$132,3)&lt;&gt;0,VLOOKUP($A1272,Players!$A$2:$C$132,3),"")</f>
        <v/>
      </c>
      <c r="C1272" s="222"/>
      <c r="D1272" s="222"/>
      <c r="E1272" s="222"/>
      <c r="F1272" s="222"/>
      <c r="G1272" s="225" t="str">
        <f>IF(VLOOKUP($D1263&amp;RIGHT($A1272,1),Players!$A$2:$D$132,3)&lt;&gt;0,VLOOKUP($D1263&amp;RIGHT($A1272,1),Players!$A$2:$D$132,3),"")</f>
        <v/>
      </c>
      <c r="H1272" s="225"/>
      <c r="I1272" s="225"/>
      <c r="J1272" s="168" t="str">
        <f>IF(VLOOKUP($D1263&amp;RIGHT($A1272,1),Players!$A$2:$D$132,3)&lt;&gt;0,"("&amp;VLOOKUP($D1263&amp;RIGHT($A1272,1),Players!$A$2:$D$132,4)&amp;")","")</f>
        <v/>
      </c>
    </row>
    <row r="1273" spans="1:10" ht="25.5" customHeight="1" x14ac:dyDescent="0.4">
      <c r="A1273" s="37" t="str">
        <f>CONCATENATE($I1263,"4")</f>
        <v>I4</v>
      </c>
      <c r="B1273" s="222" t="str">
        <f>IF(VLOOKUP($A1273,Players!$A$2:$C$132,3)&lt;&gt;0,VLOOKUP($A1273,Players!$A$2:$C$132,3),"")</f>
        <v/>
      </c>
      <c r="C1273" s="222"/>
      <c r="D1273" s="222"/>
      <c r="E1273" s="222"/>
      <c r="F1273" s="222"/>
      <c r="G1273" s="225" t="str">
        <f>IF(VLOOKUP($D1263&amp;RIGHT($A1273,1),Players!$A$2:$D$132,3)&lt;&gt;0,VLOOKUP($D1263&amp;RIGHT($A1273,1),Players!$A$2:$D$132,3),"")</f>
        <v/>
      </c>
      <c r="H1273" s="225"/>
      <c r="I1273" s="225"/>
      <c r="J1273" s="168" t="str">
        <f>IF(VLOOKUP($D1263&amp;RIGHT($A1273,1),Players!$A$2:$D$132,3)&lt;&gt;0,"("&amp;VLOOKUP($D1263&amp;RIGHT($A1273,1),Players!$A$2:$D$132,4)&amp;")","")</f>
        <v/>
      </c>
    </row>
    <row r="1274" spans="1:10" ht="25.5" customHeight="1" x14ac:dyDescent="0.4">
      <c r="A1274" s="37" t="str">
        <f>CONCATENATE($I1263,"5")</f>
        <v>I5</v>
      </c>
      <c r="B1274" s="222" t="str">
        <f>IF(VLOOKUP($A1274,Players!$A$2:$C$132,3)&lt;&gt;0,VLOOKUP($A1274,Players!$A$2:$C$132,3),"")</f>
        <v/>
      </c>
      <c r="C1274" s="222"/>
      <c r="D1274" s="222"/>
      <c r="E1274" s="222"/>
      <c r="F1274" s="222"/>
      <c r="G1274" s="225" t="str">
        <f>IF(VLOOKUP($D1263&amp;RIGHT($A1274,1),Players!$A$2:$D$132,3)&lt;&gt;0,VLOOKUP($D1263&amp;RIGHT($A1274,1),Players!$A$2:$D$132,3),"")</f>
        <v/>
      </c>
      <c r="H1274" s="225"/>
      <c r="I1274" s="225"/>
      <c r="J1274" s="168" t="str">
        <f>IF(VLOOKUP($D1263&amp;RIGHT($A1274,1),Players!$A$2:$D$132,3)&lt;&gt;0,"("&amp;VLOOKUP($D1263&amp;RIGHT($A1274,1),Players!$A$2:$D$132,4)&amp;")","")</f>
        <v/>
      </c>
    </row>
    <row r="1275" spans="1:10" ht="25.5" customHeight="1" x14ac:dyDescent="0.4">
      <c r="A1275" s="37" t="str">
        <f>CONCATENATE($I1263,"6")</f>
        <v>I6</v>
      </c>
      <c r="B1275" s="222" t="str">
        <f>IF(VLOOKUP($A1275,Players!$A$2:$C$132,3)&lt;&gt;0,VLOOKUP($A1275,Players!$A$2:$C$132,3),"")</f>
        <v/>
      </c>
      <c r="C1275" s="222"/>
      <c r="D1275" s="222"/>
      <c r="E1275" s="222"/>
      <c r="F1275" s="222"/>
      <c r="G1275" s="225" t="str">
        <f>IF(VLOOKUP($D1263&amp;RIGHT($A1275,1),Players!$A$2:$D$132,3)&lt;&gt;0,VLOOKUP($D1263&amp;RIGHT($A1275,1),Players!$A$2:$D$132,3),"")</f>
        <v/>
      </c>
      <c r="H1275" s="225"/>
      <c r="I1275" s="225"/>
      <c r="J1275" s="168" t="str">
        <f>IF(VLOOKUP($D1263&amp;RIGHT($A1275,1),Players!$A$2:$D$132,3)&lt;&gt;0,"("&amp;VLOOKUP($D1263&amp;RIGHT($A1275,1),Players!$A$2:$D$132,4)&amp;")","")</f>
        <v/>
      </c>
    </row>
    <row r="1276" spans="1:10" ht="25.5" customHeight="1" x14ac:dyDescent="0.4">
      <c r="A1276" s="37" t="str">
        <f>CONCATENATE($I1263,"7")</f>
        <v>I7</v>
      </c>
      <c r="B1276" s="222" t="str">
        <f>IF(VLOOKUP($A1276,Players!$A$2:$C$132,3)&lt;&gt;0,VLOOKUP($A1276,Players!$A$2:$C$132,3),"")</f>
        <v/>
      </c>
      <c r="C1276" s="222"/>
      <c r="D1276" s="222"/>
      <c r="E1276" s="222"/>
      <c r="F1276" s="222"/>
      <c r="G1276" s="225" t="str">
        <f>IF(VLOOKUP($D1263&amp;RIGHT($A1276,1),Players!$A$2:$D$132,3)&lt;&gt;0,VLOOKUP($D1263&amp;RIGHT($A1276,1),Players!$A$2:$D$132,3),"")</f>
        <v/>
      </c>
      <c r="H1276" s="225"/>
      <c r="I1276" s="225"/>
      <c r="J1276" s="168" t="str">
        <f>IF(VLOOKUP($D1263&amp;RIGHT($A1276,1),Players!$A$2:$D$132,3)&lt;&gt;0,"("&amp;VLOOKUP($D1263&amp;RIGHT($A1276,1),Players!$A$2:$D$132,4)&amp;")","")</f>
        <v/>
      </c>
    </row>
    <row r="1277" spans="1:10" ht="25.5" customHeight="1" x14ac:dyDescent="0.4">
      <c r="A1277" s="37" t="str">
        <f>CONCATENATE($I1263,"8")</f>
        <v>I8</v>
      </c>
      <c r="B1277" s="222" t="str">
        <f>IF(VLOOKUP($A1277,Players!$A$2:$C$132,3)&lt;&gt;0,VLOOKUP($A1277,Players!$A$2:$C$132,3),"")</f>
        <v/>
      </c>
      <c r="C1277" s="222"/>
      <c r="D1277" s="222"/>
      <c r="E1277" s="222"/>
      <c r="F1277" s="222"/>
      <c r="G1277" s="225" t="str">
        <f>IF(VLOOKUP($D1263&amp;RIGHT($A1277,1),Players!$A$2:$D$132,3)&lt;&gt;0,VLOOKUP($D1263&amp;RIGHT($A1277,1),Players!$A$2:$D$132,3),"")</f>
        <v/>
      </c>
      <c r="H1277" s="225"/>
      <c r="I1277" s="225"/>
      <c r="J1277" s="168" t="str">
        <f>IF(VLOOKUP($D1263&amp;RIGHT($A1277,1),Players!$A$2:$D$132,3)&lt;&gt;0,"("&amp;VLOOKUP($D1263&amp;RIGHT($A1277,1),Players!$A$2:$D$132,4)&amp;")","")</f>
        <v/>
      </c>
    </row>
    <row r="1278" spans="1:10" ht="25.5" customHeight="1" x14ac:dyDescent="0.25">
      <c r="A1278" s="37"/>
      <c r="B1278" s="7"/>
      <c r="C1278" s="7"/>
      <c r="D1278" s="7"/>
      <c r="E1278" s="7"/>
    </row>
    <row r="1279" spans="1:10" x14ac:dyDescent="0.25">
      <c r="A1279" s="9" t="s">
        <v>157</v>
      </c>
    </row>
    <row r="1280" spans="1:10" x14ac:dyDescent="0.25">
      <c r="A1280" t="s">
        <v>179</v>
      </c>
    </row>
    <row r="1281" spans="1:10" x14ac:dyDescent="0.25">
      <c r="A1281" s="55" t="s">
        <v>918</v>
      </c>
    </row>
    <row r="1282" spans="1:10" x14ac:dyDescent="0.25">
      <c r="A1282" t="s">
        <v>919</v>
      </c>
    </row>
    <row r="1283" spans="1:10" ht="25.5" customHeight="1" thickBot="1" x14ac:dyDescent="0.3">
      <c r="A1283" s="37"/>
    </row>
    <row r="1284" spans="1:10" x14ac:dyDescent="0.25">
      <c r="B1284" s="213"/>
      <c r="C1284" s="214"/>
      <c r="D1284" s="214"/>
      <c r="E1284" s="214"/>
      <c r="F1284" s="215"/>
    </row>
    <row r="1285" spans="1:10" ht="13.8" thickBot="1" x14ac:dyDescent="0.3">
      <c r="B1285" s="216"/>
      <c r="C1285" s="217"/>
      <c r="D1285" s="217"/>
      <c r="E1285" s="217"/>
      <c r="F1285" s="218"/>
    </row>
    <row r="1289" spans="1:10" ht="25.5" customHeight="1" x14ac:dyDescent="0.25">
      <c r="A1289" s="36"/>
      <c r="B1289" s="36"/>
      <c r="C1289" s="36"/>
      <c r="D1289" s="36"/>
      <c r="E1289" s="36"/>
      <c r="G1289" s="38"/>
      <c r="H1289" s="227" t="s">
        <v>159</v>
      </c>
      <c r="I1289" s="228"/>
    </row>
    <row r="1290" spans="1:10" x14ac:dyDescent="0.25">
      <c r="A1290" t="s">
        <v>158</v>
      </c>
    </row>
    <row r="1292" spans="1:10" x14ac:dyDescent="0.25">
      <c r="E1292" s="219" t="str">
        <f>CONCATENATE("(",$D1263," vs ",$I1263,")")</f>
        <v>(A vs I)</v>
      </c>
      <c r="F1292" s="219"/>
    </row>
    <row r="1293" spans="1:10" ht="15.6" x14ac:dyDescent="0.3">
      <c r="A1293" s="33" t="s">
        <v>155</v>
      </c>
      <c r="J1293" s="82" t="s">
        <v>509</v>
      </c>
    </row>
    <row r="1294" spans="1:10" ht="12.75" customHeight="1" x14ac:dyDescent="0.3">
      <c r="A1294" s="33"/>
      <c r="G1294" t="str">
        <f ca="1">Team_Matches!$J$6</f>
        <v>[NCTTA Teams Template (v3.4).xlsx]</v>
      </c>
      <c r="J1294" s="55"/>
    </row>
    <row r="1295" spans="1:10" ht="12.75" customHeight="1" x14ac:dyDescent="0.3">
      <c r="A1295" s="33"/>
      <c r="G1295" s="229" t="str">
        <f>Team_Matches!$J976</f>
        <v>Round 4, Match 2</v>
      </c>
      <c r="H1295" s="229"/>
      <c r="I1295" s="127" t="str">
        <f>Team_Matches!$M976</f>
        <v/>
      </c>
      <c r="J1295" s="127"/>
    </row>
    <row r="1296" spans="1:10" ht="15.6" x14ac:dyDescent="0.3">
      <c r="A1296" s="33"/>
    </row>
    <row r="1297" spans="1:10" x14ac:dyDescent="0.25">
      <c r="C1297" s="7" t="s">
        <v>160</v>
      </c>
      <c r="D1297" s="39" t="str">
        <f>Team_Matches!$B978</f>
        <v>H</v>
      </c>
      <c r="F1297" s="83" t="str">
        <f>CONCATENATE($D1297,"-",$I1297)</f>
        <v>H-J</v>
      </c>
      <c r="H1297" s="7" t="s">
        <v>160</v>
      </c>
      <c r="I1297" s="39" t="str">
        <f>Team_Matches!$K978</f>
        <v>J</v>
      </c>
    </row>
    <row r="1298" spans="1:10" ht="25.5" customHeight="1" x14ac:dyDescent="0.25">
      <c r="A1298" s="34"/>
      <c r="B1298" s="220" t="str">
        <f>IF(VLOOKUP($D1297,Draw!$A$4:$B$27,2)&lt;&gt;0,VLOOKUP($D1297,Draw!$A$4:$B$27,2),"")</f>
        <v/>
      </c>
      <c r="C1298" s="220"/>
      <c r="D1298" s="220"/>
      <c r="E1298" s="221"/>
      <c r="F1298" s="35"/>
      <c r="G1298" s="223" t="str">
        <f>IF(VLOOKUP($I1297,Draw!$A$4:$B$27,2)&lt;&gt;0,VLOOKUP($I1297,Draw!$A$4:$B$27,2),"")</f>
        <v/>
      </c>
      <c r="H1298" s="223"/>
      <c r="I1298" s="223"/>
      <c r="J1298" s="224"/>
    </row>
    <row r="1299" spans="1:10" ht="25.5" customHeight="1" x14ac:dyDescent="0.25"/>
    <row r="1300" spans="1:10" ht="25.5" customHeight="1" x14ac:dyDescent="0.25"/>
    <row r="1301" spans="1:10" ht="24" customHeight="1" x14ac:dyDescent="0.25">
      <c r="A1301" s="9" t="s">
        <v>178</v>
      </c>
    </row>
    <row r="1302" spans="1:10" ht="24" customHeight="1" x14ac:dyDescent="0.25">
      <c r="A1302" s="9"/>
    </row>
    <row r="1303" spans="1:10" x14ac:dyDescent="0.25">
      <c r="A1303" s="9" t="s">
        <v>156</v>
      </c>
      <c r="G1303" s="226" t="s">
        <v>873</v>
      </c>
      <c r="H1303" s="226"/>
      <c r="I1303" s="226"/>
      <c r="J1303" s="226"/>
    </row>
    <row r="1304" spans="1:10" ht="24" customHeight="1" x14ac:dyDescent="0.4">
      <c r="A1304" s="37" t="str">
        <f>CONCATENATE($D1297,"1")</f>
        <v>H1</v>
      </c>
      <c r="B1304" s="222" t="str">
        <f>IF(VLOOKUP($A1304,Players!$A$2:$C$132,3)&lt;&gt;0,VLOOKUP($A1304,Players!$A$2:$C$132,3),"")</f>
        <v/>
      </c>
      <c r="C1304" s="222"/>
      <c r="D1304" s="222"/>
      <c r="E1304" s="222"/>
      <c r="F1304" s="222"/>
      <c r="G1304" s="225" t="str">
        <f>IF(VLOOKUP($I1297&amp;RIGHT($A1304,1),Players!$A$2:$D$132,3)&lt;&gt;0,VLOOKUP($I1297&amp;RIGHT($A1304,1),Players!$A$2:$D$132,3),"")</f>
        <v/>
      </c>
      <c r="H1304" s="225"/>
      <c r="I1304" s="225"/>
      <c r="J1304" s="168" t="str">
        <f>IF(VLOOKUP($I1297&amp;RIGHT($A1304,1),Players!$A$2:$D$132,3)&lt;&gt;0,"("&amp;VLOOKUP($I1297&amp;RIGHT($A1304,1),Players!$A$2:$D$132,4)&amp;")","")</f>
        <v/>
      </c>
    </row>
    <row r="1305" spans="1:10" ht="25.5" customHeight="1" x14ac:dyDescent="0.4">
      <c r="A1305" s="37" t="str">
        <f>CONCATENATE($D1297,"2")</f>
        <v>H2</v>
      </c>
      <c r="B1305" s="222" t="str">
        <f>IF(VLOOKUP($A1305,Players!$A$2:$C$132,3)&lt;&gt;0,VLOOKUP($A1305,Players!$A$2:$C$132,3),"")</f>
        <v/>
      </c>
      <c r="C1305" s="222"/>
      <c r="D1305" s="222"/>
      <c r="E1305" s="222"/>
      <c r="F1305" s="222"/>
      <c r="G1305" s="225" t="str">
        <f>IF(VLOOKUP($I1297&amp;RIGHT($A1305,1),Players!$A$2:$D$132,3)&lt;&gt;0,VLOOKUP($I1297&amp;RIGHT($A1305,1),Players!$A$2:$D$132,3),"")</f>
        <v/>
      </c>
      <c r="H1305" s="225"/>
      <c r="I1305" s="225"/>
      <c r="J1305" s="168" t="str">
        <f>IF(VLOOKUP($I1297&amp;RIGHT($A1305,1),Players!$A$2:$D$132,3)&lt;&gt;0,"("&amp;VLOOKUP($I1297&amp;RIGHT($A1305,1),Players!$A$2:$D$132,4)&amp;")","")</f>
        <v/>
      </c>
    </row>
    <row r="1306" spans="1:10" ht="25.5" customHeight="1" x14ac:dyDescent="0.4">
      <c r="A1306" s="37" t="str">
        <f>CONCATENATE($D1297,"3")</f>
        <v>H3</v>
      </c>
      <c r="B1306" s="222" t="str">
        <f>IF(VLOOKUP($A1306,Players!$A$2:$C$132,3)&lt;&gt;0,VLOOKUP($A1306,Players!$A$2:$C$132,3),"")</f>
        <v/>
      </c>
      <c r="C1306" s="222"/>
      <c r="D1306" s="222"/>
      <c r="E1306" s="222"/>
      <c r="F1306" s="222"/>
      <c r="G1306" s="225" t="str">
        <f>IF(VLOOKUP($I1297&amp;RIGHT($A1306,1),Players!$A$2:$D$132,3)&lt;&gt;0,VLOOKUP($I1297&amp;RIGHT($A1306,1),Players!$A$2:$D$132,3),"")</f>
        <v/>
      </c>
      <c r="H1306" s="225"/>
      <c r="I1306" s="225"/>
      <c r="J1306" s="168" t="str">
        <f>IF(VLOOKUP($I1297&amp;RIGHT($A1306,1),Players!$A$2:$D$132,3)&lt;&gt;0,"("&amp;VLOOKUP($I1297&amp;RIGHT($A1306,1),Players!$A$2:$D$132,4)&amp;")","")</f>
        <v/>
      </c>
    </row>
    <row r="1307" spans="1:10" ht="25.5" customHeight="1" x14ac:dyDescent="0.4">
      <c r="A1307" s="37" t="str">
        <f>CONCATENATE($D1297,"4")</f>
        <v>H4</v>
      </c>
      <c r="B1307" s="222" t="str">
        <f>IF(VLOOKUP($A1307,Players!$A$2:$C$132,3)&lt;&gt;0,VLOOKUP($A1307,Players!$A$2:$C$132,3),"")</f>
        <v/>
      </c>
      <c r="C1307" s="222"/>
      <c r="D1307" s="222"/>
      <c r="E1307" s="222"/>
      <c r="F1307" s="222"/>
      <c r="G1307" s="225" t="str">
        <f>IF(VLOOKUP($I1297&amp;RIGHT($A1307,1),Players!$A$2:$D$132,3)&lt;&gt;0,VLOOKUP($I1297&amp;RIGHT($A1307,1),Players!$A$2:$D$132,3),"")</f>
        <v/>
      </c>
      <c r="H1307" s="225"/>
      <c r="I1307" s="225"/>
      <c r="J1307" s="168" t="str">
        <f>IF(VLOOKUP($I1297&amp;RIGHT($A1307,1),Players!$A$2:$D$132,3)&lt;&gt;0,"("&amp;VLOOKUP($I1297&amp;RIGHT($A1307,1),Players!$A$2:$D$132,4)&amp;")","")</f>
        <v/>
      </c>
    </row>
    <row r="1308" spans="1:10" ht="25.5" customHeight="1" x14ac:dyDescent="0.4">
      <c r="A1308" s="37" t="str">
        <f>CONCATENATE($D1297,"5")</f>
        <v>H5</v>
      </c>
      <c r="B1308" s="222" t="str">
        <f>IF(VLOOKUP($A1308,Players!$A$2:$C$132,3)&lt;&gt;0,VLOOKUP($A1308,Players!$A$2:$C$132,3),"")</f>
        <v/>
      </c>
      <c r="C1308" s="222"/>
      <c r="D1308" s="222"/>
      <c r="E1308" s="222"/>
      <c r="F1308" s="222"/>
      <c r="G1308" s="225" t="str">
        <f>IF(VLOOKUP($I1297&amp;RIGHT($A1308,1),Players!$A$2:$D$132,3)&lt;&gt;0,VLOOKUP($I1297&amp;RIGHT($A1308,1),Players!$A$2:$D$132,3),"")</f>
        <v/>
      </c>
      <c r="H1308" s="225"/>
      <c r="I1308" s="225"/>
      <c r="J1308" s="168" t="str">
        <f>IF(VLOOKUP($I1297&amp;RIGHT($A1308,1),Players!$A$2:$D$132,3)&lt;&gt;0,"("&amp;VLOOKUP($I1297&amp;RIGHT($A1308,1),Players!$A$2:$D$132,4)&amp;")","")</f>
        <v/>
      </c>
    </row>
    <row r="1309" spans="1:10" ht="25.5" customHeight="1" x14ac:dyDescent="0.4">
      <c r="A1309" s="37" t="str">
        <f>CONCATENATE($D1297,"6")</f>
        <v>H6</v>
      </c>
      <c r="B1309" s="222" t="str">
        <f>IF(VLOOKUP($A1309,Players!$A$2:$C$132,3)&lt;&gt;0,VLOOKUP($A1309,Players!$A$2:$C$132,3),"")</f>
        <v/>
      </c>
      <c r="C1309" s="222"/>
      <c r="D1309" s="222"/>
      <c r="E1309" s="222"/>
      <c r="F1309" s="222"/>
      <c r="G1309" s="225" t="str">
        <f>IF(VLOOKUP($I1297&amp;RIGHT($A1309,1),Players!$A$2:$D$132,3)&lt;&gt;0,VLOOKUP($I1297&amp;RIGHT($A1309,1),Players!$A$2:$D$132,3),"")</f>
        <v/>
      </c>
      <c r="H1309" s="225"/>
      <c r="I1309" s="225"/>
      <c r="J1309" s="168" t="str">
        <f>IF(VLOOKUP($I1297&amp;RIGHT($A1309,1),Players!$A$2:$D$132,3)&lt;&gt;0,"("&amp;VLOOKUP($I1297&amp;RIGHT($A1309,1),Players!$A$2:$D$132,4)&amp;")","")</f>
        <v/>
      </c>
    </row>
    <row r="1310" spans="1:10" ht="25.5" customHeight="1" x14ac:dyDescent="0.4">
      <c r="A1310" s="37" t="str">
        <f>CONCATENATE($D1297,"7")</f>
        <v>H7</v>
      </c>
      <c r="B1310" s="222" t="str">
        <f>IF(VLOOKUP($A1310,Players!$A$2:$C$132,3)&lt;&gt;0,VLOOKUP($A1310,Players!$A$2:$C$132,3),"")</f>
        <v/>
      </c>
      <c r="C1310" s="222"/>
      <c r="D1310" s="222"/>
      <c r="E1310" s="222"/>
      <c r="F1310" s="222"/>
      <c r="G1310" s="225" t="str">
        <f>IF(VLOOKUP($I1297&amp;RIGHT($A1310,1),Players!$A$2:$D$132,3)&lt;&gt;0,VLOOKUP($I1297&amp;RIGHT($A1310,1),Players!$A$2:$D$132,3),"")</f>
        <v/>
      </c>
      <c r="H1310" s="225"/>
      <c r="I1310" s="225"/>
      <c r="J1310" s="168" t="str">
        <f>IF(VLOOKUP($I1297&amp;RIGHT($A1310,1),Players!$A$2:$D$132,3)&lt;&gt;0,"("&amp;VLOOKUP($I1297&amp;RIGHT($A1310,1),Players!$A$2:$D$132,4)&amp;")","")</f>
        <v/>
      </c>
    </row>
    <row r="1311" spans="1:10" ht="25.5" customHeight="1" x14ac:dyDescent="0.4">
      <c r="A1311" s="37" t="str">
        <f>CONCATENATE($D1297,"8")</f>
        <v>H8</v>
      </c>
      <c r="B1311" s="222" t="str">
        <f>IF(VLOOKUP($A1311,Players!$A$2:$C$132,3)&lt;&gt;0,VLOOKUP($A1311,Players!$A$2:$C$132,3),"")</f>
        <v/>
      </c>
      <c r="C1311" s="222"/>
      <c r="D1311" s="222"/>
      <c r="E1311" s="222"/>
      <c r="F1311" s="222"/>
      <c r="G1311" s="225" t="str">
        <f>IF(VLOOKUP($I1297&amp;RIGHT($A1311,1),Players!$A$2:$D$132,3)&lt;&gt;0,VLOOKUP($I1297&amp;RIGHT($A1311,1),Players!$A$2:$D$132,3),"")</f>
        <v/>
      </c>
      <c r="H1311" s="225"/>
      <c r="I1311" s="225"/>
      <c r="J1311" s="168" t="str">
        <f>IF(VLOOKUP($I1297&amp;RIGHT($A1311,1),Players!$A$2:$D$132,3)&lt;&gt;0,"("&amp;VLOOKUP($I1297&amp;RIGHT($A1311,1),Players!$A$2:$D$132,4)&amp;")","")</f>
        <v/>
      </c>
    </row>
    <row r="1312" spans="1:10" ht="25.5" customHeight="1" x14ac:dyDescent="0.25">
      <c r="A1312" s="37"/>
      <c r="B1312" s="7"/>
      <c r="C1312" s="7"/>
      <c r="D1312" s="7"/>
      <c r="E1312" s="7"/>
    </row>
    <row r="1313" spans="1:10" x14ac:dyDescent="0.25">
      <c r="A1313" s="9" t="s">
        <v>157</v>
      </c>
    </row>
    <row r="1314" spans="1:10" x14ac:dyDescent="0.25">
      <c r="A1314" t="s">
        <v>179</v>
      </c>
    </row>
    <row r="1315" spans="1:10" x14ac:dyDescent="0.25">
      <c r="A1315" s="55" t="s">
        <v>918</v>
      </c>
    </row>
    <row r="1316" spans="1:10" x14ac:dyDescent="0.25">
      <c r="A1316" t="s">
        <v>919</v>
      </c>
    </row>
    <row r="1317" spans="1:10" ht="25.5" customHeight="1" thickBot="1" x14ac:dyDescent="0.3">
      <c r="A1317" s="37"/>
    </row>
    <row r="1318" spans="1:10" x14ac:dyDescent="0.25">
      <c r="B1318" s="213"/>
      <c r="C1318" s="214"/>
      <c r="D1318" s="214"/>
      <c r="E1318" s="214"/>
      <c r="F1318" s="215"/>
    </row>
    <row r="1319" spans="1:10" ht="13.8" thickBot="1" x14ac:dyDescent="0.3">
      <c r="B1319" s="216"/>
      <c r="C1319" s="217"/>
      <c r="D1319" s="217"/>
      <c r="E1319" s="217"/>
      <c r="F1319" s="218"/>
    </row>
    <row r="1323" spans="1:10" ht="25.5" customHeight="1" x14ac:dyDescent="0.25">
      <c r="A1323" s="36"/>
      <c r="B1323" s="36"/>
      <c r="C1323" s="36"/>
      <c r="D1323" s="36"/>
      <c r="E1323" s="36"/>
      <c r="G1323" s="38"/>
      <c r="H1323" s="227" t="s">
        <v>159</v>
      </c>
      <c r="I1323" s="228"/>
    </row>
    <row r="1324" spans="1:10" x14ac:dyDescent="0.25">
      <c r="A1324" t="s">
        <v>158</v>
      </c>
    </row>
    <row r="1326" spans="1:10" x14ac:dyDescent="0.25">
      <c r="E1326" s="219" t="str">
        <f>CONCATENATE("(",$D1297," vs ",$I1297,")")</f>
        <v>(H vs J)</v>
      </c>
      <c r="F1326" s="219"/>
    </row>
    <row r="1327" spans="1:10" ht="15.6" x14ac:dyDescent="0.3">
      <c r="A1327" s="33" t="s">
        <v>155</v>
      </c>
      <c r="J1327" s="82" t="s">
        <v>510</v>
      </c>
    </row>
    <row r="1328" spans="1:10" ht="12.75" customHeight="1" x14ac:dyDescent="0.3">
      <c r="A1328" s="33"/>
      <c r="G1328" t="str">
        <f ca="1">Team_Matches!$J$6</f>
        <v>[NCTTA Teams Template (v3.4).xlsx]</v>
      </c>
      <c r="J1328" s="55"/>
    </row>
    <row r="1329" spans="1:10" ht="12.75" customHeight="1" x14ac:dyDescent="0.3">
      <c r="A1329" s="33"/>
      <c r="G1329" s="229" t="str">
        <f>Team_Matches!$J976</f>
        <v>Round 4, Match 2</v>
      </c>
      <c r="H1329" s="229"/>
      <c r="I1329" s="127" t="str">
        <f>Team_Matches!$M976</f>
        <v/>
      </c>
      <c r="J1329" s="127"/>
    </row>
    <row r="1330" spans="1:10" ht="15.6" x14ac:dyDescent="0.3">
      <c r="A1330" s="33"/>
    </row>
    <row r="1331" spans="1:10" x14ac:dyDescent="0.25">
      <c r="C1331" s="7" t="s">
        <v>160</v>
      </c>
      <c r="D1331" s="39" t="str">
        <f>Team_Matches!$B978</f>
        <v>H</v>
      </c>
      <c r="F1331" s="83" t="str">
        <f>CONCATENATE($D1331,"-",$I1331)</f>
        <v>H-J</v>
      </c>
      <c r="H1331" s="7" t="s">
        <v>160</v>
      </c>
      <c r="I1331" s="39" t="str">
        <f>Team_Matches!$K978</f>
        <v>J</v>
      </c>
    </row>
    <row r="1332" spans="1:10" ht="25.5" customHeight="1" x14ac:dyDescent="0.25">
      <c r="A1332" s="34"/>
      <c r="B1332" s="223" t="str">
        <f>IF(VLOOKUP($D1331,Draw!$A$4:$B$27,2)&lt;&gt;0,VLOOKUP($D1331,Draw!$A$4:$B$27,2),"")</f>
        <v/>
      </c>
      <c r="C1332" s="223"/>
      <c r="D1332" s="223"/>
      <c r="E1332" s="224"/>
      <c r="F1332" s="35"/>
      <c r="G1332" s="220" t="str">
        <f>IF(VLOOKUP($I1331,Draw!$A$4:$B$27,2)&lt;&gt;0,VLOOKUP($I1331,Draw!$A$4:$B$27,2),"")</f>
        <v/>
      </c>
      <c r="H1332" s="220"/>
      <c r="I1332" s="220"/>
      <c r="J1332" s="221"/>
    </row>
    <row r="1333" spans="1:10" ht="25.5" customHeight="1" x14ac:dyDescent="0.25"/>
    <row r="1334" spans="1:10" ht="25.5" customHeight="1" x14ac:dyDescent="0.25"/>
    <row r="1335" spans="1:10" ht="24" customHeight="1" x14ac:dyDescent="0.25">
      <c r="A1335" s="9" t="s">
        <v>178</v>
      </c>
    </row>
    <row r="1336" spans="1:10" ht="24" customHeight="1" x14ac:dyDescent="0.25">
      <c r="A1336" s="9"/>
    </row>
    <row r="1337" spans="1:10" x14ac:dyDescent="0.25">
      <c r="A1337" s="9" t="s">
        <v>156</v>
      </c>
      <c r="G1337" s="226" t="s">
        <v>873</v>
      </c>
      <c r="H1337" s="226"/>
      <c r="I1337" s="226"/>
      <c r="J1337" s="226"/>
    </row>
    <row r="1338" spans="1:10" ht="24" customHeight="1" x14ac:dyDescent="0.4">
      <c r="A1338" s="37" t="str">
        <f>CONCATENATE($I1331,"1")</f>
        <v>J1</v>
      </c>
      <c r="B1338" s="222" t="str">
        <f>IF(VLOOKUP($A1338,Players!$A$2:$C$132,3)&lt;&gt;0,VLOOKUP($A1338,Players!$A$2:$C$132,3),"")</f>
        <v/>
      </c>
      <c r="C1338" s="222"/>
      <c r="D1338" s="222"/>
      <c r="E1338" s="222"/>
      <c r="F1338" s="222"/>
      <c r="G1338" s="225" t="str">
        <f>IF(VLOOKUP($D1331&amp;RIGHT($A1338,1),Players!$A$2:$D$132,3)&lt;&gt;0,VLOOKUP($D1331&amp;RIGHT($A1338,1),Players!$A$2:$D$132,3),"")</f>
        <v/>
      </c>
      <c r="H1338" s="225"/>
      <c r="I1338" s="225"/>
      <c r="J1338" s="168" t="str">
        <f>IF(VLOOKUP($D1331&amp;RIGHT($A1338,1),Players!$A$2:$D$132,3)&lt;&gt;0,"("&amp;VLOOKUP($D1331&amp;RIGHT($A1338,1),Players!$A$2:$D$132,4)&amp;")","")</f>
        <v/>
      </c>
    </row>
    <row r="1339" spans="1:10" ht="25.5" customHeight="1" x14ac:dyDescent="0.4">
      <c r="A1339" s="37" t="str">
        <f>CONCATENATE($I1331,"2")</f>
        <v>J2</v>
      </c>
      <c r="B1339" s="222" t="str">
        <f>IF(VLOOKUP($A1339,Players!$A$2:$C$132,3)&lt;&gt;0,VLOOKUP($A1339,Players!$A$2:$C$132,3),"")</f>
        <v/>
      </c>
      <c r="C1339" s="222"/>
      <c r="D1339" s="222"/>
      <c r="E1339" s="222"/>
      <c r="F1339" s="222"/>
      <c r="G1339" s="225" t="str">
        <f>IF(VLOOKUP($D1331&amp;RIGHT($A1339,1),Players!$A$2:$D$132,3)&lt;&gt;0,VLOOKUP($D1331&amp;RIGHT($A1339,1),Players!$A$2:$D$132,3),"")</f>
        <v/>
      </c>
      <c r="H1339" s="225"/>
      <c r="I1339" s="225"/>
      <c r="J1339" s="168" t="str">
        <f>IF(VLOOKUP($D1331&amp;RIGHT($A1339,1),Players!$A$2:$D$132,3)&lt;&gt;0,"("&amp;VLOOKUP($D1331&amp;RIGHT($A1339,1),Players!$A$2:$D$132,4)&amp;")","")</f>
        <v/>
      </c>
    </row>
    <row r="1340" spans="1:10" ht="25.5" customHeight="1" x14ac:dyDescent="0.4">
      <c r="A1340" s="37" t="str">
        <f>CONCATENATE($I1331,"3")</f>
        <v>J3</v>
      </c>
      <c r="B1340" s="222" t="str">
        <f>IF(VLOOKUP($A1340,Players!$A$2:$C$132,3)&lt;&gt;0,VLOOKUP($A1340,Players!$A$2:$C$132,3),"")</f>
        <v/>
      </c>
      <c r="C1340" s="222"/>
      <c r="D1340" s="222"/>
      <c r="E1340" s="222"/>
      <c r="F1340" s="222"/>
      <c r="G1340" s="225" t="str">
        <f>IF(VLOOKUP($D1331&amp;RIGHT($A1340,1),Players!$A$2:$D$132,3)&lt;&gt;0,VLOOKUP($D1331&amp;RIGHT($A1340,1),Players!$A$2:$D$132,3),"")</f>
        <v/>
      </c>
      <c r="H1340" s="225"/>
      <c r="I1340" s="225"/>
      <c r="J1340" s="168" t="str">
        <f>IF(VLOOKUP($D1331&amp;RIGHT($A1340,1),Players!$A$2:$D$132,3)&lt;&gt;0,"("&amp;VLOOKUP($D1331&amp;RIGHT($A1340,1),Players!$A$2:$D$132,4)&amp;")","")</f>
        <v/>
      </c>
    </row>
    <row r="1341" spans="1:10" ht="25.5" customHeight="1" x14ac:dyDescent="0.4">
      <c r="A1341" s="37" t="str">
        <f>CONCATENATE($I1331,"4")</f>
        <v>J4</v>
      </c>
      <c r="B1341" s="222" t="str">
        <f>IF(VLOOKUP($A1341,Players!$A$2:$C$132,3)&lt;&gt;0,VLOOKUP($A1341,Players!$A$2:$C$132,3),"")</f>
        <v/>
      </c>
      <c r="C1341" s="222"/>
      <c r="D1341" s="222"/>
      <c r="E1341" s="222"/>
      <c r="F1341" s="222"/>
      <c r="G1341" s="225" t="str">
        <f>IF(VLOOKUP($D1331&amp;RIGHT($A1341,1),Players!$A$2:$D$132,3)&lt;&gt;0,VLOOKUP($D1331&amp;RIGHT($A1341,1),Players!$A$2:$D$132,3),"")</f>
        <v/>
      </c>
      <c r="H1341" s="225"/>
      <c r="I1341" s="225"/>
      <c r="J1341" s="168" t="str">
        <f>IF(VLOOKUP($D1331&amp;RIGHT($A1341,1),Players!$A$2:$D$132,3)&lt;&gt;0,"("&amp;VLOOKUP($D1331&amp;RIGHT($A1341,1),Players!$A$2:$D$132,4)&amp;")","")</f>
        <v/>
      </c>
    </row>
    <row r="1342" spans="1:10" ht="25.5" customHeight="1" x14ac:dyDescent="0.4">
      <c r="A1342" s="37" t="str">
        <f>CONCATENATE($I1331,"5")</f>
        <v>J5</v>
      </c>
      <c r="B1342" s="222" t="str">
        <f>IF(VLOOKUP($A1342,Players!$A$2:$C$132,3)&lt;&gt;0,VLOOKUP($A1342,Players!$A$2:$C$132,3),"")</f>
        <v/>
      </c>
      <c r="C1342" s="222"/>
      <c r="D1342" s="222"/>
      <c r="E1342" s="222"/>
      <c r="F1342" s="222"/>
      <c r="G1342" s="225" t="str">
        <f>IF(VLOOKUP($D1331&amp;RIGHT($A1342,1),Players!$A$2:$D$132,3)&lt;&gt;0,VLOOKUP($D1331&amp;RIGHT($A1342,1),Players!$A$2:$D$132,3),"")</f>
        <v/>
      </c>
      <c r="H1342" s="225"/>
      <c r="I1342" s="225"/>
      <c r="J1342" s="168" t="str">
        <f>IF(VLOOKUP($D1331&amp;RIGHT($A1342,1),Players!$A$2:$D$132,3)&lt;&gt;0,"("&amp;VLOOKUP($D1331&amp;RIGHT($A1342,1),Players!$A$2:$D$132,4)&amp;")","")</f>
        <v/>
      </c>
    </row>
    <row r="1343" spans="1:10" ht="25.5" customHeight="1" x14ac:dyDescent="0.4">
      <c r="A1343" s="37" t="str">
        <f>CONCATENATE($I1331,"6")</f>
        <v>J6</v>
      </c>
      <c r="B1343" s="222" t="str">
        <f>IF(VLOOKUP($A1343,Players!$A$2:$C$132,3)&lt;&gt;0,VLOOKUP($A1343,Players!$A$2:$C$132,3),"")</f>
        <v/>
      </c>
      <c r="C1343" s="222"/>
      <c r="D1343" s="222"/>
      <c r="E1343" s="222"/>
      <c r="F1343" s="222"/>
      <c r="G1343" s="225" t="str">
        <f>IF(VLOOKUP($D1331&amp;RIGHT($A1343,1),Players!$A$2:$D$132,3)&lt;&gt;0,VLOOKUP($D1331&amp;RIGHT($A1343,1),Players!$A$2:$D$132,3),"")</f>
        <v/>
      </c>
      <c r="H1343" s="225"/>
      <c r="I1343" s="225"/>
      <c r="J1343" s="168" t="str">
        <f>IF(VLOOKUP($D1331&amp;RIGHT($A1343,1),Players!$A$2:$D$132,3)&lt;&gt;0,"("&amp;VLOOKUP($D1331&amp;RIGHT($A1343,1),Players!$A$2:$D$132,4)&amp;")","")</f>
        <v/>
      </c>
    </row>
    <row r="1344" spans="1:10" ht="25.5" customHeight="1" x14ac:dyDescent="0.4">
      <c r="A1344" s="37" t="str">
        <f>CONCATENATE($I1331,"7")</f>
        <v>J7</v>
      </c>
      <c r="B1344" s="222" t="str">
        <f>IF(VLOOKUP($A1344,Players!$A$2:$C$132,3)&lt;&gt;0,VLOOKUP($A1344,Players!$A$2:$C$132,3),"")</f>
        <v/>
      </c>
      <c r="C1344" s="222"/>
      <c r="D1344" s="222"/>
      <c r="E1344" s="222"/>
      <c r="F1344" s="222"/>
      <c r="G1344" s="225" t="str">
        <f>IF(VLOOKUP($D1331&amp;RIGHT($A1344,1),Players!$A$2:$D$132,3)&lt;&gt;0,VLOOKUP($D1331&amp;RIGHT($A1344,1),Players!$A$2:$D$132,3),"")</f>
        <v/>
      </c>
      <c r="H1344" s="225"/>
      <c r="I1344" s="225"/>
      <c r="J1344" s="168" t="str">
        <f>IF(VLOOKUP($D1331&amp;RIGHT($A1344,1),Players!$A$2:$D$132,3)&lt;&gt;0,"("&amp;VLOOKUP($D1331&amp;RIGHT($A1344,1),Players!$A$2:$D$132,4)&amp;")","")</f>
        <v/>
      </c>
    </row>
    <row r="1345" spans="1:10" ht="25.5" customHeight="1" x14ac:dyDescent="0.4">
      <c r="A1345" s="37" t="str">
        <f>CONCATENATE($I1331,"8")</f>
        <v>J8</v>
      </c>
      <c r="B1345" s="222" t="str">
        <f>IF(VLOOKUP($A1345,Players!$A$2:$C$132,3)&lt;&gt;0,VLOOKUP($A1345,Players!$A$2:$C$132,3),"")</f>
        <v/>
      </c>
      <c r="C1345" s="222"/>
      <c r="D1345" s="222"/>
      <c r="E1345" s="222"/>
      <c r="F1345" s="222"/>
      <c r="G1345" s="225" t="str">
        <f>IF(VLOOKUP($D1331&amp;RIGHT($A1345,1),Players!$A$2:$D$132,3)&lt;&gt;0,VLOOKUP($D1331&amp;RIGHT($A1345,1),Players!$A$2:$D$132,3),"")</f>
        <v/>
      </c>
      <c r="H1345" s="225"/>
      <c r="I1345" s="225"/>
      <c r="J1345" s="168" t="str">
        <f>IF(VLOOKUP($D1331&amp;RIGHT($A1345,1),Players!$A$2:$D$132,3)&lt;&gt;0,"("&amp;VLOOKUP($D1331&amp;RIGHT($A1345,1),Players!$A$2:$D$132,4)&amp;")","")</f>
        <v/>
      </c>
    </row>
    <row r="1346" spans="1:10" ht="25.5" customHeight="1" x14ac:dyDescent="0.25">
      <c r="A1346" s="37"/>
      <c r="B1346" s="7"/>
      <c r="C1346" s="7"/>
      <c r="D1346" s="7"/>
      <c r="E1346" s="7"/>
    </row>
    <row r="1347" spans="1:10" x14ac:dyDescent="0.25">
      <c r="A1347" s="9" t="s">
        <v>157</v>
      </c>
    </row>
    <row r="1348" spans="1:10" x14ac:dyDescent="0.25">
      <c r="A1348" t="s">
        <v>179</v>
      </c>
    </row>
    <row r="1349" spans="1:10" x14ac:dyDescent="0.25">
      <c r="A1349" s="55" t="s">
        <v>918</v>
      </c>
    </row>
    <row r="1350" spans="1:10" x14ac:dyDescent="0.25">
      <c r="A1350" t="s">
        <v>919</v>
      </c>
    </row>
    <row r="1351" spans="1:10" ht="25.5" customHeight="1" thickBot="1" x14ac:dyDescent="0.3">
      <c r="A1351" s="37"/>
    </row>
    <row r="1352" spans="1:10" x14ac:dyDescent="0.25">
      <c r="B1352" s="213"/>
      <c r="C1352" s="214"/>
      <c r="D1352" s="214"/>
      <c r="E1352" s="214"/>
      <c r="F1352" s="215"/>
    </row>
    <row r="1353" spans="1:10" ht="13.8" thickBot="1" x14ac:dyDescent="0.3">
      <c r="B1353" s="216"/>
      <c r="C1353" s="217"/>
      <c r="D1353" s="217"/>
      <c r="E1353" s="217"/>
      <c r="F1353" s="218"/>
    </row>
    <row r="1357" spans="1:10" ht="25.5" customHeight="1" x14ac:dyDescent="0.25">
      <c r="A1357" s="36"/>
      <c r="B1357" s="36"/>
      <c r="C1357" s="36"/>
      <c r="D1357" s="36"/>
      <c r="E1357" s="36"/>
      <c r="G1357" s="38"/>
      <c r="H1357" s="227" t="s">
        <v>159</v>
      </c>
      <c r="I1357" s="228"/>
    </row>
    <row r="1358" spans="1:10" x14ac:dyDescent="0.25">
      <c r="A1358" t="s">
        <v>158</v>
      </c>
    </row>
    <row r="1360" spans="1:10" x14ac:dyDescent="0.25">
      <c r="E1360" s="219" t="str">
        <f>CONCATENATE("(",$D1331," vs ",$I1331,")")</f>
        <v>(H vs J)</v>
      </c>
      <c r="F1360" s="219"/>
    </row>
    <row r="1361" spans="1:10" ht="15.6" x14ac:dyDescent="0.3">
      <c r="A1361" s="33" t="s">
        <v>155</v>
      </c>
      <c r="J1361" s="82" t="s">
        <v>511</v>
      </c>
    </row>
    <row r="1362" spans="1:10" ht="12.75" customHeight="1" x14ac:dyDescent="0.3">
      <c r="A1362" s="33"/>
      <c r="G1362" t="str">
        <f ca="1">Team_Matches!$J$6</f>
        <v>[NCTTA Teams Template (v3.4).xlsx]</v>
      </c>
      <c r="J1362" s="55"/>
    </row>
    <row r="1363" spans="1:10" ht="12.75" customHeight="1" x14ac:dyDescent="0.3">
      <c r="A1363" s="33"/>
      <c r="G1363" s="229" t="str">
        <f>Team_Matches!$J1027</f>
        <v>Round 4, Match 3</v>
      </c>
      <c r="H1363" s="229"/>
      <c r="I1363" s="127" t="str">
        <f>Team_Matches!$M1027</f>
        <v/>
      </c>
      <c r="J1363" s="127"/>
    </row>
    <row r="1364" spans="1:10" ht="15.6" x14ac:dyDescent="0.3">
      <c r="A1364" s="33"/>
    </row>
    <row r="1365" spans="1:10" x14ac:dyDescent="0.25">
      <c r="C1365" s="7" t="s">
        <v>160</v>
      </c>
      <c r="D1365" s="39" t="str">
        <f>Team_Matches!$B1029</f>
        <v>G</v>
      </c>
      <c r="F1365" s="83" t="str">
        <f>CONCATENATE($D1365,"-",$I1365)</f>
        <v>G-K</v>
      </c>
      <c r="H1365" s="7" t="s">
        <v>160</v>
      </c>
      <c r="I1365" s="39" t="str">
        <f>Team_Matches!$K1029</f>
        <v>K</v>
      </c>
    </row>
    <row r="1366" spans="1:10" ht="25.5" customHeight="1" x14ac:dyDescent="0.25">
      <c r="A1366" s="34"/>
      <c r="B1366" s="220" t="str">
        <f>IF(VLOOKUP($D1365,Draw!$A$4:$B$27,2)&lt;&gt;0,VLOOKUP($D1365,Draw!$A$4:$B$27,2),"")</f>
        <v/>
      </c>
      <c r="C1366" s="220"/>
      <c r="D1366" s="220"/>
      <c r="E1366" s="221"/>
      <c r="F1366" s="35"/>
      <c r="G1366" s="223" t="str">
        <f>IF(VLOOKUP($I1365,Draw!$A$4:$B$27,2)&lt;&gt;0,VLOOKUP($I1365,Draw!$A$4:$B$27,2),"")</f>
        <v/>
      </c>
      <c r="H1366" s="223"/>
      <c r="I1366" s="223"/>
      <c r="J1366" s="224"/>
    </row>
    <row r="1367" spans="1:10" ht="25.5" customHeight="1" x14ac:dyDescent="0.25"/>
    <row r="1368" spans="1:10" ht="25.5" customHeight="1" x14ac:dyDescent="0.25"/>
    <row r="1369" spans="1:10" ht="24" customHeight="1" x14ac:dyDescent="0.25">
      <c r="A1369" s="9" t="s">
        <v>178</v>
      </c>
    </row>
    <row r="1370" spans="1:10" ht="24" customHeight="1" x14ac:dyDescent="0.25">
      <c r="A1370" s="9"/>
    </row>
    <row r="1371" spans="1:10" x14ac:dyDescent="0.25">
      <c r="A1371" s="9" t="s">
        <v>156</v>
      </c>
      <c r="G1371" s="226" t="s">
        <v>873</v>
      </c>
      <c r="H1371" s="226"/>
      <c r="I1371" s="226"/>
      <c r="J1371" s="226"/>
    </row>
    <row r="1372" spans="1:10" ht="24" customHeight="1" x14ac:dyDescent="0.4">
      <c r="A1372" s="37" t="str">
        <f>CONCATENATE($D1365,"1")</f>
        <v>G1</v>
      </c>
      <c r="B1372" s="222" t="str">
        <f>IF(VLOOKUP($A1372,Players!$A$2:$C$132,3)&lt;&gt;0,VLOOKUP($A1372,Players!$A$2:$C$132,3),"")</f>
        <v/>
      </c>
      <c r="C1372" s="222"/>
      <c r="D1372" s="222"/>
      <c r="E1372" s="222"/>
      <c r="F1372" s="222"/>
      <c r="G1372" s="225" t="str">
        <f>IF(VLOOKUP($I1365&amp;RIGHT($A1372,1),Players!$A$2:$D$132,3)&lt;&gt;0,VLOOKUP($I1365&amp;RIGHT($A1372,1),Players!$A$2:$D$132,3),"")</f>
        <v/>
      </c>
      <c r="H1372" s="225"/>
      <c r="I1372" s="225"/>
      <c r="J1372" s="168" t="str">
        <f>IF(VLOOKUP($I1365&amp;RIGHT($A1372,1),Players!$A$2:$D$132,3)&lt;&gt;0,"("&amp;VLOOKUP($I1365&amp;RIGHT($A1372,1),Players!$A$2:$D$132,4)&amp;")","")</f>
        <v/>
      </c>
    </row>
    <row r="1373" spans="1:10" ht="25.5" customHeight="1" x14ac:dyDescent="0.4">
      <c r="A1373" s="37" t="str">
        <f>CONCATENATE($D1365,"2")</f>
        <v>G2</v>
      </c>
      <c r="B1373" s="222" t="str">
        <f>IF(VLOOKUP($A1373,Players!$A$2:$C$132,3)&lt;&gt;0,VLOOKUP($A1373,Players!$A$2:$C$132,3),"")</f>
        <v/>
      </c>
      <c r="C1373" s="222"/>
      <c r="D1373" s="222"/>
      <c r="E1373" s="222"/>
      <c r="F1373" s="222"/>
      <c r="G1373" s="225" t="str">
        <f>IF(VLOOKUP($I1365&amp;RIGHT($A1373,1),Players!$A$2:$D$132,3)&lt;&gt;0,VLOOKUP($I1365&amp;RIGHT($A1373,1),Players!$A$2:$D$132,3),"")</f>
        <v/>
      </c>
      <c r="H1373" s="225"/>
      <c r="I1373" s="225"/>
      <c r="J1373" s="168" t="str">
        <f>IF(VLOOKUP($I1365&amp;RIGHT($A1373,1),Players!$A$2:$D$132,3)&lt;&gt;0,"("&amp;VLOOKUP($I1365&amp;RIGHT($A1373,1),Players!$A$2:$D$132,4)&amp;")","")</f>
        <v/>
      </c>
    </row>
    <row r="1374" spans="1:10" ht="25.5" customHeight="1" x14ac:dyDescent="0.4">
      <c r="A1374" s="37" t="str">
        <f>CONCATENATE($D1365,"3")</f>
        <v>G3</v>
      </c>
      <c r="B1374" s="222" t="str">
        <f>IF(VLOOKUP($A1374,Players!$A$2:$C$132,3)&lt;&gt;0,VLOOKUP($A1374,Players!$A$2:$C$132,3),"")</f>
        <v/>
      </c>
      <c r="C1374" s="222"/>
      <c r="D1374" s="222"/>
      <c r="E1374" s="222"/>
      <c r="F1374" s="222"/>
      <c r="G1374" s="225" t="str">
        <f>IF(VLOOKUP($I1365&amp;RIGHT($A1374,1),Players!$A$2:$D$132,3)&lt;&gt;0,VLOOKUP($I1365&amp;RIGHT($A1374,1),Players!$A$2:$D$132,3),"")</f>
        <v/>
      </c>
      <c r="H1374" s="225"/>
      <c r="I1374" s="225"/>
      <c r="J1374" s="168" t="str">
        <f>IF(VLOOKUP($I1365&amp;RIGHT($A1374,1),Players!$A$2:$D$132,3)&lt;&gt;0,"("&amp;VLOOKUP($I1365&amp;RIGHT($A1374,1),Players!$A$2:$D$132,4)&amp;")","")</f>
        <v/>
      </c>
    </row>
    <row r="1375" spans="1:10" ht="25.5" customHeight="1" x14ac:dyDescent="0.4">
      <c r="A1375" s="37" t="str">
        <f>CONCATENATE($D1365,"4")</f>
        <v>G4</v>
      </c>
      <c r="B1375" s="222" t="str">
        <f>IF(VLOOKUP($A1375,Players!$A$2:$C$132,3)&lt;&gt;0,VLOOKUP($A1375,Players!$A$2:$C$132,3),"")</f>
        <v/>
      </c>
      <c r="C1375" s="222"/>
      <c r="D1375" s="222"/>
      <c r="E1375" s="222"/>
      <c r="F1375" s="222"/>
      <c r="G1375" s="225" t="str">
        <f>IF(VLOOKUP($I1365&amp;RIGHT($A1375,1),Players!$A$2:$D$132,3)&lt;&gt;0,VLOOKUP($I1365&amp;RIGHT($A1375,1),Players!$A$2:$D$132,3),"")</f>
        <v/>
      </c>
      <c r="H1375" s="225"/>
      <c r="I1375" s="225"/>
      <c r="J1375" s="168" t="str">
        <f>IF(VLOOKUP($I1365&amp;RIGHT($A1375,1),Players!$A$2:$D$132,3)&lt;&gt;0,"("&amp;VLOOKUP($I1365&amp;RIGHT($A1375,1),Players!$A$2:$D$132,4)&amp;")","")</f>
        <v/>
      </c>
    </row>
    <row r="1376" spans="1:10" ht="25.5" customHeight="1" x14ac:dyDescent="0.4">
      <c r="A1376" s="37" t="str">
        <f>CONCATENATE($D1365,"5")</f>
        <v>G5</v>
      </c>
      <c r="B1376" s="222" t="str">
        <f>IF(VLOOKUP($A1376,Players!$A$2:$C$132,3)&lt;&gt;0,VLOOKUP($A1376,Players!$A$2:$C$132,3),"")</f>
        <v/>
      </c>
      <c r="C1376" s="222"/>
      <c r="D1376" s="222"/>
      <c r="E1376" s="222"/>
      <c r="F1376" s="222"/>
      <c r="G1376" s="225" t="str">
        <f>IF(VLOOKUP($I1365&amp;RIGHT($A1376,1),Players!$A$2:$D$132,3)&lt;&gt;0,VLOOKUP($I1365&amp;RIGHT($A1376,1),Players!$A$2:$D$132,3),"")</f>
        <v/>
      </c>
      <c r="H1376" s="225"/>
      <c r="I1376" s="225"/>
      <c r="J1376" s="168" t="str">
        <f>IF(VLOOKUP($I1365&amp;RIGHT($A1376,1),Players!$A$2:$D$132,3)&lt;&gt;0,"("&amp;VLOOKUP($I1365&amp;RIGHT($A1376,1),Players!$A$2:$D$132,4)&amp;")","")</f>
        <v/>
      </c>
    </row>
    <row r="1377" spans="1:10" ht="25.5" customHeight="1" x14ac:dyDescent="0.4">
      <c r="A1377" s="37" t="str">
        <f>CONCATENATE($D1365,"6")</f>
        <v>G6</v>
      </c>
      <c r="B1377" s="222" t="str">
        <f>IF(VLOOKUP($A1377,Players!$A$2:$C$132,3)&lt;&gt;0,VLOOKUP($A1377,Players!$A$2:$C$132,3),"")</f>
        <v/>
      </c>
      <c r="C1377" s="222"/>
      <c r="D1377" s="222"/>
      <c r="E1377" s="222"/>
      <c r="F1377" s="222"/>
      <c r="G1377" s="225" t="str">
        <f>IF(VLOOKUP($I1365&amp;RIGHT($A1377,1),Players!$A$2:$D$132,3)&lt;&gt;0,VLOOKUP($I1365&amp;RIGHT($A1377,1),Players!$A$2:$D$132,3),"")</f>
        <v/>
      </c>
      <c r="H1377" s="225"/>
      <c r="I1377" s="225"/>
      <c r="J1377" s="168" t="str">
        <f>IF(VLOOKUP($I1365&amp;RIGHT($A1377,1),Players!$A$2:$D$132,3)&lt;&gt;0,"("&amp;VLOOKUP($I1365&amp;RIGHT($A1377,1),Players!$A$2:$D$132,4)&amp;")","")</f>
        <v/>
      </c>
    </row>
    <row r="1378" spans="1:10" ht="25.5" customHeight="1" x14ac:dyDescent="0.4">
      <c r="A1378" s="37" t="str">
        <f>CONCATENATE($D1365,"7")</f>
        <v>G7</v>
      </c>
      <c r="B1378" s="222" t="str">
        <f>IF(VLOOKUP($A1378,Players!$A$2:$C$132,3)&lt;&gt;0,VLOOKUP($A1378,Players!$A$2:$C$132,3),"")</f>
        <v/>
      </c>
      <c r="C1378" s="222"/>
      <c r="D1378" s="222"/>
      <c r="E1378" s="222"/>
      <c r="F1378" s="222"/>
      <c r="G1378" s="225" t="str">
        <f>IF(VLOOKUP($I1365&amp;RIGHT($A1378,1),Players!$A$2:$D$132,3)&lt;&gt;0,VLOOKUP($I1365&amp;RIGHT($A1378,1),Players!$A$2:$D$132,3),"")</f>
        <v/>
      </c>
      <c r="H1378" s="225"/>
      <c r="I1378" s="225"/>
      <c r="J1378" s="168" t="str">
        <f>IF(VLOOKUP($I1365&amp;RIGHT($A1378,1),Players!$A$2:$D$132,3)&lt;&gt;0,"("&amp;VLOOKUP($I1365&amp;RIGHT($A1378,1),Players!$A$2:$D$132,4)&amp;")","")</f>
        <v/>
      </c>
    </row>
    <row r="1379" spans="1:10" ht="25.5" customHeight="1" x14ac:dyDescent="0.4">
      <c r="A1379" s="37" t="str">
        <f>CONCATENATE($D1365,"8")</f>
        <v>G8</v>
      </c>
      <c r="B1379" s="222" t="str">
        <f>IF(VLOOKUP($A1379,Players!$A$2:$C$132,3)&lt;&gt;0,VLOOKUP($A1379,Players!$A$2:$C$132,3),"")</f>
        <v/>
      </c>
      <c r="C1379" s="222"/>
      <c r="D1379" s="222"/>
      <c r="E1379" s="222"/>
      <c r="F1379" s="222"/>
      <c r="G1379" s="225" t="str">
        <f>IF(VLOOKUP($I1365&amp;RIGHT($A1379,1),Players!$A$2:$D$132,3)&lt;&gt;0,VLOOKUP($I1365&amp;RIGHT($A1379,1),Players!$A$2:$D$132,3),"")</f>
        <v/>
      </c>
      <c r="H1379" s="225"/>
      <c r="I1379" s="225"/>
      <c r="J1379" s="168" t="str">
        <f>IF(VLOOKUP($I1365&amp;RIGHT($A1379,1),Players!$A$2:$D$132,3)&lt;&gt;0,"("&amp;VLOOKUP($I1365&amp;RIGHT($A1379,1),Players!$A$2:$D$132,4)&amp;")","")</f>
        <v/>
      </c>
    </row>
    <row r="1380" spans="1:10" ht="25.5" customHeight="1" x14ac:dyDescent="0.25">
      <c r="A1380" s="37"/>
      <c r="B1380" s="7"/>
      <c r="C1380" s="7"/>
      <c r="D1380" s="7"/>
      <c r="E1380" s="7"/>
    </row>
    <row r="1381" spans="1:10" x14ac:dyDescent="0.25">
      <c r="A1381" s="9" t="s">
        <v>157</v>
      </c>
    </row>
    <row r="1382" spans="1:10" x14ac:dyDescent="0.25">
      <c r="A1382" t="s">
        <v>179</v>
      </c>
    </row>
    <row r="1383" spans="1:10" x14ac:dyDescent="0.25">
      <c r="A1383" s="55" t="s">
        <v>918</v>
      </c>
    </row>
    <row r="1384" spans="1:10" x14ac:dyDescent="0.25">
      <c r="A1384" t="s">
        <v>919</v>
      </c>
    </row>
    <row r="1385" spans="1:10" ht="25.5" customHeight="1" thickBot="1" x14ac:dyDescent="0.3">
      <c r="A1385" s="37"/>
    </row>
    <row r="1386" spans="1:10" x14ac:dyDescent="0.25">
      <c r="B1386" s="213"/>
      <c r="C1386" s="214"/>
      <c r="D1386" s="214"/>
      <c r="E1386" s="214"/>
      <c r="F1386" s="215"/>
    </row>
    <row r="1387" spans="1:10" ht="13.8" thickBot="1" x14ac:dyDescent="0.3">
      <c r="B1387" s="216"/>
      <c r="C1387" s="217"/>
      <c r="D1387" s="217"/>
      <c r="E1387" s="217"/>
      <c r="F1387" s="218"/>
    </row>
    <row r="1391" spans="1:10" ht="25.5" customHeight="1" x14ac:dyDescent="0.25">
      <c r="A1391" s="36"/>
      <c r="B1391" s="36"/>
      <c r="C1391" s="36"/>
      <c r="D1391" s="36"/>
      <c r="E1391" s="36"/>
      <c r="G1391" s="38"/>
      <c r="H1391" s="227" t="s">
        <v>159</v>
      </c>
      <c r="I1391" s="228"/>
    </row>
    <row r="1392" spans="1:10" x14ac:dyDescent="0.25">
      <c r="A1392" t="s">
        <v>158</v>
      </c>
    </row>
    <row r="1394" spans="1:10" x14ac:dyDescent="0.25">
      <c r="E1394" s="219" t="str">
        <f>CONCATENATE("(",$D1365," vs ",$I1365,")")</f>
        <v>(G vs K)</v>
      </c>
      <c r="F1394" s="219"/>
    </row>
    <row r="1395" spans="1:10" ht="15.6" x14ac:dyDescent="0.3">
      <c r="A1395" s="33" t="s">
        <v>155</v>
      </c>
      <c r="J1395" s="82" t="s">
        <v>512</v>
      </c>
    </row>
    <row r="1396" spans="1:10" ht="12.75" customHeight="1" x14ac:dyDescent="0.3">
      <c r="A1396" s="33"/>
      <c r="G1396" t="str">
        <f ca="1">Team_Matches!$J$6</f>
        <v>[NCTTA Teams Template (v3.4).xlsx]</v>
      </c>
      <c r="J1396" s="55"/>
    </row>
    <row r="1397" spans="1:10" ht="12.75" customHeight="1" x14ac:dyDescent="0.3">
      <c r="A1397" s="33"/>
      <c r="G1397" s="229" t="str">
        <f>Team_Matches!$J1027</f>
        <v>Round 4, Match 3</v>
      </c>
      <c r="H1397" s="229"/>
      <c r="I1397" s="127" t="str">
        <f>Team_Matches!$M1027</f>
        <v/>
      </c>
      <c r="J1397" s="127"/>
    </row>
    <row r="1398" spans="1:10" ht="15.6" x14ac:dyDescent="0.3">
      <c r="A1398" s="33"/>
    </row>
    <row r="1399" spans="1:10" x14ac:dyDescent="0.25">
      <c r="C1399" s="7" t="s">
        <v>160</v>
      </c>
      <c r="D1399" s="39" t="str">
        <f>Team_Matches!$B1029</f>
        <v>G</v>
      </c>
      <c r="F1399" s="83" t="str">
        <f>CONCATENATE($D1399,"-",$I1399)</f>
        <v>G-K</v>
      </c>
      <c r="H1399" s="7" t="s">
        <v>160</v>
      </c>
      <c r="I1399" s="39" t="str">
        <f>Team_Matches!$K1029</f>
        <v>K</v>
      </c>
    </row>
    <row r="1400" spans="1:10" ht="25.5" customHeight="1" x14ac:dyDescent="0.25">
      <c r="A1400" s="34"/>
      <c r="B1400" s="223" t="str">
        <f>IF(VLOOKUP($D1399,Draw!$A$4:$B$27,2)&lt;&gt;0,VLOOKUP($D1399,Draw!$A$4:$B$27,2),"")</f>
        <v/>
      </c>
      <c r="C1400" s="223"/>
      <c r="D1400" s="223"/>
      <c r="E1400" s="224"/>
      <c r="F1400" s="35"/>
      <c r="G1400" s="220" t="str">
        <f>IF(VLOOKUP($I1399,Draw!$A$4:$B$27,2)&lt;&gt;0,VLOOKUP($I1399,Draw!$A$4:$B$27,2),"")</f>
        <v/>
      </c>
      <c r="H1400" s="220"/>
      <c r="I1400" s="220"/>
      <c r="J1400" s="221"/>
    </row>
    <row r="1401" spans="1:10" ht="25.5" customHeight="1" x14ac:dyDescent="0.25"/>
    <row r="1402" spans="1:10" ht="25.5" customHeight="1" x14ac:dyDescent="0.25"/>
    <row r="1403" spans="1:10" ht="24" customHeight="1" x14ac:dyDescent="0.25">
      <c r="A1403" s="9" t="s">
        <v>178</v>
      </c>
    </row>
    <row r="1404" spans="1:10" ht="24" customHeight="1" x14ac:dyDescent="0.25">
      <c r="A1404" s="9"/>
    </row>
    <row r="1405" spans="1:10" x14ac:dyDescent="0.25">
      <c r="A1405" s="9" t="s">
        <v>156</v>
      </c>
      <c r="G1405" s="226" t="s">
        <v>873</v>
      </c>
      <c r="H1405" s="226"/>
      <c r="I1405" s="226"/>
      <c r="J1405" s="226"/>
    </row>
    <row r="1406" spans="1:10" ht="24" customHeight="1" x14ac:dyDescent="0.4">
      <c r="A1406" s="37" t="str">
        <f>CONCATENATE($I1399,"1")</f>
        <v>K1</v>
      </c>
      <c r="B1406" s="222" t="str">
        <f>IF(VLOOKUP($A1406,Players!$A$2:$C$132,3)&lt;&gt;0,VLOOKUP($A1406,Players!$A$2:$C$132,3),"")</f>
        <v/>
      </c>
      <c r="C1406" s="222"/>
      <c r="D1406" s="222"/>
      <c r="E1406" s="222"/>
      <c r="F1406" s="222"/>
      <c r="G1406" s="225" t="str">
        <f>IF(VLOOKUP($D1399&amp;RIGHT($A1406,1),Players!$A$2:$D$132,3)&lt;&gt;0,VLOOKUP($D1399&amp;RIGHT($A1406,1),Players!$A$2:$D$132,3),"")</f>
        <v/>
      </c>
      <c r="H1406" s="225"/>
      <c r="I1406" s="225"/>
      <c r="J1406" s="168" t="str">
        <f>IF(VLOOKUP($D1399&amp;RIGHT($A1406,1),Players!$A$2:$D$132,3)&lt;&gt;0,"("&amp;VLOOKUP($D1399&amp;RIGHT($A1406,1),Players!$A$2:$D$132,4)&amp;")","")</f>
        <v/>
      </c>
    </row>
    <row r="1407" spans="1:10" ht="25.5" customHeight="1" x14ac:dyDescent="0.4">
      <c r="A1407" s="37" t="str">
        <f>CONCATENATE($I1399,"2")</f>
        <v>K2</v>
      </c>
      <c r="B1407" s="222" t="str">
        <f>IF(VLOOKUP($A1407,Players!$A$2:$C$132,3)&lt;&gt;0,VLOOKUP($A1407,Players!$A$2:$C$132,3),"")</f>
        <v/>
      </c>
      <c r="C1407" s="222"/>
      <c r="D1407" s="222"/>
      <c r="E1407" s="222"/>
      <c r="F1407" s="222"/>
      <c r="G1407" s="225" t="str">
        <f>IF(VLOOKUP($D1399&amp;RIGHT($A1407,1),Players!$A$2:$D$132,3)&lt;&gt;0,VLOOKUP($D1399&amp;RIGHT($A1407,1),Players!$A$2:$D$132,3),"")</f>
        <v/>
      </c>
      <c r="H1407" s="225"/>
      <c r="I1407" s="225"/>
      <c r="J1407" s="168" t="str">
        <f>IF(VLOOKUP($D1399&amp;RIGHT($A1407,1),Players!$A$2:$D$132,3)&lt;&gt;0,"("&amp;VLOOKUP($D1399&amp;RIGHT($A1407,1),Players!$A$2:$D$132,4)&amp;")","")</f>
        <v/>
      </c>
    </row>
    <row r="1408" spans="1:10" ht="25.5" customHeight="1" x14ac:dyDescent="0.4">
      <c r="A1408" s="37" t="str">
        <f>CONCATENATE($I1399,"3")</f>
        <v>K3</v>
      </c>
      <c r="B1408" s="222" t="str">
        <f>IF(VLOOKUP($A1408,Players!$A$2:$C$132,3)&lt;&gt;0,VLOOKUP($A1408,Players!$A$2:$C$132,3),"")</f>
        <v/>
      </c>
      <c r="C1408" s="222"/>
      <c r="D1408" s="222"/>
      <c r="E1408" s="222"/>
      <c r="F1408" s="222"/>
      <c r="G1408" s="225" t="str">
        <f>IF(VLOOKUP($D1399&amp;RIGHT($A1408,1),Players!$A$2:$D$132,3)&lt;&gt;0,VLOOKUP($D1399&amp;RIGHT($A1408,1),Players!$A$2:$D$132,3),"")</f>
        <v/>
      </c>
      <c r="H1408" s="225"/>
      <c r="I1408" s="225"/>
      <c r="J1408" s="168" t="str">
        <f>IF(VLOOKUP($D1399&amp;RIGHT($A1408,1),Players!$A$2:$D$132,3)&lt;&gt;0,"("&amp;VLOOKUP($D1399&amp;RIGHT($A1408,1),Players!$A$2:$D$132,4)&amp;")","")</f>
        <v/>
      </c>
    </row>
    <row r="1409" spans="1:10" ht="25.5" customHeight="1" x14ac:dyDescent="0.4">
      <c r="A1409" s="37" t="str">
        <f>CONCATENATE($I1399,"4")</f>
        <v>K4</v>
      </c>
      <c r="B1409" s="222" t="str">
        <f>IF(VLOOKUP($A1409,Players!$A$2:$C$132,3)&lt;&gt;0,VLOOKUP($A1409,Players!$A$2:$C$132,3),"")</f>
        <v/>
      </c>
      <c r="C1409" s="222"/>
      <c r="D1409" s="222"/>
      <c r="E1409" s="222"/>
      <c r="F1409" s="222"/>
      <c r="G1409" s="225" t="str">
        <f>IF(VLOOKUP($D1399&amp;RIGHT($A1409,1),Players!$A$2:$D$132,3)&lt;&gt;0,VLOOKUP($D1399&amp;RIGHT($A1409,1),Players!$A$2:$D$132,3),"")</f>
        <v/>
      </c>
      <c r="H1409" s="225"/>
      <c r="I1409" s="225"/>
      <c r="J1409" s="168" t="str">
        <f>IF(VLOOKUP($D1399&amp;RIGHT($A1409,1),Players!$A$2:$D$132,3)&lt;&gt;0,"("&amp;VLOOKUP($D1399&amp;RIGHT($A1409,1),Players!$A$2:$D$132,4)&amp;")","")</f>
        <v/>
      </c>
    </row>
    <row r="1410" spans="1:10" ht="25.5" customHeight="1" x14ac:dyDescent="0.4">
      <c r="A1410" s="37" t="str">
        <f>CONCATENATE($I1399,"5")</f>
        <v>K5</v>
      </c>
      <c r="B1410" s="222" t="str">
        <f>IF(VLOOKUP($A1410,Players!$A$2:$C$132,3)&lt;&gt;0,VLOOKUP($A1410,Players!$A$2:$C$132,3),"")</f>
        <v/>
      </c>
      <c r="C1410" s="222"/>
      <c r="D1410" s="222"/>
      <c r="E1410" s="222"/>
      <c r="F1410" s="222"/>
      <c r="G1410" s="225" t="str">
        <f>IF(VLOOKUP($D1399&amp;RIGHT($A1410,1),Players!$A$2:$D$132,3)&lt;&gt;0,VLOOKUP($D1399&amp;RIGHT($A1410,1),Players!$A$2:$D$132,3),"")</f>
        <v/>
      </c>
      <c r="H1410" s="225"/>
      <c r="I1410" s="225"/>
      <c r="J1410" s="168" t="str">
        <f>IF(VLOOKUP($D1399&amp;RIGHT($A1410,1),Players!$A$2:$D$132,3)&lt;&gt;0,"("&amp;VLOOKUP($D1399&amp;RIGHT($A1410,1),Players!$A$2:$D$132,4)&amp;")","")</f>
        <v/>
      </c>
    </row>
    <row r="1411" spans="1:10" ht="25.5" customHeight="1" x14ac:dyDescent="0.4">
      <c r="A1411" s="37" t="str">
        <f>CONCATENATE($I1399,"6")</f>
        <v>K6</v>
      </c>
      <c r="B1411" s="222" t="str">
        <f>IF(VLOOKUP($A1411,Players!$A$2:$C$132,3)&lt;&gt;0,VLOOKUP($A1411,Players!$A$2:$C$132,3),"")</f>
        <v/>
      </c>
      <c r="C1411" s="222"/>
      <c r="D1411" s="222"/>
      <c r="E1411" s="222"/>
      <c r="F1411" s="222"/>
      <c r="G1411" s="225" t="str">
        <f>IF(VLOOKUP($D1399&amp;RIGHT($A1411,1),Players!$A$2:$D$132,3)&lt;&gt;0,VLOOKUP($D1399&amp;RIGHT($A1411,1),Players!$A$2:$D$132,3),"")</f>
        <v/>
      </c>
      <c r="H1411" s="225"/>
      <c r="I1411" s="225"/>
      <c r="J1411" s="168" t="str">
        <f>IF(VLOOKUP($D1399&amp;RIGHT($A1411,1),Players!$A$2:$D$132,3)&lt;&gt;0,"("&amp;VLOOKUP($D1399&amp;RIGHT($A1411,1),Players!$A$2:$D$132,4)&amp;")","")</f>
        <v/>
      </c>
    </row>
    <row r="1412" spans="1:10" ht="25.5" customHeight="1" x14ac:dyDescent="0.4">
      <c r="A1412" s="37" t="str">
        <f>CONCATENATE($I1399,"7")</f>
        <v>K7</v>
      </c>
      <c r="B1412" s="222" t="str">
        <f>IF(VLOOKUP($A1412,Players!$A$2:$C$132,3)&lt;&gt;0,VLOOKUP($A1412,Players!$A$2:$C$132,3),"")</f>
        <v/>
      </c>
      <c r="C1412" s="222"/>
      <c r="D1412" s="222"/>
      <c r="E1412" s="222"/>
      <c r="F1412" s="222"/>
      <c r="G1412" s="225" t="str">
        <f>IF(VLOOKUP($D1399&amp;RIGHT($A1412,1),Players!$A$2:$D$132,3)&lt;&gt;0,VLOOKUP($D1399&amp;RIGHT($A1412,1),Players!$A$2:$D$132,3),"")</f>
        <v/>
      </c>
      <c r="H1412" s="225"/>
      <c r="I1412" s="225"/>
      <c r="J1412" s="168" t="str">
        <f>IF(VLOOKUP($D1399&amp;RIGHT($A1412,1),Players!$A$2:$D$132,3)&lt;&gt;0,"("&amp;VLOOKUP($D1399&amp;RIGHT($A1412,1),Players!$A$2:$D$132,4)&amp;")","")</f>
        <v/>
      </c>
    </row>
    <row r="1413" spans="1:10" ht="25.5" customHeight="1" x14ac:dyDescent="0.4">
      <c r="A1413" s="37" t="str">
        <f>CONCATENATE($I1399,"8")</f>
        <v>K8</v>
      </c>
      <c r="B1413" s="222" t="str">
        <f>IF(VLOOKUP($A1413,Players!$A$2:$C$132,3)&lt;&gt;0,VLOOKUP($A1413,Players!$A$2:$C$132,3),"")</f>
        <v/>
      </c>
      <c r="C1413" s="222"/>
      <c r="D1413" s="222"/>
      <c r="E1413" s="222"/>
      <c r="F1413" s="222"/>
      <c r="G1413" s="225" t="str">
        <f>IF(VLOOKUP($D1399&amp;RIGHT($A1413,1),Players!$A$2:$D$132,3)&lt;&gt;0,VLOOKUP($D1399&amp;RIGHT($A1413,1),Players!$A$2:$D$132,3),"")</f>
        <v/>
      </c>
      <c r="H1413" s="225"/>
      <c r="I1413" s="225"/>
      <c r="J1413" s="168" t="str">
        <f>IF(VLOOKUP($D1399&amp;RIGHT($A1413,1),Players!$A$2:$D$132,3)&lt;&gt;0,"("&amp;VLOOKUP($D1399&amp;RIGHT($A1413,1),Players!$A$2:$D$132,4)&amp;")","")</f>
        <v/>
      </c>
    </row>
    <row r="1414" spans="1:10" ht="25.5" customHeight="1" x14ac:dyDescent="0.25">
      <c r="A1414" s="37"/>
      <c r="B1414" s="7"/>
      <c r="C1414" s="7"/>
      <c r="D1414" s="7"/>
      <c r="E1414" s="7"/>
    </row>
    <row r="1415" spans="1:10" x14ac:dyDescent="0.25">
      <c r="A1415" s="9" t="s">
        <v>157</v>
      </c>
    </row>
    <row r="1416" spans="1:10" x14ac:dyDescent="0.25">
      <c r="A1416" t="s">
        <v>179</v>
      </c>
    </row>
    <row r="1417" spans="1:10" x14ac:dyDescent="0.25">
      <c r="A1417" s="55" t="s">
        <v>918</v>
      </c>
    </row>
    <row r="1418" spans="1:10" x14ac:dyDescent="0.25">
      <c r="A1418" t="s">
        <v>919</v>
      </c>
    </row>
    <row r="1419" spans="1:10" ht="25.5" customHeight="1" thickBot="1" x14ac:dyDescent="0.3">
      <c r="A1419" s="37"/>
    </row>
    <row r="1420" spans="1:10" x14ac:dyDescent="0.25">
      <c r="B1420" s="213"/>
      <c r="C1420" s="214"/>
      <c r="D1420" s="214"/>
      <c r="E1420" s="214"/>
      <c r="F1420" s="215"/>
    </row>
    <row r="1421" spans="1:10" ht="13.8" thickBot="1" x14ac:dyDescent="0.3">
      <c r="B1421" s="216"/>
      <c r="C1421" s="217"/>
      <c r="D1421" s="217"/>
      <c r="E1421" s="217"/>
      <c r="F1421" s="218"/>
    </row>
    <row r="1425" spans="1:10" ht="25.5" customHeight="1" x14ac:dyDescent="0.25">
      <c r="A1425" s="36"/>
      <c r="B1425" s="36"/>
      <c r="C1425" s="36"/>
      <c r="D1425" s="36"/>
      <c r="E1425" s="36"/>
      <c r="G1425" s="38"/>
      <c r="H1425" s="227" t="s">
        <v>159</v>
      </c>
      <c r="I1425" s="228"/>
    </row>
    <row r="1426" spans="1:10" x14ac:dyDescent="0.25">
      <c r="A1426" t="s">
        <v>158</v>
      </c>
    </row>
    <row r="1428" spans="1:10" x14ac:dyDescent="0.25">
      <c r="E1428" s="219" t="str">
        <f>CONCATENATE("(",$D1399," vs ",$I1399,")")</f>
        <v>(G vs K)</v>
      </c>
      <c r="F1428" s="219"/>
    </row>
    <row r="1429" spans="1:10" ht="15.6" x14ac:dyDescent="0.3">
      <c r="A1429" s="33" t="s">
        <v>155</v>
      </c>
      <c r="J1429" s="82" t="s">
        <v>513</v>
      </c>
    </row>
    <row r="1430" spans="1:10" ht="12.75" customHeight="1" x14ac:dyDescent="0.3">
      <c r="A1430" s="33"/>
      <c r="G1430" t="str">
        <f ca="1">Team_Matches!$J$6</f>
        <v>[NCTTA Teams Template (v3.4).xlsx]</v>
      </c>
      <c r="J1430" s="55"/>
    </row>
    <row r="1431" spans="1:10" ht="12.75" customHeight="1" x14ac:dyDescent="0.3">
      <c r="A1431" s="33"/>
      <c r="G1431" s="229" t="str">
        <f>Team_Matches!$J1078</f>
        <v>Round 4, Match 4</v>
      </c>
      <c r="H1431" s="229"/>
      <c r="I1431" s="127" t="str">
        <f>Team_Matches!$M1078</f>
        <v/>
      </c>
      <c r="J1431" s="127"/>
    </row>
    <row r="1432" spans="1:10" ht="15.6" x14ac:dyDescent="0.3">
      <c r="A1432" s="33"/>
    </row>
    <row r="1433" spans="1:10" x14ac:dyDescent="0.25">
      <c r="C1433" s="7" t="s">
        <v>160</v>
      </c>
      <c r="D1433" s="39" t="str">
        <f>Team_Matches!$B1080</f>
        <v>F</v>
      </c>
      <c r="F1433" s="83" t="str">
        <f>CONCATENATE($D1433,"-",$I1433)</f>
        <v>F-L</v>
      </c>
      <c r="H1433" s="7" t="s">
        <v>160</v>
      </c>
      <c r="I1433" s="39" t="str">
        <f>Team_Matches!$K1080</f>
        <v>L</v>
      </c>
    </row>
    <row r="1434" spans="1:10" ht="25.5" customHeight="1" x14ac:dyDescent="0.25">
      <c r="A1434" s="34"/>
      <c r="B1434" s="220" t="str">
        <f>IF(VLOOKUP($D1433,Draw!$A$4:$B$27,2)&lt;&gt;0,VLOOKUP($D1433,Draw!$A$4:$B$27,2),"")</f>
        <v/>
      </c>
      <c r="C1434" s="220"/>
      <c r="D1434" s="220"/>
      <c r="E1434" s="221"/>
      <c r="F1434" s="35"/>
      <c r="G1434" s="223" t="str">
        <f>IF(VLOOKUP($I1433,Draw!$A$4:$B$27,2)&lt;&gt;0,VLOOKUP($I1433,Draw!$A$4:$B$27,2),"")</f>
        <v/>
      </c>
      <c r="H1434" s="223"/>
      <c r="I1434" s="223"/>
      <c r="J1434" s="224"/>
    </row>
    <row r="1435" spans="1:10" ht="25.5" customHeight="1" x14ac:dyDescent="0.25"/>
    <row r="1436" spans="1:10" ht="25.5" customHeight="1" x14ac:dyDescent="0.25"/>
    <row r="1437" spans="1:10" ht="24" customHeight="1" x14ac:dyDescent="0.25">
      <c r="A1437" s="9" t="s">
        <v>178</v>
      </c>
    </row>
    <row r="1438" spans="1:10" ht="24" customHeight="1" x14ac:dyDescent="0.25">
      <c r="A1438" s="9"/>
    </row>
    <row r="1439" spans="1:10" x14ac:dyDescent="0.25">
      <c r="A1439" s="9" t="s">
        <v>156</v>
      </c>
      <c r="G1439" s="226" t="s">
        <v>873</v>
      </c>
      <c r="H1439" s="226"/>
      <c r="I1439" s="226"/>
      <c r="J1439" s="226"/>
    </row>
    <row r="1440" spans="1:10" ht="24" customHeight="1" x14ac:dyDescent="0.4">
      <c r="A1440" s="37" t="str">
        <f>CONCATENATE($D1433,"1")</f>
        <v>F1</v>
      </c>
      <c r="B1440" s="222" t="str">
        <f>IF(VLOOKUP($A1440,Players!$A$2:$C$132,3)&lt;&gt;0,VLOOKUP($A1440,Players!$A$2:$C$132,3),"")</f>
        <v/>
      </c>
      <c r="C1440" s="222"/>
      <c r="D1440" s="222"/>
      <c r="E1440" s="222"/>
      <c r="F1440" s="222"/>
      <c r="G1440" s="225" t="str">
        <f>IF(VLOOKUP($I1433&amp;RIGHT($A1440,1),Players!$A$2:$D$132,3)&lt;&gt;0,VLOOKUP($I1433&amp;RIGHT($A1440,1),Players!$A$2:$D$132,3),"")</f>
        <v/>
      </c>
      <c r="H1440" s="225"/>
      <c r="I1440" s="225"/>
      <c r="J1440" s="168" t="str">
        <f>IF(VLOOKUP($I1433&amp;RIGHT($A1440,1),Players!$A$2:$D$132,3)&lt;&gt;0,"("&amp;VLOOKUP($I1433&amp;RIGHT($A1440,1),Players!$A$2:$D$132,4)&amp;")","")</f>
        <v/>
      </c>
    </row>
    <row r="1441" spans="1:10" ht="25.5" customHeight="1" x14ac:dyDescent="0.4">
      <c r="A1441" s="37" t="str">
        <f>CONCATENATE($D1433,"2")</f>
        <v>F2</v>
      </c>
      <c r="B1441" s="222" t="str">
        <f>IF(VLOOKUP($A1441,Players!$A$2:$C$132,3)&lt;&gt;0,VLOOKUP($A1441,Players!$A$2:$C$132,3),"")</f>
        <v/>
      </c>
      <c r="C1441" s="222"/>
      <c r="D1441" s="222"/>
      <c r="E1441" s="222"/>
      <c r="F1441" s="222"/>
      <c r="G1441" s="225" t="str">
        <f>IF(VLOOKUP($I1433&amp;RIGHT($A1441,1),Players!$A$2:$D$132,3)&lt;&gt;0,VLOOKUP($I1433&amp;RIGHT($A1441,1),Players!$A$2:$D$132,3),"")</f>
        <v/>
      </c>
      <c r="H1441" s="225"/>
      <c r="I1441" s="225"/>
      <c r="J1441" s="168" t="str">
        <f>IF(VLOOKUP($I1433&amp;RIGHT($A1441,1),Players!$A$2:$D$132,3)&lt;&gt;0,"("&amp;VLOOKUP($I1433&amp;RIGHT($A1441,1),Players!$A$2:$D$132,4)&amp;")","")</f>
        <v/>
      </c>
    </row>
    <row r="1442" spans="1:10" ht="25.5" customHeight="1" x14ac:dyDescent="0.4">
      <c r="A1442" s="37" t="str">
        <f>CONCATENATE($D1433,"3")</f>
        <v>F3</v>
      </c>
      <c r="B1442" s="222" t="str">
        <f>IF(VLOOKUP($A1442,Players!$A$2:$C$132,3)&lt;&gt;0,VLOOKUP($A1442,Players!$A$2:$C$132,3),"")</f>
        <v/>
      </c>
      <c r="C1442" s="222"/>
      <c r="D1442" s="222"/>
      <c r="E1442" s="222"/>
      <c r="F1442" s="222"/>
      <c r="G1442" s="225" t="str">
        <f>IF(VLOOKUP($I1433&amp;RIGHT($A1442,1),Players!$A$2:$D$132,3)&lt;&gt;0,VLOOKUP($I1433&amp;RIGHT($A1442,1),Players!$A$2:$D$132,3),"")</f>
        <v/>
      </c>
      <c r="H1442" s="225"/>
      <c r="I1442" s="225"/>
      <c r="J1442" s="168" t="str">
        <f>IF(VLOOKUP($I1433&amp;RIGHT($A1442,1),Players!$A$2:$D$132,3)&lt;&gt;0,"("&amp;VLOOKUP($I1433&amp;RIGHT($A1442,1),Players!$A$2:$D$132,4)&amp;")","")</f>
        <v/>
      </c>
    </row>
    <row r="1443" spans="1:10" ht="25.5" customHeight="1" x14ac:dyDescent="0.4">
      <c r="A1443" s="37" t="str">
        <f>CONCATENATE($D1433,"4")</f>
        <v>F4</v>
      </c>
      <c r="B1443" s="222" t="str">
        <f>IF(VLOOKUP($A1443,Players!$A$2:$C$132,3)&lt;&gt;0,VLOOKUP($A1443,Players!$A$2:$C$132,3),"")</f>
        <v/>
      </c>
      <c r="C1443" s="222"/>
      <c r="D1443" s="222"/>
      <c r="E1443" s="222"/>
      <c r="F1443" s="222"/>
      <c r="G1443" s="225" t="str">
        <f>IF(VLOOKUP($I1433&amp;RIGHT($A1443,1),Players!$A$2:$D$132,3)&lt;&gt;0,VLOOKUP($I1433&amp;RIGHT($A1443,1),Players!$A$2:$D$132,3),"")</f>
        <v/>
      </c>
      <c r="H1443" s="225"/>
      <c r="I1443" s="225"/>
      <c r="J1443" s="168" t="str">
        <f>IF(VLOOKUP($I1433&amp;RIGHT($A1443,1),Players!$A$2:$D$132,3)&lt;&gt;0,"("&amp;VLOOKUP($I1433&amp;RIGHT($A1443,1),Players!$A$2:$D$132,4)&amp;")","")</f>
        <v/>
      </c>
    </row>
    <row r="1444" spans="1:10" ht="25.5" customHeight="1" x14ac:dyDescent="0.4">
      <c r="A1444" s="37" t="str">
        <f>CONCATENATE($D1433,"5")</f>
        <v>F5</v>
      </c>
      <c r="B1444" s="222" t="str">
        <f>IF(VLOOKUP($A1444,Players!$A$2:$C$132,3)&lt;&gt;0,VLOOKUP($A1444,Players!$A$2:$C$132,3),"")</f>
        <v/>
      </c>
      <c r="C1444" s="222"/>
      <c r="D1444" s="222"/>
      <c r="E1444" s="222"/>
      <c r="F1444" s="222"/>
      <c r="G1444" s="225" t="str">
        <f>IF(VLOOKUP($I1433&amp;RIGHT($A1444,1),Players!$A$2:$D$132,3)&lt;&gt;0,VLOOKUP($I1433&amp;RIGHT($A1444,1),Players!$A$2:$D$132,3),"")</f>
        <v/>
      </c>
      <c r="H1444" s="225"/>
      <c r="I1444" s="225"/>
      <c r="J1444" s="168" t="str">
        <f>IF(VLOOKUP($I1433&amp;RIGHT($A1444,1),Players!$A$2:$D$132,3)&lt;&gt;0,"("&amp;VLOOKUP($I1433&amp;RIGHT($A1444,1),Players!$A$2:$D$132,4)&amp;")","")</f>
        <v/>
      </c>
    </row>
    <row r="1445" spans="1:10" ht="25.5" customHeight="1" x14ac:dyDescent="0.4">
      <c r="A1445" s="37" t="str">
        <f>CONCATENATE($D1433,"6")</f>
        <v>F6</v>
      </c>
      <c r="B1445" s="222" t="str">
        <f>IF(VLOOKUP($A1445,Players!$A$2:$C$132,3)&lt;&gt;0,VLOOKUP($A1445,Players!$A$2:$C$132,3),"")</f>
        <v/>
      </c>
      <c r="C1445" s="222"/>
      <c r="D1445" s="222"/>
      <c r="E1445" s="222"/>
      <c r="F1445" s="222"/>
      <c r="G1445" s="225" t="str">
        <f>IF(VLOOKUP($I1433&amp;RIGHT($A1445,1),Players!$A$2:$D$132,3)&lt;&gt;0,VLOOKUP($I1433&amp;RIGHT($A1445,1),Players!$A$2:$D$132,3),"")</f>
        <v/>
      </c>
      <c r="H1445" s="225"/>
      <c r="I1445" s="225"/>
      <c r="J1445" s="168" t="str">
        <f>IF(VLOOKUP($I1433&amp;RIGHT($A1445,1),Players!$A$2:$D$132,3)&lt;&gt;0,"("&amp;VLOOKUP($I1433&amp;RIGHT($A1445,1),Players!$A$2:$D$132,4)&amp;")","")</f>
        <v/>
      </c>
    </row>
    <row r="1446" spans="1:10" ht="25.5" customHeight="1" x14ac:dyDescent="0.4">
      <c r="A1446" s="37" t="str">
        <f>CONCATENATE($D1433,"7")</f>
        <v>F7</v>
      </c>
      <c r="B1446" s="222" t="str">
        <f>IF(VLOOKUP($A1446,Players!$A$2:$C$132,3)&lt;&gt;0,VLOOKUP($A1446,Players!$A$2:$C$132,3),"")</f>
        <v/>
      </c>
      <c r="C1446" s="222"/>
      <c r="D1446" s="222"/>
      <c r="E1446" s="222"/>
      <c r="F1446" s="222"/>
      <c r="G1446" s="225" t="str">
        <f>IF(VLOOKUP($I1433&amp;RIGHT($A1446,1),Players!$A$2:$D$132,3)&lt;&gt;0,VLOOKUP($I1433&amp;RIGHT($A1446,1),Players!$A$2:$D$132,3),"")</f>
        <v/>
      </c>
      <c r="H1446" s="225"/>
      <c r="I1446" s="225"/>
      <c r="J1446" s="168" t="str">
        <f>IF(VLOOKUP($I1433&amp;RIGHT($A1446,1),Players!$A$2:$D$132,3)&lt;&gt;0,"("&amp;VLOOKUP($I1433&amp;RIGHT($A1446,1),Players!$A$2:$D$132,4)&amp;")","")</f>
        <v/>
      </c>
    </row>
    <row r="1447" spans="1:10" ht="25.5" customHeight="1" x14ac:dyDescent="0.4">
      <c r="A1447" s="37" t="str">
        <f>CONCATENATE($D1433,"8")</f>
        <v>F8</v>
      </c>
      <c r="B1447" s="222" t="str">
        <f>IF(VLOOKUP($A1447,Players!$A$2:$C$132,3)&lt;&gt;0,VLOOKUP($A1447,Players!$A$2:$C$132,3),"")</f>
        <v/>
      </c>
      <c r="C1447" s="222"/>
      <c r="D1447" s="222"/>
      <c r="E1447" s="222"/>
      <c r="F1447" s="222"/>
      <c r="G1447" s="225" t="str">
        <f>IF(VLOOKUP($I1433&amp;RIGHT($A1447,1),Players!$A$2:$D$132,3)&lt;&gt;0,VLOOKUP($I1433&amp;RIGHT($A1447,1),Players!$A$2:$D$132,3),"")</f>
        <v/>
      </c>
      <c r="H1447" s="225"/>
      <c r="I1447" s="225"/>
      <c r="J1447" s="168" t="str">
        <f>IF(VLOOKUP($I1433&amp;RIGHT($A1447,1),Players!$A$2:$D$132,3)&lt;&gt;0,"("&amp;VLOOKUP($I1433&amp;RIGHT($A1447,1),Players!$A$2:$D$132,4)&amp;")","")</f>
        <v/>
      </c>
    </row>
    <row r="1448" spans="1:10" ht="25.5" customHeight="1" x14ac:dyDescent="0.25">
      <c r="A1448" s="37"/>
      <c r="B1448" s="7"/>
      <c r="C1448" s="7"/>
      <c r="D1448" s="7"/>
      <c r="E1448" s="7"/>
    </row>
    <row r="1449" spans="1:10" x14ac:dyDescent="0.25">
      <c r="A1449" s="9" t="s">
        <v>157</v>
      </c>
    </row>
    <row r="1450" spans="1:10" x14ac:dyDescent="0.25">
      <c r="A1450" t="s">
        <v>179</v>
      </c>
    </row>
    <row r="1451" spans="1:10" x14ac:dyDescent="0.25">
      <c r="A1451" s="55" t="s">
        <v>918</v>
      </c>
    </row>
    <row r="1452" spans="1:10" x14ac:dyDescent="0.25">
      <c r="A1452" t="s">
        <v>919</v>
      </c>
    </row>
    <row r="1453" spans="1:10" ht="25.5" customHeight="1" thickBot="1" x14ac:dyDescent="0.3">
      <c r="A1453" s="37"/>
    </row>
    <row r="1454" spans="1:10" x14ac:dyDescent="0.25">
      <c r="B1454" s="213"/>
      <c r="C1454" s="214"/>
      <c r="D1454" s="214"/>
      <c r="E1454" s="214"/>
      <c r="F1454" s="215"/>
    </row>
    <row r="1455" spans="1:10" ht="13.8" thickBot="1" x14ac:dyDescent="0.3">
      <c r="B1455" s="216"/>
      <c r="C1455" s="217"/>
      <c r="D1455" s="217"/>
      <c r="E1455" s="217"/>
      <c r="F1455" s="218"/>
    </row>
    <row r="1459" spans="1:10" ht="25.5" customHeight="1" x14ac:dyDescent="0.25">
      <c r="A1459" s="36"/>
      <c r="B1459" s="36"/>
      <c r="C1459" s="36"/>
      <c r="D1459" s="36"/>
      <c r="E1459" s="36"/>
      <c r="G1459" s="38"/>
      <c r="H1459" s="227" t="s">
        <v>159</v>
      </c>
      <c r="I1459" s="228"/>
    </row>
    <row r="1460" spans="1:10" x14ac:dyDescent="0.25">
      <c r="A1460" t="s">
        <v>158</v>
      </c>
    </row>
    <row r="1462" spans="1:10" x14ac:dyDescent="0.25">
      <c r="E1462" s="219" t="str">
        <f>CONCATENATE("(",$D1433," vs ",$I1433,")")</f>
        <v>(F vs L)</v>
      </c>
      <c r="F1462" s="219"/>
    </row>
    <row r="1463" spans="1:10" ht="15.6" x14ac:dyDescent="0.3">
      <c r="A1463" s="33" t="s">
        <v>155</v>
      </c>
      <c r="J1463" s="82" t="s">
        <v>514</v>
      </c>
    </row>
    <row r="1464" spans="1:10" ht="12.75" customHeight="1" x14ac:dyDescent="0.3">
      <c r="A1464" s="33"/>
      <c r="G1464" t="str">
        <f ca="1">Team_Matches!$J$6</f>
        <v>[NCTTA Teams Template (v3.4).xlsx]</v>
      </c>
      <c r="J1464" s="55"/>
    </row>
    <row r="1465" spans="1:10" ht="12.75" customHeight="1" x14ac:dyDescent="0.3">
      <c r="A1465" s="33"/>
      <c r="G1465" s="229" t="str">
        <f>Team_Matches!$J1078</f>
        <v>Round 4, Match 4</v>
      </c>
      <c r="H1465" s="229"/>
      <c r="I1465" s="127" t="str">
        <f>Team_Matches!$M1078</f>
        <v/>
      </c>
      <c r="J1465" s="127"/>
    </row>
    <row r="1466" spans="1:10" ht="15.6" x14ac:dyDescent="0.3">
      <c r="A1466" s="33"/>
    </row>
    <row r="1467" spans="1:10" x14ac:dyDescent="0.25">
      <c r="C1467" s="7" t="s">
        <v>160</v>
      </c>
      <c r="D1467" s="39" t="str">
        <f>Team_Matches!$B1080</f>
        <v>F</v>
      </c>
      <c r="F1467" s="83" t="str">
        <f>CONCATENATE($D1467,"-",$I1467)</f>
        <v>F-L</v>
      </c>
      <c r="H1467" s="7" t="s">
        <v>160</v>
      </c>
      <c r="I1467" s="39" t="str">
        <f>Team_Matches!$K1080</f>
        <v>L</v>
      </c>
    </row>
    <row r="1468" spans="1:10" ht="25.5" customHeight="1" x14ac:dyDescent="0.25">
      <c r="A1468" s="34"/>
      <c r="B1468" s="223" t="str">
        <f>IF(VLOOKUP($D1467,Draw!$A$4:$B$27,2)&lt;&gt;0,VLOOKUP($D1467,Draw!$A$4:$B$27,2),"")</f>
        <v/>
      </c>
      <c r="C1468" s="223"/>
      <c r="D1468" s="223"/>
      <c r="E1468" s="224"/>
      <c r="F1468" s="35"/>
      <c r="G1468" s="220" t="str">
        <f>IF(VLOOKUP($I1467,Draw!$A$4:$B$27,2)&lt;&gt;0,VLOOKUP($I1467,Draw!$A$4:$B$27,2),"")</f>
        <v/>
      </c>
      <c r="H1468" s="220"/>
      <c r="I1468" s="220"/>
      <c r="J1468" s="221"/>
    </row>
    <row r="1469" spans="1:10" ht="25.5" customHeight="1" x14ac:dyDescent="0.25"/>
    <row r="1470" spans="1:10" ht="25.5" customHeight="1" x14ac:dyDescent="0.25"/>
    <row r="1471" spans="1:10" ht="24" customHeight="1" x14ac:dyDescent="0.25">
      <c r="A1471" s="9" t="s">
        <v>178</v>
      </c>
    </row>
    <row r="1472" spans="1:10" ht="24" customHeight="1" x14ac:dyDescent="0.25">
      <c r="A1472" s="9"/>
    </row>
    <row r="1473" spans="1:10" x14ac:dyDescent="0.25">
      <c r="A1473" s="9" t="s">
        <v>156</v>
      </c>
      <c r="G1473" s="226" t="s">
        <v>873</v>
      </c>
      <c r="H1473" s="226"/>
      <c r="I1473" s="226"/>
      <c r="J1473" s="226"/>
    </row>
    <row r="1474" spans="1:10" ht="24" customHeight="1" x14ac:dyDescent="0.4">
      <c r="A1474" s="37" t="str">
        <f>CONCATENATE($I1467,"1")</f>
        <v>L1</v>
      </c>
      <c r="B1474" s="222" t="str">
        <f>IF(VLOOKUP($A1474,Players!$A$2:$C$132,3)&lt;&gt;0,VLOOKUP($A1474,Players!$A$2:$C$132,3),"")</f>
        <v/>
      </c>
      <c r="C1474" s="222"/>
      <c r="D1474" s="222"/>
      <c r="E1474" s="222"/>
      <c r="F1474" s="222"/>
      <c r="G1474" s="225" t="str">
        <f>IF(VLOOKUP($D1467&amp;RIGHT($A1474,1),Players!$A$2:$D$132,3)&lt;&gt;0,VLOOKUP($D1467&amp;RIGHT($A1474,1),Players!$A$2:$D$132,3),"")</f>
        <v/>
      </c>
      <c r="H1474" s="225"/>
      <c r="I1474" s="225"/>
      <c r="J1474" s="168" t="str">
        <f>IF(VLOOKUP($D1467&amp;RIGHT($A1474,1),Players!$A$2:$D$132,3)&lt;&gt;0,"("&amp;VLOOKUP($D1467&amp;RIGHT($A1474,1),Players!$A$2:$D$132,4)&amp;")","")</f>
        <v/>
      </c>
    </row>
    <row r="1475" spans="1:10" ht="25.5" customHeight="1" x14ac:dyDescent="0.4">
      <c r="A1475" s="37" t="str">
        <f>CONCATENATE($I1467,"2")</f>
        <v>L2</v>
      </c>
      <c r="B1475" s="222" t="str">
        <f>IF(VLOOKUP($A1475,Players!$A$2:$C$132,3)&lt;&gt;0,VLOOKUP($A1475,Players!$A$2:$C$132,3),"")</f>
        <v/>
      </c>
      <c r="C1475" s="222"/>
      <c r="D1475" s="222"/>
      <c r="E1475" s="222"/>
      <c r="F1475" s="222"/>
      <c r="G1475" s="225" t="str">
        <f>IF(VLOOKUP($D1467&amp;RIGHT($A1475,1),Players!$A$2:$D$132,3)&lt;&gt;0,VLOOKUP($D1467&amp;RIGHT($A1475,1),Players!$A$2:$D$132,3),"")</f>
        <v/>
      </c>
      <c r="H1475" s="225"/>
      <c r="I1475" s="225"/>
      <c r="J1475" s="168" t="str">
        <f>IF(VLOOKUP($D1467&amp;RIGHT($A1475,1),Players!$A$2:$D$132,3)&lt;&gt;0,"("&amp;VLOOKUP($D1467&amp;RIGHT($A1475,1),Players!$A$2:$D$132,4)&amp;")","")</f>
        <v/>
      </c>
    </row>
    <row r="1476" spans="1:10" ht="25.5" customHeight="1" x14ac:dyDescent="0.4">
      <c r="A1476" s="37" t="str">
        <f>CONCATENATE($I1467,"3")</f>
        <v>L3</v>
      </c>
      <c r="B1476" s="222" t="str">
        <f>IF(VLOOKUP($A1476,Players!$A$2:$C$132,3)&lt;&gt;0,VLOOKUP($A1476,Players!$A$2:$C$132,3),"")</f>
        <v/>
      </c>
      <c r="C1476" s="222"/>
      <c r="D1476" s="222"/>
      <c r="E1476" s="222"/>
      <c r="F1476" s="222"/>
      <c r="G1476" s="225" t="str">
        <f>IF(VLOOKUP($D1467&amp;RIGHT($A1476,1),Players!$A$2:$D$132,3)&lt;&gt;0,VLOOKUP($D1467&amp;RIGHT($A1476,1),Players!$A$2:$D$132,3),"")</f>
        <v/>
      </c>
      <c r="H1476" s="225"/>
      <c r="I1476" s="225"/>
      <c r="J1476" s="168" t="str">
        <f>IF(VLOOKUP($D1467&amp;RIGHT($A1476,1),Players!$A$2:$D$132,3)&lt;&gt;0,"("&amp;VLOOKUP($D1467&amp;RIGHT($A1476,1),Players!$A$2:$D$132,4)&amp;")","")</f>
        <v/>
      </c>
    </row>
    <row r="1477" spans="1:10" ht="25.5" customHeight="1" x14ac:dyDescent="0.4">
      <c r="A1477" s="37" t="str">
        <f>CONCATENATE($I1467,"4")</f>
        <v>L4</v>
      </c>
      <c r="B1477" s="222" t="str">
        <f>IF(VLOOKUP($A1477,Players!$A$2:$C$132,3)&lt;&gt;0,VLOOKUP($A1477,Players!$A$2:$C$132,3),"")</f>
        <v/>
      </c>
      <c r="C1477" s="222"/>
      <c r="D1477" s="222"/>
      <c r="E1477" s="222"/>
      <c r="F1477" s="222"/>
      <c r="G1477" s="225" t="str">
        <f>IF(VLOOKUP($D1467&amp;RIGHT($A1477,1),Players!$A$2:$D$132,3)&lt;&gt;0,VLOOKUP($D1467&amp;RIGHT($A1477,1),Players!$A$2:$D$132,3),"")</f>
        <v/>
      </c>
      <c r="H1477" s="225"/>
      <c r="I1477" s="225"/>
      <c r="J1477" s="168" t="str">
        <f>IF(VLOOKUP($D1467&amp;RIGHT($A1477,1),Players!$A$2:$D$132,3)&lt;&gt;0,"("&amp;VLOOKUP($D1467&amp;RIGHT($A1477,1),Players!$A$2:$D$132,4)&amp;")","")</f>
        <v/>
      </c>
    </row>
    <row r="1478" spans="1:10" ht="25.5" customHeight="1" x14ac:dyDescent="0.4">
      <c r="A1478" s="37" t="str">
        <f>CONCATENATE($I1467,"5")</f>
        <v>L5</v>
      </c>
      <c r="B1478" s="222" t="str">
        <f>IF(VLOOKUP($A1478,Players!$A$2:$C$132,3)&lt;&gt;0,VLOOKUP($A1478,Players!$A$2:$C$132,3),"")</f>
        <v/>
      </c>
      <c r="C1478" s="222"/>
      <c r="D1478" s="222"/>
      <c r="E1478" s="222"/>
      <c r="F1478" s="222"/>
      <c r="G1478" s="225" t="str">
        <f>IF(VLOOKUP($D1467&amp;RIGHT($A1478,1),Players!$A$2:$D$132,3)&lt;&gt;0,VLOOKUP($D1467&amp;RIGHT($A1478,1),Players!$A$2:$D$132,3),"")</f>
        <v/>
      </c>
      <c r="H1478" s="225"/>
      <c r="I1478" s="225"/>
      <c r="J1478" s="168" t="str">
        <f>IF(VLOOKUP($D1467&amp;RIGHT($A1478,1),Players!$A$2:$D$132,3)&lt;&gt;0,"("&amp;VLOOKUP($D1467&amp;RIGHT($A1478,1),Players!$A$2:$D$132,4)&amp;")","")</f>
        <v/>
      </c>
    </row>
    <row r="1479" spans="1:10" ht="25.5" customHeight="1" x14ac:dyDescent="0.4">
      <c r="A1479" s="37" t="str">
        <f>CONCATENATE($I1467,"6")</f>
        <v>L6</v>
      </c>
      <c r="B1479" s="222" t="str">
        <f>IF(VLOOKUP($A1479,Players!$A$2:$C$132,3)&lt;&gt;0,VLOOKUP($A1479,Players!$A$2:$C$132,3),"")</f>
        <v/>
      </c>
      <c r="C1479" s="222"/>
      <c r="D1479" s="222"/>
      <c r="E1479" s="222"/>
      <c r="F1479" s="222"/>
      <c r="G1479" s="225" t="str">
        <f>IF(VLOOKUP($D1467&amp;RIGHT($A1479,1),Players!$A$2:$D$132,3)&lt;&gt;0,VLOOKUP($D1467&amp;RIGHT($A1479,1),Players!$A$2:$D$132,3),"")</f>
        <v/>
      </c>
      <c r="H1479" s="225"/>
      <c r="I1479" s="225"/>
      <c r="J1479" s="168" t="str">
        <f>IF(VLOOKUP($D1467&amp;RIGHT($A1479,1),Players!$A$2:$D$132,3)&lt;&gt;0,"("&amp;VLOOKUP($D1467&amp;RIGHT($A1479,1),Players!$A$2:$D$132,4)&amp;")","")</f>
        <v/>
      </c>
    </row>
    <row r="1480" spans="1:10" ht="25.5" customHeight="1" x14ac:dyDescent="0.4">
      <c r="A1480" s="37" t="str">
        <f>CONCATENATE($I1467,"7")</f>
        <v>L7</v>
      </c>
      <c r="B1480" s="222" t="str">
        <f>IF(VLOOKUP($A1480,Players!$A$2:$C$132,3)&lt;&gt;0,VLOOKUP($A1480,Players!$A$2:$C$132,3),"")</f>
        <v/>
      </c>
      <c r="C1480" s="222"/>
      <c r="D1480" s="222"/>
      <c r="E1480" s="222"/>
      <c r="F1480" s="222"/>
      <c r="G1480" s="225" t="str">
        <f>IF(VLOOKUP($D1467&amp;RIGHT($A1480,1),Players!$A$2:$D$132,3)&lt;&gt;0,VLOOKUP($D1467&amp;RIGHT($A1480,1),Players!$A$2:$D$132,3),"")</f>
        <v/>
      </c>
      <c r="H1480" s="225"/>
      <c r="I1480" s="225"/>
      <c r="J1480" s="168" t="str">
        <f>IF(VLOOKUP($D1467&amp;RIGHT($A1480,1),Players!$A$2:$D$132,3)&lt;&gt;0,"("&amp;VLOOKUP($D1467&amp;RIGHT($A1480,1),Players!$A$2:$D$132,4)&amp;")","")</f>
        <v/>
      </c>
    </row>
    <row r="1481" spans="1:10" ht="25.5" customHeight="1" x14ac:dyDescent="0.4">
      <c r="A1481" s="37" t="str">
        <f>CONCATENATE($I1467,"8")</f>
        <v>L8</v>
      </c>
      <c r="B1481" s="222" t="str">
        <f>IF(VLOOKUP($A1481,Players!$A$2:$C$132,3)&lt;&gt;0,VLOOKUP($A1481,Players!$A$2:$C$132,3),"")</f>
        <v/>
      </c>
      <c r="C1481" s="222"/>
      <c r="D1481" s="222"/>
      <c r="E1481" s="222"/>
      <c r="F1481" s="222"/>
      <c r="G1481" s="225" t="str">
        <f>IF(VLOOKUP($D1467&amp;RIGHT($A1481,1),Players!$A$2:$D$132,3)&lt;&gt;0,VLOOKUP($D1467&amp;RIGHT($A1481,1),Players!$A$2:$D$132,3),"")</f>
        <v/>
      </c>
      <c r="H1481" s="225"/>
      <c r="I1481" s="225"/>
      <c r="J1481" s="168" t="str">
        <f>IF(VLOOKUP($D1467&amp;RIGHT($A1481,1),Players!$A$2:$D$132,3)&lt;&gt;0,"("&amp;VLOOKUP($D1467&amp;RIGHT($A1481,1),Players!$A$2:$D$132,4)&amp;")","")</f>
        <v/>
      </c>
    </row>
    <row r="1482" spans="1:10" ht="25.5" customHeight="1" x14ac:dyDescent="0.25">
      <c r="A1482" s="37"/>
      <c r="B1482" s="7"/>
      <c r="C1482" s="7"/>
      <c r="D1482" s="7"/>
      <c r="E1482" s="7"/>
    </row>
    <row r="1483" spans="1:10" x14ac:dyDescent="0.25">
      <c r="A1483" s="9" t="s">
        <v>157</v>
      </c>
    </row>
    <row r="1484" spans="1:10" x14ac:dyDescent="0.25">
      <c r="A1484" t="s">
        <v>179</v>
      </c>
    </row>
    <row r="1485" spans="1:10" x14ac:dyDescent="0.25">
      <c r="A1485" s="55" t="s">
        <v>918</v>
      </c>
    </row>
    <row r="1486" spans="1:10" x14ac:dyDescent="0.25">
      <c r="A1486" t="s">
        <v>919</v>
      </c>
    </row>
    <row r="1487" spans="1:10" ht="25.5" customHeight="1" thickBot="1" x14ac:dyDescent="0.3">
      <c r="A1487" s="37"/>
    </row>
    <row r="1488" spans="1:10" x14ac:dyDescent="0.25">
      <c r="B1488" s="213"/>
      <c r="C1488" s="214"/>
      <c r="D1488" s="214"/>
      <c r="E1488" s="214"/>
      <c r="F1488" s="215"/>
    </row>
    <row r="1489" spans="1:10" ht="13.8" thickBot="1" x14ac:dyDescent="0.3">
      <c r="B1489" s="216"/>
      <c r="C1489" s="217"/>
      <c r="D1489" s="217"/>
      <c r="E1489" s="217"/>
      <c r="F1489" s="218"/>
    </row>
    <row r="1493" spans="1:10" ht="25.5" customHeight="1" x14ac:dyDescent="0.25">
      <c r="A1493" s="36"/>
      <c r="B1493" s="36"/>
      <c r="C1493" s="36"/>
      <c r="D1493" s="36"/>
      <c r="E1493" s="36"/>
      <c r="G1493" s="38"/>
      <c r="H1493" s="227" t="s">
        <v>159</v>
      </c>
      <c r="I1493" s="228"/>
    </row>
    <row r="1494" spans="1:10" x14ac:dyDescent="0.25">
      <c r="A1494" t="s">
        <v>158</v>
      </c>
    </row>
    <row r="1496" spans="1:10" x14ac:dyDescent="0.25">
      <c r="E1496" s="219" t="str">
        <f>CONCATENATE("(",$D1467," vs ",$I1467,")")</f>
        <v>(F vs L)</v>
      </c>
      <c r="F1496" s="219"/>
    </row>
    <row r="1497" spans="1:10" ht="15.6" x14ac:dyDescent="0.3">
      <c r="A1497" s="33" t="s">
        <v>155</v>
      </c>
      <c r="J1497" s="82" t="s">
        <v>515</v>
      </c>
    </row>
    <row r="1498" spans="1:10" ht="12.75" customHeight="1" x14ac:dyDescent="0.3">
      <c r="A1498" s="33"/>
      <c r="G1498" t="str">
        <f ca="1">Team_Matches!$J$6</f>
        <v>[NCTTA Teams Template (v3.4).xlsx]</v>
      </c>
      <c r="J1498" s="55"/>
    </row>
    <row r="1499" spans="1:10" ht="12.75" customHeight="1" x14ac:dyDescent="0.3">
      <c r="A1499" s="33"/>
      <c r="G1499" s="229" t="str">
        <f>Team_Matches!$J1129</f>
        <v>Round 4, Match 5</v>
      </c>
      <c r="H1499" s="229"/>
      <c r="I1499" s="127" t="str">
        <f>Team_Matches!$M1129</f>
        <v/>
      </c>
      <c r="J1499" s="127"/>
    </row>
    <row r="1500" spans="1:10" ht="15.6" x14ac:dyDescent="0.3">
      <c r="A1500" s="33"/>
    </row>
    <row r="1501" spans="1:10" x14ac:dyDescent="0.25">
      <c r="C1501" s="7" t="s">
        <v>160</v>
      </c>
      <c r="D1501" s="39" t="str">
        <f>Team_Matches!$B1131</f>
        <v>B</v>
      </c>
      <c r="F1501" s="83" t="str">
        <f>CONCATENATE($D1501,"-",$I1501)</f>
        <v>B-E</v>
      </c>
      <c r="H1501" s="7" t="s">
        <v>160</v>
      </c>
      <c r="I1501" s="39" t="str">
        <f>Team_Matches!$K1131</f>
        <v>E</v>
      </c>
    </row>
    <row r="1502" spans="1:10" ht="25.5" customHeight="1" x14ac:dyDescent="0.25">
      <c r="A1502" s="34"/>
      <c r="B1502" s="220" t="str">
        <f>IF(VLOOKUP($D1501,Draw!$A$4:$B$27,2)&lt;&gt;0,VLOOKUP($D1501,Draw!$A$4:$B$27,2),"")</f>
        <v/>
      </c>
      <c r="C1502" s="220"/>
      <c r="D1502" s="220"/>
      <c r="E1502" s="221"/>
      <c r="F1502" s="35"/>
      <c r="G1502" s="223" t="str">
        <f>IF(VLOOKUP($I1501,Draw!$A$4:$B$27,2)&lt;&gt;0,VLOOKUP($I1501,Draw!$A$4:$B$27,2),"")</f>
        <v/>
      </c>
      <c r="H1502" s="223"/>
      <c r="I1502" s="223"/>
      <c r="J1502" s="224"/>
    </row>
    <row r="1503" spans="1:10" ht="25.5" customHeight="1" x14ac:dyDescent="0.25"/>
    <row r="1504" spans="1:10" ht="25.5" customHeight="1" x14ac:dyDescent="0.25"/>
    <row r="1505" spans="1:10" ht="24" customHeight="1" x14ac:dyDescent="0.25">
      <c r="A1505" s="9" t="s">
        <v>178</v>
      </c>
    </row>
    <row r="1506" spans="1:10" ht="24" customHeight="1" x14ac:dyDescent="0.25">
      <c r="A1506" s="9"/>
    </row>
    <row r="1507" spans="1:10" x14ac:dyDescent="0.25">
      <c r="A1507" s="9" t="s">
        <v>156</v>
      </c>
      <c r="G1507" s="226" t="s">
        <v>873</v>
      </c>
      <c r="H1507" s="226"/>
      <c r="I1507" s="226"/>
      <c r="J1507" s="226"/>
    </row>
    <row r="1508" spans="1:10" ht="24" customHeight="1" x14ac:dyDescent="0.4">
      <c r="A1508" s="37" t="str">
        <f>CONCATENATE($D1501,"1")</f>
        <v>B1</v>
      </c>
      <c r="B1508" s="222" t="str">
        <f>IF(VLOOKUP($A1508,Players!$A$2:$C$132,3)&lt;&gt;0,VLOOKUP($A1508,Players!$A$2:$C$132,3),"")</f>
        <v/>
      </c>
      <c r="C1508" s="222"/>
      <c r="D1508" s="222"/>
      <c r="E1508" s="222"/>
      <c r="F1508" s="222"/>
      <c r="G1508" s="225" t="str">
        <f>IF(VLOOKUP($I1501&amp;RIGHT($A1508,1),Players!$A$2:$D$132,3)&lt;&gt;0,VLOOKUP($I1501&amp;RIGHT($A1508,1),Players!$A$2:$D$132,3),"")</f>
        <v/>
      </c>
      <c r="H1508" s="225"/>
      <c r="I1508" s="225"/>
      <c r="J1508" s="168" t="str">
        <f>IF(VLOOKUP($I1501&amp;RIGHT($A1508,1),Players!$A$2:$D$132,3)&lt;&gt;0,"("&amp;VLOOKUP($I1501&amp;RIGHT($A1508,1),Players!$A$2:$D$132,4)&amp;")","")</f>
        <v/>
      </c>
    </row>
    <row r="1509" spans="1:10" ht="25.5" customHeight="1" x14ac:dyDescent="0.4">
      <c r="A1509" s="37" t="str">
        <f>CONCATENATE($D1501,"2")</f>
        <v>B2</v>
      </c>
      <c r="B1509" s="222" t="str">
        <f>IF(VLOOKUP($A1509,Players!$A$2:$C$132,3)&lt;&gt;0,VLOOKUP($A1509,Players!$A$2:$C$132,3),"")</f>
        <v/>
      </c>
      <c r="C1509" s="222"/>
      <c r="D1509" s="222"/>
      <c r="E1509" s="222"/>
      <c r="F1509" s="222"/>
      <c r="G1509" s="225" t="str">
        <f>IF(VLOOKUP($I1501&amp;RIGHT($A1509,1),Players!$A$2:$D$132,3)&lt;&gt;0,VLOOKUP($I1501&amp;RIGHT($A1509,1),Players!$A$2:$D$132,3),"")</f>
        <v/>
      </c>
      <c r="H1509" s="225"/>
      <c r="I1509" s="225"/>
      <c r="J1509" s="168" t="str">
        <f>IF(VLOOKUP($I1501&amp;RIGHT($A1509,1),Players!$A$2:$D$132,3)&lt;&gt;0,"("&amp;VLOOKUP($I1501&amp;RIGHT($A1509,1),Players!$A$2:$D$132,4)&amp;")","")</f>
        <v/>
      </c>
    </row>
    <row r="1510" spans="1:10" ht="25.5" customHeight="1" x14ac:dyDescent="0.4">
      <c r="A1510" s="37" t="str">
        <f>CONCATENATE($D1501,"3")</f>
        <v>B3</v>
      </c>
      <c r="B1510" s="222" t="str">
        <f>IF(VLOOKUP($A1510,Players!$A$2:$C$132,3)&lt;&gt;0,VLOOKUP($A1510,Players!$A$2:$C$132,3),"")</f>
        <v/>
      </c>
      <c r="C1510" s="222"/>
      <c r="D1510" s="222"/>
      <c r="E1510" s="222"/>
      <c r="F1510" s="222"/>
      <c r="G1510" s="225" t="str">
        <f>IF(VLOOKUP($I1501&amp;RIGHT($A1510,1),Players!$A$2:$D$132,3)&lt;&gt;0,VLOOKUP($I1501&amp;RIGHT($A1510,1),Players!$A$2:$D$132,3),"")</f>
        <v/>
      </c>
      <c r="H1510" s="225"/>
      <c r="I1510" s="225"/>
      <c r="J1510" s="168" t="str">
        <f>IF(VLOOKUP($I1501&amp;RIGHT($A1510,1),Players!$A$2:$D$132,3)&lt;&gt;0,"("&amp;VLOOKUP($I1501&amp;RIGHT($A1510,1),Players!$A$2:$D$132,4)&amp;")","")</f>
        <v/>
      </c>
    </row>
    <row r="1511" spans="1:10" ht="25.5" customHeight="1" x14ac:dyDescent="0.4">
      <c r="A1511" s="37" t="str">
        <f>CONCATENATE($D1501,"4")</f>
        <v>B4</v>
      </c>
      <c r="B1511" s="222" t="str">
        <f>IF(VLOOKUP($A1511,Players!$A$2:$C$132,3)&lt;&gt;0,VLOOKUP($A1511,Players!$A$2:$C$132,3),"")</f>
        <v/>
      </c>
      <c r="C1511" s="222"/>
      <c r="D1511" s="222"/>
      <c r="E1511" s="222"/>
      <c r="F1511" s="222"/>
      <c r="G1511" s="225" t="str">
        <f>IF(VLOOKUP($I1501&amp;RIGHT($A1511,1),Players!$A$2:$D$132,3)&lt;&gt;0,VLOOKUP($I1501&amp;RIGHT($A1511,1),Players!$A$2:$D$132,3),"")</f>
        <v/>
      </c>
      <c r="H1511" s="225"/>
      <c r="I1511" s="225"/>
      <c r="J1511" s="168" t="str">
        <f>IF(VLOOKUP($I1501&amp;RIGHT($A1511,1),Players!$A$2:$D$132,3)&lt;&gt;0,"("&amp;VLOOKUP($I1501&amp;RIGHT($A1511,1),Players!$A$2:$D$132,4)&amp;")","")</f>
        <v/>
      </c>
    </row>
    <row r="1512" spans="1:10" ht="25.5" customHeight="1" x14ac:dyDescent="0.4">
      <c r="A1512" s="37" t="str">
        <f>CONCATENATE($D1501,"5")</f>
        <v>B5</v>
      </c>
      <c r="B1512" s="222" t="str">
        <f>IF(VLOOKUP($A1512,Players!$A$2:$C$132,3)&lt;&gt;0,VLOOKUP($A1512,Players!$A$2:$C$132,3),"")</f>
        <v/>
      </c>
      <c r="C1512" s="222"/>
      <c r="D1512" s="222"/>
      <c r="E1512" s="222"/>
      <c r="F1512" s="222"/>
      <c r="G1512" s="225" t="str">
        <f>IF(VLOOKUP($I1501&amp;RIGHT($A1512,1),Players!$A$2:$D$132,3)&lt;&gt;0,VLOOKUP($I1501&amp;RIGHT($A1512,1),Players!$A$2:$D$132,3),"")</f>
        <v/>
      </c>
      <c r="H1512" s="225"/>
      <c r="I1512" s="225"/>
      <c r="J1512" s="168" t="str">
        <f>IF(VLOOKUP($I1501&amp;RIGHT($A1512,1),Players!$A$2:$D$132,3)&lt;&gt;0,"("&amp;VLOOKUP($I1501&amp;RIGHT($A1512,1),Players!$A$2:$D$132,4)&amp;")","")</f>
        <v/>
      </c>
    </row>
    <row r="1513" spans="1:10" ht="25.5" customHeight="1" x14ac:dyDescent="0.4">
      <c r="A1513" s="37" t="str">
        <f>CONCATENATE($D1501,"6")</f>
        <v>B6</v>
      </c>
      <c r="B1513" s="222" t="str">
        <f>IF(VLOOKUP($A1513,Players!$A$2:$C$132,3)&lt;&gt;0,VLOOKUP($A1513,Players!$A$2:$C$132,3),"")</f>
        <v/>
      </c>
      <c r="C1513" s="222"/>
      <c r="D1513" s="222"/>
      <c r="E1513" s="222"/>
      <c r="F1513" s="222"/>
      <c r="G1513" s="225" t="str">
        <f>IF(VLOOKUP($I1501&amp;RIGHT($A1513,1),Players!$A$2:$D$132,3)&lt;&gt;0,VLOOKUP($I1501&amp;RIGHT($A1513,1),Players!$A$2:$D$132,3),"")</f>
        <v/>
      </c>
      <c r="H1513" s="225"/>
      <c r="I1513" s="225"/>
      <c r="J1513" s="168" t="str">
        <f>IF(VLOOKUP($I1501&amp;RIGHT($A1513,1),Players!$A$2:$D$132,3)&lt;&gt;0,"("&amp;VLOOKUP($I1501&amp;RIGHT($A1513,1),Players!$A$2:$D$132,4)&amp;")","")</f>
        <v/>
      </c>
    </row>
    <row r="1514" spans="1:10" ht="25.5" customHeight="1" x14ac:dyDescent="0.4">
      <c r="A1514" s="37" t="str">
        <f>CONCATENATE($D1501,"7")</f>
        <v>B7</v>
      </c>
      <c r="B1514" s="222" t="str">
        <f>IF(VLOOKUP($A1514,Players!$A$2:$C$132,3)&lt;&gt;0,VLOOKUP($A1514,Players!$A$2:$C$132,3),"")</f>
        <v/>
      </c>
      <c r="C1514" s="222"/>
      <c r="D1514" s="222"/>
      <c r="E1514" s="222"/>
      <c r="F1514" s="222"/>
      <c r="G1514" s="225" t="str">
        <f>IF(VLOOKUP($I1501&amp;RIGHT($A1514,1),Players!$A$2:$D$132,3)&lt;&gt;0,VLOOKUP($I1501&amp;RIGHT($A1514,1),Players!$A$2:$D$132,3),"")</f>
        <v/>
      </c>
      <c r="H1514" s="225"/>
      <c r="I1514" s="225"/>
      <c r="J1514" s="168" t="str">
        <f>IF(VLOOKUP($I1501&amp;RIGHT($A1514,1),Players!$A$2:$D$132,3)&lt;&gt;0,"("&amp;VLOOKUP($I1501&amp;RIGHT($A1514,1),Players!$A$2:$D$132,4)&amp;")","")</f>
        <v/>
      </c>
    </row>
    <row r="1515" spans="1:10" ht="25.5" customHeight="1" x14ac:dyDescent="0.4">
      <c r="A1515" s="37" t="str">
        <f>CONCATENATE($D1501,"8")</f>
        <v>B8</v>
      </c>
      <c r="B1515" s="222" t="str">
        <f>IF(VLOOKUP($A1515,Players!$A$2:$C$132,3)&lt;&gt;0,VLOOKUP($A1515,Players!$A$2:$C$132,3),"")</f>
        <v/>
      </c>
      <c r="C1515" s="222"/>
      <c r="D1515" s="222"/>
      <c r="E1515" s="222"/>
      <c r="F1515" s="222"/>
      <c r="G1515" s="225" t="str">
        <f>IF(VLOOKUP($I1501&amp;RIGHT($A1515,1),Players!$A$2:$D$132,3)&lt;&gt;0,VLOOKUP($I1501&amp;RIGHT($A1515,1),Players!$A$2:$D$132,3),"")</f>
        <v/>
      </c>
      <c r="H1515" s="225"/>
      <c r="I1515" s="225"/>
      <c r="J1515" s="168" t="str">
        <f>IF(VLOOKUP($I1501&amp;RIGHT($A1515,1),Players!$A$2:$D$132,3)&lt;&gt;0,"("&amp;VLOOKUP($I1501&amp;RIGHT($A1515,1),Players!$A$2:$D$132,4)&amp;")","")</f>
        <v/>
      </c>
    </row>
    <row r="1516" spans="1:10" ht="25.5" customHeight="1" x14ac:dyDescent="0.25">
      <c r="A1516" s="37"/>
      <c r="B1516" s="7"/>
      <c r="C1516" s="7"/>
      <c r="D1516" s="7"/>
      <c r="E1516" s="7"/>
    </row>
    <row r="1517" spans="1:10" x14ac:dyDescent="0.25">
      <c r="A1517" s="9" t="s">
        <v>157</v>
      </c>
    </row>
    <row r="1518" spans="1:10" x14ac:dyDescent="0.25">
      <c r="A1518" t="s">
        <v>179</v>
      </c>
    </row>
    <row r="1519" spans="1:10" x14ac:dyDescent="0.25">
      <c r="A1519" s="55" t="s">
        <v>918</v>
      </c>
    </row>
    <row r="1520" spans="1:10" x14ac:dyDescent="0.25">
      <c r="A1520" t="s">
        <v>919</v>
      </c>
    </row>
    <row r="1521" spans="1:10" ht="25.5" customHeight="1" thickBot="1" x14ac:dyDescent="0.3">
      <c r="A1521" s="37"/>
    </row>
    <row r="1522" spans="1:10" x14ac:dyDescent="0.25">
      <c r="B1522" s="213"/>
      <c r="C1522" s="214"/>
      <c r="D1522" s="214"/>
      <c r="E1522" s="214"/>
      <c r="F1522" s="215"/>
    </row>
    <row r="1523" spans="1:10" ht="13.8" thickBot="1" x14ac:dyDescent="0.3">
      <c r="B1523" s="216"/>
      <c r="C1523" s="217"/>
      <c r="D1523" s="217"/>
      <c r="E1523" s="217"/>
      <c r="F1523" s="218"/>
    </row>
    <row r="1527" spans="1:10" ht="25.5" customHeight="1" x14ac:dyDescent="0.25">
      <c r="A1527" s="36"/>
      <c r="B1527" s="36"/>
      <c r="C1527" s="36"/>
      <c r="D1527" s="36"/>
      <c r="E1527" s="36"/>
      <c r="G1527" s="38"/>
      <c r="H1527" s="227" t="s">
        <v>159</v>
      </c>
      <c r="I1527" s="228"/>
    </row>
    <row r="1528" spans="1:10" x14ac:dyDescent="0.25">
      <c r="A1528" t="s">
        <v>158</v>
      </c>
    </row>
    <row r="1530" spans="1:10" x14ac:dyDescent="0.25">
      <c r="E1530" s="219" t="str">
        <f>CONCATENATE("(",$D1501," vs ",$I1501,")")</f>
        <v>(B vs E)</v>
      </c>
      <c r="F1530" s="219"/>
    </row>
    <row r="1531" spans="1:10" ht="15.6" x14ac:dyDescent="0.3">
      <c r="A1531" s="33" t="s">
        <v>155</v>
      </c>
      <c r="J1531" s="82" t="s">
        <v>516</v>
      </c>
    </row>
    <row r="1532" spans="1:10" ht="12.75" customHeight="1" x14ac:dyDescent="0.3">
      <c r="A1532" s="33"/>
      <c r="G1532" t="str">
        <f ca="1">Team_Matches!$J$6</f>
        <v>[NCTTA Teams Template (v3.4).xlsx]</v>
      </c>
      <c r="J1532" s="55"/>
    </row>
    <row r="1533" spans="1:10" ht="12.75" customHeight="1" x14ac:dyDescent="0.3">
      <c r="A1533" s="33"/>
      <c r="G1533" s="229" t="str">
        <f>Team_Matches!$J1129</f>
        <v>Round 4, Match 5</v>
      </c>
      <c r="H1533" s="229"/>
      <c r="I1533" s="127" t="str">
        <f>Team_Matches!$M1129</f>
        <v/>
      </c>
      <c r="J1533" s="127"/>
    </row>
    <row r="1534" spans="1:10" ht="15.6" x14ac:dyDescent="0.3">
      <c r="A1534" s="33"/>
    </row>
    <row r="1535" spans="1:10" x14ac:dyDescent="0.25">
      <c r="C1535" s="7" t="s">
        <v>160</v>
      </c>
      <c r="D1535" s="39" t="str">
        <f>Team_Matches!$B1131</f>
        <v>B</v>
      </c>
      <c r="F1535" s="83" t="str">
        <f>CONCATENATE($D1535,"-",$I1535)</f>
        <v>B-E</v>
      </c>
      <c r="H1535" s="7" t="s">
        <v>160</v>
      </c>
      <c r="I1535" s="39" t="str">
        <f>Team_Matches!$K1131</f>
        <v>E</v>
      </c>
    </row>
    <row r="1536" spans="1:10" ht="25.5" customHeight="1" x14ac:dyDescent="0.25">
      <c r="A1536" s="34"/>
      <c r="B1536" s="223" t="str">
        <f>IF(VLOOKUP($D1535,Draw!$A$4:$B$27,2)&lt;&gt;0,VLOOKUP($D1535,Draw!$A$4:$B$27,2),"")</f>
        <v/>
      </c>
      <c r="C1536" s="223"/>
      <c r="D1536" s="223"/>
      <c r="E1536" s="224"/>
      <c r="F1536" s="35"/>
      <c r="G1536" s="220" t="str">
        <f>IF(VLOOKUP($I1535,Draw!$A$4:$B$27,2)&lt;&gt;0,VLOOKUP($I1535,Draw!$A$4:$B$27,2),"")</f>
        <v/>
      </c>
      <c r="H1536" s="220"/>
      <c r="I1536" s="220"/>
      <c r="J1536" s="221"/>
    </row>
    <row r="1537" spans="1:10" ht="25.5" customHeight="1" x14ac:dyDescent="0.25"/>
    <row r="1538" spans="1:10" ht="25.5" customHeight="1" x14ac:dyDescent="0.25"/>
    <row r="1539" spans="1:10" ht="24" customHeight="1" x14ac:dyDescent="0.25">
      <c r="A1539" s="9" t="s">
        <v>178</v>
      </c>
    </row>
    <row r="1540" spans="1:10" ht="24" customHeight="1" x14ac:dyDescent="0.25">
      <c r="A1540" s="9"/>
    </row>
    <row r="1541" spans="1:10" x14ac:dyDescent="0.25">
      <c r="A1541" s="9" t="s">
        <v>156</v>
      </c>
      <c r="G1541" s="226" t="s">
        <v>873</v>
      </c>
      <c r="H1541" s="226"/>
      <c r="I1541" s="226"/>
      <c r="J1541" s="226"/>
    </row>
    <row r="1542" spans="1:10" ht="24" customHeight="1" x14ac:dyDescent="0.4">
      <c r="A1542" s="37" t="str">
        <f>CONCATENATE($I1535,"1")</f>
        <v>E1</v>
      </c>
      <c r="B1542" s="222" t="str">
        <f>IF(VLOOKUP($A1542,Players!$A$2:$C$132,3)&lt;&gt;0,VLOOKUP($A1542,Players!$A$2:$C$132,3),"")</f>
        <v/>
      </c>
      <c r="C1542" s="222"/>
      <c r="D1542" s="222"/>
      <c r="E1542" s="222"/>
      <c r="F1542" s="222"/>
      <c r="G1542" s="225" t="str">
        <f>IF(VLOOKUP($D1535&amp;RIGHT($A1542,1),Players!$A$2:$D$132,3)&lt;&gt;0,VLOOKUP($D1535&amp;RIGHT($A1542,1),Players!$A$2:$D$132,3),"")</f>
        <v/>
      </c>
      <c r="H1542" s="225"/>
      <c r="I1542" s="225"/>
      <c r="J1542" s="168" t="str">
        <f>IF(VLOOKUP($D1535&amp;RIGHT($A1542,1),Players!$A$2:$D$132,3)&lt;&gt;0,"("&amp;VLOOKUP($D1535&amp;RIGHT($A1542,1),Players!$A$2:$D$132,4)&amp;")","")</f>
        <v/>
      </c>
    </row>
    <row r="1543" spans="1:10" ht="25.5" customHeight="1" x14ac:dyDescent="0.4">
      <c r="A1543" s="37" t="str">
        <f>CONCATENATE($I1535,"2")</f>
        <v>E2</v>
      </c>
      <c r="B1543" s="222" t="str">
        <f>IF(VLOOKUP($A1543,Players!$A$2:$C$132,3)&lt;&gt;0,VLOOKUP($A1543,Players!$A$2:$C$132,3),"")</f>
        <v/>
      </c>
      <c r="C1543" s="222"/>
      <c r="D1543" s="222"/>
      <c r="E1543" s="222"/>
      <c r="F1543" s="222"/>
      <c r="G1543" s="225" t="str">
        <f>IF(VLOOKUP($D1535&amp;RIGHT($A1543,1),Players!$A$2:$D$132,3)&lt;&gt;0,VLOOKUP($D1535&amp;RIGHT($A1543,1),Players!$A$2:$D$132,3),"")</f>
        <v/>
      </c>
      <c r="H1543" s="225"/>
      <c r="I1543" s="225"/>
      <c r="J1543" s="168" t="str">
        <f>IF(VLOOKUP($D1535&amp;RIGHT($A1543,1),Players!$A$2:$D$132,3)&lt;&gt;0,"("&amp;VLOOKUP($D1535&amp;RIGHT($A1543,1),Players!$A$2:$D$132,4)&amp;")","")</f>
        <v/>
      </c>
    </row>
    <row r="1544" spans="1:10" ht="25.5" customHeight="1" x14ac:dyDescent="0.4">
      <c r="A1544" s="37" t="str">
        <f>CONCATENATE($I1535,"3")</f>
        <v>E3</v>
      </c>
      <c r="B1544" s="222" t="str">
        <f>IF(VLOOKUP($A1544,Players!$A$2:$C$132,3)&lt;&gt;0,VLOOKUP($A1544,Players!$A$2:$C$132,3),"")</f>
        <v/>
      </c>
      <c r="C1544" s="222"/>
      <c r="D1544" s="222"/>
      <c r="E1544" s="222"/>
      <c r="F1544" s="222"/>
      <c r="G1544" s="225" t="str">
        <f>IF(VLOOKUP($D1535&amp;RIGHT($A1544,1),Players!$A$2:$D$132,3)&lt;&gt;0,VLOOKUP($D1535&amp;RIGHT($A1544,1),Players!$A$2:$D$132,3),"")</f>
        <v/>
      </c>
      <c r="H1544" s="225"/>
      <c r="I1544" s="225"/>
      <c r="J1544" s="168" t="str">
        <f>IF(VLOOKUP($D1535&amp;RIGHT($A1544,1),Players!$A$2:$D$132,3)&lt;&gt;0,"("&amp;VLOOKUP($D1535&amp;RIGHT($A1544,1),Players!$A$2:$D$132,4)&amp;")","")</f>
        <v/>
      </c>
    </row>
    <row r="1545" spans="1:10" ht="25.5" customHeight="1" x14ac:dyDescent="0.4">
      <c r="A1545" s="37" t="str">
        <f>CONCATENATE($I1535,"4")</f>
        <v>E4</v>
      </c>
      <c r="B1545" s="222" t="str">
        <f>IF(VLOOKUP($A1545,Players!$A$2:$C$132,3)&lt;&gt;0,VLOOKUP($A1545,Players!$A$2:$C$132,3),"")</f>
        <v/>
      </c>
      <c r="C1545" s="222"/>
      <c r="D1545" s="222"/>
      <c r="E1545" s="222"/>
      <c r="F1545" s="222"/>
      <c r="G1545" s="225" t="str">
        <f>IF(VLOOKUP($D1535&amp;RIGHT($A1545,1),Players!$A$2:$D$132,3)&lt;&gt;0,VLOOKUP($D1535&amp;RIGHT($A1545,1),Players!$A$2:$D$132,3),"")</f>
        <v/>
      </c>
      <c r="H1545" s="225"/>
      <c r="I1545" s="225"/>
      <c r="J1545" s="168" t="str">
        <f>IF(VLOOKUP($D1535&amp;RIGHT($A1545,1),Players!$A$2:$D$132,3)&lt;&gt;0,"("&amp;VLOOKUP($D1535&amp;RIGHT($A1545,1),Players!$A$2:$D$132,4)&amp;")","")</f>
        <v/>
      </c>
    </row>
    <row r="1546" spans="1:10" ht="25.5" customHeight="1" x14ac:dyDescent="0.4">
      <c r="A1546" s="37" t="str">
        <f>CONCATENATE($I1535,"5")</f>
        <v>E5</v>
      </c>
      <c r="B1546" s="222" t="str">
        <f>IF(VLOOKUP($A1546,Players!$A$2:$C$132,3)&lt;&gt;0,VLOOKUP($A1546,Players!$A$2:$C$132,3),"")</f>
        <v/>
      </c>
      <c r="C1546" s="222"/>
      <c r="D1546" s="222"/>
      <c r="E1546" s="222"/>
      <c r="F1546" s="222"/>
      <c r="G1546" s="225" t="str">
        <f>IF(VLOOKUP($D1535&amp;RIGHT($A1546,1),Players!$A$2:$D$132,3)&lt;&gt;0,VLOOKUP($D1535&amp;RIGHT($A1546,1),Players!$A$2:$D$132,3),"")</f>
        <v/>
      </c>
      <c r="H1546" s="225"/>
      <c r="I1546" s="225"/>
      <c r="J1546" s="168" t="str">
        <f>IF(VLOOKUP($D1535&amp;RIGHT($A1546,1),Players!$A$2:$D$132,3)&lt;&gt;0,"("&amp;VLOOKUP($D1535&amp;RIGHT($A1546,1),Players!$A$2:$D$132,4)&amp;")","")</f>
        <v/>
      </c>
    </row>
    <row r="1547" spans="1:10" ht="25.5" customHeight="1" x14ac:dyDescent="0.4">
      <c r="A1547" s="37" t="str">
        <f>CONCATENATE($I1535,"6")</f>
        <v>E6</v>
      </c>
      <c r="B1547" s="222" t="str">
        <f>IF(VLOOKUP($A1547,Players!$A$2:$C$132,3)&lt;&gt;0,VLOOKUP($A1547,Players!$A$2:$C$132,3),"")</f>
        <v/>
      </c>
      <c r="C1547" s="222"/>
      <c r="D1547" s="222"/>
      <c r="E1547" s="222"/>
      <c r="F1547" s="222"/>
      <c r="G1547" s="225" t="str">
        <f>IF(VLOOKUP($D1535&amp;RIGHT($A1547,1),Players!$A$2:$D$132,3)&lt;&gt;0,VLOOKUP($D1535&amp;RIGHT($A1547,1),Players!$A$2:$D$132,3),"")</f>
        <v/>
      </c>
      <c r="H1547" s="225"/>
      <c r="I1547" s="225"/>
      <c r="J1547" s="168" t="str">
        <f>IF(VLOOKUP($D1535&amp;RIGHT($A1547,1),Players!$A$2:$D$132,3)&lt;&gt;0,"("&amp;VLOOKUP($D1535&amp;RIGHT($A1547,1),Players!$A$2:$D$132,4)&amp;")","")</f>
        <v/>
      </c>
    </row>
    <row r="1548" spans="1:10" ht="25.5" customHeight="1" x14ac:dyDescent="0.4">
      <c r="A1548" s="37" t="str">
        <f>CONCATENATE($I1535,"7")</f>
        <v>E7</v>
      </c>
      <c r="B1548" s="222" t="str">
        <f>IF(VLOOKUP($A1548,Players!$A$2:$C$132,3)&lt;&gt;0,VLOOKUP($A1548,Players!$A$2:$C$132,3),"")</f>
        <v/>
      </c>
      <c r="C1548" s="222"/>
      <c r="D1548" s="222"/>
      <c r="E1548" s="222"/>
      <c r="F1548" s="222"/>
      <c r="G1548" s="225" t="str">
        <f>IF(VLOOKUP($D1535&amp;RIGHT($A1548,1),Players!$A$2:$D$132,3)&lt;&gt;0,VLOOKUP($D1535&amp;RIGHT($A1548,1),Players!$A$2:$D$132,3),"")</f>
        <v/>
      </c>
      <c r="H1548" s="225"/>
      <c r="I1548" s="225"/>
      <c r="J1548" s="168" t="str">
        <f>IF(VLOOKUP($D1535&amp;RIGHT($A1548,1),Players!$A$2:$D$132,3)&lt;&gt;0,"("&amp;VLOOKUP($D1535&amp;RIGHT($A1548,1),Players!$A$2:$D$132,4)&amp;")","")</f>
        <v/>
      </c>
    </row>
    <row r="1549" spans="1:10" ht="25.5" customHeight="1" x14ac:dyDescent="0.4">
      <c r="A1549" s="37" t="str">
        <f>CONCATENATE($I1535,"8")</f>
        <v>E8</v>
      </c>
      <c r="B1549" s="222" t="str">
        <f>IF(VLOOKUP($A1549,Players!$A$2:$C$132,3)&lt;&gt;0,VLOOKUP($A1549,Players!$A$2:$C$132,3),"")</f>
        <v/>
      </c>
      <c r="C1549" s="222"/>
      <c r="D1549" s="222"/>
      <c r="E1549" s="222"/>
      <c r="F1549" s="222"/>
      <c r="G1549" s="225" t="str">
        <f>IF(VLOOKUP($D1535&amp;RIGHT($A1549,1),Players!$A$2:$D$132,3)&lt;&gt;0,VLOOKUP($D1535&amp;RIGHT($A1549,1),Players!$A$2:$D$132,3),"")</f>
        <v/>
      </c>
      <c r="H1549" s="225"/>
      <c r="I1549" s="225"/>
      <c r="J1549" s="168" t="str">
        <f>IF(VLOOKUP($D1535&amp;RIGHT($A1549,1),Players!$A$2:$D$132,3)&lt;&gt;0,"("&amp;VLOOKUP($D1535&amp;RIGHT($A1549,1),Players!$A$2:$D$132,4)&amp;")","")</f>
        <v/>
      </c>
    </row>
    <row r="1550" spans="1:10" ht="25.5" customHeight="1" x14ac:dyDescent="0.25">
      <c r="A1550" s="37"/>
      <c r="B1550" s="7"/>
      <c r="C1550" s="7"/>
      <c r="D1550" s="7"/>
      <c r="E1550" s="7"/>
    </row>
    <row r="1551" spans="1:10" x14ac:dyDescent="0.25">
      <c r="A1551" s="9" t="s">
        <v>157</v>
      </c>
    </row>
    <row r="1552" spans="1:10" x14ac:dyDescent="0.25">
      <c r="A1552" t="s">
        <v>179</v>
      </c>
    </row>
    <row r="1553" spans="1:10" x14ac:dyDescent="0.25">
      <c r="A1553" s="55" t="s">
        <v>918</v>
      </c>
    </row>
    <row r="1554" spans="1:10" x14ac:dyDescent="0.25">
      <c r="A1554" t="s">
        <v>919</v>
      </c>
    </row>
    <row r="1555" spans="1:10" ht="25.5" customHeight="1" thickBot="1" x14ac:dyDescent="0.3">
      <c r="A1555" s="37"/>
    </row>
    <row r="1556" spans="1:10" x14ac:dyDescent="0.25">
      <c r="B1556" s="213"/>
      <c r="C1556" s="214"/>
      <c r="D1556" s="214"/>
      <c r="E1556" s="214"/>
      <c r="F1556" s="215"/>
    </row>
    <row r="1557" spans="1:10" ht="13.8" thickBot="1" x14ac:dyDescent="0.3">
      <c r="B1557" s="216"/>
      <c r="C1557" s="217"/>
      <c r="D1557" s="217"/>
      <c r="E1557" s="217"/>
      <c r="F1557" s="218"/>
    </row>
    <row r="1561" spans="1:10" ht="25.5" customHeight="1" x14ac:dyDescent="0.25">
      <c r="A1561" s="36"/>
      <c r="B1561" s="36"/>
      <c r="C1561" s="36"/>
      <c r="D1561" s="36"/>
      <c r="E1561" s="36"/>
      <c r="G1561" s="38"/>
      <c r="H1561" s="227" t="s">
        <v>159</v>
      </c>
      <c r="I1561" s="228"/>
    </row>
    <row r="1562" spans="1:10" x14ac:dyDescent="0.25">
      <c r="A1562" t="s">
        <v>158</v>
      </c>
    </row>
    <row r="1564" spans="1:10" x14ac:dyDescent="0.25">
      <c r="E1564" s="219" t="str">
        <f>CONCATENATE("(",$D1535," vs ",$I1535,")")</f>
        <v>(B vs E)</v>
      </c>
      <c r="F1564" s="219"/>
    </row>
    <row r="1565" spans="1:10" ht="15.6" x14ac:dyDescent="0.3">
      <c r="A1565" s="33" t="s">
        <v>155</v>
      </c>
      <c r="J1565" s="82" t="s">
        <v>517</v>
      </c>
    </row>
    <row r="1566" spans="1:10" ht="12.75" customHeight="1" x14ac:dyDescent="0.3">
      <c r="A1566" s="33"/>
      <c r="G1566" t="str">
        <f ca="1">Team_Matches!$J$6</f>
        <v>[NCTTA Teams Template (v3.4).xlsx]</v>
      </c>
      <c r="J1566" s="55"/>
    </row>
    <row r="1567" spans="1:10" ht="12.75" customHeight="1" x14ac:dyDescent="0.3">
      <c r="A1567" s="33"/>
      <c r="G1567" s="229" t="str">
        <f>Team_Matches!$J1180</f>
        <v>Round 4, Match 6</v>
      </c>
      <c r="H1567" s="229"/>
      <c r="I1567" s="127" t="str">
        <f>Team_Matches!$M1180</f>
        <v/>
      </c>
      <c r="J1567" s="127"/>
    </row>
    <row r="1568" spans="1:10" ht="15.6" x14ac:dyDescent="0.3">
      <c r="A1568" s="33"/>
    </row>
    <row r="1569" spans="1:10" x14ac:dyDescent="0.25">
      <c r="C1569" s="7" t="s">
        <v>160</v>
      </c>
      <c r="D1569" s="3" t="str">
        <f>Team_Matches!$B1182</f>
        <v>C</v>
      </c>
      <c r="F1569" s="83" t="str">
        <f>CONCATENATE($D1569,"-",$I1569)</f>
        <v>C-D</v>
      </c>
      <c r="H1569" s="7" t="s">
        <v>160</v>
      </c>
      <c r="I1569" s="39" t="str">
        <f>Team_Matches!$K1182</f>
        <v>D</v>
      </c>
    </row>
    <row r="1570" spans="1:10" ht="25.5" customHeight="1" x14ac:dyDescent="0.25">
      <c r="A1570" s="34"/>
      <c r="B1570" s="220" t="str">
        <f>IF(VLOOKUP($D1569,Draw!$A$4:$B$27,2)&lt;&gt;0,VLOOKUP($D1569,Draw!$A$4:$B$27,2),"")</f>
        <v/>
      </c>
      <c r="C1570" s="220"/>
      <c r="D1570" s="220"/>
      <c r="E1570" s="221"/>
      <c r="F1570" s="35"/>
      <c r="G1570" s="223" t="str">
        <f>IF(VLOOKUP($I1569,Draw!$A$4:$B$27,2)&lt;&gt;0,VLOOKUP($I1569,Draw!$A$4:$B$27,2),"")</f>
        <v/>
      </c>
      <c r="H1570" s="223"/>
      <c r="I1570" s="223"/>
      <c r="J1570" s="224"/>
    </row>
    <row r="1571" spans="1:10" ht="25.5" customHeight="1" x14ac:dyDescent="0.25"/>
    <row r="1572" spans="1:10" ht="25.5" customHeight="1" x14ac:dyDescent="0.25"/>
    <row r="1573" spans="1:10" ht="24" customHeight="1" x14ac:dyDescent="0.25">
      <c r="A1573" s="9" t="s">
        <v>178</v>
      </c>
    </row>
    <row r="1574" spans="1:10" ht="24" customHeight="1" x14ac:dyDescent="0.25">
      <c r="A1574" s="9"/>
    </row>
    <row r="1575" spans="1:10" x14ac:dyDescent="0.25">
      <c r="A1575" s="9" t="s">
        <v>156</v>
      </c>
      <c r="G1575" s="226" t="s">
        <v>873</v>
      </c>
      <c r="H1575" s="226"/>
      <c r="I1575" s="226"/>
      <c r="J1575" s="226"/>
    </row>
    <row r="1576" spans="1:10" ht="24" customHeight="1" x14ac:dyDescent="0.4">
      <c r="A1576" s="37" t="str">
        <f>CONCATENATE($D1569,"1")</f>
        <v>C1</v>
      </c>
      <c r="B1576" s="222" t="str">
        <f>IF(VLOOKUP($A1576,Players!$A$2:$C$132,3)&lt;&gt;0,VLOOKUP($A1576,Players!$A$2:$C$132,3),"")</f>
        <v/>
      </c>
      <c r="C1576" s="222"/>
      <c r="D1576" s="222"/>
      <c r="E1576" s="222"/>
      <c r="F1576" s="222"/>
      <c r="G1576" s="225" t="str">
        <f>IF(VLOOKUP($I1569&amp;RIGHT($A1576,1),Players!$A$2:$D$132,3)&lt;&gt;0,VLOOKUP($I1569&amp;RIGHT($A1576,1),Players!$A$2:$D$132,3),"")</f>
        <v/>
      </c>
      <c r="H1576" s="225"/>
      <c r="I1576" s="225"/>
      <c r="J1576" s="168" t="str">
        <f>IF(VLOOKUP($I1569&amp;RIGHT($A1576,1),Players!$A$2:$D$132,3)&lt;&gt;0,"("&amp;VLOOKUP($I1569&amp;RIGHT($A1576,1),Players!$A$2:$D$132,4)&amp;")","")</f>
        <v/>
      </c>
    </row>
    <row r="1577" spans="1:10" ht="25.5" customHeight="1" x14ac:dyDescent="0.4">
      <c r="A1577" s="37" t="str">
        <f>CONCATENATE($D1569,"2")</f>
        <v>C2</v>
      </c>
      <c r="B1577" s="222" t="str">
        <f>IF(VLOOKUP($A1577,Players!$A$2:$C$132,3)&lt;&gt;0,VLOOKUP($A1577,Players!$A$2:$C$132,3),"")</f>
        <v/>
      </c>
      <c r="C1577" s="222"/>
      <c r="D1577" s="222"/>
      <c r="E1577" s="222"/>
      <c r="F1577" s="222"/>
      <c r="G1577" s="225" t="str">
        <f>IF(VLOOKUP($I1569&amp;RIGHT($A1577,1),Players!$A$2:$D$132,3)&lt;&gt;0,VLOOKUP($I1569&amp;RIGHT($A1577,1),Players!$A$2:$D$132,3),"")</f>
        <v/>
      </c>
      <c r="H1577" s="225"/>
      <c r="I1577" s="225"/>
      <c r="J1577" s="168" t="str">
        <f>IF(VLOOKUP($I1569&amp;RIGHT($A1577,1),Players!$A$2:$D$132,3)&lt;&gt;0,"("&amp;VLOOKUP($I1569&amp;RIGHT($A1577,1),Players!$A$2:$D$132,4)&amp;")","")</f>
        <v/>
      </c>
    </row>
    <row r="1578" spans="1:10" ht="25.5" customHeight="1" x14ac:dyDescent="0.4">
      <c r="A1578" s="37" t="str">
        <f>CONCATENATE($D1569,"3")</f>
        <v>C3</v>
      </c>
      <c r="B1578" s="222" t="str">
        <f>IF(VLOOKUP($A1578,Players!$A$2:$C$132,3)&lt;&gt;0,VLOOKUP($A1578,Players!$A$2:$C$132,3),"")</f>
        <v/>
      </c>
      <c r="C1578" s="222"/>
      <c r="D1578" s="222"/>
      <c r="E1578" s="222"/>
      <c r="F1578" s="222"/>
      <c r="G1578" s="225" t="str">
        <f>IF(VLOOKUP($I1569&amp;RIGHT($A1578,1),Players!$A$2:$D$132,3)&lt;&gt;0,VLOOKUP($I1569&amp;RIGHT($A1578,1),Players!$A$2:$D$132,3),"")</f>
        <v/>
      </c>
      <c r="H1578" s="225"/>
      <c r="I1578" s="225"/>
      <c r="J1578" s="168" t="str">
        <f>IF(VLOOKUP($I1569&amp;RIGHT($A1578,1),Players!$A$2:$D$132,3)&lt;&gt;0,"("&amp;VLOOKUP($I1569&amp;RIGHT($A1578,1),Players!$A$2:$D$132,4)&amp;")","")</f>
        <v/>
      </c>
    </row>
    <row r="1579" spans="1:10" ht="25.5" customHeight="1" x14ac:dyDescent="0.4">
      <c r="A1579" s="37" t="str">
        <f>CONCATENATE($D1569,"4")</f>
        <v>C4</v>
      </c>
      <c r="B1579" s="222" t="str">
        <f>IF(VLOOKUP($A1579,Players!$A$2:$C$132,3)&lt;&gt;0,VLOOKUP($A1579,Players!$A$2:$C$132,3),"")</f>
        <v/>
      </c>
      <c r="C1579" s="222"/>
      <c r="D1579" s="222"/>
      <c r="E1579" s="222"/>
      <c r="F1579" s="222"/>
      <c r="G1579" s="225" t="str">
        <f>IF(VLOOKUP($I1569&amp;RIGHT($A1579,1),Players!$A$2:$D$132,3)&lt;&gt;0,VLOOKUP($I1569&amp;RIGHT($A1579,1),Players!$A$2:$D$132,3),"")</f>
        <v/>
      </c>
      <c r="H1579" s="225"/>
      <c r="I1579" s="225"/>
      <c r="J1579" s="168" t="str">
        <f>IF(VLOOKUP($I1569&amp;RIGHT($A1579,1),Players!$A$2:$D$132,3)&lt;&gt;0,"("&amp;VLOOKUP($I1569&amp;RIGHT($A1579,1),Players!$A$2:$D$132,4)&amp;")","")</f>
        <v/>
      </c>
    </row>
    <row r="1580" spans="1:10" ht="25.5" customHeight="1" x14ac:dyDescent="0.4">
      <c r="A1580" s="37" t="str">
        <f>CONCATENATE($D1569,"5")</f>
        <v>C5</v>
      </c>
      <c r="B1580" s="222" t="str">
        <f>IF(VLOOKUP($A1580,Players!$A$2:$C$132,3)&lt;&gt;0,VLOOKUP($A1580,Players!$A$2:$C$132,3),"")</f>
        <v/>
      </c>
      <c r="C1580" s="222"/>
      <c r="D1580" s="222"/>
      <c r="E1580" s="222"/>
      <c r="F1580" s="222"/>
      <c r="G1580" s="225" t="str">
        <f>IF(VLOOKUP($I1569&amp;RIGHT($A1580,1),Players!$A$2:$D$132,3)&lt;&gt;0,VLOOKUP($I1569&amp;RIGHT($A1580,1),Players!$A$2:$D$132,3),"")</f>
        <v/>
      </c>
      <c r="H1580" s="225"/>
      <c r="I1580" s="225"/>
      <c r="J1580" s="168" t="str">
        <f>IF(VLOOKUP($I1569&amp;RIGHT($A1580,1),Players!$A$2:$D$132,3)&lt;&gt;0,"("&amp;VLOOKUP($I1569&amp;RIGHT($A1580,1),Players!$A$2:$D$132,4)&amp;")","")</f>
        <v/>
      </c>
    </row>
    <row r="1581" spans="1:10" ht="25.5" customHeight="1" x14ac:dyDescent="0.4">
      <c r="A1581" s="37" t="str">
        <f>CONCATENATE($D1569,"6")</f>
        <v>C6</v>
      </c>
      <c r="B1581" s="222" t="str">
        <f>IF(VLOOKUP($A1581,Players!$A$2:$C$132,3)&lt;&gt;0,VLOOKUP($A1581,Players!$A$2:$C$132,3),"")</f>
        <v/>
      </c>
      <c r="C1581" s="222"/>
      <c r="D1581" s="222"/>
      <c r="E1581" s="222"/>
      <c r="F1581" s="222"/>
      <c r="G1581" s="225" t="str">
        <f>IF(VLOOKUP($I1569&amp;RIGHT($A1581,1),Players!$A$2:$D$132,3)&lt;&gt;0,VLOOKUP($I1569&amp;RIGHT($A1581,1),Players!$A$2:$D$132,3),"")</f>
        <v/>
      </c>
      <c r="H1581" s="225"/>
      <c r="I1581" s="225"/>
      <c r="J1581" s="168" t="str">
        <f>IF(VLOOKUP($I1569&amp;RIGHT($A1581,1),Players!$A$2:$D$132,3)&lt;&gt;0,"("&amp;VLOOKUP($I1569&amp;RIGHT($A1581,1),Players!$A$2:$D$132,4)&amp;")","")</f>
        <v/>
      </c>
    </row>
    <row r="1582" spans="1:10" ht="25.5" customHeight="1" x14ac:dyDescent="0.4">
      <c r="A1582" s="37" t="str">
        <f>CONCATENATE($D1569,"7")</f>
        <v>C7</v>
      </c>
      <c r="B1582" s="222" t="str">
        <f>IF(VLOOKUP($A1582,Players!$A$2:$C$132,3)&lt;&gt;0,VLOOKUP($A1582,Players!$A$2:$C$132,3),"")</f>
        <v/>
      </c>
      <c r="C1582" s="222"/>
      <c r="D1582" s="222"/>
      <c r="E1582" s="222"/>
      <c r="F1582" s="222"/>
      <c r="G1582" s="225" t="str">
        <f>IF(VLOOKUP($I1569&amp;RIGHT($A1582,1),Players!$A$2:$D$132,3)&lt;&gt;0,VLOOKUP($I1569&amp;RIGHT($A1582,1),Players!$A$2:$D$132,3),"")</f>
        <v/>
      </c>
      <c r="H1582" s="225"/>
      <c r="I1582" s="225"/>
      <c r="J1582" s="168" t="str">
        <f>IF(VLOOKUP($I1569&amp;RIGHT($A1582,1),Players!$A$2:$D$132,3)&lt;&gt;0,"("&amp;VLOOKUP($I1569&amp;RIGHT($A1582,1),Players!$A$2:$D$132,4)&amp;")","")</f>
        <v/>
      </c>
    </row>
    <row r="1583" spans="1:10" ht="25.5" customHeight="1" x14ac:dyDescent="0.4">
      <c r="A1583" s="37" t="str">
        <f>CONCATENATE($D1569,"8")</f>
        <v>C8</v>
      </c>
      <c r="B1583" s="222" t="str">
        <f>IF(VLOOKUP($A1583,Players!$A$2:$C$132,3)&lt;&gt;0,VLOOKUP($A1583,Players!$A$2:$C$132,3),"")</f>
        <v/>
      </c>
      <c r="C1583" s="222"/>
      <c r="D1583" s="222"/>
      <c r="E1583" s="222"/>
      <c r="F1583" s="222"/>
      <c r="G1583" s="225" t="str">
        <f>IF(VLOOKUP($I1569&amp;RIGHT($A1583,1),Players!$A$2:$D$132,3)&lt;&gt;0,VLOOKUP($I1569&amp;RIGHT($A1583,1),Players!$A$2:$D$132,3),"")</f>
        <v/>
      </c>
      <c r="H1583" s="225"/>
      <c r="I1583" s="225"/>
      <c r="J1583" s="168" t="str">
        <f>IF(VLOOKUP($I1569&amp;RIGHT($A1583,1),Players!$A$2:$D$132,3)&lt;&gt;0,"("&amp;VLOOKUP($I1569&amp;RIGHT($A1583,1),Players!$A$2:$D$132,4)&amp;")","")</f>
        <v/>
      </c>
    </row>
    <row r="1584" spans="1:10" ht="25.5" customHeight="1" x14ac:dyDescent="0.25">
      <c r="A1584" s="37"/>
      <c r="B1584" s="7"/>
      <c r="C1584" s="7"/>
      <c r="D1584" s="7"/>
      <c r="E1584" s="7"/>
    </row>
    <row r="1585" spans="1:10" x14ac:dyDescent="0.25">
      <c r="A1585" s="9" t="s">
        <v>157</v>
      </c>
    </row>
    <row r="1586" spans="1:10" x14ac:dyDescent="0.25">
      <c r="A1586" t="s">
        <v>179</v>
      </c>
    </row>
    <row r="1587" spans="1:10" x14ac:dyDescent="0.25">
      <c r="A1587" s="55" t="s">
        <v>918</v>
      </c>
    </row>
    <row r="1588" spans="1:10" x14ac:dyDescent="0.25">
      <c r="A1588" t="s">
        <v>919</v>
      </c>
    </row>
    <row r="1589" spans="1:10" ht="25.5" customHeight="1" thickBot="1" x14ac:dyDescent="0.3">
      <c r="A1589" s="37"/>
    </row>
    <row r="1590" spans="1:10" x14ac:dyDescent="0.25">
      <c r="B1590" s="213"/>
      <c r="C1590" s="214"/>
      <c r="D1590" s="214"/>
      <c r="E1590" s="214"/>
      <c r="F1590" s="215"/>
    </row>
    <row r="1591" spans="1:10" ht="13.8" thickBot="1" x14ac:dyDescent="0.3">
      <c r="B1591" s="216"/>
      <c r="C1591" s="217"/>
      <c r="D1591" s="217"/>
      <c r="E1591" s="217"/>
      <c r="F1591" s="218"/>
    </row>
    <row r="1595" spans="1:10" ht="25.5" customHeight="1" x14ac:dyDescent="0.25">
      <c r="A1595" s="36"/>
      <c r="B1595" s="36"/>
      <c r="C1595" s="36"/>
      <c r="D1595" s="36"/>
      <c r="E1595" s="36"/>
      <c r="G1595" s="38"/>
      <c r="H1595" s="227" t="s">
        <v>159</v>
      </c>
      <c r="I1595" s="228"/>
    </row>
    <row r="1596" spans="1:10" x14ac:dyDescent="0.25">
      <c r="A1596" t="s">
        <v>158</v>
      </c>
    </row>
    <row r="1598" spans="1:10" x14ac:dyDescent="0.25">
      <c r="E1598" s="219" t="str">
        <f>CONCATENATE("(",$D1569," vs ",$I1569,")")</f>
        <v>(C vs D)</v>
      </c>
      <c r="F1598" s="219"/>
    </row>
    <row r="1599" spans="1:10" ht="15.6" x14ac:dyDescent="0.3">
      <c r="A1599" s="33" t="s">
        <v>155</v>
      </c>
      <c r="J1599" s="82" t="s">
        <v>518</v>
      </c>
    </row>
    <row r="1600" spans="1:10" ht="12.75" customHeight="1" x14ac:dyDescent="0.3">
      <c r="A1600" s="33"/>
      <c r="G1600" t="str">
        <f ca="1">Team_Matches!$J$6</f>
        <v>[NCTTA Teams Template (v3.4).xlsx]</v>
      </c>
      <c r="J1600" s="55"/>
    </row>
    <row r="1601" spans="1:10" ht="12.75" customHeight="1" x14ac:dyDescent="0.3">
      <c r="A1601" s="33"/>
      <c r="G1601" s="229" t="str">
        <f>Team_Matches!$J1180</f>
        <v>Round 4, Match 6</v>
      </c>
      <c r="H1601" s="229"/>
      <c r="I1601" s="127" t="str">
        <f>Team_Matches!$M1180</f>
        <v/>
      </c>
      <c r="J1601" s="127"/>
    </row>
    <row r="1602" spans="1:10" ht="15.6" x14ac:dyDescent="0.3">
      <c r="A1602" s="33"/>
    </row>
    <row r="1603" spans="1:10" x14ac:dyDescent="0.25">
      <c r="C1603" s="7" t="s">
        <v>160</v>
      </c>
      <c r="D1603" s="3" t="str">
        <f>Team_Matches!$B1182</f>
        <v>C</v>
      </c>
      <c r="F1603" s="83" t="str">
        <f>CONCATENATE($D1603,"-",$I1603)</f>
        <v>C-D</v>
      </c>
      <c r="H1603" s="7" t="s">
        <v>160</v>
      </c>
      <c r="I1603" s="39" t="str">
        <f>Team_Matches!$K1182</f>
        <v>D</v>
      </c>
    </row>
    <row r="1604" spans="1:10" ht="25.5" customHeight="1" x14ac:dyDescent="0.25">
      <c r="A1604" s="34"/>
      <c r="B1604" s="223" t="str">
        <f>IF(VLOOKUP($D1603,Draw!$A$4:$B$27,2)&lt;&gt;0,VLOOKUP($D1603,Draw!$A$4:$B$27,2),"")</f>
        <v/>
      </c>
      <c r="C1604" s="223"/>
      <c r="D1604" s="223"/>
      <c r="E1604" s="224"/>
      <c r="F1604" s="35"/>
      <c r="G1604" s="220" t="str">
        <f>IF(VLOOKUP($I1603,Draw!$A$4:$B$27,2)&lt;&gt;0,VLOOKUP($I1603,Draw!$A$4:$B$27,2),"")</f>
        <v/>
      </c>
      <c r="H1604" s="220"/>
      <c r="I1604" s="220"/>
      <c r="J1604" s="221"/>
    </row>
    <row r="1605" spans="1:10" ht="25.5" customHeight="1" x14ac:dyDescent="0.25"/>
    <row r="1606" spans="1:10" ht="25.5" customHeight="1" x14ac:dyDescent="0.25"/>
    <row r="1607" spans="1:10" ht="24" customHeight="1" x14ac:dyDescent="0.25">
      <c r="A1607" s="9" t="s">
        <v>178</v>
      </c>
    </row>
    <row r="1608" spans="1:10" ht="24" customHeight="1" x14ac:dyDescent="0.25">
      <c r="A1608" s="9"/>
    </row>
    <row r="1609" spans="1:10" x14ac:dyDescent="0.25">
      <c r="A1609" s="9" t="s">
        <v>156</v>
      </c>
      <c r="G1609" s="226" t="s">
        <v>873</v>
      </c>
      <c r="H1609" s="226"/>
      <c r="I1609" s="226"/>
      <c r="J1609" s="226"/>
    </row>
    <row r="1610" spans="1:10" ht="24" customHeight="1" x14ac:dyDescent="0.4">
      <c r="A1610" s="37" t="str">
        <f>CONCATENATE($I1603,"1")</f>
        <v>D1</v>
      </c>
      <c r="B1610" s="222" t="str">
        <f>IF(VLOOKUP($A1610,Players!$A$2:$C$132,3)&lt;&gt;0,VLOOKUP($A1610,Players!$A$2:$C$132,3),"")</f>
        <v/>
      </c>
      <c r="C1610" s="222"/>
      <c r="D1610" s="222"/>
      <c r="E1610" s="222"/>
      <c r="F1610" s="222"/>
      <c r="G1610" s="225" t="str">
        <f>IF(VLOOKUP($D1603&amp;RIGHT($A1610,1),Players!$A$2:$D$132,3)&lt;&gt;0,VLOOKUP($D1603&amp;RIGHT($A1610,1),Players!$A$2:$D$132,3),"")</f>
        <v/>
      </c>
      <c r="H1610" s="225"/>
      <c r="I1610" s="225"/>
      <c r="J1610" s="168" t="str">
        <f>IF(VLOOKUP($D1603&amp;RIGHT($A1610,1),Players!$A$2:$D$132,3)&lt;&gt;0,"("&amp;VLOOKUP($D1603&amp;RIGHT($A1610,1),Players!$A$2:$D$132,4)&amp;")","")</f>
        <v/>
      </c>
    </row>
    <row r="1611" spans="1:10" ht="25.5" customHeight="1" x14ac:dyDescent="0.4">
      <c r="A1611" s="37" t="str">
        <f>CONCATENATE($I1603,"2")</f>
        <v>D2</v>
      </c>
      <c r="B1611" s="222" t="str">
        <f>IF(VLOOKUP($A1611,Players!$A$2:$C$132,3)&lt;&gt;0,VLOOKUP($A1611,Players!$A$2:$C$132,3),"")</f>
        <v/>
      </c>
      <c r="C1611" s="222"/>
      <c r="D1611" s="222"/>
      <c r="E1611" s="222"/>
      <c r="F1611" s="222"/>
      <c r="G1611" s="225" t="str">
        <f>IF(VLOOKUP($D1603&amp;RIGHT($A1611,1),Players!$A$2:$D$132,3)&lt;&gt;0,VLOOKUP($D1603&amp;RIGHT($A1611,1),Players!$A$2:$D$132,3),"")</f>
        <v/>
      </c>
      <c r="H1611" s="225"/>
      <c r="I1611" s="225"/>
      <c r="J1611" s="168" t="str">
        <f>IF(VLOOKUP($D1603&amp;RIGHT($A1611,1),Players!$A$2:$D$132,3)&lt;&gt;0,"("&amp;VLOOKUP($D1603&amp;RIGHT($A1611,1),Players!$A$2:$D$132,4)&amp;")","")</f>
        <v/>
      </c>
    </row>
    <row r="1612" spans="1:10" ht="25.5" customHeight="1" x14ac:dyDescent="0.4">
      <c r="A1612" s="37" t="str">
        <f>CONCATENATE($I1603,"3")</f>
        <v>D3</v>
      </c>
      <c r="B1612" s="222" t="str">
        <f>IF(VLOOKUP($A1612,Players!$A$2:$C$132,3)&lt;&gt;0,VLOOKUP($A1612,Players!$A$2:$C$132,3),"")</f>
        <v/>
      </c>
      <c r="C1612" s="222"/>
      <c r="D1612" s="222"/>
      <c r="E1612" s="222"/>
      <c r="F1612" s="222"/>
      <c r="G1612" s="225" t="str">
        <f>IF(VLOOKUP($D1603&amp;RIGHT($A1612,1),Players!$A$2:$D$132,3)&lt;&gt;0,VLOOKUP($D1603&amp;RIGHT($A1612,1),Players!$A$2:$D$132,3),"")</f>
        <v/>
      </c>
      <c r="H1612" s="225"/>
      <c r="I1612" s="225"/>
      <c r="J1612" s="168" t="str">
        <f>IF(VLOOKUP($D1603&amp;RIGHT($A1612,1),Players!$A$2:$D$132,3)&lt;&gt;0,"("&amp;VLOOKUP($D1603&amp;RIGHT($A1612,1),Players!$A$2:$D$132,4)&amp;")","")</f>
        <v/>
      </c>
    </row>
    <row r="1613" spans="1:10" ht="25.5" customHeight="1" x14ac:dyDescent="0.4">
      <c r="A1613" s="37" t="str">
        <f>CONCATENATE($I1603,"4")</f>
        <v>D4</v>
      </c>
      <c r="B1613" s="222" t="str">
        <f>IF(VLOOKUP($A1613,Players!$A$2:$C$132,3)&lt;&gt;0,VLOOKUP($A1613,Players!$A$2:$C$132,3),"")</f>
        <v/>
      </c>
      <c r="C1613" s="222"/>
      <c r="D1613" s="222"/>
      <c r="E1613" s="222"/>
      <c r="F1613" s="222"/>
      <c r="G1613" s="225" t="str">
        <f>IF(VLOOKUP($D1603&amp;RIGHT($A1613,1),Players!$A$2:$D$132,3)&lt;&gt;0,VLOOKUP($D1603&amp;RIGHT($A1613,1),Players!$A$2:$D$132,3),"")</f>
        <v/>
      </c>
      <c r="H1613" s="225"/>
      <c r="I1613" s="225"/>
      <c r="J1613" s="168" t="str">
        <f>IF(VLOOKUP($D1603&amp;RIGHT($A1613,1),Players!$A$2:$D$132,3)&lt;&gt;0,"("&amp;VLOOKUP($D1603&amp;RIGHT($A1613,1),Players!$A$2:$D$132,4)&amp;")","")</f>
        <v/>
      </c>
    </row>
    <row r="1614" spans="1:10" ht="25.5" customHeight="1" x14ac:dyDescent="0.4">
      <c r="A1614" s="37" t="str">
        <f>CONCATENATE($I1603,"5")</f>
        <v>D5</v>
      </c>
      <c r="B1614" s="222" t="str">
        <f>IF(VLOOKUP($A1614,Players!$A$2:$C$132,3)&lt;&gt;0,VLOOKUP($A1614,Players!$A$2:$C$132,3),"")</f>
        <v/>
      </c>
      <c r="C1614" s="222"/>
      <c r="D1614" s="222"/>
      <c r="E1614" s="222"/>
      <c r="F1614" s="222"/>
      <c r="G1614" s="225" t="str">
        <f>IF(VLOOKUP($D1603&amp;RIGHT($A1614,1),Players!$A$2:$D$132,3)&lt;&gt;0,VLOOKUP($D1603&amp;RIGHT($A1614,1),Players!$A$2:$D$132,3),"")</f>
        <v/>
      </c>
      <c r="H1614" s="225"/>
      <c r="I1614" s="225"/>
      <c r="J1614" s="168" t="str">
        <f>IF(VLOOKUP($D1603&amp;RIGHT($A1614,1),Players!$A$2:$D$132,3)&lt;&gt;0,"("&amp;VLOOKUP($D1603&amp;RIGHT($A1614,1),Players!$A$2:$D$132,4)&amp;")","")</f>
        <v/>
      </c>
    </row>
    <row r="1615" spans="1:10" ht="25.5" customHeight="1" x14ac:dyDescent="0.4">
      <c r="A1615" s="37" t="str">
        <f>CONCATENATE($I1603,"6")</f>
        <v>D6</v>
      </c>
      <c r="B1615" s="222" t="str">
        <f>IF(VLOOKUP($A1615,Players!$A$2:$C$132,3)&lt;&gt;0,VLOOKUP($A1615,Players!$A$2:$C$132,3),"")</f>
        <v/>
      </c>
      <c r="C1615" s="222"/>
      <c r="D1615" s="222"/>
      <c r="E1615" s="222"/>
      <c r="F1615" s="222"/>
      <c r="G1615" s="225" t="str">
        <f>IF(VLOOKUP($D1603&amp;RIGHT($A1615,1),Players!$A$2:$D$132,3)&lt;&gt;0,VLOOKUP($D1603&amp;RIGHT($A1615,1),Players!$A$2:$D$132,3),"")</f>
        <v/>
      </c>
      <c r="H1615" s="225"/>
      <c r="I1615" s="225"/>
      <c r="J1615" s="168" t="str">
        <f>IF(VLOOKUP($D1603&amp;RIGHT($A1615,1),Players!$A$2:$D$132,3)&lt;&gt;0,"("&amp;VLOOKUP($D1603&amp;RIGHT($A1615,1),Players!$A$2:$D$132,4)&amp;")","")</f>
        <v/>
      </c>
    </row>
    <row r="1616" spans="1:10" ht="25.5" customHeight="1" x14ac:dyDescent="0.4">
      <c r="A1616" s="37" t="str">
        <f>CONCATENATE($I1603,"7")</f>
        <v>D7</v>
      </c>
      <c r="B1616" s="222" t="str">
        <f>IF(VLOOKUP($A1616,Players!$A$2:$C$132,3)&lt;&gt;0,VLOOKUP($A1616,Players!$A$2:$C$132,3),"")</f>
        <v/>
      </c>
      <c r="C1616" s="222"/>
      <c r="D1616" s="222"/>
      <c r="E1616" s="222"/>
      <c r="F1616" s="222"/>
      <c r="G1616" s="225" t="str">
        <f>IF(VLOOKUP($D1603&amp;RIGHT($A1616,1),Players!$A$2:$D$132,3)&lt;&gt;0,VLOOKUP($D1603&amp;RIGHT($A1616,1),Players!$A$2:$D$132,3),"")</f>
        <v/>
      </c>
      <c r="H1616" s="225"/>
      <c r="I1616" s="225"/>
      <c r="J1616" s="168" t="str">
        <f>IF(VLOOKUP($D1603&amp;RIGHT($A1616,1),Players!$A$2:$D$132,3)&lt;&gt;0,"("&amp;VLOOKUP($D1603&amp;RIGHT($A1616,1),Players!$A$2:$D$132,4)&amp;")","")</f>
        <v/>
      </c>
    </row>
    <row r="1617" spans="1:10" ht="25.5" customHeight="1" x14ac:dyDescent="0.4">
      <c r="A1617" s="37" t="str">
        <f>CONCATENATE($I1603,"8")</f>
        <v>D8</v>
      </c>
      <c r="B1617" s="222" t="str">
        <f>IF(VLOOKUP($A1617,Players!$A$2:$C$132,3)&lt;&gt;0,VLOOKUP($A1617,Players!$A$2:$C$132,3),"")</f>
        <v/>
      </c>
      <c r="C1617" s="222"/>
      <c r="D1617" s="222"/>
      <c r="E1617" s="222"/>
      <c r="F1617" s="222"/>
      <c r="G1617" s="225" t="str">
        <f>IF(VLOOKUP($D1603&amp;RIGHT($A1617,1),Players!$A$2:$D$132,3)&lt;&gt;0,VLOOKUP($D1603&amp;RIGHT($A1617,1),Players!$A$2:$D$132,3),"")</f>
        <v/>
      </c>
      <c r="H1617" s="225"/>
      <c r="I1617" s="225"/>
      <c r="J1617" s="168" t="str">
        <f>IF(VLOOKUP($D1603&amp;RIGHT($A1617,1),Players!$A$2:$D$132,3)&lt;&gt;0,"("&amp;VLOOKUP($D1603&amp;RIGHT($A1617,1),Players!$A$2:$D$132,4)&amp;")","")</f>
        <v/>
      </c>
    </row>
    <row r="1618" spans="1:10" ht="25.5" customHeight="1" x14ac:dyDescent="0.25">
      <c r="A1618" s="37"/>
      <c r="B1618" s="7"/>
      <c r="C1618" s="7"/>
      <c r="D1618" s="7"/>
      <c r="E1618" s="7"/>
    </row>
    <row r="1619" spans="1:10" x14ac:dyDescent="0.25">
      <c r="A1619" s="9" t="s">
        <v>157</v>
      </c>
    </row>
    <row r="1620" spans="1:10" x14ac:dyDescent="0.25">
      <c r="A1620" t="s">
        <v>179</v>
      </c>
    </row>
    <row r="1621" spans="1:10" x14ac:dyDescent="0.25">
      <c r="A1621" s="55" t="s">
        <v>918</v>
      </c>
    </row>
    <row r="1622" spans="1:10" x14ac:dyDescent="0.25">
      <c r="A1622" t="s">
        <v>919</v>
      </c>
    </row>
    <row r="1623" spans="1:10" ht="25.5" customHeight="1" thickBot="1" x14ac:dyDescent="0.3">
      <c r="A1623" s="37"/>
    </row>
    <row r="1624" spans="1:10" x14ac:dyDescent="0.25">
      <c r="B1624" s="213"/>
      <c r="C1624" s="214"/>
      <c r="D1624" s="214"/>
      <c r="E1624" s="214"/>
      <c r="F1624" s="215"/>
    </row>
    <row r="1625" spans="1:10" ht="13.8" thickBot="1" x14ac:dyDescent="0.3">
      <c r="B1625" s="216"/>
      <c r="C1625" s="217"/>
      <c r="D1625" s="217"/>
      <c r="E1625" s="217"/>
      <c r="F1625" s="218"/>
    </row>
    <row r="1629" spans="1:10" ht="25.5" customHeight="1" x14ac:dyDescent="0.25">
      <c r="A1629" s="36"/>
      <c r="B1629" s="36"/>
      <c r="C1629" s="36"/>
      <c r="D1629" s="36"/>
      <c r="E1629" s="36"/>
      <c r="G1629" s="38"/>
      <c r="H1629" s="227" t="s">
        <v>159</v>
      </c>
      <c r="I1629" s="228"/>
    </row>
    <row r="1630" spans="1:10" x14ac:dyDescent="0.25">
      <c r="A1630" t="s">
        <v>158</v>
      </c>
    </row>
    <row r="1632" spans="1:10" x14ac:dyDescent="0.25">
      <c r="E1632" s="219" t="str">
        <f>CONCATENATE("(",$D1603," vs ",$I1603,")")</f>
        <v>(C vs D)</v>
      </c>
      <c r="F1632" s="219"/>
    </row>
    <row r="1633" spans="1:10" ht="15.6" x14ac:dyDescent="0.3">
      <c r="A1633" s="33" t="s">
        <v>155</v>
      </c>
      <c r="J1633" s="82" t="s">
        <v>520</v>
      </c>
    </row>
    <row r="1634" spans="1:10" ht="12.75" customHeight="1" x14ac:dyDescent="0.3">
      <c r="A1634" s="33"/>
      <c r="G1634" t="str">
        <f ca="1">Team_Matches!$J$6</f>
        <v>[NCTTA Teams Template (v3.4).xlsx]</v>
      </c>
      <c r="J1634" s="55"/>
    </row>
    <row r="1635" spans="1:10" ht="12.75" customHeight="1" x14ac:dyDescent="0.3">
      <c r="A1635" s="33"/>
      <c r="G1635" s="229" t="str">
        <f>Team_Matches!$J1231</f>
        <v>Round 5, Match 1</v>
      </c>
      <c r="H1635" s="229"/>
      <c r="I1635" s="127" t="str">
        <f>Team_Matches!$M1231</f>
        <v/>
      </c>
      <c r="J1635" s="127"/>
    </row>
    <row r="1636" spans="1:10" ht="15.6" x14ac:dyDescent="0.3">
      <c r="A1636" s="33"/>
    </row>
    <row r="1637" spans="1:10" x14ac:dyDescent="0.25">
      <c r="C1637" s="7" t="s">
        <v>160</v>
      </c>
      <c r="D1637" s="39" t="str">
        <f>Team_Matches!$B1233</f>
        <v>A</v>
      </c>
      <c r="F1637" s="83" t="str">
        <f>CONCATENATE($D1637,"-",$I1637)</f>
        <v>A-B</v>
      </c>
      <c r="H1637" s="7" t="s">
        <v>160</v>
      </c>
      <c r="I1637" s="39" t="str">
        <f>Team_Matches!$K1233</f>
        <v>B</v>
      </c>
    </row>
    <row r="1638" spans="1:10" ht="25.5" customHeight="1" x14ac:dyDescent="0.25">
      <c r="A1638" s="34"/>
      <c r="B1638" s="220" t="str">
        <f>IF(VLOOKUP($D1637,Draw!$A$4:$B$27,2)&lt;&gt;0,VLOOKUP($D1637,Draw!$A$4:$B$27,2),"")</f>
        <v/>
      </c>
      <c r="C1638" s="220"/>
      <c r="D1638" s="220"/>
      <c r="E1638" s="221"/>
      <c r="F1638" s="35"/>
      <c r="G1638" s="223" t="str">
        <f>IF(VLOOKUP($I1637,Draw!$A$4:$B$27,2)&lt;&gt;0,VLOOKUP($I1637,Draw!$A$4:$B$27,2),"")</f>
        <v/>
      </c>
      <c r="H1638" s="223"/>
      <c r="I1638" s="223"/>
      <c r="J1638" s="224"/>
    </row>
    <row r="1639" spans="1:10" ht="25.5" customHeight="1" x14ac:dyDescent="0.25"/>
    <row r="1640" spans="1:10" ht="25.5" customHeight="1" x14ac:dyDescent="0.25"/>
    <row r="1641" spans="1:10" ht="24" customHeight="1" x14ac:dyDescent="0.25">
      <c r="A1641" s="9" t="s">
        <v>178</v>
      </c>
    </row>
    <row r="1642" spans="1:10" ht="24" customHeight="1" x14ac:dyDescent="0.25">
      <c r="A1642" s="9"/>
    </row>
    <row r="1643" spans="1:10" x14ac:dyDescent="0.25">
      <c r="A1643" s="9" t="s">
        <v>156</v>
      </c>
      <c r="G1643" s="226" t="s">
        <v>873</v>
      </c>
      <c r="H1643" s="226"/>
      <c r="I1643" s="226"/>
      <c r="J1643" s="226"/>
    </row>
    <row r="1644" spans="1:10" ht="24" customHeight="1" x14ac:dyDescent="0.4">
      <c r="A1644" s="37" t="str">
        <f>CONCATENATE($D1637,"1")</f>
        <v>A1</v>
      </c>
      <c r="B1644" s="222" t="str">
        <f>IF(VLOOKUP($A1644,Players!$A$2:$C$132,3)&lt;&gt;0,VLOOKUP($A1644,Players!$A$2:$C$132,3),"")</f>
        <v/>
      </c>
      <c r="C1644" s="222"/>
      <c r="D1644" s="222"/>
      <c r="E1644" s="222"/>
      <c r="F1644" s="222"/>
      <c r="G1644" s="225" t="str">
        <f>IF(VLOOKUP($I1637&amp;RIGHT($A1644,1),Players!$A$2:$D$132,3)&lt;&gt;0,VLOOKUP($I1637&amp;RIGHT($A1644,1),Players!$A$2:$D$132,3),"")</f>
        <v/>
      </c>
      <c r="H1644" s="225"/>
      <c r="I1644" s="225"/>
      <c r="J1644" s="168" t="str">
        <f>IF(VLOOKUP($I1637&amp;RIGHT($A1644,1),Players!$A$2:$D$132,3)&lt;&gt;0,"("&amp;VLOOKUP($I1637&amp;RIGHT($A1644,1),Players!$A$2:$D$132,4)&amp;")","")</f>
        <v/>
      </c>
    </row>
    <row r="1645" spans="1:10" ht="25.5" customHeight="1" x14ac:dyDescent="0.4">
      <c r="A1645" s="37" t="str">
        <f>CONCATENATE($D1637,"2")</f>
        <v>A2</v>
      </c>
      <c r="B1645" s="222" t="str">
        <f>IF(VLOOKUP($A1645,Players!$A$2:$C$132,3)&lt;&gt;0,VLOOKUP($A1645,Players!$A$2:$C$132,3),"")</f>
        <v/>
      </c>
      <c r="C1645" s="222"/>
      <c r="D1645" s="222"/>
      <c r="E1645" s="222"/>
      <c r="F1645" s="222"/>
      <c r="G1645" s="225" t="str">
        <f>IF(VLOOKUP($I1637&amp;RIGHT($A1645,1),Players!$A$2:$D$132,3)&lt;&gt;0,VLOOKUP($I1637&amp;RIGHT($A1645,1),Players!$A$2:$D$132,3),"")</f>
        <v/>
      </c>
      <c r="H1645" s="225"/>
      <c r="I1645" s="225"/>
      <c r="J1645" s="168" t="str">
        <f>IF(VLOOKUP($I1637&amp;RIGHT($A1645,1),Players!$A$2:$D$132,3)&lt;&gt;0,"("&amp;VLOOKUP($I1637&amp;RIGHT($A1645,1),Players!$A$2:$D$132,4)&amp;")","")</f>
        <v/>
      </c>
    </row>
    <row r="1646" spans="1:10" ht="25.5" customHeight="1" x14ac:dyDescent="0.4">
      <c r="A1646" s="37" t="str">
        <f>CONCATENATE($D1637,"3")</f>
        <v>A3</v>
      </c>
      <c r="B1646" s="222" t="str">
        <f>IF(VLOOKUP($A1646,Players!$A$2:$C$132,3)&lt;&gt;0,VLOOKUP($A1646,Players!$A$2:$C$132,3),"")</f>
        <v/>
      </c>
      <c r="C1646" s="222"/>
      <c r="D1646" s="222"/>
      <c r="E1646" s="222"/>
      <c r="F1646" s="222"/>
      <c r="G1646" s="225" t="str">
        <f>IF(VLOOKUP($I1637&amp;RIGHT($A1646,1),Players!$A$2:$D$132,3)&lt;&gt;0,VLOOKUP($I1637&amp;RIGHT($A1646,1),Players!$A$2:$D$132,3),"")</f>
        <v/>
      </c>
      <c r="H1646" s="225"/>
      <c r="I1646" s="225"/>
      <c r="J1646" s="168" t="str">
        <f>IF(VLOOKUP($I1637&amp;RIGHT($A1646,1),Players!$A$2:$D$132,3)&lt;&gt;0,"("&amp;VLOOKUP($I1637&amp;RIGHT($A1646,1),Players!$A$2:$D$132,4)&amp;")","")</f>
        <v/>
      </c>
    </row>
    <row r="1647" spans="1:10" ht="25.5" customHeight="1" x14ac:dyDescent="0.4">
      <c r="A1647" s="37" t="str">
        <f>CONCATENATE($D1637,"4")</f>
        <v>A4</v>
      </c>
      <c r="B1647" s="222" t="str">
        <f>IF(VLOOKUP($A1647,Players!$A$2:$C$132,3)&lt;&gt;0,VLOOKUP($A1647,Players!$A$2:$C$132,3),"")</f>
        <v/>
      </c>
      <c r="C1647" s="222"/>
      <c r="D1647" s="222"/>
      <c r="E1647" s="222"/>
      <c r="F1647" s="222"/>
      <c r="G1647" s="225" t="str">
        <f>IF(VLOOKUP($I1637&amp;RIGHT($A1647,1),Players!$A$2:$D$132,3)&lt;&gt;0,VLOOKUP($I1637&amp;RIGHT($A1647,1),Players!$A$2:$D$132,3),"")</f>
        <v/>
      </c>
      <c r="H1647" s="225"/>
      <c r="I1647" s="225"/>
      <c r="J1647" s="168" t="str">
        <f>IF(VLOOKUP($I1637&amp;RIGHT($A1647,1),Players!$A$2:$D$132,3)&lt;&gt;0,"("&amp;VLOOKUP($I1637&amp;RIGHT($A1647,1),Players!$A$2:$D$132,4)&amp;")","")</f>
        <v/>
      </c>
    </row>
    <row r="1648" spans="1:10" ht="25.5" customHeight="1" x14ac:dyDescent="0.4">
      <c r="A1648" s="37" t="str">
        <f>CONCATENATE($D1637,"5")</f>
        <v>A5</v>
      </c>
      <c r="B1648" s="222" t="str">
        <f>IF(VLOOKUP($A1648,Players!$A$2:$C$132,3)&lt;&gt;0,VLOOKUP($A1648,Players!$A$2:$C$132,3),"")</f>
        <v/>
      </c>
      <c r="C1648" s="222"/>
      <c r="D1648" s="222"/>
      <c r="E1648" s="222"/>
      <c r="F1648" s="222"/>
      <c r="G1648" s="225" t="str">
        <f>IF(VLOOKUP($I1637&amp;RIGHT($A1648,1),Players!$A$2:$D$132,3)&lt;&gt;0,VLOOKUP($I1637&amp;RIGHT($A1648,1),Players!$A$2:$D$132,3),"")</f>
        <v/>
      </c>
      <c r="H1648" s="225"/>
      <c r="I1648" s="225"/>
      <c r="J1648" s="168" t="str">
        <f>IF(VLOOKUP($I1637&amp;RIGHT($A1648,1),Players!$A$2:$D$132,3)&lt;&gt;0,"("&amp;VLOOKUP($I1637&amp;RIGHT($A1648,1),Players!$A$2:$D$132,4)&amp;")","")</f>
        <v/>
      </c>
    </row>
    <row r="1649" spans="1:10" ht="25.5" customHeight="1" x14ac:dyDescent="0.4">
      <c r="A1649" s="37" t="str">
        <f>CONCATENATE($D1637,"6")</f>
        <v>A6</v>
      </c>
      <c r="B1649" s="222" t="str">
        <f>IF(VLOOKUP($A1649,Players!$A$2:$C$132,3)&lt;&gt;0,VLOOKUP($A1649,Players!$A$2:$C$132,3),"")</f>
        <v/>
      </c>
      <c r="C1649" s="222"/>
      <c r="D1649" s="222"/>
      <c r="E1649" s="222"/>
      <c r="F1649" s="222"/>
      <c r="G1649" s="225" t="str">
        <f>IF(VLOOKUP($I1637&amp;RIGHT($A1649,1),Players!$A$2:$D$132,3)&lt;&gt;0,VLOOKUP($I1637&amp;RIGHT($A1649,1),Players!$A$2:$D$132,3),"")</f>
        <v/>
      </c>
      <c r="H1649" s="225"/>
      <c r="I1649" s="225"/>
      <c r="J1649" s="168" t="str">
        <f>IF(VLOOKUP($I1637&amp;RIGHT($A1649,1),Players!$A$2:$D$132,3)&lt;&gt;0,"("&amp;VLOOKUP($I1637&amp;RIGHT($A1649,1),Players!$A$2:$D$132,4)&amp;")","")</f>
        <v/>
      </c>
    </row>
    <row r="1650" spans="1:10" ht="25.5" customHeight="1" x14ac:dyDescent="0.4">
      <c r="A1650" s="37" t="str">
        <f>CONCATENATE($D1637,"7")</f>
        <v>A7</v>
      </c>
      <c r="B1650" s="222" t="str">
        <f>IF(VLOOKUP($A1650,Players!$A$2:$C$132,3)&lt;&gt;0,VLOOKUP($A1650,Players!$A$2:$C$132,3),"")</f>
        <v/>
      </c>
      <c r="C1650" s="222"/>
      <c r="D1650" s="222"/>
      <c r="E1650" s="222"/>
      <c r="F1650" s="222"/>
      <c r="G1650" s="225" t="str">
        <f>IF(VLOOKUP($I1637&amp;RIGHT($A1650,1),Players!$A$2:$D$132,3)&lt;&gt;0,VLOOKUP($I1637&amp;RIGHT($A1650,1),Players!$A$2:$D$132,3),"")</f>
        <v/>
      </c>
      <c r="H1650" s="225"/>
      <c r="I1650" s="225"/>
      <c r="J1650" s="168" t="str">
        <f>IF(VLOOKUP($I1637&amp;RIGHT($A1650,1),Players!$A$2:$D$132,3)&lt;&gt;0,"("&amp;VLOOKUP($I1637&amp;RIGHT($A1650,1),Players!$A$2:$D$132,4)&amp;")","")</f>
        <v/>
      </c>
    </row>
    <row r="1651" spans="1:10" ht="25.5" customHeight="1" x14ac:dyDescent="0.4">
      <c r="A1651" s="37" t="str">
        <f>CONCATENATE($D1637,"8")</f>
        <v>A8</v>
      </c>
      <c r="B1651" s="222" t="str">
        <f>IF(VLOOKUP($A1651,Players!$A$2:$C$132,3)&lt;&gt;0,VLOOKUP($A1651,Players!$A$2:$C$132,3),"")</f>
        <v/>
      </c>
      <c r="C1651" s="222"/>
      <c r="D1651" s="222"/>
      <c r="E1651" s="222"/>
      <c r="F1651" s="222"/>
      <c r="G1651" s="225" t="str">
        <f>IF(VLOOKUP($I1637&amp;RIGHT($A1651,1),Players!$A$2:$D$132,3)&lt;&gt;0,VLOOKUP($I1637&amp;RIGHT($A1651,1),Players!$A$2:$D$132,3),"")</f>
        <v/>
      </c>
      <c r="H1651" s="225"/>
      <c r="I1651" s="225"/>
      <c r="J1651" s="168" t="str">
        <f>IF(VLOOKUP($I1637&amp;RIGHT($A1651,1),Players!$A$2:$D$132,3)&lt;&gt;0,"("&amp;VLOOKUP($I1637&amp;RIGHT($A1651,1),Players!$A$2:$D$132,4)&amp;")","")</f>
        <v/>
      </c>
    </row>
    <row r="1652" spans="1:10" ht="25.5" customHeight="1" x14ac:dyDescent="0.25">
      <c r="A1652" s="37"/>
      <c r="B1652" s="7"/>
      <c r="C1652" s="7"/>
      <c r="D1652" s="7"/>
      <c r="E1652" s="7"/>
    </row>
    <row r="1653" spans="1:10" x14ac:dyDescent="0.25">
      <c r="A1653" s="9" t="s">
        <v>157</v>
      </c>
    </row>
    <row r="1654" spans="1:10" x14ac:dyDescent="0.25">
      <c r="A1654" t="s">
        <v>179</v>
      </c>
    </row>
    <row r="1655" spans="1:10" x14ac:dyDescent="0.25">
      <c r="A1655" s="55" t="s">
        <v>918</v>
      </c>
    </row>
    <row r="1656" spans="1:10" x14ac:dyDescent="0.25">
      <c r="A1656" t="s">
        <v>919</v>
      </c>
    </row>
    <row r="1657" spans="1:10" ht="25.5" customHeight="1" thickBot="1" x14ac:dyDescent="0.3">
      <c r="A1657" s="37"/>
    </row>
    <row r="1658" spans="1:10" x14ac:dyDescent="0.25">
      <c r="B1658" s="213"/>
      <c r="C1658" s="214"/>
      <c r="D1658" s="214"/>
      <c r="E1658" s="214"/>
      <c r="F1658" s="215"/>
    </row>
    <row r="1659" spans="1:10" ht="13.8" thickBot="1" x14ac:dyDescent="0.3">
      <c r="B1659" s="216"/>
      <c r="C1659" s="217"/>
      <c r="D1659" s="217"/>
      <c r="E1659" s="217"/>
      <c r="F1659" s="218"/>
    </row>
    <row r="1663" spans="1:10" ht="25.5" customHeight="1" x14ac:dyDescent="0.25">
      <c r="A1663" s="36"/>
      <c r="B1663" s="36"/>
      <c r="C1663" s="36"/>
      <c r="D1663" s="36"/>
      <c r="E1663" s="36"/>
      <c r="G1663" s="38"/>
      <c r="H1663" s="227" t="s">
        <v>159</v>
      </c>
      <c r="I1663" s="228"/>
    </row>
    <row r="1664" spans="1:10" x14ac:dyDescent="0.25">
      <c r="A1664" t="s">
        <v>158</v>
      </c>
    </row>
    <row r="1666" spans="1:10" x14ac:dyDescent="0.25">
      <c r="E1666" s="219" t="str">
        <f>CONCATENATE("(",$D1637," vs ",$I1637,")")</f>
        <v>(A vs B)</v>
      </c>
      <c r="F1666" s="219"/>
    </row>
    <row r="1667" spans="1:10" ht="15.6" x14ac:dyDescent="0.3">
      <c r="A1667" s="33" t="s">
        <v>155</v>
      </c>
      <c r="J1667" s="82" t="s">
        <v>519</v>
      </c>
    </row>
    <row r="1668" spans="1:10" ht="12.75" customHeight="1" x14ac:dyDescent="0.3">
      <c r="A1668" s="33"/>
      <c r="G1668" t="str">
        <f ca="1">Team_Matches!$J$6</f>
        <v>[NCTTA Teams Template (v3.4).xlsx]</v>
      </c>
      <c r="J1668" s="55"/>
    </row>
    <row r="1669" spans="1:10" ht="12.75" customHeight="1" x14ac:dyDescent="0.3">
      <c r="A1669" s="33"/>
      <c r="G1669" s="229" t="str">
        <f>Team_Matches!$J1231</f>
        <v>Round 5, Match 1</v>
      </c>
      <c r="H1669" s="229"/>
      <c r="I1669" s="127" t="str">
        <f>Team_Matches!$M1231</f>
        <v/>
      </c>
      <c r="J1669" s="127"/>
    </row>
    <row r="1670" spans="1:10" ht="15.6" x14ac:dyDescent="0.3">
      <c r="A1670" s="33"/>
    </row>
    <row r="1671" spans="1:10" x14ac:dyDescent="0.25">
      <c r="C1671" s="7" t="s">
        <v>160</v>
      </c>
      <c r="D1671" s="39" t="str">
        <f>Team_Matches!$B1233</f>
        <v>A</v>
      </c>
      <c r="F1671" s="83" t="str">
        <f>CONCATENATE($D1671,"-",$I1671)</f>
        <v>A-B</v>
      </c>
      <c r="H1671" s="7" t="s">
        <v>160</v>
      </c>
      <c r="I1671" s="39" t="str">
        <f>Team_Matches!$K1233</f>
        <v>B</v>
      </c>
    </row>
    <row r="1672" spans="1:10" ht="25.5" customHeight="1" x14ac:dyDescent="0.25">
      <c r="A1672" s="34"/>
      <c r="B1672" s="223" t="str">
        <f>IF(VLOOKUP($D1671,Draw!$A$4:$B$27,2)&lt;&gt;0,VLOOKUP($D1671,Draw!$A$4:$B$27,2),"")</f>
        <v/>
      </c>
      <c r="C1672" s="223"/>
      <c r="D1672" s="223"/>
      <c r="E1672" s="224"/>
      <c r="F1672" s="35"/>
      <c r="G1672" s="220" t="str">
        <f>IF(VLOOKUP($I1671,Draw!$A$4:$B$27,2)&lt;&gt;0,VLOOKUP($I1671,Draw!$A$4:$B$27,2),"")</f>
        <v/>
      </c>
      <c r="H1672" s="220"/>
      <c r="I1672" s="220"/>
      <c r="J1672" s="221"/>
    </row>
    <row r="1673" spans="1:10" ht="25.5" customHeight="1" x14ac:dyDescent="0.25"/>
    <row r="1674" spans="1:10" ht="25.5" customHeight="1" x14ac:dyDescent="0.25"/>
    <row r="1675" spans="1:10" ht="24" customHeight="1" x14ac:dyDescent="0.25">
      <c r="A1675" s="9" t="s">
        <v>178</v>
      </c>
    </row>
    <row r="1676" spans="1:10" ht="24" customHeight="1" x14ac:dyDescent="0.25">
      <c r="A1676" s="9"/>
    </row>
    <row r="1677" spans="1:10" x14ac:dyDescent="0.25">
      <c r="A1677" s="9" t="s">
        <v>156</v>
      </c>
      <c r="G1677" s="226" t="s">
        <v>873</v>
      </c>
      <c r="H1677" s="226"/>
      <c r="I1677" s="226"/>
      <c r="J1677" s="226"/>
    </row>
    <row r="1678" spans="1:10" ht="24" customHeight="1" x14ac:dyDescent="0.4">
      <c r="A1678" s="37" t="str">
        <f>CONCATENATE($I1671,"1")</f>
        <v>B1</v>
      </c>
      <c r="B1678" s="222" t="str">
        <f>IF(VLOOKUP($A1678,Players!$A$2:$C$132,3)&lt;&gt;0,VLOOKUP($A1678,Players!$A$2:$C$132,3),"")</f>
        <v/>
      </c>
      <c r="C1678" s="222"/>
      <c r="D1678" s="222"/>
      <c r="E1678" s="222"/>
      <c r="F1678" s="222"/>
      <c r="G1678" s="225" t="str">
        <f>IF(VLOOKUP($D1671&amp;RIGHT($A1678,1),Players!$A$2:$D$132,3)&lt;&gt;0,VLOOKUP($D1671&amp;RIGHT($A1678,1),Players!$A$2:$D$132,3),"")</f>
        <v/>
      </c>
      <c r="H1678" s="225"/>
      <c r="I1678" s="225"/>
      <c r="J1678" s="168" t="str">
        <f>IF(VLOOKUP($D1671&amp;RIGHT($A1678,1),Players!$A$2:$D$132,3)&lt;&gt;0,"("&amp;VLOOKUP($D1671&amp;RIGHT($A1678,1),Players!$A$2:$D$132,4)&amp;")","")</f>
        <v/>
      </c>
    </row>
    <row r="1679" spans="1:10" ht="25.5" customHeight="1" x14ac:dyDescent="0.4">
      <c r="A1679" s="37" t="str">
        <f>CONCATENATE($I1671,"2")</f>
        <v>B2</v>
      </c>
      <c r="B1679" s="222" t="str">
        <f>IF(VLOOKUP($A1679,Players!$A$2:$C$132,3)&lt;&gt;0,VLOOKUP($A1679,Players!$A$2:$C$132,3),"")</f>
        <v/>
      </c>
      <c r="C1679" s="222"/>
      <c r="D1679" s="222"/>
      <c r="E1679" s="222"/>
      <c r="F1679" s="222"/>
      <c r="G1679" s="225" t="str">
        <f>IF(VLOOKUP($D1671&amp;RIGHT($A1679,1),Players!$A$2:$D$132,3)&lt;&gt;0,VLOOKUP($D1671&amp;RIGHT($A1679,1),Players!$A$2:$D$132,3),"")</f>
        <v/>
      </c>
      <c r="H1679" s="225"/>
      <c r="I1679" s="225"/>
      <c r="J1679" s="168" t="str">
        <f>IF(VLOOKUP($D1671&amp;RIGHT($A1679,1),Players!$A$2:$D$132,3)&lt;&gt;0,"("&amp;VLOOKUP($D1671&amp;RIGHT($A1679,1),Players!$A$2:$D$132,4)&amp;")","")</f>
        <v/>
      </c>
    </row>
    <row r="1680" spans="1:10" ht="25.5" customHeight="1" x14ac:dyDescent="0.4">
      <c r="A1680" s="37" t="str">
        <f>CONCATENATE($I1671,"3")</f>
        <v>B3</v>
      </c>
      <c r="B1680" s="222" t="str">
        <f>IF(VLOOKUP($A1680,Players!$A$2:$C$132,3)&lt;&gt;0,VLOOKUP($A1680,Players!$A$2:$C$132,3),"")</f>
        <v/>
      </c>
      <c r="C1680" s="222"/>
      <c r="D1680" s="222"/>
      <c r="E1680" s="222"/>
      <c r="F1680" s="222"/>
      <c r="G1680" s="225" t="str">
        <f>IF(VLOOKUP($D1671&amp;RIGHT($A1680,1),Players!$A$2:$D$132,3)&lt;&gt;0,VLOOKUP($D1671&amp;RIGHT($A1680,1),Players!$A$2:$D$132,3),"")</f>
        <v/>
      </c>
      <c r="H1680" s="225"/>
      <c r="I1680" s="225"/>
      <c r="J1680" s="168" t="str">
        <f>IF(VLOOKUP($D1671&amp;RIGHT($A1680,1),Players!$A$2:$D$132,3)&lt;&gt;0,"("&amp;VLOOKUP($D1671&amp;RIGHT($A1680,1),Players!$A$2:$D$132,4)&amp;")","")</f>
        <v/>
      </c>
    </row>
    <row r="1681" spans="1:10" ht="25.5" customHeight="1" x14ac:dyDescent="0.4">
      <c r="A1681" s="37" t="str">
        <f>CONCATENATE($I1671,"4")</f>
        <v>B4</v>
      </c>
      <c r="B1681" s="222" t="str">
        <f>IF(VLOOKUP($A1681,Players!$A$2:$C$132,3)&lt;&gt;0,VLOOKUP($A1681,Players!$A$2:$C$132,3),"")</f>
        <v/>
      </c>
      <c r="C1681" s="222"/>
      <c r="D1681" s="222"/>
      <c r="E1681" s="222"/>
      <c r="F1681" s="222"/>
      <c r="G1681" s="225" t="str">
        <f>IF(VLOOKUP($D1671&amp;RIGHT($A1681,1),Players!$A$2:$D$132,3)&lt;&gt;0,VLOOKUP($D1671&amp;RIGHT($A1681,1),Players!$A$2:$D$132,3),"")</f>
        <v/>
      </c>
      <c r="H1681" s="225"/>
      <c r="I1681" s="225"/>
      <c r="J1681" s="168" t="str">
        <f>IF(VLOOKUP($D1671&amp;RIGHT($A1681,1),Players!$A$2:$D$132,3)&lt;&gt;0,"("&amp;VLOOKUP($D1671&amp;RIGHT($A1681,1),Players!$A$2:$D$132,4)&amp;")","")</f>
        <v/>
      </c>
    </row>
    <row r="1682" spans="1:10" ht="25.5" customHeight="1" x14ac:dyDescent="0.4">
      <c r="A1682" s="37" t="str">
        <f>CONCATENATE($I1671,"5")</f>
        <v>B5</v>
      </c>
      <c r="B1682" s="222" t="str">
        <f>IF(VLOOKUP($A1682,Players!$A$2:$C$132,3)&lt;&gt;0,VLOOKUP($A1682,Players!$A$2:$C$132,3),"")</f>
        <v/>
      </c>
      <c r="C1682" s="222"/>
      <c r="D1682" s="222"/>
      <c r="E1682" s="222"/>
      <c r="F1682" s="222"/>
      <c r="G1682" s="225" t="str">
        <f>IF(VLOOKUP($D1671&amp;RIGHT($A1682,1),Players!$A$2:$D$132,3)&lt;&gt;0,VLOOKUP($D1671&amp;RIGHT($A1682,1),Players!$A$2:$D$132,3),"")</f>
        <v/>
      </c>
      <c r="H1682" s="225"/>
      <c r="I1682" s="225"/>
      <c r="J1682" s="168" t="str">
        <f>IF(VLOOKUP($D1671&amp;RIGHT($A1682,1),Players!$A$2:$D$132,3)&lt;&gt;0,"("&amp;VLOOKUP($D1671&amp;RIGHT($A1682,1),Players!$A$2:$D$132,4)&amp;")","")</f>
        <v/>
      </c>
    </row>
    <row r="1683" spans="1:10" ht="25.5" customHeight="1" x14ac:dyDescent="0.4">
      <c r="A1683" s="37" t="str">
        <f>CONCATENATE($I1671,"6")</f>
        <v>B6</v>
      </c>
      <c r="B1683" s="222" t="str">
        <f>IF(VLOOKUP($A1683,Players!$A$2:$C$132,3)&lt;&gt;0,VLOOKUP($A1683,Players!$A$2:$C$132,3),"")</f>
        <v/>
      </c>
      <c r="C1683" s="222"/>
      <c r="D1683" s="222"/>
      <c r="E1683" s="222"/>
      <c r="F1683" s="222"/>
      <c r="G1683" s="225" t="str">
        <f>IF(VLOOKUP($D1671&amp;RIGHT($A1683,1),Players!$A$2:$D$132,3)&lt;&gt;0,VLOOKUP($D1671&amp;RIGHT($A1683,1),Players!$A$2:$D$132,3),"")</f>
        <v/>
      </c>
      <c r="H1683" s="225"/>
      <c r="I1683" s="225"/>
      <c r="J1683" s="168" t="str">
        <f>IF(VLOOKUP($D1671&amp;RIGHT($A1683,1),Players!$A$2:$D$132,3)&lt;&gt;0,"("&amp;VLOOKUP($D1671&amp;RIGHT($A1683,1),Players!$A$2:$D$132,4)&amp;")","")</f>
        <v/>
      </c>
    </row>
    <row r="1684" spans="1:10" ht="25.5" customHeight="1" x14ac:dyDescent="0.4">
      <c r="A1684" s="37" t="str">
        <f>CONCATENATE($I1671,"7")</f>
        <v>B7</v>
      </c>
      <c r="B1684" s="222" t="str">
        <f>IF(VLOOKUP($A1684,Players!$A$2:$C$132,3)&lt;&gt;0,VLOOKUP($A1684,Players!$A$2:$C$132,3),"")</f>
        <v/>
      </c>
      <c r="C1684" s="222"/>
      <c r="D1684" s="222"/>
      <c r="E1684" s="222"/>
      <c r="F1684" s="222"/>
      <c r="G1684" s="225" t="str">
        <f>IF(VLOOKUP($D1671&amp;RIGHT($A1684,1),Players!$A$2:$D$132,3)&lt;&gt;0,VLOOKUP($D1671&amp;RIGHT($A1684,1),Players!$A$2:$D$132,3),"")</f>
        <v/>
      </c>
      <c r="H1684" s="225"/>
      <c r="I1684" s="225"/>
      <c r="J1684" s="168" t="str">
        <f>IF(VLOOKUP($D1671&amp;RIGHT($A1684,1),Players!$A$2:$D$132,3)&lt;&gt;0,"("&amp;VLOOKUP($D1671&amp;RIGHT($A1684,1),Players!$A$2:$D$132,4)&amp;")","")</f>
        <v/>
      </c>
    </row>
    <row r="1685" spans="1:10" ht="25.5" customHeight="1" x14ac:dyDescent="0.4">
      <c r="A1685" s="37" t="str">
        <f>CONCATENATE($I1671,"8")</f>
        <v>B8</v>
      </c>
      <c r="B1685" s="222" t="str">
        <f>IF(VLOOKUP($A1685,Players!$A$2:$C$132,3)&lt;&gt;0,VLOOKUP($A1685,Players!$A$2:$C$132,3),"")</f>
        <v/>
      </c>
      <c r="C1685" s="222"/>
      <c r="D1685" s="222"/>
      <c r="E1685" s="222"/>
      <c r="F1685" s="222"/>
      <c r="G1685" s="225" t="str">
        <f>IF(VLOOKUP($D1671&amp;RIGHT($A1685,1),Players!$A$2:$D$132,3)&lt;&gt;0,VLOOKUP($D1671&amp;RIGHT($A1685,1),Players!$A$2:$D$132,3),"")</f>
        <v/>
      </c>
      <c r="H1685" s="225"/>
      <c r="I1685" s="225"/>
      <c r="J1685" s="168" t="str">
        <f>IF(VLOOKUP($D1671&amp;RIGHT($A1685,1),Players!$A$2:$D$132,3)&lt;&gt;0,"("&amp;VLOOKUP($D1671&amp;RIGHT($A1685,1),Players!$A$2:$D$132,4)&amp;")","")</f>
        <v/>
      </c>
    </row>
    <row r="1686" spans="1:10" ht="25.5" customHeight="1" x14ac:dyDescent="0.25">
      <c r="A1686" s="37"/>
      <c r="B1686" s="7"/>
      <c r="C1686" s="7"/>
      <c r="D1686" s="7"/>
      <c r="E1686" s="7"/>
    </row>
    <row r="1687" spans="1:10" x14ac:dyDescent="0.25">
      <c r="A1687" s="9" t="s">
        <v>157</v>
      </c>
    </row>
    <row r="1688" spans="1:10" x14ac:dyDescent="0.25">
      <c r="A1688" t="s">
        <v>179</v>
      </c>
    </row>
    <row r="1689" spans="1:10" x14ac:dyDescent="0.25">
      <c r="A1689" s="55" t="s">
        <v>918</v>
      </c>
    </row>
    <row r="1690" spans="1:10" x14ac:dyDescent="0.25">
      <c r="A1690" t="s">
        <v>919</v>
      </c>
    </row>
    <row r="1691" spans="1:10" ht="25.5" customHeight="1" thickBot="1" x14ac:dyDescent="0.3">
      <c r="A1691" s="37"/>
    </row>
    <row r="1692" spans="1:10" x14ac:dyDescent="0.25">
      <c r="B1692" s="213"/>
      <c r="C1692" s="214"/>
      <c r="D1692" s="214"/>
      <c r="E1692" s="214"/>
      <c r="F1692" s="215"/>
    </row>
    <row r="1693" spans="1:10" ht="13.8" thickBot="1" x14ac:dyDescent="0.3">
      <c r="B1693" s="216"/>
      <c r="C1693" s="217"/>
      <c r="D1693" s="217"/>
      <c r="E1693" s="217"/>
      <c r="F1693" s="218"/>
    </row>
    <row r="1697" spans="1:10" ht="25.5" customHeight="1" x14ac:dyDescent="0.25">
      <c r="A1697" s="36"/>
      <c r="B1697" s="36"/>
      <c r="C1697" s="36"/>
      <c r="D1697" s="36"/>
      <c r="E1697" s="36"/>
      <c r="G1697" s="38"/>
      <c r="H1697" s="227" t="s">
        <v>159</v>
      </c>
      <c r="I1697" s="228"/>
    </row>
    <row r="1698" spans="1:10" x14ac:dyDescent="0.25">
      <c r="A1698" t="s">
        <v>158</v>
      </c>
    </row>
    <row r="1700" spans="1:10" x14ac:dyDescent="0.25">
      <c r="E1700" s="219" t="str">
        <f>CONCATENATE("(",$D1671," vs ",$I1671,")")</f>
        <v>(A vs B)</v>
      </c>
      <c r="F1700" s="219"/>
    </row>
    <row r="1701" spans="1:10" ht="15.6" x14ac:dyDescent="0.3">
      <c r="A1701" s="33" t="s">
        <v>155</v>
      </c>
      <c r="J1701" s="82" t="s">
        <v>521</v>
      </c>
    </row>
    <row r="1702" spans="1:10" ht="12.75" customHeight="1" x14ac:dyDescent="0.3">
      <c r="A1702" s="33"/>
      <c r="G1702" t="str">
        <f ca="1">Team_Matches!$J$6</f>
        <v>[NCTTA Teams Template (v3.4).xlsx]</v>
      </c>
      <c r="J1702" s="55"/>
    </row>
    <row r="1703" spans="1:10" ht="12.75" customHeight="1" x14ac:dyDescent="0.3">
      <c r="A1703" s="33"/>
      <c r="G1703" s="229" t="str">
        <f>Team_Matches!$J1282</f>
        <v>Round 5, Match 2</v>
      </c>
      <c r="H1703" s="229"/>
      <c r="I1703" s="127" t="str">
        <f>Team_Matches!$M1282</f>
        <v/>
      </c>
      <c r="J1703" s="127"/>
    </row>
    <row r="1704" spans="1:10" ht="15.6" x14ac:dyDescent="0.3">
      <c r="A1704" s="33"/>
    </row>
    <row r="1705" spans="1:10" x14ac:dyDescent="0.25">
      <c r="C1705" s="7" t="s">
        <v>160</v>
      </c>
      <c r="D1705" s="39" t="str">
        <f>Team_Matches!$B1284</f>
        <v>C</v>
      </c>
      <c r="F1705" s="83" t="str">
        <f>CONCATENATE($D1705,"-",$I1705)</f>
        <v>C-L</v>
      </c>
      <c r="H1705" s="7" t="s">
        <v>160</v>
      </c>
      <c r="I1705" s="3" t="str">
        <f>Team_Matches!$K1284</f>
        <v>L</v>
      </c>
    </row>
    <row r="1706" spans="1:10" ht="25.5" customHeight="1" x14ac:dyDescent="0.25">
      <c r="A1706" s="34"/>
      <c r="B1706" s="220" t="str">
        <f>IF(VLOOKUP($D1705,Draw!$A$4:$B$27,2)&lt;&gt;0,VLOOKUP($D1705,Draw!$A$4:$B$27,2),"")</f>
        <v/>
      </c>
      <c r="C1706" s="220"/>
      <c r="D1706" s="220"/>
      <c r="E1706" s="221"/>
      <c r="F1706" s="35"/>
      <c r="G1706" s="223" t="str">
        <f>IF(VLOOKUP($I1705,Draw!$A$4:$B$27,2)&lt;&gt;0,VLOOKUP($I1705,Draw!$A$4:$B$27,2),"")</f>
        <v/>
      </c>
      <c r="H1706" s="223"/>
      <c r="I1706" s="223"/>
      <c r="J1706" s="224"/>
    </row>
    <row r="1707" spans="1:10" ht="25.5" customHeight="1" x14ac:dyDescent="0.25"/>
    <row r="1708" spans="1:10" ht="25.5" customHeight="1" x14ac:dyDescent="0.25"/>
    <row r="1709" spans="1:10" ht="24" customHeight="1" x14ac:dyDescent="0.25">
      <c r="A1709" s="9" t="s">
        <v>178</v>
      </c>
    </row>
    <row r="1710" spans="1:10" ht="24" customHeight="1" x14ac:dyDescent="0.25">
      <c r="A1710" s="9"/>
    </row>
    <row r="1711" spans="1:10" x14ac:dyDescent="0.25">
      <c r="A1711" s="9" t="s">
        <v>156</v>
      </c>
      <c r="G1711" s="226" t="s">
        <v>873</v>
      </c>
      <c r="H1711" s="226"/>
      <c r="I1711" s="226"/>
      <c r="J1711" s="226"/>
    </row>
    <row r="1712" spans="1:10" ht="24" customHeight="1" x14ac:dyDescent="0.4">
      <c r="A1712" s="37" t="str">
        <f>CONCATENATE($D1705,"1")</f>
        <v>C1</v>
      </c>
      <c r="B1712" s="222" t="str">
        <f>IF(VLOOKUP($A1712,Players!$A$2:$C$132,3)&lt;&gt;0,VLOOKUP($A1712,Players!$A$2:$C$132,3),"")</f>
        <v/>
      </c>
      <c r="C1712" s="222"/>
      <c r="D1712" s="222"/>
      <c r="E1712" s="222"/>
      <c r="F1712" s="222"/>
      <c r="G1712" s="225" t="str">
        <f>IF(VLOOKUP($I1705&amp;RIGHT($A1712,1),Players!$A$2:$D$132,3)&lt;&gt;0,VLOOKUP($I1705&amp;RIGHT($A1712,1),Players!$A$2:$D$132,3),"")</f>
        <v/>
      </c>
      <c r="H1712" s="225"/>
      <c r="I1712" s="225"/>
      <c r="J1712" s="168" t="str">
        <f>IF(VLOOKUP($I1705&amp;RIGHT($A1712,1),Players!$A$2:$D$132,3)&lt;&gt;0,"("&amp;VLOOKUP($I1705&amp;RIGHT($A1712,1),Players!$A$2:$D$132,4)&amp;")","")</f>
        <v/>
      </c>
    </row>
    <row r="1713" spans="1:10" ht="25.5" customHeight="1" x14ac:dyDescent="0.4">
      <c r="A1713" s="37" t="str">
        <f>CONCATENATE($D1705,"2")</f>
        <v>C2</v>
      </c>
      <c r="B1713" s="222" t="str">
        <f>IF(VLOOKUP($A1713,Players!$A$2:$C$132,3)&lt;&gt;0,VLOOKUP($A1713,Players!$A$2:$C$132,3),"")</f>
        <v/>
      </c>
      <c r="C1713" s="222"/>
      <c r="D1713" s="222"/>
      <c r="E1713" s="222"/>
      <c r="F1713" s="222"/>
      <c r="G1713" s="225" t="str">
        <f>IF(VLOOKUP($I1705&amp;RIGHT($A1713,1),Players!$A$2:$D$132,3)&lt;&gt;0,VLOOKUP($I1705&amp;RIGHT($A1713,1),Players!$A$2:$D$132,3),"")</f>
        <v/>
      </c>
      <c r="H1713" s="225"/>
      <c r="I1713" s="225"/>
      <c r="J1713" s="168" t="str">
        <f>IF(VLOOKUP($I1705&amp;RIGHT($A1713,1),Players!$A$2:$D$132,3)&lt;&gt;0,"("&amp;VLOOKUP($I1705&amp;RIGHT($A1713,1),Players!$A$2:$D$132,4)&amp;")","")</f>
        <v/>
      </c>
    </row>
    <row r="1714" spans="1:10" ht="25.5" customHeight="1" x14ac:dyDescent="0.4">
      <c r="A1714" s="37" t="str">
        <f>CONCATENATE($D1705,"3")</f>
        <v>C3</v>
      </c>
      <c r="B1714" s="222" t="str">
        <f>IF(VLOOKUP($A1714,Players!$A$2:$C$132,3)&lt;&gt;0,VLOOKUP($A1714,Players!$A$2:$C$132,3),"")</f>
        <v/>
      </c>
      <c r="C1714" s="222"/>
      <c r="D1714" s="222"/>
      <c r="E1714" s="222"/>
      <c r="F1714" s="222"/>
      <c r="G1714" s="225" t="str">
        <f>IF(VLOOKUP($I1705&amp;RIGHT($A1714,1),Players!$A$2:$D$132,3)&lt;&gt;0,VLOOKUP($I1705&amp;RIGHT($A1714,1),Players!$A$2:$D$132,3),"")</f>
        <v/>
      </c>
      <c r="H1714" s="225"/>
      <c r="I1714" s="225"/>
      <c r="J1714" s="168" t="str">
        <f>IF(VLOOKUP($I1705&amp;RIGHT($A1714,1),Players!$A$2:$D$132,3)&lt;&gt;0,"("&amp;VLOOKUP($I1705&amp;RIGHT($A1714,1),Players!$A$2:$D$132,4)&amp;")","")</f>
        <v/>
      </c>
    </row>
    <row r="1715" spans="1:10" ht="25.5" customHeight="1" x14ac:dyDescent="0.4">
      <c r="A1715" s="37" t="str">
        <f>CONCATENATE($D1705,"4")</f>
        <v>C4</v>
      </c>
      <c r="B1715" s="222" t="str">
        <f>IF(VLOOKUP($A1715,Players!$A$2:$C$132,3)&lt;&gt;0,VLOOKUP($A1715,Players!$A$2:$C$132,3),"")</f>
        <v/>
      </c>
      <c r="C1715" s="222"/>
      <c r="D1715" s="222"/>
      <c r="E1715" s="222"/>
      <c r="F1715" s="222"/>
      <c r="G1715" s="225" t="str">
        <f>IF(VLOOKUP($I1705&amp;RIGHT($A1715,1),Players!$A$2:$D$132,3)&lt;&gt;0,VLOOKUP($I1705&amp;RIGHT($A1715,1),Players!$A$2:$D$132,3),"")</f>
        <v/>
      </c>
      <c r="H1715" s="225"/>
      <c r="I1715" s="225"/>
      <c r="J1715" s="168" t="str">
        <f>IF(VLOOKUP($I1705&amp;RIGHT($A1715,1),Players!$A$2:$D$132,3)&lt;&gt;0,"("&amp;VLOOKUP($I1705&amp;RIGHT($A1715,1),Players!$A$2:$D$132,4)&amp;")","")</f>
        <v/>
      </c>
    </row>
    <row r="1716" spans="1:10" ht="25.5" customHeight="1" x14ac:dyDescent="0.4">
      <c r="A1716" s="37" t="str">
        <f>CONCATENATE($D1705,"5")</f>
        <v>C5</v>
      </c>
      <c r="B1716" s="222" t="str">
        <f>IF(VLOOKUP($A1716,Players!$A$2:$C$132,3)&lt;&gt;0,VLOOKUP($A1716,Players!$A$2:$C$132,3),"")</f>
        <v/>
      </c>
      <c r="C1716" s="222"/>
      <c r="D1716" s="222"/>
      <c r="E1716" s="222"/>
      <c r="F1716" s="222"/>
      <c r="G1716" s="225" t="str">
        <f>IF(VLOOKUP($I1705&amp;RIGHT($A1716,1),Players!$A$2:$D$132,3)&lt;&gt;0,VLOOKUP($I1705&amp;RIGHT($A1716,1),Players!$A$2:$D$132,3),"")</f>
        <v/>
      </c>
      <c r="H1716" s="225"/>
      <c r="I1716" s="225"/>
      <c r="J1716" s="168" t="str">
        <f>IF(VLOOKUP($I1705&amp;RIGHT($A1716,1),Players!$A$2:$D$132,3)&lt;&gt;0,"("&amp;VLOOKUP($I1705&amp;RIGHT($A1716,1),Players!$A$2:$D$132,4)&amp;")","")</f>
        <v/>
      </c>
    </row>
    <row r="1717" spans="1:10" ht="25.5" customHeight="1" x14ac:dyDescent="0.4">
      <c r="A1717" s="37" t="str">
        <f>CONCATENATE($D1705,"6")</f>
        <v>C6</v>
      </c>
      <c r="B1717" s="222" t="str">
        <f>IF(VLOOKUP($A1717,Players!$A$2:$C$132,3)&lt;&gt;0,VLOOKUP($A1717,Players!$A$2:$C$132,3),"")</f>
        <v/>
      </c>
      <c r="C1717" s="222"/>
      <c r="D1717" s="222"/>
      <c r="E1717" s="222"/>
      <c r="F1717" s="222"/>
      <c r="G1717" s="225" t="str">
        <f>IF(VLOOKUP($I1705&amp;RIGHT($A1717,1),Players!$A$2:$D$132,3)&lt;&gt;0,VLOOKUP($I1705&amp;RIGHT($A1717,1),Players!$A$2:$D$132,3),"")</f>
        <v/>
      </c>
      <c r="H1717" s="225"/>
      <c r="I1717" s="225"/>
      <c r="J1717" s="168" t="str">
        <f>IF(VLOOKUP($I1705&amp;RIGHT($A1717,1),Players!$A$2:$D$132,3)&lt;&gt;0,"("&amp;VLOOKUP($I1705&amp;RIGHT($A1717,1),Players!$A$2:$D$132,4)&amp;")","")</f>
        <v/>
      </c>
    </row>
    <row r="1718" spans="1:10" ht="25.5" customHeight="1" x14ac:dyDescent="0.4">
      <c r="A1718" s="37" t="str">
        <f>CONCATENATE($D1705,"7")</f>
        <v>C7</v>
      </c>
      <c r="B1718" s="222" t="str">
        <f>IF(VLOOKUP($A1718,Players!$A$2:$C$132,3)&lt;&gt;0,VLOOKUP($A1718,Players!$A$2:$C$132,3),"")</f>
        <v/>
      </c>
      <c r="C1718" s="222"/>
      <c r="D1718" s="222"/>
      <c r="E1718" s="222"/>
      <c r="F1718" s="222"/>
      <c r="G1718" s="225" t="str">
        <f>IF(VLOOKUP($I1705&amp;RIGHT($A1718,1),Players!$A$2:$D$132,3)&lt;&gt;0,VLOOKUP($I1705&amp;RIGHT($A1718,1),Players!$A$2:$D$132,3),"")</f>
        <v/>
      </c>
      <c r="H1718" s="225"/>
      <c r="I1718" s="225"/>
      <c r="J1718" s="168" t="str">
        <f>IF(VLOOKUP($I1705&amp;RIGHT($A1718,1),Players!$A$2:$D$132,3)&lt;&gt;0,"("&amp;VLOOKUP($I1705&amp;RIGHT($A1718,1),Players!$A$2:$D$132,4)&amp;")","")</f>
        <v/>
      </c>
    </row>
    <row r="1719" spans="1:10" ht="25.5" customHeight="1" x14ac:dyDescent="0.4">
      <c r="A1719" s="37" t="str">
        <f>CONCATENATE($D1705,"8")</f>
        <v>C8</v>
      </c>
      <c r="B1719" s="222" t="str">
        <f>IF(VLOOKUP($A1719,Players!$A$2:$C$132,3)&lt;&gt;0,VLOOKUP($A1719,Players!$A$2:$C$132,3),"")</f>
        <v/>
      </c>
      <c r="C1719" s="222"/>
      <c r="D1719" s="222"/>
      <c r="E1719" s="222"/>
      <c r="F1719" s="222"/>
      <c r="G1719" s="225" t="str">
        <f>IF(VLOOKUP($I1705&amp;RIGHT($A1719,1),Players!$A$2:$D$132,3)&lt;&gt;0,VLOOKUP($I1705&amp;RIGHT($A1719,1),Players!$A$2:$D$132,3),"")</f>
        <v/>
      </c>
      <c r="H1719" s="225"/>
      <c r="I1719" s="225"/>
      <c r="J1719" s="168" t="str">
        <f>IF(VLOOKUP($I1705&amp;RIGHT($A1719,1),Players!$A$2:$D$132,3)&lt;&gt;0,"("&amp;VLOOKUP($I1705&amp;RIGHT($A1719,1),Players!$A$2:$D$132,4)&amp;")","")</f>
        <v/>
      </c>
    </row>
    <row r="1720" spans="1:10" ht="25.5" customHeight="1" x14ac:dyDescent="0.25">
      <c r="A1720" s="37"/>
      <c r="B1720" s="7"/>
      <c r="C1720" s="7"/>
      <c r="D1720" s="7"/>
      <c r="E1720" s="7"/>
    </row>
    <row r="1721" spans="1:10" x14ac:dyDescent="0.25">
      <c r="A1721" s="9" t="s">
        <v>157</v>
      </c>
    </row>
    <row r="1722" spans="1:10" x14ac:dyDescent="0.25">
      <c r="A1722" t="s">
        <v>179</v>
      </c>
    </row>
    <row r="1723" spans="1:10" x14ac:dyDescent="0.25">
      <c r="A1723" s="55" t="s">
        <v>918</v>
      </c>
    </row>
    <row r="1724" spans="1:10" x14ac:dyDescent="0.25">
      <c r="A1724" t="s">
        <v>919</v>
      </c>
    </row>
    <row r="1725" spans="1:10" ht="25.5" customHeight="1" thickBot="1" x14ac:dyDescent="0.3">
      <c r="A1725" s="37"/>
    </row>
    <row r="1726" spans="1:10" x14ac:dyDescent="0.25">
      <c r="B1726" s="213"/>
      <c r="C1726" s="214"/>
      <c r="D1726" s="214"/>
      <c r="E1726" s="214"/>
      <c r="F1726" s="215"/>
    </row>
    <row r="1727" spans="1:10" ht="13.8" thickBot="1" x14ac:dyDescent="0.3">
      <c r="B1727" s="216"/>
      <c r="C1727" s="217"/>
      <c r="D1727" s="217"/>
      <c r="E1727" s="217"/>
      <c r="F1727" s="218"/>
    </row>
    <row r="1731" spans="1:10" ht="25.5" customHeight="1" x14ac:dyDescent="0.25">
      <c r="A1731" s="36"/>
      <c r="B1731" s="36"/>
      <c r="C1731" s="36"/>
      <c r="D1731" s="36"/>
      <c r="E1731" s="36"/>
      <c r="G1731" s="38"/>
      <c r="H1731" s="227" t="s">
        <v>159</v>
      </c>
      <c r="I1731" s="228"/>
    </row>
    <row r="1732" spans="1:10" x14ac:dyDescent="0.25">
      <c r="A1732" t="s">
        <v>158</v>
      </c>
    </row>
    <row r="1734" spans="1:10" x14ac:dyDescent="0.25">
      <c r="E1734" s="219" t="str">
        <f>CONCATENATE("(",$D1705," vs ",$I1705,")")</f>
        <v>(C vs L)</v>
      </c>
      <c r="F1734" s="219"/>
    </row>
    <row r="1735" spans="1:10" ht="15.6" x14ac:dyDescent="0.3">
      <c r="A1735" s="33" t="s">
        <v>155</v>
      </c>
      <c r="J1735" s="82" t="s">
        <v>522</v>
      </c>
    </row>
    <row r="1736" spans="1:10" ht="12.75" customHeight="1" x14ac:dyDescent="0.3">
      <c r="A1736" s="33"/>
      <c r="G1736" t="str">
        <f ca="1">Team_Matches!$J$6</f>
        <v>[NCTTA Teams Template (v3.4).xlsx]</v>
      </c>
      <c r="J1736" s="55"/>
    </row>
    <row r="1737" spans="1:10" ht="12.75" customHeight="1" x14ac:dyDescent="0.3">
      <c r="A1737" s="33"/>
      <c r="G1737" s="229" t="str">
        <f>Team_Matches!$J1282</f>
        <v>Round 5, Match 2</v>
      </c>
      <c r="H1737" s="229"/>
      <c r="I1737" s="127" t="str">
        <f>Team_Matches!$M1282</f>
        <v/>
      </c>
      <c r="J1737" s="127"/>
    </row>
    <row r="1738" spans="1:10" ht="15.6" x14ac:dyDescent="0.3">
      <c r="A1738" s="33"/>
    </row>
    <row r="1739" spans="1:10" x14ac:dyDescent="0.25">
      <c r="C1739" s="7" t="s">
        <v>160</v>
      </c>
      <c r="D1739" s="39" t="str">
        <f>Team_Matches!$B1284</f>
        <v>C</v>
      </c>
      <c r="F1739" s="83" t="str">
        <f>CONCATENATE($D1739,"-",$I1739)</f>
        <v>C-L</v>
      </c>
      <c r="H1739" s="7" t="s">
        <v>160</v>
      </c>
      <c r="I1739" s="3" t="str">
        <f>Team_Matches!$K1284</f>
        <v>L</v>
      </c>
    </row>
    <row r="1740" spans="1:10" ht="25.5" customHeight="1" x14ac:dyDescent="0.25">
      <c r="A1740" s="34"/>
      <c r="B1740" s="223" t="str">
        <f>IF(VLOOKUP($D1739,Draw!$A$4:$B$27,2)&lt;&gt;0,VLOOKUP($D1739,Draw!$A$4:$B$27,2),"")</f>
        <v/>
      </c>
      <c r="C1740" s="223"/>
      <c r="D1740" s="223"/>
      <c r="E1740" s="224"/>
      <c r="F1740" s="35"/>
      <c r="G1740" s="220" t="str">
        <f>IF(VLOOKUP($I1739,Draw!$A$4:$B$27,2)&lt;&gt;0,VLOOKUP($I1739,Draw!$A$4:$B$27,2),"")</f>
        <v/>
      </c>
      <c r="H1740" s="220"/>
      <c r="I1740" s="220"/>
      <c r="J1740" s="221"/>
    </row>
    <row r="1741" spans="1:10" ht="25.5" customHeight="1" x14ac:dyDescent="0.25"/>
    <row r="1742" spans="1:10" ht="25.5" customHeight="1" x14ac:dyDescent="0.25"/>
    <row r="1743" spans="1:10" ht="24" customHeight="1" x14ac:dyDescent="0.25">
      <c r="A1743" s="9" t="s">
        <v>178</v>
      </c>
    </row>
    <row r="1744" spans="1:10" ht="24" customHeight="1" x14ac:dyDescent="0.25">
      <c r="A1744" s="9"/>
    </row>
    <row r="1745" spans="1:10" x14ac:dyDescent="0.25">
      <c r="A1745" s="9" t="s">
        <v>156</v>
      </c>
      <c r="G1745" s="226" t="s">
        <v>873</v>
      </c>
      <c r="H1745" s="226"/>
      <c r="I1745" s="226"/>
      <c r="J1745" s="226"/>
    </row>
    <row r="1746" spans="1:10" ht="24" customHeight="1" x14ac:dyDescent="0.4">
      <c r="A1746" s="37" t="str">
        <f>CONCATENATE($I1739,"1")</f>
        <v>L1</v>
      </c>
      <c r="B1746" s="222" t="str">
        <f>IF(VLOOKUP($A1746,Players!$A$2:$C$132,3)&lt;&gt;0,VLOOKUP($A1746,Players!$A$2:$C$132,3),"")</f>
        <v/>
      </c>
      <c r="C1746" s="222"/>
      <c r="D1746" s="222"/>
      <c r="E1746" s="222"/>
      <c r="F1746" s="222"/>
      <c r="G1746" s="225" t="str">
        <f>IF(VLOOKUP($D1739&amp;RIGHT($A1746,1),Players!$A$2:$D$132,3)&lt;&gt;0,VLOOKUP($D1739&amp;RIGHT($A1746,1),Players!$A$2:$D$132,3),"")</f>
        <v/>
      </c>
      <c r="H1746" s="225"/>
      <c r="I1746" s="225"/>
      <c r="J1746" s="168" t="str">
        <f>IF(VLOOKUP($D1739&amp;RIGHT($A1746,1),Players!$A$2:$D$132,3)&lt;&gt;0,"("&amp;VLOOKUP($D1739&amp;RIGHT($A1746,1),Players!$A$2:$D$132,4)&amp;")","")</f>
        <v/>
      </c>
    </row>
    <row r="1747" spans="1:10" ht="25.5" customHeight="1" x14ac:dyDescent="0.4">
      <c r="A1747" s="37" t="str">
        <f>CONCATENATE($I1739,"2")</f>
        <v>L2</v>
      </c>
      <c r="B1747" s="222" t="str">
        <f>IF(VLOOKUP($A1747,Players!$A$2:$C$132,3)&lt;&gt;0,VLOOKUP($A1747,Players!$A$2:$C$132,3),"")</f>
        <v/>
      </c>
      <c r="C1747" s="222"/>
      <c r="D1747" s="222"/>
      <c r="E1747" s="222"/>
      <c r="F1747" s="222"/>
      <c r="G1747" s="225" t="str">
        <f>IF(VLOOKUP($D1739&amp;RIGHT($A1747,1),Players!$A$2:$D$132,3)&lt;&gt;0,VLOOKUP($D1739&amp;RIGHT($A1747,1),Players!$A$2:$D$132,3),"")</f>
        <v/>
      </c>
      <c r="H1747" s="225"/>
      <c r="I1747" s="225"/>
      <c r="J1747" s="168" t="str">
        <f>IF(VLOOKUP($D1739&amp;RIGHT($A1747,1),Players!$A$2:$D$132,3)&lt;&gt;0,"("&amp;VLOOKUP($D1739&amp;RIGHT($A1747,1),Players!$A$2:$D$132,4)&amp;")","")</f>
        <v/>
      </c>
    </row>
    <row r="1748" spans="1:10" ht="25.5" customHeight="1" x14ac:dyDescent="0.4">
      <c r="A1748" s="37" t="str">
        <f>CONCATENATE($I1739,"3")</f>
        <v>L3</v>
      </c>
      <c r="B1748" s="222" t="str">
        <f>IF(VLOOKUP($A1748,Players!$A$2:$C$132,3)&lt;&gt;0,VLOOKUP($A1748,Players!$A$2:$C$132,3),"")</f>
        <v/>
      </c>
      <c r="C1748" s="222"/>
      <c r="D1748" s="222"/>
      <c r="E1748" s="222"/>
      <c r="F1748" s="222"/>
      <c r="G1748" s="225" t="str">
        <f>IF(VLOOKUP($D1739&amp;RIGHT($A1748,1),Players!$A$2:$D$132,3)&lt;&gt;0,VLOOKUP($D1739&amp;RIGHT($A1748,1),Players!$A$2:$D$132,3),"")</f>
        <v/>
      </c>
      <c r="H1748" s="225"/>
      <c r="I1748" s="225"/>
      <c r="J1748" s="168" t="str">
        <f>IF(VLOOKUP($D1739&amp;RIGHT($A1748,1),Players!$A$2:$D$132,3)&lt;&gt;0,"("&amp;VLOOKUP($D1739&amp;RIGHT($A1748,1),Players!$A$2:$D$132,4)&amp;")","")</f>
        <v/>
      </c>
    </row>
    <row r="1749" spans="1:10" ht="25.5" customHeight="1" x14ac:dyDescent="0.4">
      <c r="A1749" s="37" t="str">
        <f>CONCATENATE($I1739,"4")</f>
        <v>L4</v>
      </c>
      <c r="B1749" s="222" t="str">
        <f>IF(VLOOKUP($A1749,Players!$A$2:$C$132,3)&lt;&gt;0,VLOOKUP($A1749,Players!$A$2:$C$132,3),"")</f>
        <v/>
      </c>
      <c r="C1749" s="222"/>
      <c r="D1749" s="222"/>
      <c r="E1749" s="222"/>
      <c r="F1749" s="222"/>
      <c r="G1749" s="225" t="str">
        <f>IF(VLOOKUP($D1739&amp;RIGHT($A1749,1),Players!$A$2:$D$132,3)&lt;&gt;0,VLOOKUP($D1739&amp;RIGHT($A1749,1),Players!$A$2:$D$132,3),"")</f>
        <v/>
      </c>
      <c r="H1749" s="225"/>
      <c r="I1749" s="225"/>
      <c r="J1749" s="168" t="str">
        <f>IF(VLOOKUP($D1739&amp;RIGHT($A1749,1),Players!$A$2:$D$132,3)&lt;&gt;0,"("&amp;VLOOKUP($D1739&amp;RIGHT($A1749,1),Players!$A$2:$D$132,4)&amp;")","")</f>
        <v/>
      </c>
    </row>
    <row r="1750" spans="1:10" ht="25.5" customHeight="1" x14ac:dyDescent="0.4">
      <c r="A1750" s="37" t="str">
        <f>CONCATENATE($I1739,"5")</f>
        <v>L5</v>
      </c>
      <c r="B1750" s="222" t="str">
        <f>IF(VLOOKUP($A1750,Players!$A$2:$C$132,3)&lt;&gt;0,VLOOKUP($A1750,Players!$A$2:$C$132,3),"")</f>
        <v/>
      </c>
      <c r="C1750" s="222"/>
      <c r="D1750" s="222"/>
      <c r="E1750" s="222"/>
      <c r="F1750" s="222"/>
      <c r="G1750" s="225" t="str">
        <f>IF(VLOOKUP($D1739&amp;RIGHT($A1750,1),Players!$A$2:$D$132,3)&lt;&gt;0,VLOOKUP($D1739&amp;RIGHT($A1750,1),Players!$A$2:$D$132,3),"")</f>
        <v/>
      </c>
      <c r="H1750" s="225"/>
      <c r="I1750" s="225"/>
      <c r="J1750" s="168" t="str">
        <f>IF(VLOOKUP($D1739&amp;RIGHT($A1750,1),Players!$A$2:$D$132,3)&lt;&gt;0,"("&amp;VLOOKUP($D1739&amp;RIGHT($A1750,1),Players!$A$2:$D$132,4)&amp;")","")</f>
        <v/>
      </c>
    </row>
    <row r="1751" spans="1:10" ht="25.5" customHeight="1" x14ac:dyDescent="0.4">
      <c r="A1751" s="37" t="str">
        <f>CONCATENATE($I1739,"6")</f>
        <v>L6</v>
      </c>
      <c r="B1751" s="222" t="str">
        <f>IF(VLOOKUP($A1751,Players!$A$2:$C$132,3)&lt;&gt;0,VLOOKUP($A1751,Players!$A$2:$C$132,3),"")</f>
        <v/>
      </c>
      <c r="C1751" s="222"/>
      <c r="D1751" s="222"/>
      <c r="E1751" s="222"/>
      <c r="F1751" s="222"/>
      <c r="G1751" s="225" t="str">
        <f>IF(VLOOKUP($D1739&amp;RIGHT($A1751,1),Players!$A$2:$D$132,3)&lt;&gt;0,VLOOKUP($D1739&amp;RIGHT($A1751,1),Players!$A$2:$D$132,3),"")</f>
        <v/>
      </c>
      <c r="H1751" s="225"/>
      <c r="I1751" s="225"/>
      <c r="J1751" s="168" t="str">
        <f>IF(VLOOKUP($D1739&amp;RIGHT($A1751,1),Players!$A$2:$D$132,3)&lt;&gt;0,"("&amp;VLOOKUP($D1739&amp;RIGHT($A1751,1),Players!$A$2:$D$132,4)&amp;")","")</f>
        <v/>
      </c>
    </row>
    <row r="1752" spans="1:10" ht="25.5" customHeight="1" x14ac:dyDescent="0.4">
      <c r="A1752" s="37" t="str">
        <f>CONCATENATE($I1739,"7")</f>
        <v>L7</v>
      </c>
      <c r="B1752" s="222" t="str">
        <f>IF(VLOOKUP($A1752,Players!$A$2:$C$132,3)&lt;&gt;0,VLOOKUP($A1752,Players!$A$2:$C$132,3),"")</f>
        <v/>
      </c>
      <c r="C1752" s="222"/>
      <c r="D1752" s="222"/>
      <c r="E1752" s="222"/>
      <c r="F1752" s="222"/>
      <c r="G1752" s="225" t="str">
        <f>IF(VLOOKUP($D1739&amp;RIGHT($A1752,1),Players!$A$2:$D$132,3)&lt;&gt;0,VLOOKUP($D1739&amp;RIGHT($A1752,1),Players!$A$2:$D$132,3),"")</f>
        <v/>
      </c>
      <c r="H1752" s="225"/>
      <c r="I1752" s="225"/>
      <c r="J1752" s="168" t="str">
        <f>IF(VLOOKUP($D1739&amp;RIGHT($A1752,1),Players!$A$2:$D$132,3)&lt;&gt;0,"("&amp;VLOOKUP($D1739&amp;RIGHT($A1752,1),Players!$A$2:$D$132,4)&amp;")","")</f>
        <v/>
      </c>
    </row>
    <row r="1753" spans="1:10" ht="25.5" customHeight="1" x14ac:dyDescent="0.4">
      <c r="A1753" s="37" t="str">
        <f>CONCATENATE($I1739,"8")</f>
        <v>L8</v>
      </c>
      <c r="B1753" s="222" t="str">
        <f>IF(VLOOKUP($A1753,Players!$A$2:$C$132,3)&lt;&gt;0,VLOOKUP($A1753,Players!$A$2:$C$132,3),"")</f>
        <v/>
      </c>
      <c r="C1753" s="222"/>
      <c r="D1753" s="222"/>
      <c r="E1753" s="222"/>
      <c r="F1753" s="222"/>
      <c r="G1753" s="225" t="str">
        <f>IF(VLOOKUP($D1739&amp;RIGHT($A1753,1),Players!$A$2:$D$132,3)&lt;&gt;0,VLOOKUP($D1739&amp;RIGHT($A1753,1),Players!$A$2:$D$132,3),"")</f>
        <v/>
      </c>
      <c r="H1753" s="225"/>
      <c r="I1753" s="225"/>
      <c r="J1753" s="168" t="str">
        <f>IF(VLOOKUP($D1739&amp;RIGHT($A1753,1),Players!$A$2:$D$132,3)&lt;&gt;0,"("&amp;VLOOKUP($D1739&amp;RIGHT($A1753,1),Players!$A$2:$D$132,4)&amp;")","")</f>
        <v/>
      </c>
    </row>
    <row r="1754" spans="1:10" ht="25.5" customHeight="1" x14ac:dyDescent="0.25">
      <c r="A1754" s="37"/>
      <c r="B1754" s="7"/>
      <c r="C1754" s="7"/>
      <c r="D1754" s="7"/>
      <c r="E1754" s="7"/>
    </row>
    <row r="1755" spans="1:10" x14ac:dyDescent="0.25">
      <c r="A1755" s="9" t="s">
        <v>157</v>
      </c>
    </row>
    <row r="1756" spans="1:10" x14ac:dyDescent="0.25">
      <c r="A1756" t="s">
        <v>179</v>
      </c>
    </row>
    <row r="1757" spans="1:10" x14ac:dyDescent="0.25">
      <c r="A1757" s="55" t="s">
        <v>918</v>
      </c>
    </row>
    <row r="1758" spans="1:10" x14ac:dyDescent="0.25">
      <c r="A1758" t="s">
        <v>919</v>
      </c>
    </row>
    <row r="1759" spans="1:10" ht="25.5" customHeight="1" thickBot="1" x14ac:dyDescent="0.3">
      <c r="A1759" s="37"/>
    </row>
    <row r="1760" spans="1:10" x14ac:dyDescent="0.25">
      <c r="B1760" s="213"/>
      <c r="C1760" s="214"/>
      <c r="D1760" s="214"/>
      <c r="E1760" s="214"/>
      <c r="F1760" s="215"/>
    </row>
    <row r="1761" spans="1:10" ht="13.8" thickBot="1" x14ac:dyDescent="0.3">
      <c r="B1761" s="216"/>
      <c r="C1761" s="217"/>
      <c r="D1761" s="217"/>
      <c r="E1761" s="217"/>
      <c r="F1761" s="218"/>
    </row>
    <row r="1765" spans="1:10" ht="25.5" customHeight="1" x14ac:dyDescent="0.25">
      <c r="A1765" s="36"/>
      <c r="B1765" s="36"/>
      <c r="C1765" s="36"/>
      <c r="D1765" s="36"/>
      <c r="E1765" s="36"/>
      <c r="G1765" s="38"/>
      <c r="H1765" s="227" t="s">
        <v>159</v>
      </c>
      <c r="I1765" s="228"/>
    </row>
    <row r="1766" spans="1:10" x14ac:dyDescent="0.25">
      <c r="A1766" t="s">
        <v>158</v>
      </c>
    </row>
    <row r="1768" spans="1:10" x14ac:dyDescent="0.25">
      <c r="E1768" s="219" t="str">
        <f>CONCATENATE("(",$D1739," vs ",$I1739,")")</f>
        <v>(C vs L)</v>
      </c>
      <c r="F1768" s="219"/>
    </row>
    <row r="1769" spans="1:10" ht="15.6" x14ac:dyDescent="0.3">
      <c r="A1769" s="33" t="s">
        <v>155</v>
      </c>
      <c r="J1769" s="82" t="s">
        <v>523</v>
      </c>
    </row>
    <row r="1770" spans="1:10" ht="12.75" customHeight="1" x14ac:dyDescent="0.3">
      <c r="A1770" s="33"/>
      <c r="G1770" t="str">
        <f ca="1">Team_Matches!$J$6</f>
        <v>[NCTTA Teams Template (v3.4).xlsx]</v>
      </c>
      <c r="J1770" s="55"/>
    </row>
    <row r="1771" spans="1:10" ht="12.75" customHeight="1" x14ac:dyDescent="0.3">
      <c r="A1771" s="33"/>
      <c r="G1771" s="229" t="str">
        <f>Team_Matches!$J1333</f>
        <v>Round 5, Match 3</v>
      </c>
      <c r="H1771" s="229"/>
      <c r="I1771" s="127" t="str">
        <f>Team_Matches!$M1333</f>
        <v/>
      </c>
      <c r="J1771" s="127"/>
    </row>
    <row r="1772" spans="1:10" ht="15.6" x14ac:dyDescent="0.3">
      <c r="A1772" s="33"/>
    </row>
    <row r="1773" spans="1:10" x14ac:dyDescent="0.25">
      <c r="C1773" s="7" t="s">
        <v>160</v>
      </c>
      <c r="D1773" s="39" t="str">
        <f>Team_Matches!$B1335</f>
        <v>D</v>
      </c>
      <c r="F1773" s="83" t="str">
        <f>CONCATENATE($D1773,"-",$I1773)</f>
        <v>D-K</v>
      </c>
      <c r="H1773" s="7" t="s">
        <v>160</v>
      </c>
      <c r="I1773" s="39" t="str">
        <f>Team_Matches!$K1335</f>
        <v>K</v>
      </c>
    </row>
    <row r="1774" spans="1:10" ht="25.5" customHeight="1" x14ac:dyDescent="0.25">
      <c r="A1774" s="34"/>
      <c r="B1774" s="220" t="str">
        <f>IF(VLOOKUP($D1773,Draw!$A$4:$B$27,2)&lt;&gt;0,VLOOKUP($D1773,Draw!$A$4:$B$27,2),"")</f>
        <v/>
      </c>
      <c r="C1774" s="220"/>
      <c r="D1774" s="220"/>
      <c r="E1774" s="221"/>
      <c r="F1774" s="35"/>
      <c r="G1774" s="223" t="str">
        <f>IF(VLOOKUP($I1773,Draw!$A$4:$B$27,2)&lt;&gt;0,VLOOKUP($I1773,Draw!$A$4:$B$27,2),"")</f>
        <v/>
      </c>
      <c r="H1774" s="223"/>
      <c r="I1774" s="223"/>
      <c r="J1774" s="224"/>
    </row>
    <row r="1775" spans="1:10" ht="25.5" customHeight="1" x14ac:dyDescent="0.25"/>
    <row r="1776" spans="1:10" ht="25.5" customHeight="1" x14ac:dyDescent="0.25"/>
    <row r="1777" spans="1:10" ht="24" customHeight="1" x14ac:dyDescent="0.25">
      <c r="A1777" s="9" t="s">
        <v>178</v>
      </c>
    </row>
    <row r="1778" spans="1:10" ht="24" customHeight="1" x14ac:dyDescent="0.25">
      <c r="A1778" s="9"/>
    </row>
    <row r="1779" spans="1:10" x14ac:dyDescent="0.25">
      <c r="A1779" s="9" t="s">
        <v>156</v>
      </c>
      <c r="G1779" s="226" t="s">
        <v>873</v>
      </c>
      <c r="H1779" s="226"/>
      <c r="I1779" s="226"/>
      <c r="J1779" s="226"/>
    </row>
    <row r="1780" spans="1:10" ht="24" customHeight="1" x14ac:dyDescent="0.4">
      <c r="A1780" s="37" t="str">
        <f>CONCATENATE($D1773,"1")</f>
        <v>D1</v>
      </c>
      <c r="B1780" s="222" t="str">
        <f>IF(VLOOKUP($A1780,Players!$A$2:$C$132,3)&lt;&gt;0,VLOOKUP($A1780,Players!$A$2:$C$132,3),"")</f>
        <v/>
      </c>
      <c r="C1780" s="222"/>
      <c r="D1780" s="222"/>
      <c r="E1780" s="222"/>
      <c r="F1780" s="222"/>
      <c r="G1780" s="225" t="str">
        <f>IF(VLOOKUP($I1773&amp;RIGHT($A1780,1),Players!$A$2:$D$132,3)&lt;&gt;0,VLOOKUP($I1773&amp;RIGHT($A1780,1),Players!$A$2:$D$132,3),"")</f>
        <v/>
      </c>
      <c r="H1780" s="225"/>
      <c r="I1780" s="225"/>
      <c r="J1780" s="168" t="str">
        <f>IF(VLOOKUP($I1773&amp;RIGHT($A1780,1),Players!$A$2:$D$132,3)&lt;&gt;0,"("&amp;VLOOKUP($I1773&amp;RIGHT($A1780,1),Players!$A$2:$D$132,4)&amp;")","")</f>
        <v/>
      </c>
    </row>
    <row r="1781" spans="1:10" ht="25.5" customHeight="1" x14ac:dyDescent="0.4">
      <c r="A1781" s="37" t="str">
        <f>CONCATENATE($D1773,"2")</f>
        <v>D2</v>
      </c>
      <c r="B1781" s="222" t="str">
        <f>IF(VLOOKUP($A1781,Players!$A$2:$C$132,3)&lt;&gt;0,VLOOKUP($A1781,Players!$A$2:$C$132,3),"")</f>
        <v/>
      </c>
      <c r="C1781" s="222"/>
      <c r="D1781" s="222"/>
      <c r="E1781" s="222"/>
      <c r="F1781" s="222"/>
      <c r="G1781" s="225" t="str">
        <f>IF(VLOOKUP($I1773&amp;RIGHT($A1781,1),Players!$A$2:$D$132,3)&lt;&gt;0,VLOOKUP($I1773&amp;RIGHT($A1781,1),Players!$A$2:$D$132,3),"")</f>
        <v/>
      </c>
      <c r="H1781" s="225"/>
      <c r="I1781" s="225"/>
      <c r="J1781" s="168" t="str">
        <f>IF(VLOOKUP($I1773&amp;RIGHT($A1781,1),Players!$A$2:$D$132,3)&lt;&gt;0,"("&amp;VLOOKUP($I1773&amp;RIGHT($A1781,1),Players!$A$2:$D$132,4)&amp;")","")</f>
        <v/>
      </c>
    </row>
    <row r="1782" spans="1:10" ht="25.5" customHeight="1" x14ac:dyDescent="0.4">
      <c r="A1782" s="37" t="str">
        <f>CONCATENATE($D1773,"3")</f>
        <v>D3</v>
      </c>
      <c r="B1782" s="222" t="str">
        <f>IF(VLOOKUP($A1782,Players!$A$2:$C$132,3)&lt;&gt;0,VLOOKUP($A1782,Players!$A$2:$C$132,3),"")</f>
        <v/>
      </c>
      <c r="C1782" s="222"/>
      <c r="D1782" s="222"/>
      <c r="E1782" s="222"/>
      <c r="F1782" s="222"/>
      <c r="G1782" s="225" t="str">
        <f>IF(VLOOKUP($I1773&amp;RIGHT($A1782,1),Players!$A$2:$D$132,3)&lt;&gt;0,VLOOKUP($I1773&amp;RIGHT($A1782,1),Players!$A$2:$D$132,3),"")</f>
        <v/>
      </c>
      <c r="H1782" s="225"/>
      <c r="I1782" s="225"/>
      <c r="J1782" s="168" t="str">
        <f>IF(VLOOKUP($I1773&amp;RIGHT($A1782,1),Players!$A$2:$D$132,3)&lt;&gt;0,"("&amp;VLOOKUP($I1773&amp;RIGHT($A1782,1),Players!$A$2:$D$132,4)&amp;")","")</f>
        <v/>
      </c>
    </row>
    <row r="1783" spans="1:10" ht="25.5" customHeight="1" x14ac:dyDescent="0.4">
      <c r="A1783" s="37" t="str">
        <f>CONCATENATE($D1773,"4")</f>
        <v>D4</v>
      </c>
      <c r="B1783" s="222" t="str">
        <f>IF(VLOOKUP($A1783,Players!$A$2:$C$132,3)&lt;&gt;0,VLOOKUP($A1783,Players!$A$2:$C$132,3),"")</f>
        <v/>
      </c>
      <c r="C1783" s="222"/>
      <c r="D1783" s="222"/>
      <c r="E1783" s="222"/>
      <c r="F1783" s="222"/>
      <c r="G1783" s="225" t="str">
        <f>IF(VLOOKUP($I1773&amp;RIGHT($A1783,1),Players!$A$2:$D$132,3)&lt;&gt;0,VLOOKUP($I1773&amp;RIGHT($A1783,1),Players!$A$2:$D$132,3),"")</f>
        <v/>
      </c>
      <c r="H1783" s="225"/>
      <c r="I1783" s="225"/>
      <c r="J1783" s="168" t="str">
        <f>IF(VLOOKUP($I1773&amp;RIGHT($A1783,1),Players!$A$2:$D$132,3)&lt;&gt;0,"("&amp;VLOOKUP($I1773&amp;RIGHT($A1783,1),Players!$A$2:$D$132,4)&amp;")","")</f>
        <v/>
      </c>
    </row>
    <row r="1784" spans="1:10" ht="25.5" customHeight="1" x14ac:dyDescent="0.4">
      <c r="A1784" s="37" t="str">
        <f>CONCATENATE($D1773,"5")</f>
        <v>D5</v>
      </c>
      <c r="B1784" s="222" t="str">
        <f>IF(VLOOKUP($A1784,Players!$A$2:$C$132,3)&lt;&gt;0,VLOOKUP($A1784,Players!$A$2:$C$132,3),"")</f>
        <v/>
      </c>
      <c r="C1784" s="222"/>
      <c r="D1784" s="222"/>
      <c r="E1784" s="222"/>
      <c r="F1784" s="222"/>
      <c r="G1784" s="225" t="str">
        <f>IF(VLOOKUP($I1773&amp;RIGHT($A1784,1),Players!$A$2:$D$132,3)&lt;&gt;0,VLOOKUP($I1773&amp;RIGHT($A1784,1),Players!$A$2:$D$132,3),"")</f>
        <v/>
      </c>
      <c r="H1784" s="225"/>
      <c r="I1784" s="225"/>
      <c r="J1784" s="168" t="str">
        <f>IF(VLOOKUP($I1773&amp;RIGHT($A1784,1),Players!$A$2:$D$132,3)&lt;&gt;0,"("&amp;VLOOKUP($I1773&amp;RIGHT($A1784,1),Players!$A$2:$D$132,4)&amp;")","")</f>
        <v/>
      </c>
    </row>
    <row r="1785" spans="1:10" ht="25.5" customHeight="1" x14ac:dyDescent="0.4">
      <c r="A1785" s="37" t="str">
        <f>CONCATENATE($D1773,"6")</f>
        <v>D6</v>
      </c>
      <c r="B1785" s="222" t="str">
        <f>IF(VLOOKUP($A1785,Players!$A$2:$C$132,3)&lt;&gt;0,VLOOKUP($A1785,Players!$A$2:$C$132,3),"")</f>
        <v/>
      </c>
      <c r="C1785" s="222"/>
      <c r="D1785" s="222"/>
      <c r="E1785" s="222"/>
      <c r="F1785" s="222"/>
      <c r="G1785" s="225" t="str">
        <f>IF(VLOOKUP($I1773&amp;RIGHT($A1785,1),Players!$A$2:$D$132,3)&lt;&gt;0,VLOOKUP($I1773&amp;RIGHT($A1785,1),Players!$A$2:$D$132,3),"")</f>
        <v/>
      </c>
      <c r="H1785" s="225"/>
      <c r="I1785" s="225"/>
      <c r="J1785" s="168" t="str">
        <f>IF(VLOOKUP($I1773&amp;RIGHT($A1785,1),Players!$A$2:$D$132,3)&lt;&gt;0,"("&amp;VLOOKUP($I1773&amp;RIGHT($A1785,1),Players!$A$2:$D$132,4)&amp;")","")</f>
        <v/>
      </c>
    </row>
    <row r="1786" spans="1:10" ht="25.5" customHeight="1" x14ac:dyDescent="0.4">
      <c r="A1786" s="37" t="str">
        <f>CONCATENATE($D1773,"7")</f>
        <v>D7</v>
      </c>
      <c r="B1786" s="222" t="str">
        <f>IF(VLOOKUP($A1786,Players!$A$2:$C$132,3)&lt;&gt;0,VLOOKUP($A1786,Players!$A$2:$C$132,3),"")</f>
        <v/>
      </c>
      <c r="C1786" s="222"/>
      <c r="D1786" s="222"/>
      <c r="E1786" s="222"/>
      <c r="F1786" s="222"/>
      <c r="G1786" s="225" t="str">
        <f>IF(VLOOKUP($I1773&amp;RIGHT($A1786,1),Players!$A$2:$D$132,3)&lt;&gt;0,VLOOKUP($I1773&amp;RIGHT($A1786,1),Players!$A$2:$D$132,3),"")</f>
        <v/>
      </c>
      <c r="H1786" s="225"/>
      <c r="I1786" s="225"/>
      <c r="J1786" s="168" t="str">
        <f>IF(VLOOKUP($I1773&amp;RIGHT($A1786,1),Players!$A$2:$D$132,3)&lt;&gt;0,"("&amp;VLOOKUP($I1773&amp;RIGHT($A1786,1),Players!$A$2:$D$132,4)&amp;")","")</f>
        <v/>
      </c>
    </row>
    <row r="1787" spans="1:10" ht="25.5" customHeight="1" x14ac:dyDescent="0.4">
      <c r="A1787" s="37" t="str">
        <f>CONCATENATE($D1773,"8")</f>
        <v>D8</v>
      </c>
      <c r="B1787" s="222" t="str">
        <f>IF(VLOOKUP($A1787,Players!$A$2:$C$132,3)&lt;&gt;0,VLOOKUP($A1787,Players!$A$2:$C$132,3),"")</f>
        <v/>
      </c>
      <c r="C1787" s="222"/>
      <c r="D1787" s="222"/>
      <c r="E1787" s="222"/>
      <c r="F1787" s="222"/>
      <c r="G1787" s="225" t="str">
        <f>IF(VLOOKUP($I1773&amp;RIGHT($A1787,1),Players!$A$2:$D$132,3)&lt;&gt;0,VLOOKUP($I1773&amp;RIGHT($A1787,1),Players!$A$2:$D$132,3),"")</f>
        <v/>
      </c>
      <c r="H1787" s="225"/>
      <c r="I1787" s="225"/>
      <c r="J1787" s="168" t="str">
        <f>IF(VLOOKUP($I1773&amp;RIGHT($A1787,1),Players!$A$2:$D$132,3)&lt;&gt;0,"("&amp;VLOOKUP($I1773&amp;RIGHT($A1787,1),Players!$A$2:$D$132,4)&amp;")","")</f>
        <v/>
      </c>
    </row>
    <row r="1788" spans="1:10" ht="25.5" customHeight="1" x14ac:dyDescent="0.25">
      <c r="A1788" s="37"/>
      <c r="B1788" s="7"/>
      <c r="C1788" s="7"/>
      <c r="D1788" s="7"/>
      <c r="E1788" s="7"/>
    </row>
    <row r="1789" spans="1:10" x14ac:dyDescent="0.25">
      <c r="A1789" s="9" t="s">
        <v>157</v>
      </c>
    </row>
    <row r="1790" spans="1:10" x14ac:dyDescent="0.25">
      <c r="A1790" t="s">
        <v>179</v>
      </c>
    </row>
    <row r="1791" spans="1:10" x14ac:dyDescent="0.25">
      <c r="A1791" s="55" t="s">
        <v>918</v>
      </c>
    </row>
    <row r="1792" spans="1:10" x14ac:dyDescent="0.25">
      <c r="A1792" t="s">
        <v>919</v>
      </c>
    </row>
    <row r="1793" spans="1:10" ht="25.5" customHeight="1" thickBot="1" x14ac:dyDescent="0.3">
      <c r="A1793" s="37"/>
    </row>
    <row r="1794" spans="1:10" x14ac:dyDescent="0.25">
      <c r="B1794" s="213"/>
      <c r="C1794" s="214"/>
      <c r="D1794" s="214"/>
      <c r="E1794" s="214"/>
      <c r="F1794" s="215"/>
    </row>
    <row r="1795" spans="1:10" ht="13.8" thickBot="1" x14ac:dyDescent="0.3">
      <c r="B1795" s="216"/>
      <c r="C1795" s="217"/>
      <c r="D1795" s="217"/>
      <c r="E1795" s="217"/>
      <c r="F1795" s="218"/>
    </row>
    <row r="1799" spans="1:10" ht="25.5" customHeight="1" x14ac:dyDescent="0.25">
      <c r="A1799" s="36"/>
      <c r="B1799" s="36"/>
      <c r="C1799" s="36"/>
      <c r="D1799" s="36"/>
      <c r="E1799" s="36"/>
      <c r="G1799" s="38"/>
      <c r="H1799" s="227" t="s">
        <v>159</v>
      </c>
      <c r="I1799" s="228"/>
    </row>
    <row r="1800" spans="1:10" x14ac:dyDescent="0.25">
      <c r="A1800" t="s">
        <v>158</v>
      </c>
    </row>
    <row r="1802" spans="1:10" x14ac:dyDescent="0.25">
      <c r="E1802" s="219" t="str">
        <f>CONCATENATE("(",$D1773," vs ",$I1773,")")</f>
        <v>(D vs K)</v>
      </c>
      <c r="F1802" s="219"/>
    </row>
    <row r="1803" spans="1:10" ht="15.6" x14ac:dyDescent="0.3">
      <c r="A1803" s="33" t="s">
        <v>155</v>
      </c>
      <c r="J1803" s="82" t="s">
        <v>524</v>
      </c>
    </row>
    <row r="1804" spans="1:10" ht="12.75" customHeight="1" x14ac:dyDescent="0.3">
      <c r="A1804" s="33"/>
      <c r="G1804" t="str">
        <f ca="1">Team_Matches!$J$6</f>
        <v>[NCTTA Teams Template (v3.4).xlsx]</v>
      </c>
      <c r="J1804" s="55"/>
    </row>
    <row r="1805" spans="1:10" ht="12.75" customHeight="1" x14ac:dyDescent="0.3">
      <c r="A1805" s="33"/>
      <c r="G1805" s="229" t="str">
        <f>Team_Matches!$J1333</f>
        <v>Round 5, Match 3</v>
      </c>
      <c r="H1805" s="229"/>
      <c r="I1805" s="127" t="str">
        <f>Team_Matches!$M1333</f>
        <v/>
      </c>
      <c r="J1805" s="127"/>
    </row>
    <row r="1806" spans="1:10" ht="15.6" x14ac:dyDescent="0.3">
      <c r="A1806" s="33"/>
    </row>
    <row r="1807" spans="1:10" x14ac:dyDescent="0.25">
      <c r="C1807" s="7" t="s">
        <v>160</v>
      </c>
      <c r="D1807" s="39" t="str">
        <f>Team_Matches!$B1335</f>
        <v>D</v>
      </c>
      <c r="F1807" s="83" t="str">
        <f>CONCATENATE($D1807,"-",$I1807)</f>
        <v>D-K</v>
      </c>
      <c r="H1807" s="7" t="s">
        <v>160</v>
      </c>
      <c r="I1807" s="39" t="str">
        <f>Team_Matches!$K1335</f>
        <v>K</v>
      </c>
    </row>
    <row r="1808" spans="1:10" ht="25.5" customHeight="1" x14ac:dyDescent="0.25">
      <c r="A1808" s="34"/>
      <c r="B1808" s="223" t="str">
        <f>IF(VLOOKUP($D1807,Draw!$A$4:$B$27,2)&lt;&gt;0,VLOOKUP($D1807,Draw!$A$4:$B$27,2),"")</f>
        <v/>
      </c>
      <c r="C1808" s="223"/>
      <c r="D1808" s="223"/>
      <c r="E1808" s="224"/>
      <c r="F1808" s="35"/>
      <c r="G1808" s="220" t="str">
        <f>IF(VLOOKUP($I1807,Draw!$A$4:$B$27,2)&lt;&gt;0,VLOOKUP($I1807,Draw!$A$4:$B$27,2),"")</f>
        <v/>
      </c>
      <c r="H1808" s="220"/>
      <c r="I1808" s="220"/>
      <c r="J1808" s="221"/>
    </row>
    <row r="1809" spans="1:10" ht="25.5" customHeight="1" x14ac:dyDescent="0.25"/>
    <row r="1810" spans="1:10" ht="25.5" customHeight="1" x14ac:dyDescent="0.25"/>
    <row r="1811" spans="1:10" ht="24" customHeight="1" x14ac:dyDescent="0.25">
      <c r="A1811" s="9" t="s">
        <v>178</v>
      </c>
    </row>
    <row r="1812" spans="1:10" ht="24" customHeight="1" x14ac:dyDescent="0.25">
      <c r="A1812" s="9"/>
    </row>
    <row r="1813" spans="1:10" x14ac:dyDescent="0.25">
      <c r="A1813" s="9" t="s">
        <v>156</v>
      </c>
      <c r="G1813" s="226" t="s">
        <v>873</v>
      </c>
      <c r="H1813" s="226"/>
      <c r="I1813" s="226"/>
      <c r="J1813" s="226"/>
    </row>
    <row r="1814" spans="1:10" ht="24" customHeight="1" x14ac:dyDescent="0.4">
      <c r="A1814" s="37" t="str">
        <f>CONCATENATE($I1807,"1")</f>
        <v>K1</v>
      </c>
      <c r="B1814" s="222" t="str">
        <f>IF(VLOOKUP($A1814,Players!$A$2:$C$132,3)&lt;&gt;0,VLOOKUP($A1814,Players!$A$2:$C$132,3),"")</f>
        <v/>
      </c>
      <c r="C1814" s="222"/>
      <c r="D1814" s="222"/>
      <c r="E1814" s="222"/>
      <c r="F1814" s="222"/>
      <c r="G1814" s="225" t="str">
        <f>IF(VLOOKUP($D1807&amp;RIGHT($A1814,1),Players!$A$2:$D$132,3)&lt;&gt;0,VLOOKUP($D1807&amp;RIGHT($A1814,1),Players!$A$2:$D$132,3),"")</f>
        <v/>
      </c>
      <c r="H1814" s="225"/>
      <c r="I1814" s="225"/>
      <c r="J1814" s="168" t="str">
        <f>IF(VLOOKUP($D1807&amp;RIGHT($A1814,1),Players!$A$2:$D$132,3)&lt;&gt;0,"("&amp;VLOOKUP($D1807&amp;RIGHT($A1814,1),Players!$A$2:$D$132,4)&amp;")","")</f>
        <v/>
      </c>
    </row>
    <row r="1815" spans="1:10" ht="25.5" customHeight="1" x14ac:dyDescent="0.4">
      <c r="A1815" s="37" t="str">
        <f>CONCATENATE($I1807,"2")</f>
        <v>K2</v>
      </c>
      <c r="B1815" s="222" t="str">
        <f>IF(VLOOKUP($A1815,Players!$A$2:$C$132,3)&lt;&gt;0,VLOOKUP($A1815,Players!$A$2:$C$132,3),"")</f>
        <v/>
      </c>
      <c r="C1815" s="222"/>
      <c r="D1815" s="222"/>
      <c r="E1815" s="222"/>
      <c r="F1815" s="222"/>
      <c r="G1815" s="225" t="str">
        <f>IF(VLOOKUP($D1807&amp;RIGHT($A1815,1),Players!$A$2:$D$132,3)&lt;&gt;0,VLOOKUP($D1807&amp;RIGHT($A1815,1),Players!$A$2:$D$132,3),"")</f>
        <v/>
      </c>
      <c r="H1815" s="225"/>
      <c r="I1815" s="225"/>
      <c r="J1815" s="168" t="str">
        <f>IF(VLOOKUP($D1807&amp;RIGHT($A1815,1),Players!$A$2:$D$132,3)&lt;&gt;0,"("&amp;VLOOKUP($D1807&amp;RIGHT($A1815,1),Players!$A$2:$D$132,4)&amp;")","")</f>
        <v/>
      </c>
    </row>
    <row r="1816" spans="1:10" ht="25.5" customHeight="1" x14ac:dyDescent="0.4">
      <c r="A1816" s="37" t="str">
        <f>CONCATENATE($I1807,"3")</f>
        <v>K3</v>
      </c>
      <c r="B1816" s="222" t="str">
        <f>IF(VLOOKUP($A1816,Players!$A$2:$C$132,3)&lt;&gt;0,VLOOKUP($A1816,Players!$A$2:$C$132,3),"")</f>
        <v/>
      </c>
      <c r="C1816" s="222"/>
      <c r="D1816" s="222"/>
      <c r="E1816" s="222"/>
      <c r="F1816" s="222"/>
      <c r="G1816" s="225" t="str">
        <f>IF(VLOOKUP($D1807&amp;RIGHT($A1816,1),Players!$A$2:$D$132,3)&lt;&gt;0,VLOOKUP($D1807&amp;RIGHT($A1816,1),Players!$A$2:$D$132,3),"")</f>
        <v/>
      </c>
      <c r="H1816" s="225"/>
      <c r="I1816" s="225"/>
      <c r="J1816" s="168" t="str">
        <f>IF(VLOOKUP($D1807&amp;RIGHT($A1816,1),Players!$A$2:$D$132,3)&lt;&gt;0,"("&amp;VLOOKUP($D1807&amp;RIGHT($A1816,1),Players!$A$2:$D$132,4)&amp;")","")</f>
        <v/>
      </c>
    </row>
    <row r="1817" spans="1:10" ht="25.5" customHeight="1" x14ac:dyDescent="0.4">
      <c r="A1817" s="37" t="str">
        <f>CONCATENATE($I1807,"4")</f>
        <v>K4</v>
      </c>
      <c r="B1817" s="222" t="str">
        <f>IF(VLOOKUP($A1817,Players!$A$2:$C$132,3)&lt;&gt;0,VLOOKUP($A1817,Players!$A$2:$C$132,3),"")</f>
        <v/>
      </c>
      <c r="C1817" s="222"/>
      <c r="D1817" s="222"/>
      <c r="E1817" s="222"/>
      <c r="F1817" s="222"/>
      <c r="G1817" s="225" t="str">
        <f>IF(VLOOKUP($D1807&amp;RIGHT($A1817,1),Players!$A$2:$D$132,3)&lt;&gt;0,VLOOKUP($D1807&amp;RIGHT($A1817,1),Players!$A$2:$D$132,3),"")</f>
        <v/>
      </c>
      <c r="H1817" s="225"/>
      <c r="I1817" s="225"/>
      <c r="J1817" s="168" t="str">
        <f>IF(VLOOKUP($D1807&amp;RIGHT($A1817,1),Players!$A$2:$D$132,3)&lt;&gt;0,"("&amp;VLOOKUP($D1807&amp;RIGHT($A1817,1),Players!$A$2:$D$132,4)&amp;")","")</f>
        <v/>
      </c>
    </row>
    <row r="1818" spans="1:10" ht="25.5" customHeight="1" x14ac:dyDescent="0.4">
      <c r="A1818" s="37" t="str">
        <f>CONCATENATE($I1807,"5")</f>
        <v>K5</v>
      </c>
      <c r="B1818" s="222" t="str">
        <f>IF(VLOOKUP($A1818,Players!$A$2:$C$132,3)&lt;&gt;0,VLOOKUP($A1818,Players!$A$2:$C$132,3),"")</f>
        <v/>
      </c>
      <c r="C1818" s="222"/>
      <c r="D1818" s="222"/>
      <c r="E1818" s="222"/>
      <c r="F1818" s="222"/>
      <c r="G1818" s="225" t="str">
        <f>IF(VLOOKUP($D1807&amp;RIGHT($A1818,1),Players!$A$2:$D$132,3)&lt;&gt;0,VLOOKUP($D1807&amp;RIGHT($A1818,1),Players!$A$2:$D$132,3),"")</f>
        <v/>
      </c>
      <c r="H1818" s="225"/>
      <c r="I1818" s="225"/>
      <c r="J1818" s="168" t="str">
        <f>IF(VLOOKUP($D1807&amp;RIGHT($A1818,1),Players!$A$2:$D$132,3)&lt;&gt;0,"("&amp;VLOOKUP($D1807&amp;RIGHT($A1818,1),Players!$A$2:$D$132,4)&amp;")","")</f>
        <v/>
      </c>
    </row>
    <row r="1819" spans="1:10" ht="25.5" customHeight="1" x14ac:dyDescent="0.4">
      <c r="A1819" s="37" t="str">
        <f>CONCATENATE($I1807,"6")</f>
        <v>K6</v>
      </c>
      <c r="B1819" s="222" t="str">
        <f>IF(VLOOKUP($A1819,Players!$A$2:$C$132,3)&lt;&gt;0,VLOOKUP($A1819,Players!$A$2:$C$132,3),"")</f>
        <v/>
      </c>
      <c r="C1819" s="222"/>
      <c r="D1819" s="222"/>
      <c r="E1819" s="222"/>
      <c r="F1819" s="222"/>
      <c r="G1819" s="225" t="str">
        <f>IF(VLOOKUP($D1807&amp;RIGHT($A1819,1),Players!$A$2:$D$132,3)&lt;&gt;0,VLOOKUP($D1807&amp;RIGHT($A1819,1),Players!$A$2:$D$132,3),"")</f>
        <v/>
      </c>
      <c r="H1819" s="225"/>
      <c r="I1819" s="225"/>
      <c r="J1819" s="168" t="str">
        <f>IF(VLOOKUP($D1807&amp;RIGHT($A1819,1),Players!$A$2:$D$132,3)&lt;&gt;0,"("&amp;VLOOKUP($D1807&amp;RIGHT($A1819,1),Players!$A$2:$D$132,4)&amp;")","")</f>
        <v/>
      </c>
    </row>
    <row r="1820" spans="1:10" ht="25.5" customHeight="1" x14ac:dyDescent="0.4">
      <c r="A1820" s="37" t="str">
        <f>CONCATENATE($I1807,"7")</f>
        <v>K7</v>
      </c>
      <c r="B1820" s="222" t="str">
        <f>IF(VLOOKUP($A1820,Players!$A$2:$C$132,3)&lt;&gt;0,VLOOKUP($A1820,Players!$A$2:$C$132,3),"")</f>
        <v/>
      </c>
      <c r="C1820" s="222"/>
      <c r="D1820" s="222"/>
      <c r="E1820" s="222"/>
      <c r="F1820" s="222"/>
      <c r="G1820" s="225" t="str">
        <f>IF(VLOOKUP($D1807&amp;RIGHT($A1820,1),Players!$A$2:$D$132,3)&lt;&gt;0,VLOOKUP($D1807&amp;RIGHT($A1820,1),Players!$A$2:$D$132,3),"")</f>
        <v/>
      </c>
      <c r="H1820" s="225"/>
      <c r="I1820" s="225"/>
      <c r="J1820" s="168" t="str">
        <f>IF(VLOOKUP($D1807&amp;RIGHT($A1820,1),Players!$A$2:$D$132,3)&lt;&gt;0,"("&amp;VLOOKUP($D1807&amp;RIGHT($A1820,1),Players!$A$2:$D$132,4)&amp;")","")</f>
        <v/>
      </c>
    </row>
    <row r="1821" spans="1:10" ht="25.5" customHeight="1" x14ac:dyDescent="0.4">
      <c r="A1821" s="37" t="str">
        <f>CONCATENATE($I1807,"8")</f>
        <v>K8</v>
      </c>
      <c r="B1821" s="222" t="str">
        <f>IF(VLOOKUP($A1821,Players!$A$2:$C$132,3)&lt;&gt;0,VLOOKUP($A1821,Players!$A$2:$C$132,3),"")</f>
        <v/>
      </c>
      <c r="C1821" s="222"/>
      <c r="D1821" s="222"/>
      <c r="E1821" s="222"/>
      <c r="F1821" s="222"/>
      <c r="G1821" s="225" t="str">
        <f>IF(VLOOKUP($D1807&amp;RIGHT($A1821,1),Players!$A$2:$D$132,3)&lt;&gt;0,VLOOKUP($D1807&amp;RIGHT($A1821,1),Players!$A$2:$D$132,3),"")</f>
        <v/>
      </c>
      <c r="H1821" s="225"/>
      <c r="I1821" s="225"/>
      <c r="J1821" s="168" t="str">
        <f>IF(VLOOKUP($D1807&amp;RIGHT($A1821,1),Players!$A$2:$D$132,3)&lt;&gt;0,"("&amp;VLOOKUP($D1807&amp;RIGHT($A1821,1),Players!$A$2:$D$132,4)&amp;")","")</f>
        <v/>
      </c>
    </row>
    <row r="1822" spans="1:10" ht="25.5" customHeight="1" x14ac:dyDescent="0.25">
      <c r="A1822" s="37"/>
      <c r="B1822" s="7"/>
      <c r="C1822" s="7"/>
      <c r="D1822" s="7"/>
      <c r="E1822" s="7"/>
    </row>
    <row r="1823" spans="1:10" x14ac:dyDescent="0.25">
      <c r="A1823" s="9" t="s">
        <v>157</v>
      </c>
    </row>
    <row r="1824" spans="1:10" x14ac:dyDescent="0.25">
      <c r="A1824" t="s">
        <v>179</v>
      </c>
    </row>
    <row r="1825" spans="1:10" x14ac:dyDescent="0.25">
      <c r="A1825" s="55" t="s">
        <v>918</v>
      </c>
    </row>
    <row r="1826" spans="1:10" x14ac:dyDescent="0.25">
      <c r="A1826" t="s">
        <v>919</v>
      </c>
    </row>
    <row r="1827" spans="1:10" ht="25.5" customHeight="1" thickBot="1" x14ac:dyDescent="0.3">
      <c r="A1827" s="37"/>
    </row>
    <row r="1828" spans="1:10" x14ac:dyDescent="0.25">
      <c r="B1828" s="213"/>
      <c r="C1828" s="214"/>
      <c r="D1828" s="214"/>
      <c r="E1828" s="214"/>
      <c r="F1828" s="215"/>
    </row>
    <row r="1829" spans="1:10" ht="13.8" thickBot="1" x14ac:dyDescent="0.3">
      <c r="B1829" s="216"/>
      <c r="C1829" s="217"/>
      <c r="D1829" s="217"/>
      <c r="E1829" s="217"/>
      <c r="F1829" s="218"/>
    </row>
    <row r="1833" spans="1:10" ht="25.5" customHeight="1" x14ac:dyDescent="0.25">
      <c r="A1833" s="36"/>
      <c r="B1833" s="36"/>
      <c r="C1833" s="36"/>
      <c r="D1833" s="36"/>
      <c r="E1833" s="36"/>
      <c r="G1833" s="38"/>
      <c r="H1833" s="227" t="s">
        <v>159</v>
      </c>
      <c r="I1833" s="228"/>
    </row>
    <row r="1834" spans="1:10" x14ac:dyDescent="0.25">
      <c r="A1834" t="s">
        <v>158</v>
      </c>
    </row>
    <row r="1836" spans="1:10" x14ac:dyDescent="0.25">
      <c r="E1836" s="219" t="str">
        <f>CONCATENATE("(",$D1807," vs ",$I1807,")")</f>
        <v>(D vs K)</v>
      </c>
      <c r="F1836" s="219"/>
    </row>
    <row r="1837" spans="1:10" ht="15.6" x14ac:dyDescent="0.3">
      <c r="A1837" s="33" t="s">
        <v>155</v>
      </c>
      <c r="J1837" s="82" t="s">
        <v>525</v>
      </c>
    </row>
    <row r="1838" spans="1:10" ht="12.75" customHeight="1" x14ac:dyDescent="0.3">
      <c r="A1838" s="33"/>
      <c r="G1838" t="str">
        <f ca="1">Team_Matches!$J$6</f>
        <v>[NCTTA Teams Template (v3.4).xlsx]</v>
      </c>
      <c r="J1838" s="55"/>
    </row>
    <row r="1839" spans="1:10" ht="12.75" customHeight="1" x14ac:dyDescent="0.3">
      <c r="A1839" s="33"/>
      <c r="G1839" s="229" t="str">
        <f>Team_Matches!$J1384</f>
        <v>Round 5, Match 4</v>
      </c>
      <c r="H1839" s="229"/>
      <c r="I1839" s="127" t="str">
        <f>Team_Matches!$M1384</f>
        <v/>
      </c>
      <c r="J1839" s="127"/>
    </row>
    <row r="1840" spans="1:10" ht="15.6" x14ac:dyDescent="0.3">
      <c r="A1840" s="33"/>
    </row>
    <row r="1841" spans="1:10" x14ac:dyDescent="0.25">
      <c r="C1841" s="7" t="s">
        <v>160</v>
      </c>
      <c r="D1841" s="39" t="str">
        <f>Team_Matches!$B1386</f>
        <v>E</v>
      </c>
      <c r="F1841" s="83" t="str">
        <f>CONCATENATE($D1841,"-",$I1841)</f>
        <v>E-J</v>
      </c>
      <c r="H1841" s="7" t="s">
        <v>160</v>
      </c>
      <c r="I1841" s="39" t="str">
        <f>Team_Matches!$K1386</f>
        <v>J</v>
      </c>
    </row>
    <row r="1842" spans="1:10" ht="25.5" customHeight="1" x14ac:dyDescent="0.25">
      <c r="A1842" s="34"/>
      <c r="B1842" s="220" t="str">
        <f>IF(VLOOKUP($D1841,Draw!$A$4:$B$27,2)&lt;&gt;0,VLOOKUP($D1841,Draw!$A$4:$B$27,2),"")</f>
        <v/>
      </c>
      <c r="C1842" s="220"/>
      <c r="D1842" s="220"/>
      <c r="E1842" s="221"/>
      <c r="F1842" s="35"/>
      <c r="G1842" s="223" t="str">
        <f>IF(VLOOKUP($I1841,Draw!$A$4:$B$27,2)&lt;&gt;0,VLOOKUP($I1841,Draw!$A$4:$B$27,2),"")</f>
        <v/>
      </c>
      <c r="H1842" s="223"/>
      <c r="I1842" s="223"/>
      <c r="J1842" s="224"/>
    </row>
    <row r="1843" spans="1:10" ht="25.5" customHeight="1" x14ac:dyDescent="0.25"/>
    <row r="1844" spans="1:10" ht="25.5" customHeight="1" x14ac:dyDescent="0.25"/>
    <row r="1845" spans="1:10" ht="24" customHeight="1" x14ac:dyDescent="0.25">
      <c r="A1845" s="9" t="s">
        <v>178</v>
      </c>
    </row>
    <row r="1846" spans="1:10" ht="24" customHeight="1" x14ac:dyDescent="0.25">
      <c r="A1846" s="9"/>
    </row>
    <row r="1847" spans="1:10" x14ac:dyDescent="0.25">
      <c r="A1847" s="9" t="s">
        <v>156</v>
      </c>
      <c r="G1847" s="226" t="s">
        <v>873</v>
      </c>
      <c r="H1847" s="226"/>
      <c r="I1847" s="226"/>
      <c r="J1847" s="226"/>
    </row>
    <row r="1848" spans="1:10" ht="24" customHeight="1" x14ac:dyDescent="0.4">
      <c r="A1848" s="37" t="str">
        <f>CONCATENATE($D1841,"1")</f>
        <v>E1</v>
      </c>
      <c r="B1848" s="222" t="str">
        <f>IF(VLOOKUP($A1848,Players!$A$2:$C$132,3)&lt;&gt;0,VLOOKUP($A1848,Players!$A$2:$C$132,3),"")</f>
        <v/>
      </c>
      <c r="C1848" s="222"/>
      <c r="D1848" s="222"/>
      <c r="E1848" s="222"/>
      <c r="F1848" s="222"/>
      <c r="G1848" s="225" t="str">
        <f>IF(VLOOKUP($I1841&amp;RIGHT($A1848,1),Players!$A$2:$D$132,3)&lt;&gt;0,VLOOKUP($I1841&amp;RIGHT($A1848,1),Players!$A$2:$D$132,3),"")</f>
        <v/>
      </c>
      <c r="H1848" s="225"/>
      <c r="I1848" s="225"/>
      <c r="J1848" s="168" t="str">
        <f>IF(VLOOKUP($I1841&amp;RIGHT($A1848,1),Players!$A$2:$D$132,3)&lt;&gt;0,"("&amp;VLOOKUP($I1841&amp;RIGHT($A1848,1),Players!$A$2:$D$132,4)&amp;")","")</f>
        <v/>
      </c>
    </row>
    <row r="1849" spans="1:10" ht="25.5" customHeight="1" x14ac:dyDescent="0.4">
      <c r="A1849" s="37" t="str">
        <f>CONCATENATE($D1841,"2")</f>
        <v>E2</v>
      </c>
      <c r="B1849" s="222" t="str">
        <f>IF(VLOOKUP($A1849,Players!$A$2:$C$132,3)&lt;&gt;0,VLOOKUP($A1849,Players!$A$2:$C$132,3),"")</f>
        <v/>
      </c>
      <c r="C1849" s="222"/>
      <c r="D1849" s="222"/>
      <c r="E1849" s="222"/>
      <c r="F1849" s="222"/>
      <c r="G1849" s="225" t="str">
        <f>IF(VLOOKUP($I1841&amp;RIGHT($A1849,1),Players!$A$2:$D$132,3)&lt;&gt;0,VLOOKUP($I1841&amp;RIGHT($A1849,1),Players!$A$2:$D$132,3),"")</f>
        <v/>
      </c>
      <c r="H1849" s="225"/>
      <c r="I1849" s="225"/>
      <c r="J1849" s="168" t="str">
        <f>IF(VLOOKUP($I1841&amp;RIGHT($A1849,1),Players!$A$2:$D$132,3)&lt;&gt;0,"("&amp;VLOOKUP($I1841&amp;RIGHT($A1849,1),Players!$A$2:$D$132,4)&amp;")","")</f>
        <v/>
      </c>
    </row>
    <row r="1850" spans="1:10" ht="25.5" customHeight="1" x14ac:dyDescent="0.4">
      <c r="A1850" s="37" t="str">
        <f>CONCATENATE($D1841,"3")</f>
        <v>E3</v>
      </c>
      <c r="B1850" s="222" t="str">
        <f>IF(VLOOKUP($A1850,Players!$A$2:$C$132,3)&lt;&gt;0,VLOOKUP($A1850,Players!$A$2:$C$132,3),"")</f>
        <v/>
      </c>
      <c r="C1850" s="222"/>
      <c r="D1850" s="222"/>
      <c r="E1850" s="222"/>
      <c r="F1850" s="222"/>
      <c r="G1850" s="225" t="str">
        <f>IF(VLOOKUP($I1841&amp;RIGHT($A1850,1),Players!$A$2:$D$132,3)&lt;&gt;0,VLOOKUP($I1841&amp;RIGHT($A1850,1),Players!$A$2:$D$132,3),"")</f>
        <v/>
      </c>
      <c r="H1850" s="225"/>
      <c r="I1850" s="225"/>
      <c r="J1850" s="168" t="str">
        <f>IF(VLOOKUP($I1841&amp;RIGHT($A1850,1),Players!$A$2:$D$132,3)&lt;&gt;0,"("&amp;VLOOKUP($I1841&amp;RIGHT($A1850,1),Players!$A$2:$D$132,4)&amp;")","")</f>
        <v/>
      </c>
    </row>
    <row r="1851" spans="1:10" ht="25.5" customHeight="1" x14ac:dyDescent="0.4">
      <c r="A1851" s="37" t="str">
        <f>CONCATENATE($D1841,"4")</f>
        <v>E4</v>
      </c>
      <c r="B1851" s="222" t="str">
        <f>IF(VLOOKUP($A1851,Players!$A$2:$C$132,3)&lt;&gt;0,VLOOKUP($A1851,Players!$A$2:$C$132,3),"")</f>
        <v/>
      </c>
      <c r="C1851" s="222"/>
      <c r="D1851" s="222"/>
      <c r="E1851" s="222"/>
      <c r="F1851" s="222"/>
      <c r="G1851" s="225" t="str">
        <f>IF(VLOOKUP($I1841&amp;RIGHT($A1851,1),Players!$A$2:$D$132,3)&lt;&gt;0,VLOOKUP($I1841&amp;RIGHT($A1851,1),Players!$A$2:$D$132,3),"")</f>
        <v/>
      </c>
      <c r="H1851" s="225"/>
      <c r="I1851" s="225"/>
      <c r="J1851" s="168" t="str">
        <f>IF(VLOOKUP($I1841&amp;RIGHT($A1851,1),Players!$A$2:$D$132,3)&lt;&gt;0,"("&amp;VLOOKUP($I1841&amp;RIGHT($A1851,1),Players!$A$2:$D$132,4)&amp;")","")</f>
        <v/>
      </c>
    </row>
    <row r="1852" spans="1:10" ht="25.5" customHeight="1" x14ac:dyDescent="0.4">
      <c r="A1852" s="37" t="str">
        <f>CONCATENATE($D1841,"5")</f>
        <v>E5</v>
      </c>
      <c r="B1852" s="222" t="str">
        <f>IF(VLOOKUP($A1852,Players!$A$2:$C$132,3)&lt;&gt;0,VLOOKUP($A1852,Players!$A$2:$C$132,3),"")</f>
        <v/>
      </c>
      <c r="C1852" s="222"/>
      <c r="D1852" s="222"/>
      <c r="E1852" s="222"/>
      <c r="F1852" s="222"/>
      <c r="G1852" s="225" t="str">
        <f>IF(VLOOKUP($I1841&amp;RIGHT($A1852,1),Players!$A$2:$D$132,3)&lt;&gt;0,VLOOKUP($I1841&amp;RIGHT($A1852,1),Players!$A$2:$D$132,3),"")</f>
        <v/>
      </c>
      <c r="H1852" s="225"/>
      <c r="I1852" s="225"/>
      <c r="J1852" s="168" t="str">
        <f>IF(VLOOKUP($I1841&amp;RIGHT($A1852,1),Players!$A$2:$D$132,3)&lt;&gt;0,"("&amp;VLOOKUP($I1841&amp;RIGHT($A1852,1),Players!$A$2:$D$132,4)&amp;")","")</f>
        <v/>
      </c>
    </row>
    <row r="1853" spans="1:10" ht="25.5" customHeight="1" x14ac:dyDescent="0.4">
      <c r="A1853" s="37" t="str">
        <f>CONCATENATE($D1841,"6")</f>
        <v>E6</v>
      </c>
      <c r="B1853" s="222" t="str">
        <f>IF(VLOOKUP($A1853,Players!$A$2:$C$132,3)&lt;&gt;0,VLOOKUP($A1853,Players!$A$2:$C$132,3),"")</f>
        <v/>
      </c>
      <c r="C1853" s="222"/>
      <c r="D1853" s="222"/>
      <c r="E1853" s="222"/>
      <c r="F1853" s="222"/>
      <c r="G1853" s="225" t="str">
        <f>IF(VLOOKUP($I1841&amp;RIGHT($A1853,1),Players!$A$2:$D$132,3)&lt;&gt;0,VLOOKUP($I1841&amp;RIGHT($A1853,1),Players!$A$2:$D$132,3),"")</f>
        <v/>
      </c>
      <c r="H1853" s="225"/>
      <c r="I1853" s="225"/>
      <c r="J1853" s="168" t="str">
        <f>IF(VLOOKUP($I1841&amp;RIGHT($A1853,1),Players!$A$2:$D$132,3)&lt;&gt;0,"("&amp;VLOOKUP($I1841&amp;RIGHT($A1853,1),Players!$A$2:$D$132,4)&amp;")","")</f>
        <v/>
      </c>
    </row>
    <row r="1854" spans="1:10" ht="25.5" customHeight="1" x14ac:dyDescent="0.4">
      <c r="A1854" s="37" t="str">
        <f>CONCATENATE($D1841,"7")</f>
        <v>E7</v>
      </c>
      <c r="B1854" s="222" t="str">
        <f>IF(VLOOKUP($A1854,Players!$A$2:$C$132,3)&lt;&gt;0,VLOOKUP($A1854,Players!$A$2:$C$132,3),"")</f>
        <v/>
      </c>
      <c r="C1854" s="222"/>
      <c r="D1854" s="222"/>
      <c r="E1854" s="222"/>
      <c r="F1854" s="222"/>
      <c r="G1854" s="225" t="str">
        <f>IF(VLOOKUP($I1841&amp;RIGHT($A1854,1),Players!$A$2:$D$132,3)&lt;&gt;0,VLOOKUP($I1841&amp;RIGHT($A1854,1),Players!$A$2:$D$132,3),"")</f>
        <v/>
      </c>
      <c r="H1854" s="225"/>
      <c r="I1854" s="225"/>
      <c r="J1854" s="168" t="str">
        <f>IF(VLOOKUP($I1841&amp;RIGHT($A1854,1),Players!$A$2:$D$132,3)&lt;&gt;0,"("&amp;VLOOKUP($I1841&amp;RIGHT($A1854,1),Players!$A$2:$D$132,4)&amp;")","")</f>
        <v/>
      </c>
    </row>
    <row r="1855" spans="1:10" ht="25.5" customHeight="1" x14ac:dyDescent="0.4">
      <c r="A1855" s="37" t="str">
        <f>CONCATENATE($D1841,"8")</f>
        <v>E8</v>
      </c>
      <c r="B1855" s="222" t="str">
        <f>IF(VLOOKUP($A1855,Players!$A$2:$C$132,3)&lt;&gt;0,VLOOKUP($A1855,Players!$A$2:$C$132,3),"")</f>
        <v/>
      </c>
      <c r="C1855" s="222"/>
      <c r="D1855" s="222"/>
      <c r="E1855" s="222"/>
      <c r="F1855" s="222"/>
      <c r="G1855" s="225" t="str">
        <f>IF(VLOOKUP($I1841&amp;RIGHT($A1855,1),Players!$A$2:$D$132,3)&lt;&gt;0,VLOOKUP($I1841&amp;RIGHT($A1855,1),Players!$A$2:$D$132,3),"")</f>
        <v/>
      </c>
      <c r="H1855" s="225"/>
      <c r="I1855" s="225"/>
      <c r="J1855" s="168" t="str">
        <f>IF(VLOOKUP($I1841&amp;RIGHT($A1855,1),Players!$A$2:$D$132,3)&lt;&gt;0,"("&amp;VLOOKUP($I1841&amp;RIGHT($A1855,1),Players!$A$2:$D$132,4)&amp;")","")</f>
        <v/>
      </c>
    </row>
    <row r="1856" spans="1:10" ht="25.5" customHeight="1" x14ac:dyDescent="0.25">
      <c r="A1856" s="37"/>
      <c r="B1856" s="7"/>
      <c r="C1856" s="7"/>
      <c r="D1856" s="7"/>
      <c r="E1856" s="7"/>
    </row>
    <row r="1857" spans="1:10" x14ac:dyDescent="0.25">
      <c r="A1857" s="9" t="s">
        <v>157</v>
      </c>
    </row>
    <row r="1858" spans="1:10" x14ac:dyDescent="0.25">
      <c r="A1858" t="s">
        <v>179</v>
      </c>
    </row>
    <row r="1859" spans="1:10" x14ac:dyDescent="0.25">
      <c r="A1859" s="55" t="s">
        <v>918</v>
      </c>
    </row>
    <row r="1860" spans="1:10" x14ac:dyDescent="0.25">
      <c r="A1860" t="s">
        <v>919</v>
      </c>
    </row>
    <row r="1861" spans="1:10" ht="25.5" customHeight="1" thickBot="1" x14ac:dyDescent="0.3">
      <c r="A1861" s="37"/>
    </row>
    <row r="1862" spans="1:10" x14ac:dyDescent="0.25">
      <c r="B1862" s="213"/>
      <c r="C1862" s="214"/>
      <c r="D1862" s="214"/>
      <c r="E1862" s="214"/>
      <c r="F1862" s="215"/>
    </row>
    <row r="1863" spans="1:10" ht="13.8" thickBot="1" x14ac:dyDescent="0.3">
      <c r="B1863" s="216"/>
      <c r="C1863" s="217"/>
      <c r="D1863" s="217"/>
      <c r="E1863" s="217"/>
      <c r="F1863" s="218"/>
    </row>
    <row r="1867" spans="1:10" ht="25.5" customHeight="1" x14ac:dyDescent="0.25">
      <c r="A1867" s="36"/>
      <c r="B1867" s="36"/>
      <c r="C1867" s="36"/>
      <c r="D1867" s="36"/>
      <c r="E1867" s="36"/>
      <c r="G1867" s="38"/>
      <c r="H1867" s="227" t="s">
        <v>159</v>
      </c>
      <c r="I1867" s="228"/>
    </row>
    <row r="1868" spans="1:10" x14ac:dyDescent="0.25">
      <c r="A1868" t="s">
        <v>158</v>
      </c>
    </row>
    <row r="1870" spans="1:10" x14ac:dyDescent="0.25">
      <c r="E1870" s="219" t="str">
        <f>CONCATENATE("(",$D1841," vs ",$I1841,")")</f>
        <v>(E vs J)</v>
      </c>
      <c r="F1870" s="219"/>
    </row>
    <row r="1871" spans="1:10" ht="15.6" x14ac:dyDescent="0.3">
      <c r="A1871" s="33" t="s">
        <v>155</v>
      </c>
      <c r="J1871" s="82" t="s">
        <v>526</v>
      </c>
    </row>
    <row r="1872" spans="1:10" ht="12.75" customHeight="1" x14ac:dyDescent="0.3">
      <c r="A1872" s="33"/>
      <c r="G1872" t="str">
        <f ca="1">Team_Matches!$J$6</f>
        <v>[NCTTA Teams Template (v3.4).xlsx]</v>
      </c>
      <c r="J1872" s="55"/>
    </row>
    <row r="1873" spans="1:10" ht="12.75" customHeight="1" x14ac:dyDescent="0.3">
      <c r="A1873" s="33"/>
      <c r="G1873" s="229" t="str">
        <f>Team_Matches!$J1384</f>
        <v>Round 5, Match 4</v>
      </c>
      <c r="H1873" s="229"/>
      <c r="I1873" s="127" t="str">
        <f>Team_Matches!$M1384</f>
        <v/>
      </c>
      <c r="J1873" s="127"/>
    </row>
    <row r="1874" spans="1:10" ht="15.6" x14ac:dyDescent="0.3">
      <c r="A1874" s="33"/>
    </row>
    <row r="1875" spans="1:10" x14ac:dyDescent="0.25">
      <c r="C1875" s="7" t="s">
        <v>160</v>
      </c>
      <c r="D1875" s="39" t="str">
        <f>Team_Matches!$B1386</f>
        <v>E</v>
      </c>
      <c r="F1875" s="83" t="str">
        <f>CONCATENATE($D1875,"-",$I1875)</f>
        <v>E-J</v>
      </c>
      <c r="H1875" s="7" t="s">
        <v>160</v>
      </c>
      <c r="I1875" s="39" t="str">
        <f>Team_Matches!$K1386</f>
        <v>J</v>
      </c>
    </row>
    <row r="1876" spans="1:10" ht="25.5" customHeight="1" x14ac:dyDescent="0.25">
      <c r="A1876" s="34"/>
      <c r="B1876" s="223" t="str">
        <f>IF(VLOOKUP($D1875,Draw!$A$4:$B$27,2)&lt;&gt;0,VLOOKUP($D1875,Draw!$A$4:$B$27,2),"")</f>
        <v/>
      </c>
      <c r="C1876" s="223"/>
      <c r="D1876" s="223"/>
      <c r="E1876" s="224"/>
      <c r="F1876" s="35"/>
      <c r="G1876" s="220" t="str">
        <f>IF(VLOOKUP($I1875,Draw!$A$4:$B$27,2)&lt;&gt;0,VLOOKUP($I1875,Draw!$A$4:$B$27,2),"")</f>
        <v/>
      </c>
      <c r="H1876" s="220"/>
      <c r="I1876" s="220"/>
      <c r="J1876" s="221"/>
    </row>
    <row r="1877" spans="1:10" ht="25.5" customHeight="1" x14ac:dyDescent="0.25"/>
    <row r="1878" spans="1:10" ht="25.5" customHeight="1" x14ac:dyDescent="0.25"/>
    <row r="1879" spans="1:10" ht="24" customHeight="1" x14ac:dyDescent="0.25">
      <c r="A1879" s="9" t="s">
        <v>178</v>
      </c>
    </row>
    <row r="1880" spans="1:10" ht="24" customHeight="1" x14ac:dyDescent="0.25">
      <c r="A1880" s="9"/>
    </row>
    <row r="1881" spans="1:10" x14ac:dyDescent="0.25">
      <c r="A1881" s="9" t="s">
        <v>156</v>
      </c>
      <c r="G1881" s="226" t="s">
        <v>873</v>
      </c>
      <c r="H1881" s="226"/>
      <c r="I1881" s="226"/>
      <c r="J1881" s="226"/>
    </row>
    <row r="1882" spans="1:10" ht="24" customHeight="1" x14ac:dyDescent="0.4">
      <c r="A1882" s="37" t="str">
        <f>CONCATENATE($I1875,"1")</f>
        <v>J1</v>
      </c>
      <c r="B1882" s="222" t="str">
        <f>IF(VLOOKUP($A1882,Players!$A$2:$C$132,3)&lt;&gt;0,VLOOKUP($A1882,Players!$A$2:$C$132,3),"")</f>
        <v/>
      </c>
      <c r="C1882" s="222"/>
      <c r="D1882" s="222"/>
      <c r="E1882" s="222"/>
      <c r="F1882" s="222"/>
      <c r="G1882" s="225" t="str">
        <f>IF(VLOOKUP($D1875&amp;RIGHT($A1882,1),Players!$A$2:$D$132,3)&lt;&gt;0,VLOOKUP($D1875&amp;RIGHT($A1882,1),Players!$A$2:$D$132,3),"")</f>
        <v/>
      </c>
      <c r="H1882" s="225"/>
      <c r="I1882" s="225"/>
      <c r="J1882" s="168" t="str">
        <f>IF(VLOOKUP($D1875&amp;RIGHT($A1882,1),Players!$A$2:$D$132,3)&lt;&gt;0,"("&amp;VLOOKUP($D1875&amp;RIGHT($A1882,1),Players!$A$2:$D$132,4)&amp;")","")</f>
        <v/>
      </c>
    </row>
    <row r="1883" spans="1:10" ht="25.5" customHeight="1" x14ac:dyDescent="0.4">
      <c r="A1883" s="37" t="str">
        <f>CONCATENATE($I1875,"2")</f>
        <v>J2</v>
      </c>
      <c r="B1883" s="222" t="str">
        <f>IF(VLOOKUP($A1883,Players!$A$2:$C$132,3)&lt;&gt;0,VLOOKUP($A1883,Players!$A$2:$C$132,3),"")</f>
        <v/>
      </c>
      <c r="C1883" s="222"/>
      <c r="D1883" s="222"/>
      <c r="E1883" s="222"/>
      <c r="F1883" s="222"/>
      <c r="G1883" s="225" t="str">
        <f>IF(VLOOKUP($D1875&amp;RIGHT($A1883,1),Players!$A$2:$D$132,3)&lt;&gt;0,VLOOKUP($D1875&amp;RIGHT($A1883,1),Players!$A$2:$D$132,3),"")</f>
        <v/>
      </c>
      <c r="H1883" s="225"/>
      <c r="I1883" s="225"/>
      <c r="J1883" s="168" t="str">
        <f>IF(VLOOKUP($D1875&amp;RIGHT($A1883,1),Players!$A$2:$D$132,3)&lt;&gt;0,"("&amp;VLOOKUP($D1875&amp;RIGHT($A1883,1),Players!$A$2:$D$132,4)&amp;")","")</f>
        <v/>
      </c>
    </row>
    <row r="1884" spans="1:10" ht="25.5" customHeight="1" x14ac:dyDescent="0.4">
      <c r="A1884" s="37" t="str">
        <f>CONCATENATE($I1875,"3")</f>
        <v>J3</v>
      </c>
      <c r="B1884" s="222" t="str">
        <f>IF(VLOOKUP($A1884,Players!$A$2:$C$132,3)&lt;&gt;0,VLOOKUP($A1884,Players!$A$2:$C$132,3),"")</f>
        <v/>
      </c>
      <c r="C1884" s="222"/>
      <c r="D1884" s="222"/>
      <c r="E1884" s="222"/>
      <c r="F1884" s="222"/>
      <c r="G1884" s="225" t="str">
        <f>IF(VLOOKUP($D1875&amp;RIGHT($A1884,1),Players!$A$2:$D$132,3)&lt;&gt;0,VLOOKUP($D1875&amp;RIGHT($A1884,1),Players!$A$2:$D$132,3),"")</f>
        <v/>
      </c>
      <c r="H1884" s="225"/>
      <c r="I1884" s="225"/>
      <c r="J1884" s="168" t="str">
        <f>IF(VLOOKUP($D1875&amp;RIGHT($A1884,1),Players!$A$2:$D$132,3)&lt;&gt;0,"("&amp;VLOOKUP($D1875&amp;RIGHT($A1884,1),Players!$A$2:$D$132,4)&amp;")","")</f>
        <v/>
      </c>
    </row>
    <row r="1885" spans="1:10" ht="25.5" customHeight="1" x14ac:dyDescent="0.4">
      <c r="A1885" s="37" t="str">
        <f>CONCATENATE($I1875,"4")</f>
        <v>J4</v>
      </c>
      <c r="B1885" s="222" t="str">
        <f>IF(VLOOKUP($A1885,Players!$A$2:$C$132,3)&lt;&gt;0,VLOOKUP($A1885,Players!$A$2:$C$132,3),"")</f>
        <v/>
      </c>
      <c r="C1885" s="222"/>
      <c r="D1885" s="222"/>
      <c r="E1885" s="222"/>
      <c r="F1885" s="222"/>
      <c r="G1885" s="225" t="str">
        <f>IF(VLOOKUP($D1875&amp;RIGHT($A1885,1),Players!$A$2:$D$132,3)&lt;&gt;0,VLOOKUP($D1875&amp;RIGHT($A1885,1),Players!$A$2:$D$132,3),"")</f>
        <v/>
      </c>
      <c r="H1885" s="225"/>
      <c r="I1885" s="225"/>
      <c r="J1885" s="168" t="str">
        <f>IF(VLOOKUP($D1875&amp;RIGHT($A1885,1),Players!$A$2:$D$132,3)&lt;&gt;0,"("&amp;VLOOKUP($D1875&amp;RIGHT($A1885,1),Players!$A$2:$D$132,4)&amp;")","")</f>
        <v/>
      </c>
    </row>
    <row r="1886" spans="1:10" ht="25.5" customHeight="1" x14ac:dyDescent="0.4">
      <c r="A1886" s="37" t="str">
        <f>CONCATENATE($I1875,"5")</f>
        <v>J5</v>
      </c>
      <c r="B1886" s="222" t="str">
        <f>IF(VLOOKUP($A1886,Players!$A$2:$C$132,3)&lt;&gt;0,VLOOKUP($A1886,Players!$A$2:$C$132,3),"")</f>
        <v/>
      </c>
      <c r="C1886" s="222"/>
      <c r="D1886" s="222"/>
      <c r="E1886" s="222"/>
      <c r="F1886" s="222"/>
      <c r="G1886" s="225" t="str">
        <f>IF(VLOOKUP($D1875&amp;RIGHT($A1886,1),Players!$A$2:$D$132,3)&lt;&gt;0,VLOOKUP($D1875&amp;RIGHT($A1886,1),Players!$A$2:$D$132,3),"")</f>
        <v/>
      </c>
      <c r="H1886" s="225"/>
      <c r="I1886" s="225"/>
      <c r="J1886" s="168" t="str">
        <f>IF(VLOOKUP($D1875&amp;RIGHT($A1886,1),Players!$A$2:$D$132,3)&lt;&gt;0,"("&amp;VLOOKUP($D1875&amp;RIGHT($A1886,1),Players!$A$2:$D$132,4)&amp;")","")</f>
        <v/>
      </c>
    </row>
    <row r="1887" spans="1:10" ht="25.5" customHeight="1" x14ac:dyDescent="0.4">
      <c r="A1887" s="37" t="str">
        <f>CONCATENATE($I1875,"6")</f>
        <v>J6</v>
      </c>
      <c r="B1887" s="222" t="str">
        <f>IF(VLOOKUP($A1887,Players!$A$2:$C$132,3)&lt;&gt;0,VLOOKUP($A1887,Players!$A$2:$C$132,3),"")</f>
        <v/>
      </c>
      <c r="C1887" s="222"/>
      <c r="D1887" s="222"/>
      <c r="E1887" s="222"/>
      <c r="F1887" s="222"/>
      <c r="G1887" s="225" t="str">
        <f>IF(VLOOKUP($D1875&amp;RIGHT($A1887,1),Players!$A$2:$D$132,3)&lt;&gt;0,VLOOKUP($D1875&amp;RIGHT($A1887,1),Players!$A$2:$D$132,3),"")</f>
        <v/>
      </c>
      <c r="H1887" s="225"/>
      <c r="I1887" s="225"/>
      <c r="J1887" s="168" t="str">
        <f>IF(VLOOKUP($D1875&amp;RIGHT($A1887,1),Players!$A$2:$D$132,3)&lt;&gt;0,"("&amp;VLOOKUP($D1875&amp;RIGHT($A1887,1),Players!$A$2:$D$132,4)&amp;")","")</f>
        <v/>
      </c>
    </row>
    <row r="1888" spans="1:10" ht="25.5" customHeight="1" x14ac:dyDescent="0.4">
      <c r="A1888" s="37" t="str">
        <f>CONCATENATE($I1875,"7")</f>
        <v>J7</v>
      </c>
      <c r="B1888" s="222" t="str">
        <f>IF(VLOOKUP($A1888,Players!$A$2:$C$132,3)&lt;&gt;0,VLOOKUP($A1888,Players!$A$2:$C$132,3),"")</f>
        <v/>
      </c>
      <c r="C1888" s="222"/>
      <c r="D1888" s="222"/>
      <c r="E1888" s="222"/>
      <c r="F1888" s="222"/>
      <c r="G1888" s="225" t="str">
        <f>IF(VLOOKUP($D1875&amp;RIGHT($A1888,1),Players!$A$2:$D$132,3)&lt;&gt;0,VLOOKUP($D1875&amp;RIGHT($A1888,1),Players!$A$2:$D$132,3),"")</f>
        <v/>
      </c>
      <c r="H1888" s="225"/>
      <c r="I1888" s="225"/>
      <c r="J1888" s="168" t="str">
        <f>IF(VLOOKUP($D1875&amp;RIGHT($A1888,1),Players!$A$2:$D$132,3)&lt;&gt;0,"("&amp;VLOOKUP($D1875&amp;RIGHT($A1888,1),Players!$A$2:$D$132,4)&amp;")","")</f>
        <v/>
      </c>
    </row>
    <row r="1889" spans="1:10" ht="25.5" customHeight="1" x14ac:dyDescent="0.4">
      <c r="A1889" s="37" t="str">
        <f>CONCATENATE($I1875,"8")</f>
        <v>J8</v>
      </c>
      <c r="B1889" s="222" t="str">
        <f>IF(VLOOKUP($A1889,Players!$A$2:$C$132,3)&lt;&gt;0,VLOOKUP($A1889,Players!$A$2:$C$132,3),"")</f>
        <v/>
      </c>
      <c r="C1889" s="222"/>
      <c r="D1889" s="222"/>
      <c r="E1889" s="222"/>
      <c r="F1889" s="222"/>
      <c r="G1889" s="225" t="str">
        <f>IF(VLOOKUP($D1875&amp;RIGHT($A1889,1),Players!$A$2:$D$132,3)&lt;&gt;0,VLOOKUP($D1875&amp;RIGHT($A1889,1),Players!$A$2:$D$132,3),"")</f>
        <v/>
      </c>
      <c r="H1889" s="225"/>
      <c r="I1889" s="225"/>
      <c r="J1889" s="168" t="str">
        <f>IF(VLOOKUP($D1875&amp;RIGHT($A1889,1),Players!$A$2:$D$132,3)&lt;&gt;0,"("&amp;VLOOKUP($D1875&amp;RIGHT($A1889,1),Players!$A$2:$D$132,4)&amp;")","")</f>
        <v/>
      </c>
    </row>
    <row r="1890" spans="1:10" ht="25.5" customHeight="1" x14ac:dyDescent="0.25">
      <c r="A1890" s="37"/>
      <c r="B1890" s="7"/>
      <c r="C1890" s="7"/>
      <c r="D1890" s="7"/>
      <c r="E1890" s="7"/>
    </row>
    <row r="1891" spans="1:10" x14ac:dyDescent="0.25">
      <c r="A1891" s="9" t="s">
        <v>157</v>
      </c>
    </row>
    <row r="1892" spans="1:10" x14ac:dyDescent="0.25">
      <c r="A1892" t="s">
        <v>179</v>
      </c>
    </row>
    <row r="1893" spans="1:10" x14ac:dyDescent="0.25">
      <c r="A1893" s="55" t="s">
        <v>918</v>
      </c>
    </row>
    <row r="1894" spans="1:10" x14ac:dyDescent="0.25">
      <c r="A1894" t="s">
        <v>919</v>
      </c>
    </row>
    <row r="1895" spans="1:10" ht="25.5" customHeight="1" thickBot="1" x14ac:dyDescent="0.3">
      <c r="A1895" s="37"/>
    </row>
    <row r="1896" spans="1:10" x14ac:dyDescent="0.25">
      <c r="B1896" s="213"/>
      <c r="C1896" s="214"/>
      <c r="D1896" s="214"/>
      <c r="E1896" s="214"/>
      <c r="F1896" s="215"/>
    </row>
    <row r="1897" spans="1:10" ht="13.8" thickBot="1" x14ac:dyDescent="0.3">
      <c r="B1897" s="216"/>
      <c r="C1897" s="217"/>
      <c r="D1897" s="217"/>
      <c r="E1897" s="217"/>
      <c r="F1897" s="218"/>
    </row>
    <row r="1901" spans="1:10" ht="25.5" customHeight="1" x14ac:dyDescent="0.25">
      <c r="A1901" s="36"/>
      <c r="B1901" s="36"/>
      <c r="C1901" s="36"/>
      <c r="D1901" s="36"/>
      <c r="E1901" s="36"/>
      <c r="G1901" s="38"/>
      <c r="H1901" s="227" t="s">
        <v>159</v>
      </c>
      <c r="I1901" s="228"/>
    </row>
    <row r="1902" spans="1:10" x14ac:dyDescent="0.25">
      <c r="A1902" t="s">
        <v>158</v>
      </c>
    </row>
    <row r="1904" spans="1:10" x14ac:dyDescent="0.25">
      <c r="E1904" s="219" t="str">
        <f>CONCATENATE("(",$D1875," vs ",$I1875,")")</f>
        <v>(E vs J)</v>
      </c>
      <c r="F1904" s="219"/>
    </row>
    <row r="1905" spans="1:10" ht="15.6" x14ac:dyDescent="0.3">
      <c r="A1905" s="33" t="s">
        <v>155</v>
      </c>
      <c r="J1905" s="82" t="s">
        <v>527</v>
      </c>
    </row>
    <row r="1906" spans="1:10" ht="12.75" customHeight="1" x14ac:dyDescent="0.3">
      <c r="A1906" s="33"/>
      <c r="G1906" t="str">
        <f ca="1">Team_Matches!$J$6</f>
        <v>[NCTTA Teams Template (v3.4).xlsx]</v>
      </c>
      <c r="J1906" s="55"/>
    </row>
    <row r="1907" spans="1:10" ht="12.75" customHeight="1" x14ac:dyDescent="0.3">
      <c r="A1907" s="33"/>
      <c r="G1907" s="229" t="str">
        <f>Team_Matches!$J1435</f>
        <v>Round 5, Match 5</v>
      </c>
      <c r="H1907" s="229"/>
      <c r="I1907" s="127" t="str">
        <f>Team_Matches!$M1435</f>
        <v/>
      </c>
      <c r="J1907" s="127"/>
    </row>
    <row r="1908" spans="1:10" ht="15.6" x14ac:dyDescent="0.3">
      <c r="A1908" s="33"/>
    </row>
    <row r="1909" spans="1:10" x14ac:dyDescent="0.25">
      <c r="C1909" s="7" t="s">
        <v>160</v>
      </c>
      <c r="D1909" s="39" t="str">
        <f>Team_Matches!$B1437</f>
        <v>F</v>
      </c>
      <c r="F1909" s="83" t="str">
        <f>CONCATENATE($D1909,"-",$I1909)</f>
        <v>F-I</v>
      </c>
      <c r="H1909" s="7" t="s">
        <v>160</v>
      </c>
      <c r="I1909" s="39" t="str">
        <f>Team_Matches!$K1437</f>
        <v>I</v>
      </c>
    </row>
    <row r="1910" spans="1:10" ht="25.5" customHeight="1" x14ac:dyDescent="0.25">
      <c r="A1910" s="34"/>
      <c r="B1910" s="220" t="str">
        <f>IF(VLOOKUP($D1909,Draw!$A$4:$B$27,2)&lt;&gt;0,VLOOKUP($D1909,Draw!$A$4:$B$27,2),"")</f>
        <v/>
      </c>
      <c r="C1910" s="220"/>
      <c r="D1910" s="220"/>
      <c r="E1910" s="221"/>
      <c r="F1910" s="35"/>
      <c r="G1910" s="223" t="str">
        <f>IF(VLOOKUP($I1909,Draw!$A$4:$B$27,2)&lt;&gt;0,VLOOKUP($I1909,Draw!$A$4:$B$27,2),"")</f>
        <v/>
      </c>
      <c r="H1910" s="223"/>
      <c r="I1910" s="223"/>
      <c r="J1910" s="224"/>
    </row>
    <row r="1911" spans="1:10" ht="25.5" customHeight="1" x14ac:dyDescent="0.25"/>
    <row r="1912" spans="1:10" ht="25.5" customHeight="1" x14ac:dyDescent="0.25"/>
    <row r="1913" spans="1:10" ht="24" customHeight="1" x14ac:dyDescent="0.25">
      <c r="A1913" s="9" t="s">
        <v>178</v>
      </c>
    </row>
    <row r="1914" spans="1:10" ht="24" customHeight="1" x14ac:dyDescent="0.25">
      <c r="A1914" s="9"/>
    </row>
    <row r="1915" spans="1:10" x14ac:dyDescent="0.25">
      <c r="A1915" s="9" t="s">
        <v>156</v>
      </c>
      <c r="G1915" s="226" t="s">
        <v>873</v>
      </c>
      <c r="H1915" s="226"/>
      <c r="I1915" s="226"/>
      <c r="J1915" s="226"/>
    </row>
    <row r="1916" spans="1:10" ht="24" customHeight="1" x14ac:dyDescent="0.4">
      <c r="A1916" s="37" t="str">
        <f>CONCATENATE($D1909,"1")</f>
        <v>F1</v>
      </c>
      <c r="B1916" s="222" t="str">
        <f>IF(VLOOKUP($A1916,Players!$A$2:$C$132,3)&lt;&gt;0,VLOOKUP($A1916,Players!$A$2:$C$132,3),"")</f>
        <v/>
      </c>
      <c r="C1916" s="222"/>
      <c r="D1916" s="222"/>
      <c r="E1916" s="222"/>
      <c r="F1916" s="222"/>
      <c r="G1916" s="225" t="str">
        <f>IF(VLOOKUP($I1909&amp;RIGHT($A1916,1),Players!$A$2:$D$132,3)&lt;&gt;0,VLOOKUP($I1909&amp;RIGHT($A1916,1),Players!$A$2:$D$132,3),"")</f>
        <v/>
      </c>
      <c r="H1916" s="225"/>
      <c r="I1916" s="225"/>
      <c r="J1916" s="168" t="str">
        <f>IF(VLOOKUP($I1909&amp;RIGHT($A1916,1),Players!$A$2:$D$132,3)&lt;&gt;0,"("&amp;VLOOKUP($I1909&amp;RIGHT($A1916,1),Players!$A$2:$D$132,4)&amp;")","")</f>
        <v/>
      </c>
    </row>
    <row r="1917" spans="1:10" ht="25.5" customHeight="1" x14ac:dyDescent="0.4">
      <c r="A1917" s="37" t="str">
        <f>CONCATENATE($D1909,"2")</f>
        <v>F2</v>
      </c>
      <c r="B1917" s="222" t="str">
        <f>IF(VLOOKUP($A1917,Players!$A$2:$C$132,3)&lt;&gt;0,VLOOKUP($A1917,Players!$A$2:$C$132,3),"")</f>
        <v/>
      </c>
      <c r="C1917" s="222"/>
      <c r="D1917" s="222"/>
      <c r="E1917" s="222"/>
      <c r="F1917" s="222"/>
      <c r="G1917" s="225" t="str">
        <f>IF(VLOOKUP($I1909&amp;RIGHT($A1917,1),Players!$A$2:$D$132,3)&lt;&gt;0,VLOOKUP($I1909&amp;RIGHT($A1917,1),Players!$A$2:$D$132,3),"")</f>
        <v/>
      </c>
      <c r="H1917" s="225"/>
      <c r="I1917" s="225"/>
      <c r="J1917" s="168" t="str">
        <f>IF(VLOOKUP($I1909&amp;RIGHT($A1917,1),Players!$A$2:$D$132,3)&lt;&gt;0,"("&amp;VLOOKUP($I1909&amp;RIGHT($A1917,1),Players!$A$2:$D$132,4)&amp;")","")</f>
        <v/>
      </c>
    </row>
    <row r="1918" spans="1:10" ht="25.5" customHeight="1" x14ac:dyDescent="0.4">
      <c r="A1918" s="37" t="str">
        <f>CONCATENATE($D1909,"3")</f>
        <v>F3</v>
      </c>
      <c r="B1918" s="222" t="str">
        <f>IF(VLOOKUP($A1918,Players!$A$2:$C$132,3)&lt;&gt;0,VLOOKUP($A1918,Players!$A$2:$C$132,3),"")</f>
        <v/>
      </c>
      <c r="C1918" s="222"/>
      <c r="D1918" s="222"/>
      <c r="E1918" s="222"/>
      <c r="F1918" s="222"/>
      <c r="G1918" s="225" t="str">
        <f>IF(VLOOKUP($I1909&amp;RIGHT($A1918,1),Players!$A$2:$D$132,3)&lt;&gt;0,VLOOKUP($I1909&amp;RIGHT($A1918,1),Players!$A$2:$D$132,3),"")</f>
        <v/>
      </c>
      <c r="H1918" s="225"/>
      <c r="I1918" s="225"/>
      <c r="J1918" s="168" t="str">
        <f>IF(VLOOKUP($I1909&amp;RIGHT($A1918,1),Players!$A$2:$D$132,3)&lt;&gt;0,"("&amp;VLOOKUP($I1909&amp;RIGHT($A1918,1),Players!$A$2:$D$132,4)&amp;")","")</f>
        <v/>
      </c>
    </row>
    <row r="1919" spans="1:10" ht="25.5" customHeight="1" x14ac:dyDescent="0.4">
      <c r="A1919" s="37" t="str">
        <f>CONCATENATE($D1909,"4")</f>
        <v>F4</v>
      </c>
      <c r="B1919" s="222" t="str">
        <f>IF(VLOOKUP($A1919,Players!$A$2:$C$132,3)&lt;&gt;0,VLOOKUP($A1919,Players!$A$2:$C$132,3),"")</f>
        <v/>
      </c>
      <c r="C1919" s="222"/>
      <c r="D1919" s="222"/>
      <c r="E1919" s="222"/>
      <c r="F1919" s="222"/>
      <c r="G1919" s="225" t="str">
        <f>IF(VLOOKUP($I1909&amp;RIGHT($A1919,1),Players!$A$2:$D$132,3)&lt;&gt;0,VLOOKUP($I1909&amp;RIGHT($A1919,1),Players!$A$2:$D$132,3),"")</f>
        <v/>
      </c>
      <c r="H1919" s="225"/>
      <c r="I1919" s="225"/>
      <c r="J1919" s="168" t="str">
        <f>IF(VLOOKUP($I1909&amp;RIGHT($A1919,1),Players!$A$2:$D$132,3)&lt;&gt;0,"("&amp;VLOOKUP($I1909&amp;RIGHT($A1919,1),Players!$A$2:$D$132,4)&amp;")","")</f>
        <v/>
      </c>
    </row>
    <row r="1920" spans="1:10" ht="25.5" customHeight="1" x14ac:dyDescent="0.4">
      <c r="A1920" s="37" t="str">
        <f>CONCATENATE($D1909,"5")</f>
        <v>F5</v>
      </c>
      <c r="B1920" s="222" t="str">
        <f>IF(VLOOKUP($A1920,Players!$A$2:$C$132,3)&lt;&gt;0,VLOOKUP($A1920,Players!$A$2:$C$132,3),"")</f>
        <v/>
      </c>
      <c r="C1920" s="222"/>
      <c r="D1920" s="222"/>
      <c r="E1920" s="222"/>
      <c r="F1920" s="222"/>
      <c r="G1920" s="225" t="str">
        <f>IF(VLOOKUP($I1909&amp;RIGHT($A1920,1),Players!$A$2:$D$132,3)&lt;&gt;0,VLOOKUP($I1909&amp;RIGHT($A1920,1),Players!$A$2:$D$132,3),"")</f>
        <v/>
      </c>
      <c r="H1920" s="225"/>
      <c r="I1920" s="225"/>
      <c r="J1920" s="168" t="str">
        <f>IF(VLOOKUP($I1909&amp;RIGHT($A1920,1),Players!$A$2:$D$132,3)&lt;&gt;0,"("&amp;VLOOKUP($I1909&amp;RIGHT($A1920,1),Players!$A$2:$D$132,4)&amp;")","")</f>
        <v/>
      </c>
    </row>
    <row r="1921" spans="1:10" ht="25.5" customHeight="1" x14ac:dyDescent="0.4">
      <c r="A1921" s="37" t="str">
        <f>CONCATENATE($D1909,"6")</f>
        <v>F6</v>
      </c>
      <c r="B1921" s="222" t="str">
        <f>IF(VLOOKUP($A1921,Players!$A$2:$C$132,3)&lt;&gt;0,VLOOKUP($A1921,Players!$A$2:$C$132,3),"")</f>
        <v/>
      </c>
      <c r="C1921" s="222"/>
      <c r="D1921" s="222"/>
      <c r="E1921" s="222"/>
      <c r="F1921" s="222"/>
      <c r="G1921" s="225" t="str">
        <f>IF(VLOOKUP($I1909&amp;RIGHT($A1921,1),Players!$A$2:$D$132,3)&lt;&gt;0,VLOOKUP($I1909&amp;RIGHT($A1921,1),Players!$A$2:$D$132,3),"")</f>
        <v/>
      </c>
      <c r="H1921" s="225"/>
      <c r="I1921" s="225"/>
      <c r="J1921" s="168" t="str">
        <f>IF(VLOOKUP($I1909&amp;RIGHT($A1921,1),Players!$A$2:$D$132,3)&lt;&gt;0,"("&amp;VLOOKUP($I1909&amp;RIGHT($A1921,1),Players!$A$2:$D$132,4)&amp;")","")</f>
        <v/>
      </c>
    </row>
    <row r="1922" spans="1:10" ht="25.5" customHeight="1" x14ac:dyDescent="0.4">
      <c r="A1922" s="37" t="str">
        <f>CONCATENATE($D1909,"7")</f>
        <v>F7</v>
      </c>
      <c r="B1922" s="222" t="str">
        <f>IF(VLOOKUP($A1922,Players!$A$2:$C$132,3)&lt;&gt;0,VLOOKUP($A1922,Players!$A$2:$C$132,3),"")</f>
        <v/>
      </c>
      <c r="C1922" s="222"/>
      <c r="D1922" s="222"/>
      <c r="E1922" s="222"/>
      <c r="F1922" s="222"/>
      <c r="G1922" s="225" t="str">
        <f>IF(VLOOKUP($I1909&amp;RIGHT($A1922,1),Players!$A$2:$D$132,3)&lt;&gt;0,VLOOKUP($I1909&amp;RIGHT($A1922,1),Players!$A$2:$D$132,3),"")</f>
        <v/>
      </c>
      <c r="H1922" s="225"/>
      <c r="I1922" s="225"/>
      <c r="J1922" s="168" t="str">
        <f>IF(VLOOKUP($I1909&amp;RIGHT($A1922,1),Players!$A$2:$D$132,3)&lt;&gt;0,"("&amp;VLOOKUP($I1909&amp;RIGHT($A1922,1),Players!$A$2:$D$132,4)&amp;")","")</f>
        <v/>
      </c>
    </row>
    <row r="1923" spans="1:10" ht="25.5" customHeight="1" x14ac:dyDescent="0.4">
      <c r="A1923" s="37" t="str">
        <f>CONCATENATE($D1909,"8")</f>
        <v>F8</v>
      </c>
      <c r="B1923" s="222" t="str">
        <f>IF(VLOOKUP($A1923,Players!$A$2:$C$132,3)&lt;&gt;0,VLOOKUP($A1923,Players!$A$2:$C$132,3),"")</f>
        <v/>
      </c>
      <c r="C1923" s="222"/>
      <c r="D1923" s="222"/>
      <c r="E1923" s="222"/>
      <c r="F1923" s="222"/>
      <c r="G1923" s="225" t="str">
        <f>IF(VLOOKUP($I1909&amp;RIGHT($A1923,1),Players!$A$2:$D$132,3)&lt;&gt;0,VLOOKUP($I1909&amp;RIGHT($A1923,1),Players!$A$2:$D$132,3),"")</f>
        <v/>
      </c>
      <c r="H1923" s="225"/>
      <c r="I1923" s="225"/>
      <c r="J1923" s="168" t="str">
        <f>IF(VLOOKUP($I1909&amp;RIGHT($A1923,1),Players!$A$2:$D$132,3)&lt;&gt;0,"("&amp;VLOOKUP($I1909&amp;RIGHT($A1923,1),Players!$A$2:$D$132,4)&amp;")","")</f>
        <v/>
      </c>
    </row>
    <row r="1924" spans="1:10" ht="25.5" customHeight="1" x14ac:dyDescent="0.25">
      <c r="A1924" s="37"/>
      <c r="B1924" s="7"/>
      <c r="C1924" s="7"/>
      <c r="D1924" s="7"/>
      <c r="E1924" s="7"/>
    </row>
    <row r="1925" spans="1:10" x14ac:dyDescent="0.25">
      <c r="A1925" s="9" t="s">
        <v>157</v>
      </c>
    </row>
    <row r="1926" spans="1:10" x14ac:dyDescent="0.25">
      <c r="A1926" t="s">
        <v>179</v>
      </c>
    </row>
    <row r="1927" spans="1:10" x14ac:dyDescent="0.25">
      <c r="A1927" s="55" t="s">
        <v>918</v>
      </c>
    </row>
    <row r="1928" spans="1:10" x14ac:dyDescent="0.25">
      <c r="A1928" t="s">
        <v>919</v>
      </c>
    </row>
    <row r="1929" spans="1:10" ht="25.5" customHeight="1" thickBot="1" x14ac:dyDescent="0.3">
      <c r="A1929" s="37"/>
    </row>
    <row r="1930" spans="1:10" x14ac:dyDescent="0.25">
      <c r="B1930" s="213"/>
      <c r="C1930" s="214"/>
      <c r="D1930" s="214"/>
      <c r="E1930" s="214"/>
      <c r="F1930" s="215"/>
    </row>
    <row r="1931" spans="1:10" ht="13.8" thickBot="1" x14ac:dyDescent="0.3">
      <c r="B1931" s="216"/>
      <c r="C1931" s="217"/>
      <c r="D1931" s="217"/>
      <c r="E1931" s="217"/>
      <c r="F1931" s="218"/>
    </row>
    <row r="1935" spans="1:10" ht="25.5" customHeight="1" x14ac:dyDescent="0.25">
      <c r="A1935" s="36"/>
      <c r="B1935" s="36"/>
      <c r="C1935" s="36"/>
      <c r="D1935" s="36"/>
      <c r="E1935" s="36"/>
      <c r="G1935" s="38"/>
      <c r="H1935" s="227" t="s">
        <v>159</v>
      </c>
      <c r="I1935" s="228"/>
    </row>
    <row r="1936" spans="1:10" x14ac:dyDescent="0.25">
      <c r="A1936" t="s">
        <v>158</v>
      </c>
    </row>
    <row r="1938" spans="1:10" x14ac:dyDescent="0.25">
      <c r="E1938" s="219" t="str">
        <f>CONCATENATE("(",$D1909," vs ",$I1909,")")</f>
        <v>(F vs I)</v>
      </c>
      <c r="F1938" s="219"/>
    </row>
    <row r="1939" spans="1:10" ht="15.6" x14ac:dyDescent="0.3">
      <c r="A1939" s="33" t="s">
        <v>155</v>
      </c>
      <c r="J1939" s="82" t="s">
        <v>528</v>
      </c>
    </row>
    <row r="1940" spans="1:10" ht="12.75" customHeight="1" x14ac:dyDescent="0.3">
      <c r="A1940" s="33"/>
      <c r="G1940" t="str">
        <f ca="1">Team_Matches!$J$6</f>
        <v>[NCTTA Teams Template (v3.4).xlsx]</v>
      </c>
      <c r="J1940" s="55"/>
    </row>
    <row r="1941" spans="1:10" ht="12.75" customHeight="1" x14ac:dyDescent="0.3">
      <c r="A1941" s="33"/>
      <c r="G1941" s="229" t="str">
        <f>Team_Matches!$J1435</f>
        <v>Round 5, Match 5</v>
      </c>
      <c r="H1941" s="229"/>
      <c r="I1941" s="127" t="str">
        <f>Team_Matches!$M1435</f>
        <v/>
      </c>
      <c r="J1941" s="127"/>
    </row>
    <row r="1942" spans="1:10" ht="15.6" x14ac:dyDescent="0.3">
      <c r="A1942" s="33"/>
    </row>
    <row r="1943" spans="1:10" x14ac:dyDescent="0.25">
      <c r="C1943" s="7" t="s">
        <v>160</v>
      </c>
      <c r="D1943" s="39" t="str">
        <f>Team_Matches!$B1437</f>
        <v>F</v>
      </c>
      <c r="F1943" s="83" t="str">
        <f>CONCATENATE($D1943,"-",$I1943)</f>
        <v>F-I</v>
      </c>
      <c r="H1943" s="7" t="s">
        <v>160</v>
      </c>
      <c r="I1943" s="39" t="str">
        <f>Team_Matches!$K1437</f>
        <v>I</v>
      </c>
    </row>
    <row r="1944" spans="1:10" ht="25.5" customHeight="1" x14ac:dyDescent="0.25">
      <c r="A1944" s="34"/>
      <c r="B1944" s="223" t="str">
        <f>IF(VLOOKUP($D1943,Draw!$A$4:$B$27,2)&lt;&gt;0,VLOOKUP($D1943,Draw!$A$4:$B$27,2),"")</f>
        <v/>
      </c>
      <c r="C1944" s="223"/>
      <c r="D1944" s="223"/>
      <c r="E1944" s="224"/>
      <c r="F1944" s="35"/>
      <c r="G1944" s="220" t="str">
        <f>IF(VLOOKUP($I1943,Draw!$A$4:$B$27,2)&lt;&gt;0,VLOOKUP($I1943,Draw!$A$4:$B$27,2),"")</f>
        <v/>
      </c>
      <c r="H1944" s="220"/>
      <c r="I1944" s="220"/>
      <c r="J1944" s="221"/>
    </row>
    <row r="1945" spans="1:10" ht="25.5" customHeight="1" x14ac:dyDescent="0.25"/>
    <row r="1946" spans="1:10" ht="25.5" customHeight="1" x14ac:dyDescent="0.25"/>
    <row r="1947" spans="1:10" ht="24" customHeight="1" x14ac:dyDescent="0.25">
      <c r="A1947" s="9" t="s">
        <v>178</v>
      </c>
    </row>
    <row r="1948" spans="1:10" ht="24" customHeight="1" x14ac:dyDescent="0.25">
      <c r="A1948" s="9"/>
    </row>
    <row r="1949" spans="1:10" x14ac:dyDescent="0.25">
      <c r="A1949" s="9" t="s">
        <v>156</v>
      </c>
      <c r="G1949" s="226" t="s">
        <v>873</v>
      </c>
      <c r="H1949" s="226"/>
      <c r="I1949" s="226"/>
      <c r="J1949" s="226"/>
    </row>
    <row r="1950" spans="1:10" ht="24" customHeight="1" x14ac:dyDescent="0.4">
      <c r="A1950" s="37" t="str">
        <f>CONCATENATE($I1943,"1")</f>
        <v>I1</v>
      </c>
      <c r="B1950" s="222" t="str">
        <f>IF(VLOOKUP($A1950,Players!$A$2:$C$132,3)&lt;&gt;0,VLOOKUP($A1950,Players!$A$2:$C$132,3),"")</f>
        <v/>
      </c>
      <c r="C1950" s="222"/>
      <c r="D1950" s="222"/>
      <c r="E1950" s="222"/>
      <c r="F1950" s="222"/>
      <c r="G1950" s="225" t="str">
        <f>IF(VLOOKUP($D1943&amp;RIGHT($A1950,1),Players!$A$2:$D$132,3)&lt;&gt;0,VLOOKUP($D1943&amp;RIGHT($A1950,1),Players!$A$2:$D$132,3),"")</f>
        <v/>
      </c>
      <c r="H1950" s="225"/>
      <c r="I1950" s="225"/>
      <c r="J1950" s="168" t="str">
        <f>IF(VLOOKUP($D1943&amp;RIGHT($A1950,1),Players!$A$2:$D$132,3)&lt;&gt;0,"("&amp;VLOOKUP($D1943&amp;RIGHT($A1950,1),Players!$A$2:$D$132,4)&amp;")","")</f>
        <v/>
      </c>
    </row>
    <row r="1951" spans="1:10" ht="25.5" customHeight="1" x14ac:dyDescent="0.4">
      <c r="A1951" s="37" t="str">
        <f>CONCATENATE($I1943,"2")</f>
        <v>I2</v>
      </c>
      <c r="B1951" s="222" t="str">
        <f>IF(VLOOKUP($A1951,Players!$A$2:$C$132,3)&lt;&gt;0,VLOOKUP($A1951,Players!$A$2:$C$132,3),"")</f>
        <v/>
      </c>
      <c r="C1951" s="222"/>
      <c r="D1951" s="222"/>
      <c r="E1951" s="222"/>
      <c r="F1951" s="222"/>
      <c r="G1951" s="225" t="str">
        <f>IF(VLOOKUP($D1943&amp;RIGHT($A1951,1),Players!$A$2:$D$132,3)&lt;&gt;0,VLOOKUP($D1943&amp;RIGHT($A1951,1),Players!$A$2:$D$132,3),"")</f>
        <v/>
      </c>
      <c r="H1951" s="225"/>
      <c r="I1951" s="225"/>
      <c r="J1951" s="168" t="str">
        <f>IF(VLOOKUP($D1943&amp;RIGHT($A1951,1),Players!$A$2:$D$132,3)&lt;&gt;0,"("&amp;VLOOKUP($D1943&amp;RIGHT($A1951,1),Players!$A$2:$D$132,4)&amp;")","")</f>
        <v/>
      </c>
    </row>
    <row r="1952" spans="1:10" ht="25.5" customHeight="1" x14ac:dyDescent="0.4">
      <c r="A1952" s="37" t="str">
        <f>CONCATENATE($I1943,"3")</f>
        <v>I3</v>
      </c>
      <c r="B1952" s="222" t="str">
        <f>IF(VLOOKUP($A1952,Players!$A$2:$C$132,3)&lt;&gt;0,VLOOKUP($A1952,Players!$A$2:$C$132,3),"")</f>
        <v/>
      </c>
      <c r="C1952" s="222"/>
      <c r="D1952" s="222"/>
      <c r="E1952" s="222"/>
      <c r="F1952" s="222"/>
      <c r="G1952" s="225" t="str">
        <f>IF(VLOOKUP($D1943&amp;RIGHT($A1952,1),Players!$A$2:$D$132,3)&lt;&gt;0,VLOOKUP($D1943&amp;RIGHT($A1952,1),Players!$A$2:$D$132,3),"")</f>
        <v/>
      </c>
      <c r="H1952" s="225"/>
      <c r="I1952" s="225"/>
      <c r="J1952" s="168" t="str">
        <f>IF(VLOOKUP($D1943&amp;RIGHT($A1952,1),Players!$A$2:$D$132,3)&lt;&gt;0,"("&amp;VLOOKUP($D1943&amp;RIGHT($A1952,1),Players!$A$2:$D$132,4)&amp;")","")</f>
        <v/>
      </c>
    </row>
    <row r="1953" spans="1:10" ht="25.5" customHeight="1" x14ac:dyDescent="0.4">
      <c r="A1953" s="37" t="str">
        <f>CONCATENATE($I1943,"4")</f>
        <v>I4</v>
      </c>
      <c r="B1953" s="222" t="str">
        <f>IF(VLOOKUP($A1953,Players!$A$2:$C$132,3)&lt;&gt;0,VLOOKUP($A1953,Players!$A$2:$C$132,3),"")</f>
        <v/>
      </c>
      <c r="C1953" s="222"/>
      <c r="D1953" s="222"/>
      <c r="E1953" s="222"/>
      <c r="F1953" s="222"/>
      <c r="G1953" s="225" t="str">
        <f>IF(VLOOKUP($D1943&amp;RIGHT($A1953,1),Players!$A$2:$D$132,3)&lt;&gt;0,VLOOKUP($D1943&amp;RIGHT($A1953,1),Players!$A$2:$D$132,3),"")</f>
        <v/>
      </c>
      <c r="H1953" s="225"/>
      <c r="I1953" s="225"/>
      <c r="J1953" s="168" t="str">
        <f>IF(VLOOKUP($D1943&amp;RIGHT($A1953,1),Players!$A$2:$D$132,3)&lt;&gt;0,"("&amp;VLOOKUP($D1943&amp;RIGHT($A1953,1),Players!$A$2:$D$132,4)&amp;")","")</f>
        <v/>
      </c>
    </row>
    <row r="1954" spans="1:10" ht="25.5" customHeight="1" x14ac:dyDescent="0.4">
      <c r="A1954" s="37" t="str">
        <f>CONCATENATE($I1943,"5")</f>
        <v>I5</v>
      </c>
      <c r="B1954" s="222" t="str">
        <f>IF(VLOOKUP($A1954,Players!$A$2:$C$132,3)&lt;&gt;0,VLOOKUP($A1954,Players!$A$2:$C$132,3),"")</f>
        <v/>
      </c>
      <c r="C1954" s="222"/>
      <c r="D1954" s="222"/>
      <c r="E1954" s="222"/>
      <c r="F1954" s="222"/>
      <c r="G1954" s="225" t="str">
        <f>IF(VLOOKUP($D1943&amp;RIGHT($A1954,1),Players!$A$2:$D$132,3)&lt;&gt;0,VLOOKUP($D1943&amp;RIGHT($A1954,1),Players!$A$2:$D$132,3),"")</f>
        <v/>
      </c>
      <c r="H1954" s="225"/>
      <c r="I1954" s="225"/>
      <c r="J1954" s="168" t="str">
        <f>IF(VLOOKUP($D1943&amp;RIGHT($A1954,1),Players!$A$2:$D$132,3)&lt;&gt;0,"("&amp;VLOOKUP($D1943&amp;RIGHT($A1954,1),Players!$A$2:$D$132,4)&amp;")","")</f>
        <v/>
      </c>
    </row>
    <row r="1955" spans="1:10" ht="25.5" customHeight="1" x14ac:dyDescent="0.4">
      <c r="A1955" s="37" t="str">
        <f>CONCATENATE($I1943,"6")</f>
        <v>I6</v>
      </c>
      <c r="B1955" s="222" t="str">
        <f>IF(VLOOKUP($A1955,Players!$A$2:$C$132,3)&lt;&gt;0,VLOOKUP($A1955,Players!$A$2:$C$132,3),"")</f>
        <v/>
      </c>
      <c r="C1955" s="222"/>
      <c r="D1955" s="222"/>
      <c r="E1955" s="222"/>
      <c r="F1955" s="222"/>
      <c r="G1955" s="225" t="str">
        <f>IF(VLOOKUP($D1943&amp;RIGHT($A1955,1),Players!$A$2:$D$132,3)&lt;&gt;0,VLOOKUP($D1943&amp;RIGHT($A1955,1),Players!$A$2:$D$132,3),"")</f>
        <v/>
      </c>
      <c r="H1955" s="225"/>
      <c r="I1955" s="225"/>
      <c r="J1955" s="168" t="str">
        <f>IF(VLOOKUP($D1943&amp;RIGHT($A1955,1),Players!$A$2:$D$132,3)&lt;&gt;0,"("&amp;VLOOKUP($D1943&amp;RIGHT($A1955,1),Players!$A$2:$D$132,4)&amp;")","")</f>
        <v/>
      </c>
    </row>
    <row r="1956" spans="1:10" ht="25.5" customHeight="1" x14ac:dyDescent="0.4">
      <c r="A1956" s="37" t="str">
        <f>CONCATENATE($I1943,"7")</f>
        <v>I7</v>
      </c>
      <c r="B1956" s="222" t="str">
        <f>IF(VLOOKUP($A1956,Players!$A$2:$C$132,3)&lt;&gt;0,VLOOKUP($A1956,Players!$A$2:$C$132,3),"")</f>
        <v/>
      </c>
      <c r="C1956" s="222"/>
      <c r="D1956" s="222"/>
      <c r="E1956" s="222"/>
      <c r="F1956" s="222"/>
      <c r="G1956" s="225" t="str">
        <f>IF(VLOOKUP($D1943&amp;RIGHT($A1956,1),Players!$A$2:$D$132,3)&lt;&gt;0,VLOOKUP($D1943&amp;RIGHT($A1956,1),Players!$A$2:$D$132,3),"")</f>
        <v/>
      </c>
      <c r="H1956" s="225"/>
      <c r="I1956" s="225"/>
      <c r="J1956" s="168" t="str">
        <f>IF(VLOOKUP($D1943&amp;RIGHT($A1956,1),Players!$A$2:$D$132,3)&lt;&gt;0,"("&amp;VLOOKUP($D1943&amp;RIGHT($A1956,1),Players!$A$2:$D$132,4)&amp;")","")</f>
        <v/>
      </c>
    </row>
    <row r="1957" spans="1:10" ht="25.5" customHeight="1" x14ac:dyDescent="0.4">
      <c r="A1957" s="37" t="str">
        <f>CONCATENATE($I1943,"8")</f>
        <v>I8</v>
      </c>
      <c r="B1957" s="222" t="str">
        <f>IF(VLOOKUP($A1957,Players!$A$2:$C$132,3)&lt;&gt;0,VLOOKUP($A1957,Players!$A$2:$C$132,3),"")</f>
        <v/>
      </c>
      <c r="C1957" s="222"/>
      <c r="D1957" s="222"/>
      <c r="E1957" s="222"/>
      <c r="F1957" s="222"/>
      <c r="G1957" s="225" t="str">
        <f>IF(VLOOKUP($D1943&amp;RIGHT($A1957,1),Players!$A$2:$D$132,3)&lt;&gt;0,VLOOKUP($D1943&amp;RIGHT($A1957,1),Players!$A$2:$D$132,3),"")</f>
        <v/>
      </c>
      <c r="H1957" s="225"/>
      <c r="I1957" s="225"/>
      <c r="J1957" s="168" t="str">
        <f>IF(VLOOKUP($D1943&amp;RIGHT($A1957,1),Players!$A$2:$D$132,3)&lt;&gt;0,"("&amp;VLOOKUP($D1943&amp;RIGHT($A1957,1),Players!$A$2:$D$132,4)&amp;")","")</f>
        <v/>
      </c>
    </row>
    <row r="1958" spans="1:10" ht="25.5" customHeight="1" x14ac:dyDescent="0.25">
      <c r="A1958" s="37"/>
      <c r="B1958" s="7"/>
      <c r="C1958" s="7"/>
      <c r="D1958" s="7"/>
      <c r="E1958" s="7"/>
    </row>
    <row r="1959" spans="1:10" x14ac:dyDescent="0.25">
      <c r="A1959" s="9" t="s">
        <v>157</v>
      </c>
    </row>
    <row r="1960" spans="1:10" x14ac:dyDescent="0.25">
      <c r="A1960" t="s">
        <v>179</v>
      </c>
    </row>
    <row r="1961" spans="1:10" x14ac:dyDescent="0.25">
      <c r="A1961" s="55" t="s">
        <v>918</v>
      </c>
    </row>
    <row r="1962" spans="1:10" x14ac:dyDescent="0.25">
      <c r="A1962" t="s">
        <v>919</v>
      </c>
    </row>
    <row r="1963" spans="1:10" ht="25.5" customHeight="1" thickBot="1" x14ac:dyDescent="0.3">
      <c r="A1963" s="37"/>
    </row>
    <row r="1964" spans="1:10" x14ac:dyDescent="0.25">
      <c r="B1964" s="213"/>
      <c r="C1964" s="214"/>
      <c r="D1964" s="214"/>
      <c r="E1964" s="214"/>
      <c r="F1964" s="215"/>
    </row>
    <row r="1965" spans="1:10" ht="13.8" thickBot="1" x14ac:dyDescent="0.3">
      <c r="B1965" s="216"/>
      <c r="C1965" s="217"/>
      <c r="D1965" s="217"/>
      <c r="E1965" s="217"/>
      <c r="F1965" s="218"/>
    </row>
    <row r="1969" spans="1:10" ht="25.5" customHeight="1" x14ac:dyDescent="0.25">
      <c r="A1969" s="36"/>
      <c r="B1969" s="36"/>
      <c r="C1969" s="36"/>
      <c r="D1969" s="36"/>
      <c r="E1969" s="36"/>
      <c r="G1969" s="38"/>
      <c r="H1969" s="227" t="s">
        <v>159</v>
      </c>
      <c r="I1969" s="228"/>
    </row>
    <row r="1970" spans="1:10" x14ac:dyDescent="0.25">
      <c r="A1970" t="s">
        <v>158</v>
      </c>
    </row>
    <row r="1972" spans="1:10" x14ac:dyDescent="0.25">
      <c r="E1972" s="219" t="str">
        <f>CONCATENATE("(",$D1943," vs ",$I1943,")")</f>
        <v>(F vs I)</v>
      </c>
      <c r="F1972" s="219"/>
    </row>
    <row r="1973" spans="1:10" ht="15.6" x14ac:dyDescent="0.3">
      <c r="A1973" s="33" t="s">
        <v>155</v>
      </c>
      <c r="J1973" s="82" t="s">
        <v>529</v>
      </c>
    </row>
    <row r="1974" spans="1:10" ht="12.75" customHeight="1" x14ac:dyDescent="0.3">
      <c r="A1974" s="33"/>
      <c r="G1974" t="str">
        <f ca="1">Team_Matches!$J$6</f>
        <v>[NCTTA Teams Template (v3.4).xlsx]</v>
      </c>
      <c r="J1974" s="55"/>
    </row>
    <row r="1975" spans="1:10" ht="12.75" customHeight="1" x14ac:dyDescent="0.3">
      <c r="A1975" s="33"/>
      <c r="G1975" s="229" t="str">
        <f>Team_Matches!$J1486</f>
        <v>Round 5, Match 6</v>
      </c>
      <c r="H1975" s="229"/>
      <c r="I1975" s="127" t="str">
        <f>Team_Matches!$M1486</f>
        <v/>
      </c>
      <c r="J1975" s="127"/>
    </row>
    <row r="1976" spans="1:10" ht="15.6" x14ac:dyDescent="0.3">
      <c r="A1976" s="33"/>
    </row>
    <row r="1977" spans="1:10" x14ac:dyDescent="0.25">
      <c r="C1977" s="7" t="s">
        <v>160</v>
      </c>
      <c r="D1977" s="39" t="str">
        <f>Team_Matches!$B1488</f>
        <v>G</v>
      </c>
      <c r="F1977" s="83" t="str">
        <f>CONCATENATE($D1977,"-",$I1977)</f>
        <v>G-H</v>
      </c>
      <c r="H1977" s="7" t="s">
        <v>160</v>
      </c>
      <c r="I1977" s="39" t="str">
        <f>Team_Matches!$K1488</f>
        <v>H</v>
      </c>
    </row>
    <row r="1978" spans="1:10" ht="25.5" customHeight="1" x14ac:dyDescent="0.25">
      <c r="A1978" s="34"/>
      <c r="B1978" s="220" t="str">
        <f>IF(VLOOKUP($D1977,Draw!$A$4:$B$27,2)&lt;&gt;0,VLOOKUP($D1977,Draw!$A$4:$B$27,2),"")</f>
        <v/>
      </c>
      <c r="C1978" s="220"/>
      <c r="D1978" s="220"/>
      <c r="E1978" s="221"/>
      <c r="F1978" s="35"/>
      <c r="G1978" s="223" t="str">
        <f>IF(VLOOKUP($I1977,Draw!$A$4:$B$27,2)&lt;&gt;0,VLOOKUP($I1977,Draw!$A$4:$B$27,2),"")</f>
        <v/>
      </c>
      <c r="H1978" s="223"/>
      <c r="I1978" s="223"/>
      <c r="J1978" s="224"/>
    </row>
    <row r="1979" spans="1:10" ht="25.5" customHeight="1" x14ac:dyDescent="0.25"/>
    <row r="1980" spans="1:10" ht="25.5" customHeight="1" x14ac:dyDescent="0.25"/>
    <row r="1981" spans="1:10" ht="24" customHeight="1" x14ac:dyDescent="0.25">
      <c r="A1981" s="9" t="s">
        <v>178</v>
      </c>
    </row>
    <row r="1982" spans="1:10" ht="24" customHeight="1" x14ac:dyDescent="0.25">
      <c r="A1982" s="9"/>
    </row>
    <row r="1983" spans="1:10" x14ac:dyDescent="0.25">
      <c r="A1983" s="9" t="s">
        <v>156</v>
      </c>
      <c r="G1983" s="226" t="s">
        <v>873</v>
      </c>
      <c r="H1983" s="226"/>
      <c r="I1983" s="226"/>
      <c r="J1983" s="226"/>
    </row>
    <row r="1984" spans="1:10" ht="24" customHeight="1" x14ac:dyDescent="0.4">
      <c r="A1984" s="37" t="str">
        <f>CONCATENATE($D1977,"1")</f>
        <v>G1</v>
      </c>
      <c r="B1984" s="222" t="str">
        <f>IF(VLOOKUP($A1984,Players!$A$2:$C$132,3)&lt;&gt;0,VLOOKUP($A1984,Players!$A$2:$C$132,3),"")</f>
        <v/>
      </c>
      <c r="C1984" s="222"/>
      <c r="D1984" s="222"/>
      <c r="E1984" s="222"/>
      <c r="F1984" s="222"/>
      <c r="G1984" s="225" t="str">
        <f>IF(VLOOKUP($I1977&amp;RIGHT($A1984,1),Players!$A$2:$D$132,3)&lt;&gt;0,VLOOKUP($I1977&amp;RIGHT($A1984,1),Players!$A$2:$D$132,3),"")</f>
        <v/>
      </c>
      <c r="H1984" s="225"/>
      <c r="I1984" s="225"/>
      <c r="J1984" s="168" t="str">
        <f>IF(VLOOKUP($I1977&amp;RIGHT($A1984,1),Players!$A$2:$D$132,3)&lt;&gt;0,"("&amp;VLOOKUP($I1977&amp;RIGHT($A1984,1),Players!$A$2:$D$132,4)&amp;")","")</f>
        <v/>
      </c>
    </row>
    <row r="1985" spans="1:10" ht="25.5" customHeight="1" x14ac:dyDescent="0.4">
      <c r="A1985" s="37" t="str">
        <f>CONCATENATE($D1977,"2")</f>
        <v>G2</v>
      </c>
      <c r="B1985" s="222" t="str">
        <f>IF(VLOOKUP($A1985,Players!$A$2:$C$132,3)&lt;&gt;0,VLOOKUP($A1985,Players!$A$2:$C$132,3),"")</f>
        <v/>
      </c>
      <c r="C1985" s="222"/>
      <c r="D1985" s="222"/>
      <c r="E1985" s="222"/>
      <c r="F1985" s="222"/>
      <c r="G1985" s="225" t="str">
        <f>IF(VLOOKUP($I1977&amp;RIGHT($A1985,1),Players!$A$2:$D$132,3)&lt;&gt;0,VLOOKUP($I1977&amp;RIGHT($A1985,1),Players!$A$2:$D$132,3),"")</f>
        <v/>
      </c>
      <c r="H1985" s="225"/>
      <c r="I1985" s="225"/>
      <c r="J1985" s="168" t="str">
        <f>IF(VLOOKUP($I1977&amp;RIGHT($A1985,1),Players!$A$2:$D$132,3)&lt;&gt;0,"("&amp;VLOOKUP($I1977&amp;RIGHT($A1985,1),Players!$A$2:$D$132,4)&amp;")","")</f>
        <v/>
      </c>
    </row>
    <row r="1986" spans="1:10" ht="25.5" customHeight="1" x14ac:dyDescent="0.4">
      <c r="A1986" s="37" t="str">
        <f>CONCATENATE($D1977,"3")</f>
        <v>G3</v>
      </c>
      <c r="B1986" s="222" t="str">
        <f>IF(VLOOKUP($A1986,Players!$A$2:$C$132,3)&lt;&gt;0,VLOOKUP($A1986,Players!$A$2:$C$132,3),"")</f>
        <v/>
      </c>
      <c r="C1986" s="222"/>
      <c r="D1986" s="222"/>
      <c r="E1986" s="222"/>
      <c r="F1986" s="222"/>
      <c r="G1986" s="225" t="str">
        <f>IF(VLOOKUP($I1977&amp;RIGHT($A1986,1),Players!$A$2:$D$132,3)&lt;&gt;0,VLOOKUP($I1977&amp;RIGHT($A1986,1),Players!$A$2:$D$132,3),"")</f>
        <v/>
      </c>
      <c r="H1986" s="225"/>
      <c r="I1986" s="225"/>
      <c r="J1986" s="168" t="str">
        <f>IF(VLOOKUP($I1977&amp;RIGHT($A1986,1),Players!$A$2:$D$132,3)&lt;&gt;0,"("&amp;VLOOKUP($I1977&amp;RIGHT($A1986,1),Players!$A$2:$D$132,4)&amp;")","")</f>
        <v/>
      </c>
    </row>
    <row r="1987" spans="1:10" ht="25.5" customHeight="1" x14ac:dyDescent="0.4">
      <c r="A1987" s="37" t="str">
        <f>CONCATENATE($D1977,"4")</f>
        <v>G4</v>
      </c>
      <c r="B1987" s="222" t="str">
        <f>IF(VLOOKUP($A1987,Players!$A$2:$C$132,3)&lt;&gt;0,VLOOKUP($A1987,Players!$A$2:$C$132,3),"")</f>
        <v/>
      </c>
      <c r="C1987" s="222"/>
      <c r="D1987" s="222"/>
      <c r="E1987" s="222"/>
      <c r="F1987" s="222"/>
      <c r="G1987" s="225" t="str">
        <f>IF(VLOOKUP($I1977&amp;RIGHT($A1987,1),Players!$A$2:$D$132,3)&lt;&gt;0,VLOOKUP($I1977&amp;RIGHT($A1987,1),Players!$A$2:$D$132,3),"")</f>
        <v/>
      </c>
      <c r="H1987" s="225"/>
      <c r="I1987" s="225"/>
      <c r="J1987" s="168" t="str">
        <f>IF(VLOOKUP($I1977&amp;RIGHT($A1987,1),Players!$A$2:$D$132,3)&lt;&gt;0,"("&amp;VLOOKUP($I1977&amp;RIGHT($A1987,1),Players!$A$2:$D$132,4)&amp;")","")</f>
        <v/>
      </c>
    </row>
    <row r="1988" spans="1:10" ht="25.5" customHeight="1" x14ac:dyDescent="0.4">
      <c r="A1988" s="37" t="str">
        <f>CONCATENATE($D1977,"5")</f>
        <v>G5</v>
      </c>
      <c r="B1988" s="222" t="str">
        <f>IF(VLOOKUP($A1988,Players!$A$2:$C$132,3)&lt;&gt;0,VLOOKUP($A1988,Players!$A$2:$C$132,3),"")</f>
        <v/>
      </c>
      <c r="C1988" s="222"/>
      <c r="D1988" s="222"/>
      <c r="E1988" s="222"/>
      <c r="F1988" s="222"/>
      <c r="G1988" s="225" t="str">
        <f>IF(VLOOKUP($I1977&amp;RIGHT($A1988,1),Players!$A$2:$D$132,3)&lt;&gt;0,VLOOKUP($I1977&amp;RIGHT($A1988,1),Players!$A$2:$D$132,3),"")</f>
        <v/>
      </c>
      <c r="H1988" s="225"/>
      <c r="I1988" s="225"/>
      <c r="J1988" s="168" t="str">
        <f>IF(VLOOKUP($I1977&amp;RIGHT($A1988,1),Players!$A$2:$D$132,3)&lt;&gt;0,"("&amp;VLOOKUP($I1977&amp;RIGHT($A1988,1),Players!$A$2:$D$132,4)&amp;")","")</f>
        <v/>
      </c>
    </row>
    <row r="1989" spans="1:10" ht="25.5" customHeight="1" x14ac:dyDescent="0.4">
      <c r="A1989" s="37" t="str">
        <f>CONCATENATE($D1977,"6")</f>
        <v>G6</v>
      </c>
      <c r="B1989" s="222" t="str">
        <f>IF(VLOOKUP($A1989,Players!$A$2:$C$132,3)&lt;&gt;0,VLOOKUP($A1989,Players!$A$2:$C$132,3),"")</f>
        <v/>
      </c>
      <c r="C1989" s="222"/>
      <c r="D1989" s="222"/>
      <c r="E1989" s="222"/>
      <c r="F1989" s="222"/>
      <c r="G1989" s="225" t="str">
        <f>IF(VLOOKUP($I1977&amp;RIGHT($A1989,1),Players!$A$2:$D$132,3)&lt;&gt;0,VLOOKUP($I1977&amp;RIGHT($A1989,1),Players!$A$2:$D$132,3),"")</f>
        <v/>
      </c>
      <c r="H1989" s="225"/>
      <c r="I1989" s="225"/>
      <c r="J1989" s="168" t="str">
        <f>IF(VLOOKUP($I1977&amp;RIGHT($A1989,1),Players!$A$2:$D$132,3)&lt;&gt;0,"("&amp;VLOOKUP($I1977&amp;RIGHT($A1989,1),Players!$A$2:$D$132,4)&amp;")","")</f>
        <v/>
      </c>
    </row>
    <row r="1990" spans="1:10" ht="25.5" customHeight="1" x14ac:dyDescent="0.4">
      <c r="A1990" s="37" t="str">
        <f>CONCATENATE($D1977,"7")</f>
        <v>G7</v>
      </c>
      <c r="B1990" s="222" t="str">
        <f>IF(VLOOKUP($A1990,Players!$A$2:$C$132,3)&lt;&gt;0,VLOOKUP($A1990,Players!$A$2:$C$132,3),"")</f>
        <v/>
      </c>
      <c r="C1990" s="222"/>
      <c r="D1990" s="222"/>
      <c r="E1990" s="222"/>
      <c r="F1990" s="222"/>
      <c r="G1990" s="225" t="str">
        <f>IF(VLOOKUP($I1977&amp;RIGHT($A1990,1),Players!$A$2:$D$132,3)&lt;&gt;0,VLOOKUP($I1977&amp;RIGHT($A1990,1),Players!$A$2:$D$132,3),"")</f>
        <v/>
      </c>
      <c r="H1990" s="225"/>
      <c r="I1990" s="225"/>
      <c r="J1990" s="168" t="str">
        <f>IF(VLOOKUP($I1977&amp;RIGHT($A1990,1),Players!$A$2:$D$132,3)&lt;&gt;0,"("&amp;VLOOKUP($I1977&amp;RIGHT($A1990,1),Players!$A$2:$D$132,4)&amp;")","")</f>
        <v/>
      </c>
    </row>
    <row r="1991" spans="1:10" ht="25.5" customHeight="1" x14ac:dyDescent="0.4">
      <c r="A1991" s="37" t="str">
        <f>CONCATENATE($D1977,"8")</f>
        <v>G8</v>
      </c>
      <c r="B1991" s="222" t="str">
        <f>IF(VLOOKUP($A1991,Players!$A$2:$C$132,3)&lt;&gt;0,VLOOKUP($A1991,Players!$A$2:$C$132,3),"")</f>
        <v/>
      </c>
      <c r="C1991" s="222"/>
      <c r="D1991" s="222"/>
      <c r="E1991" s="222"/>
      <c r="F1991" s="222"/>
      <c r="G1991" s="225" t="str">
        <f>IF(VLOOKUP($I1977&amp;RIGHT($A1991,1),Players!$A$2:$D$132,3)&lt;&gt;0,VLOOKUP($I1977&amp;RIGHT($A1991,1),Players!$A$2:$D$132,3),"")</f>
        <v/>
      </c>
      <c r="H1991" s="225"/>
      <c r="I1991" s="225"/>
      <c r="J1991" s="168" t="str">
        <f>IF(VLOOKUP($I1977&amp;RIGHT($A1991,1),Players!$A$2:$D$132,3)&lt;&gt;0,"("&amp;VLOOKUP($I1977&amp;RIGHT($A1991,1),Players!$A$2:$D$132,4)&amp;")","")</f>
        <v/>
      </c>
    </row>
    <row r="1992" spans="1:10" ht="25.5" customHeight="1" x14ac:dyDescent="0.25">
      <c r="A1992" s="37"/>
      <c r="B1992" s="7"/>
      <c r="C1992" s="7"/>
      <c r="D1992" s="7"/>
      <c r="E1992" s="7"/>
    </row>
    <row r="1993" spans="1:10" x14ac:dyDescent="0.25">
      <c r="A1993" s="9" t="s">
        <v>157</v>
      </c>
    </row>
    <row r="1994" spans="1:10" x14ac:dyDescent="0.25">
      <c r="A1994" t="s">
        <v>179</v>
      </c>
    </row>
    <row r="1995" spans="1:10" x14ac:dyDescent="0.25">
      <c r="A1995" s="55" t="s">
        <v>918</v>
      </c>
    </row>
    <row r="1996" spans="1:10" x14ac:dyDescent="0.25">
      <c r="A1996" t="s">
        <v>919</v>
      </c>
    </row>
    <row r="1997" spans="1:10" ht="25.5" customHeight="1" thickBot="1" x14ac:dyDescent="0.3">
      <c r="A1997" s="37"/>
    </row>
    <row r="1998" spans="1:10" x14ac:dyDescent="0.25">
      <c r="B1998" s="213"/>
      <c r="C1998" s="214"/>
      <c r="D1998" s="214"/>
      <c r="E1998" s="214"/>
      <c r="F1998" s="215"/>
    </row>
    <row r="1999" spans="1:10" ht="13.8" thickBot="1" x14ac:dyDescent="0.3">
      <c r="B1999" s="216"/>
      <c r="C1999" s="217"/>
      <c r="D1999" s="217"/>
      <c r="E1999" s="217"/>
      <c r="F1999" s="218"/>
    </row>
    <row r="2003" spans="1:10" ht="25.5" customHeight="1" x14ac:dyDescent="0.25">
      <c r="A2003" s="36"/>
      <c r="B2003" s="36"/>
      <c r="C2003" s="36"/>
      <c r="D2003" s="36"/>
      <c r="E2003" s="36"/>
      <c r="G2003" s="38"/>
      <c r="H2003" s="227" t="s">
        <v>159</v>
      </c>
      <c r="I2003" s="228"/>
    </row>
    <row r="2004" spans="1:10" x14ac:dyDescent="0.25">
      <c r="A2004" t="s">
        <v>158</v>
      </c>
    </row>
    <row r="2006" spans="1:10" x14ac:dyDescent="0.25">
      <c r="E2006" s="219" t="str">
        <f>CONCATENATE("(",$D1977," vs ",$I1977,")")</f>
        <v>(G vs H)</v>
      </c>
      <c r="F2006" s="219"/>
    </row>
    <row r="2007" spans="1:10" ht="15.6" x14ac:dyDescent="0.3">
      <c r="A2007" s="33" t="s">
        <v>155</v>
      </c>
      <c r="J2007" s="82" t="s">
        <v>530</v>
      </c>
    </row>
    <row r="2008" spans="1:10" ht="12.75" customHeight="1" x14ac:dyDescent="0.3">
      <c r="A2008" s="33"/>
      <c r="G2008" t="str">
        <f ca="1">Team_Matches!$J$6</f>
        <v>[NCTTA Teams Template (v3.4).xlsx]</v>
      </c>
      <c r="J2008" s="55"/>
    </row>
    <row r="2009" spans="1:10" ht="12.75" customHeight="1" x14ac:dyDescent="0.3">
      <c r="A2009" s="33"/>
      <c r="G2009" s="229" t="str">
        <f>Team_Matches!$J1486</f>
        <v>Round 5, Match 6</v>
      </c>
      <c r="H2009" s="229"/>
      <c r="I2009" s="127" t="str">
        <f>Team_Matches!$M1486</f>
        <v/>
      </c>
      <c r="J2009" s="127"/>
    </row>
    <row r="2010" spans="1:10" ht="15.6" x14ac:dyDescent="0.3">
      <c r="A2010" s="33"/>
    </row>
    <row r="2011" spans="1:10" x14ac:dyDescent="0.25">
      <c r="C2011" s="7" t="s">
        <v>160</v>
      </c>
      <c r="D2011" s="39" t="str">
        <f>Team_Matches!$B1488</f>
        <v>G</v>
      </c>
      <c r="F2011" s="83" t="str">
        <f>CONCATENATE($D2011,"-",$I2011)</f>
        <v>G-H</v>
      </c>
      <c r="H2011" s="7" t="s">
        <v>160</v>
      </c>
      <c r="I2011" s="39" t="str">
        <f>Team_Matches!$K1488</f>
        <v>H</v>
      </c>
    </row>
    <row r="2012" spans="1:10" ht="25.5" customHeight="1" x14ac:dyDescent="0.25">
      <c r="A2012" s="34"/>
      <c r="B2012" s="223" t="str">
        <f>IF(VLOOKUP($D2011,Draw!$A$4:$B$27,2)&lt;&gt;0,VLOOKUP($D2011,Draw!$A$4:$B$27,2),"")</f>
        <v/>
      </c>
      <c r="C2012" s="223"/>
      <c r="D2012" s="223"/>
      <c r="E2012" s="224"/>
      <c r="F2012" s="35"/>
      <c r="G2012" s="220" t="str">
        <f>IF(VLOOKUP($I2011,Draw!$A$4:$B$27,2)&lt;&gt;0,VLOOKUP($I2011,Draw!$A$4:$B$27,2),"")</f>
        <v/>
      </c>
      <c r="H2012" s="220"/>
      <c r="I2012" s="220"/>
      <c r="J2012" s="221"/>
    </row>
    <row r="2013" spans="1:10" ht="25.5" customHeight="1" x14ac:dyDescent="0.25"/>
    <row r="2014" spans="1:10" ht="25.5" customHeight="1" x14ac:dyDescent="0.25"/>
    <row r="2015" spans="1:10" ht="24" customHeight="1" x14ac:dyDescent="0.25">
      <c r="A2015" s="9" t="s">
        <v>178</v>
      </c>
    </row>
    <row r="2016" spans="1:10" ht="24" customHeight="1" x14ac:dyDescent="0.25">
      <c r="A2016" s="9"/>
    </row>
    <row r="2017" spans="1:10" x14ac:dyDescent="0.25">
      <c r="A2017" s="9" t="s">
        <v>156</v>
      </c>
      <c r="G2017" s="226" t="s">
        <v>873</v>
      </c>
      <c r="H2017" s="226"/>
      <c r="I2017" s="226"/>
      <c r="J2017" s="226"/>
    </row>
    <row r="2018" spans="1:10" ht="24" customHeight="1" x14ac:dyDescent="0.4">
      <c r="A2018" s="37" t="str">
        <f>CONCATENATE($I2011,"1")</f>
        <v>H1</v>
      </c>
      <c r="B2018" s="222" t="str">
        <f>IF(VLOOKUP($A2018,Players!$A$2:$C$132,3)&lt;&gt;0,VLOOKUP($A2018,Players!$A$2:$C$132,3),"")</f>
        <v/>
      </c>
      <c r="C2018" s="222"/>
      <c r="D2018" s="222"/>
      <c r="E2018" s="222"/>
      <c r="F2018" s="222"/>
      <c r="G2018" s="225" t="str">
        <f>IF(VLOOKUP($D2011&amp;RIGHT($A2018,1),Players!$A$2:$D$132,3)&lt;&gt;0,VLOOKUP($D2011&amp;RIGHT($A2018,1),Players!$A$2:$D$132,3),"")</f>
        <v/>
      </c>
      <c r="H2018" s="225"/>
      <c r="I2018" s="225"/>
      <c r="J2018" s="168" t="str">
        <f>IF(VLOOKUP($D2011&amp;RIGHT($A2018,1),Players!$A$2:$D$132,3)&lt;&gt;0,"("&amp;VLOOKUP($D2011&amp;RIGHT($A2018,1),Players!$A$2:$D$132,4)&amp;")","")</f>
        <v/>
      </c>
    </row>
    <row r="2019" spans="1:10" ht="25.5" customHeight="1" x14ac:dyDescent="0.4">
      <c r="A2019" s="37" t="str">
        <f>CONCATENATE($I2011,"2")</f>
        <v>H2</v>
      </c>
      <c r="B2019" s="222" t="str">
        <f>IF(VLOOKUP($A2019,Players!$A$2:$C$132,3)&lt;&gt;0,VLOOKUP($A2019,Players!$A$2:$C$132,3),"")</f>
        <v/>
      </c>
      <c r="C2019" s="222"/>
      <c r="D2019" s="222"/>
      <c r="E2019" s="222"/>
      <c r="F2019" s="222"/>
      <c r="G2019" s="225" t="str">
        <f>IF(VLOOKUP($D2011&amp;RIGHT($A2019,1),Players!$A$2:$D$132,3)&lt;&gt;0,VLOOKUP($D2011&amp;RIGHT($A2019,1),Players!$A$2:$D$132,3),"")</f>
        <v/>
      </c>
      <c r="H2019" s="225"/>
      <c r="I2019" s="225"/>
      <c r="J2019" s="168" t="str">
        <f>IF(VLOOKUP($D2011&amp;RIGHT($A2019,1),Players!$A$2:$D$132,3)&lt;&gt;0,"("&amp;VLOOKUP($D2011&amp;RIGHT($A2019,1),Players!$A$2:$D$132,4)&amp;")","")</f>
        <v/>
      </c>
    </row>
    <row r="2020" spans="1:10" ht="25.5" customHeight="1" x14ac:dyDescent="0.4">
      <c r="A2020" s="37" t="str">
        <f>CONCATENATE($I2011,"3")</f>
        <v>H3</v>
      </c>
      <c r="B2020" s="222" t="str">
        <f>IF(VLOOKUP($A2020,Players!$A$2:$C$132,3)&lt;&gt;0,VLOOKUP($A2020,Players!$A$2:$C$132,3),"")</f>
        <v/>
      </c>
      <c r="C2020" s="222"/>
      <c r="D2020" s="222"/>
      <c r="E2020" s="222"/>
      <c r="F2020" s="222"/>
      <c r="G2020" s="225" t="str">
        <f>IF(VLOOKUP($D2011&amp;RIGHT($A2020,1),Players!$A$2:$D$132,3)&lt;&gt;0,VLOOKUP($D2011&amp;RIGHT($A2020,1),Players!$A$2:$D$132,3),"")</f>
        <v/>
      </c>
      <c r="H2020" s="225"/>
      <c r="I2020" s="225"/>
      <c r="J2020" s="168" t="str">
        <f>IF(VLOOKUP($D2011&amp;RIGHT($A2020,1),Players!$A$2:$D$132,3)&lt;&gt;0,"("&amp;VLOOKUP($D2011&amp;RIGHT($A2020,1),Players!$A$2:$D$132,4)&amp;")","")</f>
        <v/>
      </c>
    </row>
    <row r="2021" spans="1:10" ht="25.5" customHeight="1" x14ac:dyDescent="0.4">
      <c r="A2021" s="37" t="str">
        <f>CONCATENATE($I2011,"4")</f>
        <v>H4</v>
      </c>
      <c r="B2021" s="222" t="str">
        <f>IF(VLOOKUP($A2021,Players!$A$2:$C$132,3)&lt;&gt;0,VLOOKUP($A2021,Players!$A$2:$C$132,3),"")</f>
        <v/>
      </c>
      <c r="C2021" s="222"/>
      <c r="D2021" s="222"/>
      <c r="E2021" s="222"/>
      <c r="F2021" s="222"/>
      <c r="G2021" s="225" t="str">
        <f>IF(VLOOKUP($D2011&amp;RIGHT($A2021,1),Players!$A$2:$D$132,3)&lt;&gt;0,VLOOKUP($D2011&amp;RIGHT($A2021,1),Players!$A$2:$D$132,3),"")</f>
        <v/>
      </c>
      <c r="H2021" s="225"/>
      <c r="I2021" s="225"/>
      <c r="J2021" s="168" t="str">
        <f>IF(VLOOKUP($D2011&amp;RIGHT($A2021,1),Players!$A$2:$D$132,3)&lt;&gt;0,"("&amp;VLOOKUP($D2011&amp;RIGHT($A2021,1),Players!$A$2:$D$132,4)&amp;")","")</f>
        <v/>
      </c>
    </row>
    <row r="2022" spans="1:10" ht="25.5" customHeight="1" x14ac:dyDescent="0.4">
      <c r="A2022" s="37" t="str">
        <f>CONCATENATE($I2011,"5")</f>
        <v>H5</v>
      </c>
      <c r="B2022" s="222" t="str">
        <f>IF(VLOOKUP($A2022,Players!$A$2:$C$132,3)&lt;&gt;0,VLOOKUP($A2022,Players!$A$2:$C$132,3),"")</f>
        <v/>
      </c>
      <c r="C2022" s="222"/>
      <c r="D2022" s="222"/>
      <c r="E2022" s="222"/>
      <c r="F2022" s="222"/>
      <c r="G2022" s="225" t="str">
        <f>IF(VLOOKUP($D2011&amp;RIGHT($A2022,1),Players!$A$2:$D$132,3)&lt;&gt;0,VLOOKUP($D2011&amp;RIGHT($A2022,1),Players!$A$2:$D$132,3),"")</f>
        <v/>
      </c>
      <c r="H2022" s="225"/>
      <c r="I2022" s="225"/>
      <c r="J2022" s="168" t="str">
        <f>IF(VLOOKUP($D2011&amp;RIGHT($A2022,1),Players!$A$2:$D$132,3)&lt;&gt;0,"("&amp;VLOOKUP($D2011&amp;RIGHT($A2022,1),Players!$A$2:$D$132,4)&amp;")","")</f>
        <v/>
      </c>
    </row>
    <row r="2023" spans="1:10" ht="25.5" customHeight="1" x14ac:dyDescent="0.4">
      <c r="A2023" s="37" t="str">
        <f>CONCATENATE($I2011,"6")</f>
        <v>H6</v>
      </c>
      <c r="B2023" s="222" t="str">
        <f>IF(VLOOKUP($A2023,Players!$A$2:$C$132,3)&lt;&gt;0,VLOOKUP($A2023,Players!$A$2:$C$132,3),"")</f>
        <v/>
      </c>
      <c r="C2023" s="222"/>
      <c r="D2023" s="222"/>
      <c r="E2023" s="222"/>
      <c r="F2023" s="222"/>
      <c r="G2023" s="225" t="str">
        <f>IF(VLOOKUP($D2011&amp;RIGHT($A2023,1),Players!$A$2:$D$132,3)&lt;&gt;0,VLOOKUP($D2011&amp;RIGHT($A2023,1),Players!$A$2:$D$132,3),"")</f>
        <v/>
      </c>
      <c r="H2023" s="225"/>
      <c r="I2023" s="225"/>
      <c r="J2023" s="168" t="str">
        <f>IF(VLOOKUP($D2011&amp;RIGHT($A2023,1),Players!$A$2:$D$132,3)&lt;&gt;0,"("&amp;VLOOKUP($D2011&amp;RIGHT($A2023,1),Players!$A$2:$D$132,4)&amp;")","")</f>
        <v/>
      </c>
    </row>
    <row r="2024" spans="1:10" ht="25.5" customHeight="1" x14ac:dyDescent="0.4">
      <c r="A2024" s="37" t="str">
        <f>CONCATENATE($I2011,"7")</f>
        <v>H7</v>
      </c>
      <c r="B2024" s="222" t="str">
        <f>IF(VLOOKUP($A2024,Players!$A$2:$C$132,3)&lt;&gt;0,VLOOKUP($A2024,Players!$A$2:$C$132,3),"")</f>
        <v/>
      </c>
      <c r="C2024" s="222"/>
      <c r="D2024" s="222"/>
      <c r="E2024" s="222"/>
      <c r="F2024" s="222"/>
      <c r="G2024" s="225" t="str">
        <f>IF(VLOOKUP($D2011&amp;RIGHT($A2024,1),Players!$A$2:$D$132,3)&lt;&gt;0,VLOOKUP($D2011&amp;RIGHT($A2024,1),Players!$A$2:$D$132,3),"")</f>
        <v/>
      </c>
      <c r="H2024" s="225"/>
      <c r="I2024" s="225"/>
      <c r="J2024" s="168" t="str">
        <f>IF(VLOOKUP($D2011&amp;RIGHT($A2024,1),Players!$A$2:$D$132,3)&lt;&gt;0,"("&amp;VLOOKUP($D2011&amp;RIGHT($A2024,1),Players!$A$2:$D$132,4)&amp;")","")</f>
        <v/>
      </c>
    </row>
    <row r="2025" spans="1:10" ht="25.5" customHeight="1" x14ac:dyDescent="0.4">
      <c r="A2025" s="37" t="str">
        <f>CONCATENATE($I2011,"8")</f>
        <v>H8</v>
      </c>
      <c r="B2025" s="222" t="str">
        <f>IF(VLOOKUP($A2025,Players!$A$2:$C$132,3)&lt;&gt;0,VLOOKUP($A2025,Players!$A$2:$C$132,3),"")</f>
        <v/>
      </c>
      <c r="C2025" s="222"/>
      <c r="D2025" s="222"/>
      <c r="E2025" s="222"/>
      <c r="F2025" s="222"/>
      <c r="G2025" s="225" t="str">
        <f>IF(VLOOKUP($D2011&amp;RIGHT($A2025,1),Players!$A$2:$D$132,3)&lt;&gt;0,VLOOKUP($D2011&amp;RIGHT($A2025,1),Players!$A$2:$D$132,3),"")</f>
        <v/>
      </c>
      <c r="H2025" s="225"/>
      <c r="I2025" s="225"/>
      <c r="J2025" s="168" t="str">
        <f>IF(VLOOKUP($D2011&amp;RIGHT($A2025,1),Players!$A$2:$D$132,3)&lt;&gt;0,"("&amp;VLOOKUP($D2011&amp;RIGHT($A2025,1),Players!$A$2:$D$132,4)&amp;")","")</f>
        <v/>
      </c>
    </row>
    <row r="2026" spans="1:10" ht="25.5" customHeight="1" x14ac:dyDescent="0.25">
      <c r="A2026" s="37"/>
      <c r="B2026" s="7"/>
      <c r="C2026" s="7"/>
      <c r="D2026" s="7"/>
      <c r="E2026" s="7"/>
    </row>
    <row r="2027" spans="1:10" x14ac:dyDescent="0.25">
      <c r="A2027" s="9" t="s">
        <v>157</v>
      </c>
    </row>
    <row r="2028" spans="1:10" x14ac:dyDescent="0.25">
      <c r="A2028" t="s">
        <v>179</v>
      </c>
    </row>
    <row r="2029" spans="1:10" x14ac:dyDescent="0.25">
      <c r="A2029" s="55" t="s">
        <v>918</v>
      </c>
    </row>
    <row r="2030" spans="1:10" x14ac:dyDescent="0.25">
      <c r="A2030" t="s">
        <v>919</v>
      </c>
    </row>
    <row r="2031" spans="1:10" ht="25.5" customHeight="1" thickBot="1" x14ac:dyDescent="0.3">
      <c r="A2031" s="37"/>
    </row>
    <row r="2032" spans="1:10" x14ac:dyDescent="0.25">
      <c r="B2032" s="213"/>
      <c r="C2032" s="214"/>
      <c r="D2032" s="214"/>
      <c r="E2032" s="214"/>
      <c r="F2032" s="215"/>
    </row>
    <row r="2033" spans="1:10" ht="13.8" thickBot="1" x14ac:dyDescent="0.3">
      <c r="B2033" s="216"/>
      <c r="C2033" s="217"/>
      <c r="D2033" s="217"/>
      <c r="E2033" s="217"/>
      <c r="F2033" s="218"/>
    </row>
    <row r="2037" spans="1:10" ht="25.5" customHeight="1" x14ac:dyDescent="0.25">
      <c r="A2037" s="36"/>
      <c r="B2037" s="36"/>
      <c r="C2037" s="36"/>
      <c r="D2037" s="36"/>
      <c r="E2037" s="36"/>
      <c r="G2037" s="38"/>
      <c r="H2037" s="227" t="s">
        <v>159</v>
      </c>
      <c r="I2037" s="228"/>
    </row>
    <row r="2038" spans="1:10" x14ac:dyDescent="0.25">
      <c r="A2038" t="s">
        <v>158</v>
      </c>
    </row>
    <row r="2040" spans="1:10" x14ac:dyDescent="0.25">
      <c r="E2040" s="219" t="str">
        <f>CONCATENATE("(",$D2011," vs ",$I2011,")")</f>
        <v>(G vs H)</v>
      </c>
      <c r="F2040" s="219"/>
    </row>
    <row r="2041" spans="1:10" ht="15.6" x14ac:dyDescent="0.3">
      <c r="A2041" s="33" t="s">
        <v>155</v>
      </c>
      <c r="J2041" s="82" t="s">
        <v>531</v>
      </c>
    </row>
    <row r="2042" spans="1:10" ht="12.75" customHeight="1" x14ac:dyDescent="0.3">
      <c r="A2042" s="33"/>
      <c r="G2042" t="str">
        <f ca="1">Team_Matches!$J$6</f>
        <v>[NCTTA Teams Template (v3.4).xlsx]</v>
      </c>
      <c r="J2042" s="55"/>
    </row>
    <row r="2043" spans="1:10" ht="12.75" customHeight="1" x14ac:dyDescent="0.3">
      <c r="A2043" s="33"/>
      <c r="G2043" s="229" t="str">
        <f>Team_Matches!$J1537</f>
        <v>Round 6, Match 1</v>
      </c>
      <c r="H2043" s="229"/>
      <c r="I2043" s="127" t="str">
        <f>Team_Matches!$M1537</f>
        <v/>
      </c>
      <c r="J2043" s="127"/>
    </row>
    <row r="2044" spans="1:10" ht="15.6" x14ac:dyDescent="0.3">
      <c r="A2044" s="33"/>
    </row>
    <row r="2045" spans="1:10" x14ac:dyDescent="0.25">
      <c r="C2045" s="7" t="s">
        <v>160</v>
      </c>
      <c r="D2045" s="39" t="str">
        <f>Team_Matches!$B1539</f>
        <v>A</v>
      </c>
      <c r="F2045" s="83" t="str">
        <f>CONCATENATE($D2045,"-",$I2045)</f>
        <v>A-G</v>
      </c>
      <c r="H2045" s="7" t="s">
        <v>160</v>
      </c>
      <c r="I2045" s="39" t="str">
        <f>Team_Matches!$K1539</f>
        <v>G</v>
      </c>
    </row>
    <row r="2046" spans="1:10" ht="25.5" customHeight="1" x14ac:dyDescent="0.25">
      <c r="A2046" s="34"/>
      <c r="B2046" s="220" t="str">
        <f>IF(VLOOKUP($D2045,Draw!$A$4:$B$27,2)&lt;&gt;0,VLOOKUP($D2045,Draw!$A$4:$B$27,2),"")</f>
        <v/>
      </c>
      <c r="C2046" s="220"/>
      <c r="D2046" s="220"/>
      <c r="E2046" s="221"/>
      <c r="F2046" s="35"/>
      <c r="G2046" s="223" t="str">
        <f>IF(VLOOKUP($I2045,Draw!$A$4:$B$27,2)&lt;&gt;0,VLOOKUP($I2045,Draw!$A$4:$B$27,2),"")</f>
        <v/>
      </c>
      <c r="H2046" s="223"/>
      <c r="I2046" s="223"/>
      <c r="J2046" s="224"/>
    </row>
    <row r="2047" spans="1:10" ht="25.5" customHeight="1" x14ac:dyDescent="0.25"/>
    <row r="2048" spans="1:10" ht="25.5" customHeight="1" x14ac:dyDescent="0.25"/>
    <row r="2049" spans="1:10" ht="24" customHeight="1" x14ac:dyDescent="0.25">
      <c r="A2049" s="9" t="s">
        <v>178</v>
      </c>
    </row>
    <row r="2050" spans="1:10" ht="24" customHeight="1" x14ac:dyDescent="0.25">
      <c r="A2050" s="9"/>
    </row>
    <row r="2051" spans="1:10" x14ac:dyDescent="0.25">
      <c r="A2051" s="9" t="s">
        <v>156</v>
      </c>
      <c r="G2051" s="226" t="s">
        <v>873</v>
      </c>
      <c r="H2051" s="226"/>
      <c r="I2051" s="226"/>
      <c r="J2051" s="226"/>
    </row>
    <row r="2052" spans="1:10" ht="24" customHeight="1" x14ac:dyDescent="0.4">
      <c r="A2052" s="37" t="str">
        <f>CONCATENATE($D2045,"1")</f>
        <v>A1</v>
      </c>
      <c r="B2052" s="222" t="str">
        <f>IF(VLOOKUP($A2052,Players!$A$2:$C$132,3)&lt;&gt;0,VLOOKUP($A2052,Players!$A$2:$C$132,3),"")</f>
        <v/>
      </c>
      <c r="C2052" s="222"/>
      <c r="D2052" s="222"/>
      <c r="E2052" s="222"/>
      <c r="F2052" s="222"/>
      <c r="G2052" s="225" t="str">
        <f>IF(VLOOKUP($I2045&amp;RIGHT($A2052,1),Players!$A$2:$D$132,3)&lt;&gt;0,VLOOKUP($I2045&amp;RIGHT($A2052,1),Players!$A$2:$D$132,3),"")</f>
        <v/>
      </c>
      <c r="H2052" s="225"/>
      <c r="I2052" s="225"/>
      <c r="J2052" s="168" t="str">
        <f>IF(VLOOKUP($I2045&amp;RIGHT($A2052,1),Players!$A$2:$D$132,3)&lt;&gt;0,"("&amp;VLOOKUP($I2045&amp;RIGHT($A2052,1),Players!$A$2:$D$132,4)&amp;")","")</f>
        <v/>
      </c>
    </row>
    <row r="2053" spans="1:10" ht="25.5" customHeight="1" x14ac:dyDescent="0.4">
      <c r="A2053" s="37" t="str">
        <f>CONCATENATE($D2045,"2")</f>
        <v>A2</v>
      </c>
      <c r="B2053" s="222" t="str">
        <f>IF(VLOOKUP($A2053,Players!$A$2:$C$132,3)&lt;&gt;0,VLOOKUP($A2053,Players!$A$2:$C$132,3),"")</f>
        <v/>
      </c>
      <c r="C2053" s="222"/>
      <c r="D2053" s="222"/>
      <c r="E2053" s="222"/>
      <c r="F2053" s="222"/>
      <c r="G2053" s="225" t="str">
        <f>IF(VLOOKUP($I2045&amp;RIGHT($A2053,1),Players!$A$2:$D$132,3)&lt;&gt;0,VLOOKUP($I2045&amp;RIGHT($A2053,1),Players!$A$2:$D$132,3),"")</f>
        <v/>
      </c>
      <c r="H2053" s="225"/>
      <c r="I2053" s="225"/>
      <c r="J2053" s="168" t="str">
        <f>IF(VLOOKUP($I2045&amp;RIGHT($A2053,1),Players!$A$2:$D$132,3)&lt;&gt;0,"("&amp;VLOOKUP($I2045&amp;RIGHT($A2053,1),Players!$A$2:$D$132,4)&amp;")","")</f>
        <v/>
      </c>
    </row>
    <row r="2054" spans="1:10" ht="25.5" customHeight="1" x14ac:dyDescent="0.4">
      <c r="A2054" s="37" t="str">
        <f>CONCATENATE($D2045,"3")</f>
        <v>A3</v>
      </c>
      <c r="B2054" s="222" t="str">
        <f>IF(VLOOKUP($A2054,Players!$A$2:$C$132,3)&lt;&gt;0,VLOOKUP($A2054,Players!$A$2:$C$132,3),"")</f>
        <v/>
      </c>
      <c r="C2054" s="222"/>
      <c r="D2054" s="222"/>
      <c r="E2054" s="222"/>
      <c r="F2054" s="222"/>
      <c r="G2054" s="225" t="str">
        <f>IF(VLOOKUP($I2045&amp;RIGHT($A2054,1),Players!$A$2:$D$132,3)&lt;&gt;0,VLOOKUP($I2045&amp;RIGHT($A2054,1),Players!$A$2:$D$132,3),"")</f>
        <v/>
      </c>
      <c r="H2054" s="225"/>
      <c r="I2054" s="225"/>
      <c r="J2054" s="168" t="str">
        <f>IF(VLOOKUP($I2045&amp;RIGHT($A2054,1),Players!$A$2:$D$132,3)&lt;&gt;0,"("&amp;VLOOKUP($I2045&amp;RIGHT($A2054,1),Players!$A$2:$D$132,4)&amp;")","")</f>
        <v/>
      </c>
    </row>
    <row r="2055" spans="1:10" ht="25.5" customHeight="1" x14ac:dyDescent="0.4">
      <c r="A2055" s="37" t="str">
        <f>CONCATENATE($D2045,"4")</f>
        <v>A4</v>
      </c>
      <c r="B2055" s="222" t="str">
        <f>IF(VLOOKUP($A2055,Players!$A$2:$C$132,3)&lt;&gt;0,VLOOKUP($A2055,Players!$A$2:$C$132,3),"")</f>
        <v/>
      </c>
      <c r="C2055" s="222"/>
      <c r="D2055" s="222"/>
      <c r="E2055" s="222"/>
      <c r="F2055" s="222"/>
      <c r="G2055" s="225" t="str">
        <f>IF(VLOOKUP($I2045&amp;RIGHT($A2055,1),Players!$A$2:$D$132,3)&lt;&gt;0,VLOOKUP($I2045&amp;RIGHT($A2055,1),Players!$A$2:$D$132,3),"")</f>
        <v/>
      </c>
      <c r="H2055" s="225"/>
      <c r="I2055" s="225"/>
      <c r="J2055" s="168" t="str">
        <f>IF(VLOOKUP($I2045&amp;RIGHT($A2055,1),Players!$A$2:$D$132,3)&lt;&gt;0,"("&amp;VLOOKUP($I2045&amp;RIGHT($A2055,1),Players!$A$2:$D$132,4)&amp;")","")</f>
        <v/>
      </c>
    </row>
    <row r="2056" spans="1:10" ht="25.5" customHeight="1" x14ac:dyDescent="0.4">
      <c r="A2056" s="37" t="str">
        <f>CONCATENATE($D2045,"5")</f>
        <v>A5</v>
      </c>
      <c r="B2056" s="222" t="str">
        <f>IF(VLOOKUP($A2056,Players!$A$2:$C$132,3)&lt;&gt;0,VLOOKUP($A2056,Players!$A$2:$C$132,3),"")</f>
        <v/>
      </c>
      <c r="C2056" s="222"/>
      <c r="D2056" s="222"/>
      <c r="E2056" s="222"/>
      <c r="F2056" s="222"/>
      <c r="G2056" s="225" t="str">
        <f>IF(VLOOKUP($I2045&amp;RIGHT($A2056,1),Players!$A$2:$D$132,3)&lt;&gt;0,VLOOKUP($I2045&amp;RIGHT($A2056,1),Players!$A$2:$D$132,3),"")</f>
        <v/>
      </c>
      <c r="H2056" s="225"/>
      <c r="I2056" s="225"/>
      <c r="J2056" s="168" t="str">
        <f>IF(VLOOKUP($I2045&amp;RIGHT($A2056,1),Players!$A$2:$D$132,3)&lt;&gt;0,"("&amp;VLOOKUP($I2045&amp;RIGHT($A2056,1),Players!$A$2:$D$132,4)&amp;")","")</f>
        <v/>
      </c>
    </row>
    <row r="2057" spans="1:10" ht="25.5" customHeight="1" x14ac:dyDescent="0.4">
      <c r="A2057" s="37" t="str">
        <f>CONCATENATE($D2045,"6")</f>
        <v>A6</v>
      </c>
      <c r="B2057" s="222" t="str">
        <f>IF(VLOOKUP($A2057,Players!$A$2:$C$132,3)&lt;&gt;0,VLOOKUP($A2057,Players!$A$2:$C$132,3),"")</f>
        <v/>
      </c>
      <c r="C2057" s="222"/>
      <c r="D2057" s="222"/>
      <c r="E2057" s="222"/>
      <c r="F2057" s="222"/>
      <c r="G2057" s="225" t="str">
        <f>IF(VLOOKUP($I2045&amp;RIGHT($A2057,1),Players!$A$2:$D$132,3)&lt;&gt;0,VLOOKUP($I2045&amp;RIGHT($A2057,1),Players!$A$2:$D$132,3),"")</f>
        <v/>
      </c>
      <c r="H2057" s="225"/>
      <c r="I2057" s="225"/>
      <c r="J2057" s="168" t="str">
        <f>IF(VLOOKUP($I2045&amp;RIGHT($A2057,1),Players!$A$2:$D$132,3)&lt;&gt;0,"("&amp;VLOOKUP($I2045&amp;RIGHT($A2057,1),Players!$A$2:$D$132,4)&amp;")","")</f>
        <v/>
      </c>
    </row>
    <row r="2058" spans="1:10" ht="25.5" customHeight="1" x14ac:dyDescent="0.4">
      <c r="A2058" s="37" t="str">
        <f>CONCATENATE($D2045,"7")</f>
        <v>A7</v>
      </c>
      <c r="B2058" s="222" t="str">
        <f>IF(VLOOKUP($A2058,Players!$A$2:$C$132,3)&lt;&gt;0,VLOOKUP($A2058,Players!$A$2:$C$132,3),"")</f>
        <v/>
      </c>
      <c r="C2058" s="222"/>
      <c r="D2058" s="222"/>
      <c r="E2058" s="222"/>
      <c r="F2058" s="222"/>
      <c r="G2058" s="225" t="str">
        <f>IF(VLOOKUP($I2045&amp;RIGHT($A2058,1),Players!$A$2:$D$132,3)&lt;&gt;0,VLOOKUP($I2045&amp;RIGHT($A2058,1),Players!$A$2:$D$132,3),"")</f>
        <v/>
      </c>
      <c r="H2058" s="225"/>
      <c r="I2058" s="225"/>
      <c r="J2058" s="168" t="str">
        <f>IF(VLOOKUP($I2045&amp;RIGHT($A2058,1),Players!$A$2:$D$132,3)&lt;&gt;0,"("&amp;VLOOKUP($I2045&amp;RIGHT($A2058,1),Players!$A$2:$D$132,4)&amp;")","")</f>
        <v/>
      </c>
    </row>
    <row r="2059" spans="1:10" ht="25.5" customHeight="1" x14ac:dyDescent="0.4">
      <c r="A2059" s="37" t="str">
        <f>CONCATENATE($D2045,"8")</f>
        <v>A8</v>
      </c>
      <c r="B2059" s="222" t="str">
        <f>IF(VLOOKUP($A2059,Players!$A$2:$C$132,3)&lt;&gt;0,VLOOKUP($A2059,Players!$A$2:$C$132,3),"")</f>
        <v/>
      </c>
      <c r="C2059" s="222"/>
      <c r="D2059" s="222"/>
      <c r="E2059" s="222"/>
      <c r="F2059" s="222"/>
      <c r="G2059" s="225" t="str">
        <f>IF(VLOOKUP($I2045&amp;RIGHT($A2059,1),Players!$A$2:$D$132,3)&lt;&gt;0,VLOOKUP($I2045&amp;RIGHT($A2059,1),Players!$A$2:$D$132,3),"")</f>
        <v/>
      </c>
      <c r="H2059" s="225"/>
      <c r="I2059" s="225"/>
      <c r="J2059" s="168" t="str">
        <f>IF(VLOOKUP($I2045&amp;RIGHT($A2059,1),Players!$A$2:$D$132,3)&lt;&gt;0,"("&amp;VLOOKUP($I2045&amp;RIGHT($A2059,1),Players!$A$2:$D$132,4)&amp;")","")</f>
        <v/>
      </c>
    </row>
    <row r="2060" spans="1:10" ht="25.5" customHeight="1" x14ac:dyDescent="0.25">
      <c r="A2060" s="37"/>
      <c r="B2060" s="7"/>
      <c r="C2060" s="7"/>
      <c r="D2060" s="7"/>
      <c r="E2060" s="7"/>
    </row>
    <row r="2061" spans="1:10" x14ac:dyDescent="0.25">
      <c r="A2061" s="9" t="s">
        <v>157</v>
      </c>
    </row>
    <row r="2062" spans="1:10" x14ac:dyDescent="0.25">
      <c r="A2062" t="s">
        <v>179</v>
      </c>
    </row>
    <row r="2063" spans="1:10" x14ac:dyDescent="0.25">
      <c r="A2063" s="55" t="s">
        <v>918</v>
      </c>
    </row>
    <row r="2064" spans="1:10" x14ac:dyDescent="0.25">
      <c r="A2064" t="s">
        <v>919</v>
      </c>
    </row>
    <row r="2065" spans="1:10" ht="25.5" customHeight="1" thickBot="1" x14ac:dyDescent="0.3">
      <c r="A2065" s="37"/>
    </row>
    <row r="2066" spans="1:10" x14ac:dyDescent="0.25">
      <c r="B2066" s="213"/>
      <c r="C2066" s="214"/>
      <c r="D2066" s="214"/>
      <c r="E2066" s="214"/>
      <c r="F2066" s="215"/>
    </row>
    <row r="2067" spans="1:10" ht="13.8" thickBot="1" x14ac:dyDescent="0.3">
      <c r="B2067" s="216"/>
      <c r="C2067" s="217"/>
      <c r="D2067" s="217"/>
      <c r="E2067" s="217"/>
      <c r="F2067" s="218"/>
    </row>
    <row r="2071" spans="1:10" ht="25.5" customHeight="1" x14ac:dyDescent="0.25">
      <c r="A2071" s="36"/>
      <c r="B2071" s="36"/>
      <c r="C2071" s="36"/>
      <c r="D2071" s="36"/>
      <c r="E2071" s="36"/>
      <c r="G2071" s="38"/>
      <c r="H2071" s="227" t="s">
        <v>159</v>
      </c>
      <c r="I2071" s="228"/>
    </row>
    <row r="2072" spans="1:10" x14ac:dyDescent="0.25">
      <c r="A2072" t="s">
        <v>158</v>
      </c>
    </row>
    <row r="2074" spans="1:10" x14ac:dyDescent="0.25">
      <c r="E2074" s="219" t="str">
        <f>CONCATENATE("(",$D2045," vs ",$I2045,")")</f>
        <v>(A vs G)</v>
      </c>
      <c r="F2074" s="219"/>
    </row>
    <row r="2075" spans="1:10" ht="15.6" x14ac:dyDescent="0.3">
      <c r="A2075" s="33" t="s">
        <v>155</v>
      </c>
      <c r="J2075" s="82" t="s">
        <v>532</v>
      </c>
    </row>
    <row r="2076" spans="1:10" ht="12.75" customHeight="1" x14ac:dyDescent="0.3">
      <c r="A2076" s="33"/>
      <c r="G2076" t="str">
        <f ca="1">Team_Matches!$J$6</f>
        <v>[NCTTA Teams Template (v3.4).xlsx]</v>
      </c>
      <c r="J2076" s="55"/>
    </row>
    <row r="2077" spans="1:10" ht="12.75" customHeight="1" x14ac:dyDescent="0.3">
      <c r="A2077" s="33"/>
      <c r="G2077" s="229" t="str">
        <f>Team_Matches!$J1537</f>
        <v>Round 6, Match 1</v>
      </c>
      <c r="H2077" s="229"/>
      <c r="I2077" s="127" t="str">
        <f>Team_Matches!$M1537</f>
        <v/>
      </c>
      <c r="J2077" s="127"/>
    </row>
    <row r="2078" spans="1:10" ht="15.6" x14ac:dyDescent="0.3">
      <c r="A2078" s="33"/>
    </row>
    <row r="2079" spans="1:10" x14ac:dyDescent="0.25">
      <c r="C2079" s="7" t="s">
        <v>160</v>
      </c>
      <c r="D2079" s="39" t="str">
        <f>Team_Matches!$B1539</f>
        <v>A</v>
      </c>
      <c r="F2079" s="83" t="str">
        <f>CONCATENATE($D2079,"-",$I2079)</f>
        <v>A-G</v>
      </c>
      <c r="H2079" s="7" t="s">
        <v>160</v>
      </c>
      <c r="I2079" s="39" t="str">
        <f>Team_Matches!$K1539</f>
        <v>G</v>
      </c>
    </row>
    <row r="2080" spans="1:10" ht="25.5" customHeight="1" x14ac:dyDescent="0.25">
      <c r="A2080" s="34"/>
      <c r="B2080" s="223" t="str">
        <f>IF(VLOOKUP($D2079,Draw!$A$4:$B$27,2)&lt;&gt;0,VLOOKUP($D2079,Draw!$A$4:$B$27,2),"")</f>
        <v/>
      </c>
      <c r="C2080" s="223"/>
      <c r="D2080" s="223"/>
      <c r="E2080" s="224"/>
      <c r="F2080" s="35"/>
      <c r="G2080" s="220" t="str">
        <f>IF(VLOOKUP($I2079,Draw!$A$4:$B$27,2)&lt;&gt;0,VLOOKUP($I2079,Draw!$A$4:$B$27,2),"")</f>
        <v/>
      </c>
      <c r="H2080" s="220"/>
      <c r="I2080" s="220"/>
      <c r="J2080" s="221"/>
    </row>
    <row r="2081" spans="1:10" ht="25.5" customHeight="1" x14ac:dyDescent="0.25"/>
    <row r="2082" spans="1:10" ht="25.5" customHeight="1" x14ac:dyDescent="0.25"/>
    <row r="2083" spans="1:10" ht="24" customHeight="1" x14ac:dyDescent="0.25">
      <c r="A2083" s="9" t="s">
        <v>178</v>
      </c>
    </row>
    <row r="2084" spans="1:10" ht="24" customHeight="1" x14ac:dyDescent="0.25">
      <c r="A2084" s="9"/>
    </row>
    <row r="2085" spans="1:10" x14ac:dyDescent="0.25">
      <c r="A2085" s="9" t="s">
        <v>156</v>
      </c>
      <c r="G2085" s="226" t="s">
        <v>873</v>
      </c>
      <c r="H2085" s="226"/>
      <c r="I2085" s="226"/>
      <c r="J2085" s="226"/>
    </row>
    <row r="2086" spans="1:10" ht="24" customHeight="1" x14ac:dyDescent="0.4">
      <c r="A2086" s="37" t="str">
        <f>CONCATENATE($I2079,"1")</f>
        <v>G1</v>
      </c>
      <c r="B2086" s="222" t="str">
        <f>IF(VLOOKUP($A2086,Players!$A$2:$C$132,3)&lt;&gt;0,VLOOKUP($A2086,Players!$A$2:$C$132,3),"")</f>
        <v/>
      </c>
      <c r="C2086" s="222"/>
      <c r="D2086" s="222"/>
      <c r="E2086" s="222"/>
      <c r="F2086" s="222"/>
      <c r="G2086" s="225" t="str">
        <f>IF(VLOOKUP($D2079&amp;RIGHT($A2086,1),Players!$A$2:$D$132,3)&lt;&gt;0,VLOOKUP($D2079&amp;RIGHT($A2086,1),Players!$A$2:$D$132,3),"")</f>
        <v/>
      </c>
      <c r="H2086" s="225"/>
      <c r="I2086" s="225"/>
      <c r="J2086" s="168" t="str">
        <f>IF(VLOOKUP($D2079&amp;RIGHT($A2086,1),Players!$A$2:$D$132,3)&lt;&gt;0,"("&amp;VLOOKUP($D2079&amp;RIGHT($A2086,1),Players!$A$2:$D$132,4)&amp;")","")</f>
        <v/>
      </c>
    </row>
    <row r="2087" spans="1:10" ht="25.5" customHeight="1" x14ac:dyDescent="0.4">
      <c r="A2087" s="37" t="str">
        <f>CONCATENATE($I2079,"2")</f>
        <v>G2</v>
      </c>
      <c r="B2087" s="222" t="str">
        <f>IF(VLOOKUP($A2087,Players!$A$2:$C$132,3)&lt;&gt;0,VLOOKUP($A2087,Players!$A$2:$C$132,3),"")</f>
        <v/>
      </c>
      <c r="C2087" s="222"/>
      <c r="D2087" s="222"/>
      <c r="E2087" s="222"/>
      <c r="F2087" s="222"/>
      <c r="G2087" s="225" t="str">
        <f>IF(VLOOKUP($D2079&amp;RIGHT($A2087,1),Players!$A$2:$D$132,3)&lt;&gt;0,VLOOKUP($D2079&amp;RIGHT($A2087,1),Players!$A$2:$D$132,3),"")</f>
        <v/>
      </c>
      <c r="H2087" s="225"/>
      <c r="I2087" s="225"/>
      <c r="J2087" s="168" t="str">
        <f>IF(VLOOKUP($D2079&amp;RIGHT($A2087,1),Players!$A$2:$D$132,3)&lt;&gt;0,"("&amp;VLOOKUP($D2079&amp;RIGHT($A2087,1),Players!$A$2:$D$132,4)&amp;")","")</f>
        <v/>
      </c>
    </row>
    <row r="2088" spans="1:10" ht="25.5" customHeight="1" x14ac:dyDescent="0.4">
      <c r="A2088" s="37" t="str">
        <f>CONCATENATE($I2079,"3")</f>
        <v>G3</v>
      </c>
      <c r="B2088" s="222" t="str">
        <f>IF(VLOOKUP($A2088,Players!$A$2:$C$132,3)&lt;&gt;0,VLOOKUP($A2088,Players!$A$2:$C$132,3),"")</f>
        <v/>
      </c>
      <c r="C2088" s="222"/>
      <c r="D2088" s="222"/>
      <c r="E2088" s="222"/>
      <c r="F2088" s="222"/>
      <c r="G2088" s="225" t="str">
        <f>IF(VLOOKUP($D2079&amp;RIGHT($A2088,1),Players!$A$2:$D$132,3)&lt;&gt;0,VLOOKUP($D2079&amp;RIGHT($A2088,1),Players!$A$2:$D$132,3),"")</f>
        <v/>
      </c>
      <c r="H2088" s="225"/>
      <c r="I2088" s="225"/>
      <c r="J2088" s="168" t="str">
        <f>IF(VLOOKUP($D2079&amp;RIGHT($A2088,1),Players!$A$2:$D$132,3)&lt;&gt;0,"("&amp;VLOOKUP($D2079&amp;RIGHT($A2088,1),Players!$A$2:$D$132,4)&amp;")","")</f>
        <v/>
      </c>
    </row>
    <row r="2089" spans="1:10" ht="25.5" customHeight="1" x14ac:dyDescent="0.4">
      <c r="A2089" s="37" t="str">
        <f>CONCATENATE($I2079,"4")</f>
        <v>G4</v>
      </c>
      <c r="B2089" s="222" t="str">
        <f>IF(VLOOKUP($A2089,Players!$A$2:$C$132,3)&lt;&gt;0,VLOOKUP($A2089,Players!$A$2:$C$132,3),"")</f>
        <v/>
      </c>
      <c r="C2089" s="222"/>
      <c r="D2089" s="222"/>
      <c r="E2089" s="222"/>
      <c r="F2089" s="222"/>
      <c r="G2089" s="225" t="str">
        <f>IF(VLOOKUP($D2079&amp;RIGHT($A2089,1),Players!$A$2:$D$132,3)&lt;&gt;0,VLOOKUP($D2079&amp;RIGHT($A2089,1),Players!$A$2:$D$132,3),"")</f>
        <v/>
      </c>
      <c r="H2089" s="225"/>
      <c r="I2089" s="225"/>
      <c r="J2089" s="168" t="str">
        <f>IF(VLOOKUP($D2079&amp;RIGHT($A2089,1),Players!$A$2:$D$132,3)&lt;&gt;0,"("&amp;VLOOKUP($D2079&amp;RIGHT($A2089,1),Players!$A$2:$D$132,4)&amp;")","")</f>
        <v/>
      </c>
    </row>
    <row r="2090" spans="1:10" ht="25.5" customHeight="1" x14ac:dyDescent="0.4">
      <c r="A2090" s="37" t="str">
        <f>CONCATENATE($I2079,"5")</f>
        <v>G5</v>
      </c>
      <c r="B2090" s="222" t="str">
        <f>IF(VLOOKUP($A2090,Players!$A$2:$C$132,3)&lt;&gt;0,VLOOKUP($A2090,Players!$A$2:$C$132,3),"")</f>
        <v/>
      </c>
      <c r="C2090" s="222"/>
      <c r="D2090" s="222"/>
      <c r="E2090" s="222"/>
      <c r="F2090" s="222"/>
      <c r="G2090" s="225" t="str">
        <f>IF(VLOOKUP($D2079&amp;RIGHT($A2090,1),Players!$A$2:$D$132,3)&lt;&gt;0,VLOOKUP($D2079&amp;RIGHT($A2090,1),Players!$A$2:$D$132,3),"")</f>
        <v/>
      </c>
      <c r="H2090" s="225"/>
      <c r="I2090" s="225"/>
      <c r="J2090" s="168" t="str">
        <f>IF(VLOOKUP($D2079&amp;RIGHT($A2090,1),Players!$A$2:$D$132,3)&lt;&gt;0,"("&amp;VLOOKUP($D2079&amp;RIGHT($A2090,1),Players!$A$2:$D$132,4)&amp;")","")</f>
        <v/>
      </c>
    </row>
    <row r="2091" spans="1:10" ht="25.5" customHeight="1" x14ac:dyDescent="0.4">
      <c r="A2091" s="37" t="str">
        <f>CONCATENATE($I2079,"6")</f>
        <v>G6</v>
      </c>
      <c r="B2091" s="222" t="str">
        <f>IF(VLOOKUP($A2091,Players!$A$2:$C$132,3)&lt;&gt;0,VLOOKUP($A2091,Players!$A$2:$C$132,3),"")</f>
        <v/>
      </c>
      <c r="C2091" s="222"/>
      <c r="D2091" s="222"/>
      <c r="E2091" s="222"/>
      <c r="F2091" s="222"/>
      <c r="G2091" s="225" t="str">
        <f>IF(VLOOKUP($D2079&amp;RIGHT($A2091,1),Players!$A$2:$D$132,3)&lt;&gt;0,VLOOKUP($D2079&amp;RIGHT($A2091,1),Players!$A$2:$D$132,3),"")</f>
        <v/>
      </c>
      <c r="H2091" s="225"/>
      <c r="I2091" s="225"/>
      <c r="J2091" s="168" t="str">
        <f>IF(VLOOKUP($D2079&amp;RIGHT($A2091,1),Players!$A$2:$D$132,3)&lt;&gt;0,"("&amp;VLOOKUP($D2079&amp;RIGHT($A2091,1),Players!$A$2:$D$132,4)&amp;")","")</f>
        <v/>
      </c>
    </row>
    <row r="2092" spans="1:10" ht="25.5" customHeight="1" x14ac:dyDescent="0.4">
      <c r="A2092" s="37" t="str">
        <f>CONCATENATE($I2079,"7")</f>
        <v>G7</v>
      </c>
      <c r="B2092" s="222" t="str">
        <f>IF(VLOOKUP($A2092,Players!$A$2:$C$132,3)&lt;&gt;0,VLOOKUP($A2092,Players!$A$2:$C$132,3),"")</f>
        <v/>
      </c>
      <c r="C2092" s="222"/>
      <c r="D2092" s="222"/>
      <c r="E2092" s="222"/>
      <c r="F2092" s="222"/>
      <c r="G2092" s="225" t="str">
        <f>IF(VLOOKUP($D2079&amp;RIGHT($A2092,1),Players!$A$2:$D$132,3)&lt;&gt;0,VLOOKUP($D2079&amp;RIGHT($A2092,1),Players!$A$2:$D$132,3),"")</f>
        <v/>
      </c>
      <c r="H2092" s="225"/>
      <c r="I2092" s="225"/>
      <c r="J2092" s="168" t="str">
        <f>IF(VLOOKUP($D2079&amp;RIGHT($A2092,1),Players!$A$2:$D$132,3)&lt;&gt;0,"("&amp;VLOOKUP($D2079&amp;RIGHT($A2092,1),Players!$A$2:$D$132,4)&amp;")","")</f>
        <v/>
      </c>
    </row>
    <row r="2093" spans="1:10" ht="25.5" customHeight="1" x14ac:dyDescent="0.4">
      <c r="A2093" s="37" t="str">
        <f>CONCATENATE($I2079,"8")</f>
        <v>G8</v>
      </c>
      <c r="B2093" s="222" t="str">
        <f>IF(VLOOKUP($A2093,Players!$A$2:$C$132,3)&lt;&gt;0,VLOOKUP($A2093,Players!$A$2:$C$132,3),"")</f>
        <v/>
      </c>
      <c r="C2093" s="222"/>
      <c r="D2093" s="222"/>
      <c r="E2093" s="222"/>
      <c r="F2093" s="222"/>
      <c r="G2093" s="225" t="str">
        <f>IF(VLOOKUP($D2079&amp;RIGHT($A2093,1),Players!$A$2:$D$132,3)&lt;&gt;0,VLOOKUP($D2079&amp;RIGHT($A2093,1),Players!$A$2:$D$132,3),"")</f>
        <v/>
      </c>
      <c r="H2093" s="225"/>
      <c r="I2093" s="225"/>
      <c r="J2093" s="168" t="str">
        <f>IF(VLOOKUP($D2079&amp;RIGHT($A2093,1),Players!$A$2:$D$132,3)&lt;&gt;0,"("&amp;VLOOKUP($D2079&amp;RIGHT($A2093,1),Players!$A$2:$D$132,4)&amp;")","")</f>
        <v/>
      </c>
    </row>
    <row r="2094" spans="1:10" ht="25.5" customHeight="1" x14ac:dyDescent="0.25">
      <c r="A2094" s="37"/>
      <c r="B2094" s="7"/>
      <c r="C2094" s="7"/>
      <c r="D2094" s="7"/>
      <c r="E2094" s="7"/>
    </row>
    <row r="2095" spans="1:10" x14ac:dyDescent="0.25">
      <c r="A2095" s="9" t="s">
        <v>157</v>
      </c>
    </row>
    <row r="2096" spans="1:10" x14ac:dyDescent="0.25">
      <c r="A2096" t="s">
        <v>179</v>
      </c>
    </row>
    <row r="2097" spans="1:10" x14ac:dyDescent="0.25">
      <c r="A2097" s="55" t="s">
        <v>918</v>
      </c>
    </row>
    <row r="2098" spans="1:10" x14ac:dyDescent="0.25">
      <c r="A2098" t="s">
        <v>919</v>
      </c>
    </row>
    <row r="2099" spans="1:10" ht="25.5" customHeight="1" thickBot="1" x14ac:dyDescent="0.3">
      <c r="A2099" s="37"/>
    </row>
    <row r="2100" spans="1:10" x14ac:dyDescent="0.25">
      <c r="B2100" s="213"/>
      <c r="C2100" s="214"/>
      <c r="D2100" s="214"/>
      <c r="E2100" s="214"/>
      <c r="F2100" s="215"/>
    </row>
    <row r="2101" spans="1:10" ht="13.8" thickBot="1" x14ac:dyDescent="0.3">
      <c r="B2101" s="216"/>
      <c r="C2101" s="217"/>
      <c r="D2101" s="217"/>
      <c r="E2101" s="217"/>
      <c r="F2101" s="218"/>
    </row>
    <row r="2105" spans="1:10" ht="25.5" customHeight="1" x14ac:dyDescent="0.25">
      <c r="A2105" s="36"/>
      <c r="B2105" s="36"/>
      <c r="C2105" s="36"/>
      <c r="D2105" s="36"/>
      <c r="E2105" s="36"/>
      <c r="G2105" s="38"/>
      <c r="H2105" s="227" t="s">
        <v>159</v>
      </c>
      <c r="I2105" s="228"/>
    </row>
    <row r="2106" spans="1:10" x14ac:dyDescent="0.25">
      <c r="A2106" t="s">
        <v>158</v>
      </c>
    </row>
    <row r="2108" spans="1:10" x14ac:dyDescent="0.25">
      <c r="E2108" s="219" t="str">
        <f>CONCATENATE("(",$D2079," vs ",$I2079,")")</f>
        <v>(A vs G)</v>
      </c>
      <c r="F2108" s="219"/>
    </row>
    <row r="2109" spans="1:10" ht="15.6" x14ac:dyDescent="0.3">
      <c r="A2109" s="33" t="s">
        <v>155</v>
      </c>
      <c r="J2109" s="82" t="s">
        <v>533</v>
      </c>
    </row>
    <row r="2110" spans="1:10" ht="12.75" customHeight="1" x14ac:dyDescent="0.3">
      <c r="A2110" s="33"/>
      <c r="G2110" t="str">
        <f ca="1">Team_Matches!$J$6</f>
        <v>[NCTTA Teams Template (v3.4).xlsx]</v>
      </c>
      <c r="J2110" s="55"/>
    </row>
    <row r="2111" spans="1:10" ht="12.75" customHeight="1" x14ac:dyDescent="0.3">
      <c r="A2111" s="33"/>
      <c r="G2111" s="229" t="str">
        <f>Team_Matches!$J1588</f>
        <v>Round 6, Match 2</v>
      </c>
      <c r="H2111" s="229"/>
      <c r="I2111" s="127" t="str">
        <f>Team_Matches!$M1588</f>
        <v/>
      </c>
      <c r="J2111" s="127"/>
    </row>
    <row r="2112" spans="1:10" ht="15.6" x14ac:dyDescent="0.3">
      <c r="A2112" s="33"/>
    </row>
    <row r="2113" spans="1:10" x14ac:dyDescent="0.25">
      <c r="C2113" s="7" t="s">
        <v>160</v>
      </c>
      <c r="D2113" s="3" t="str">
        <f>Team_Matches!$B1590</f>
        <v>F</v>
      </c>
      <c r="F2113" s="83" t="str">
        <f>CONCATENATE($D2113,"-",$I2113)</f>
        <v>F-H</v>
      </c>
      <c r="H2113" s="7" t="s">
        <v>160</v>
      </c>
      <c r="I2113" s="39" t="str">
        <f>Team_Matches!$K1590</f>
        <v>H</v>
      </c>
    </row>
    <row r="2114" spans="1:10" ht="25.5" customHeight="1" x14ac:dyDescent="0.25">
      <c r="A2114" s="34"/>
      <c r="B2114" s="220" t="str">
        <f>IF(VLOOKUP($D2113,Draw!$A$4:$B$27,2)&lt;&gt;0,VLOOKUP($D2113,Draw!$A$4:$B$27,2),"")</f>
        <v/>
      </c>
      <c r="C2114" s="220"/>
      <c r="D2114" s="220"/>
      <c r="E2114" s="221"/>
      <c r="F2114" s="35"/>
      <c r="G2114" s="223" t="str">
        <f>IF(VLOOKUP($I2113,Draw!$A$4:$B$27,2)&lt;&gt;0,VLOOKUP($I2113,Draw!$A$4:$B$27,2),"")</f>
        <v/>
      </c>
      <c r="H2114" s="223"/>
      <c r="I2114" s="223"/>
      <c r="J2114" s="224"/>
    </row>
    <row r="2115" spans="1:10" ht="25.5" customHeight="1" x14ac:dyDescent="0.25"/>
    <row r="2116" spans="1:10" ht="25.5" customHeight="1" x14ac:dyDescent="0.25"/>
    <row r="2117" spans="1:10" ht="24" customHeight="1" x14ac:dyDescent="0.25">
      <c r="A2117" s="9" t="s">
        <v>178</v>
      </c>
    </row>
    <row r="2118" spans="1:10" ht="24" customHeight="1" x14ac:dyDescent="0.25">
      <c r="A2118" s="9"/>
    </row>
    <row r="2119" spans="1:10" x14ac:dyDescent="0.25">
      <c r="A2119" s="9" t="s">
        <v>156</v>
      </c>
      <c r="G2119" s="226" t="s">
        <v>873</v>
      </c>
      <c r="H2119" s="226"/>
      <c r="I2119" s="226"/>
      <c r="J2119" s="226"/>
    </row>
    <row r="2120" spans="1:10" ht="24" customHeight="1" x14ac:dyDescent="0.4">
      <c r="A2120" s="37" t="str">
        <f>CONCATENATE($D2113,"1")</f>
        <v>F1</v>
      </c>
      <c r="B2120" s="222" t="str">
        <f>IF(VLOOKUP($A2120,Players!$A$2:$C$132,3)&lt;&gt;0,VLOOKUP($A2120,Players!$A$2:$C$132,3),"")</f>
        <v/>
      </c>
      <c r="C2120" s="222"/>
      <c r="D2120" s="222"/>
      <c r="E2120" s="222"/>
      <c r="F2120" s="222"/>
      <c r="G2120" s="225" t="str">
        <f>IF(VLOOKUP($I2113&amp;RIGHT($A2120,1),Players!$A$2:$D$132,3)&lt;&gt;0,VLOOKUP($I2113&amp;RIGHT($A2120,1),Players!$A$2:$D$132,3),"")</f>
        <v/>
      </c>
      <c r="H2120" s="225"/>
      <c r="I2120" s="225"/>
      <c r="J2120" s="168" t="str">
        <f>IF(VLOOKUP($I2113&amp;RIGHT($A2120,1),Players!$A$2:$D$132,3)&lt;&gt;0,"("&amp;VLOOKUP($I2113&amp;RIGHT($A2120,1),Players!$A$2:$D$132,4)&amp;")","")</f>
        <v/>
      </c>
    </row>
    <row r="2121" spans="1:10" ht="25.5" customHeight="1" x14ac:dyDescent="0.4">
      <c r="A2121" s="37" t="str">
        <f>CONCATENATE($D2113,"2")</f>
        <v>F2</v>
      </c>
      <c r="B2121" s="222" t="str">
        <f>IF(VLOOKUP($A2121,Players!$A$2:$C$132,3)&lt;&gt;0,VLOOKUP($A2121,Players!$A$2:$C$132,3),"")</f>
        <v/>
      </c>
      <c r="C2121" s="222"/>
      <c r="D2121" s="222"/>
      <c r="E2121" s="222"/>
      <c r="F2121" s="222"/>
      <c r="G2121" s="225" t="str">
        <f>IF(VLOOKUP($I2113&amp;RIGHT($A2121,1),Players!$A$2:$D$132,3)&lt;&gt;0,VLOOKUP($I2113&amp;RIGHT($A2121,1),Players!$A$2:$D$132,3),"")</f>
        <v/>
      </c>
      <c r="H2121" s="225"/>
      <c r="I2121" s="225"/>
      <c r="J2121" s="168" t="str">
        <f>IF(VLOOKUP($I2113&amp;RIGHT($A2121,1),Players!$A$2:$D$132,3)&lt;&gt;0,"("&amp;VLOOKUP($I2113&amp;RIGHT($A2121,1),Players!$A$2:$D$132,4)&amp;")","")</f>
        <v/>
      </c>
    </row>
    <row r="2122" spans="1:10" ht="25.5" customHeight="1" x14ac:dyDescent="0.4">
      <c r="A2122" s="37" t="str">
        <f>CONCATENATE($D2113,"3")</f>
        <v>F3</v>
      </c>
      <c r="B2122" s="222" t="str">
        <f>IF(VLOOKUP($A2122,Players!$A$2:$C$132,3)&lt;&gt;0,VLOOKUP($A2122,Players!$A$2:$C$132,3),"")</f>
        <v/>
      </c>
      <c r="C2122" s="222"/>
      <c r="D2122" s="222"/>
      <c r="E2122" s="222"/>
      <c r="F2122" s="222"/>
      <c r="G2122" s="225" t="str">
        <f>IF(VLOOKUP($I2113&amp;RIGHT($A2122,1),Players!$A$2:$D$132,3)&lt;&gt;0,VLOOKUP($I2113&amp;RIGHT($A2122,1),Players!$A$2:$D$132,3),"")</f>
        <v/>
      </c>
      <c r="H2122" s="225"/>
      <c r="I2122" s="225"/>
      <c r="J2122" s="168" t="str">
        <f>IF(VLOOKUP($I2113&amp;RIGHT($A2122,1),Players!$A$2:$D$132,3)&lt;&gt;0,"("&amp;VLOOKUP($I2113&amp;RIGHT($A2122,1),Players!$A$2:$D$132,4)&amp;")","")</f>
        <v/>
      </c>
    </row>
    <row r="2123" spans="1:10" ht="25.5" customHeight="1" x14ac:dyDescent="0.4">
      <c r="A2123" s="37" t="str">
        <f>CONCATENATE($D2113,"4")</f>
        <v>F4</v>
      </c>
      <c r="B2123" s="222" t="str">
        <f>IF(VLOOKUP($A2123,Players!$A$2:$C$132,3)&lt;&gt;0,VLOOKUP($A2123,Players!$A$2:$C$132,3),"")</f>
        <v/>
      </c>
      <c r="C2123" s="222"/>
      <c r="D2123" s="222"/>
      <c r="E2123" s="222"/>
      <c r="F2123" s="222"/>
      <c r="G2123" s="225" t="str">
        <f>IF(VLOOKUP($I2113&amp;RIGHT($A2123,1),Players!$A$2:$D$132,3)&lt;&gt;0,VLOOKUP($I2113&amp;RIGHT($A2123,1),Players!$A$2:$D$132,3),"")</f>
        <v/>
      </c>
      <c r="H2123" s="225"/>
      <c r="I2123" s="225"/>
      <c r="J2123" s="168" t="str">
        <f>IF(VLOOKUP($I2113&amp;RIGHT($A2123,1),Players!$A$2:$D$132,3)&lt;&gt;0,"("&amp;VLOOKUP($I2113&amp;RIGHT($A2123,1),Players!$A$2:$D$132,4)&amp;")","")</f>
        <v/>
      </c>
    </row>
    <row r="2124" spans="1:10" ht="25.5" customHeight="1" x14ac:dyDescent="0.4">
      <c r="A2124" s="37" t="str">
        <f>CONCATENATE($D2113,"5")</f>
        <v>F5</v>
      </c>
      <c r="B2124" s="222" t="str">
        <f>IF(VLOOKUP($A2124,Players!$A$2:$C$132,3)&lt;&gt;0,VLOOKUP($A2124,Players!$A$2:$C$132,3),"")</f>
        <v/>
      </c>
      <c r="C2124" s="222"/>
      <c r="D2124" s="222"/>
      <c r="E2124" s="222"/>
      <c r="F2124" s="222"/>
      <c r="G2124" s="225" t="str">
        <f>IF(VLOOKUP($I2113&amp;RIGHT($A2124,1),Players!$A$2:$D$132,3)&lt;&gt;0,VLOOKUP($I2113&amp;RIGHT($A2124,1),Players!$A$2:$D$132,3),"")</f>
        <v/>
      </c>
      <c r="H2124" s="225"/>
      <c r="I2124" s="225"/>
      <c r="J2124" s="168" t="str">
        <f>IF(VLOOKUP($I2113&amp;RIGHT($A2124,1),Players!$A$2:$D$132,3)&lt;&gt;0,"("&amp;VLOOKUP($I2113&amp;RIGHT($A2124,1),Players!$A$2:$D$132,4)&amp;")","")</f>
        <v/>
      </c>
    </row>
    <row r="2125" spans="1:10" ht="25.5" customHeight="1" x14ac:dyDescent="0.4">
      <c r="A2125" s="37" t="str">
        <f>CONCATENATE($D2113,"6")</f>
        <v>F6</v>
      </c>
      <c r="B2125" s="222" t="str">
        <f>IF(VLOOKUP($A2125,Players!$A$2:$C$132,3)&lt;&gt;0,VLOOKUP($A2125,Players!$A$2:$C$132,3),"")</f>
        <v/>
      </c>
      <c r="C2125" s="222"/>
      <c r="D2125" s="222"/>
      <c r="E2125" s="222"/>
      <c r="F2125" s="222"/>
      <c r="G2125" s="225" t="str">
        <f>IF(VLOOKUP($I2113&amp;RIGHT($A2125,1),Players!$A$2:$D$132,3)&lt;&gt;0,VLOOKUP($I2113&amp;RIGHT($A2125,1),Players!$A$2:$D$132,3),"")</f>
        <v/>
      </c>
      <c r="H2125" s="225"/>
      <c r="I2125" s="225"/>
      <c r="J2125" s="168" t="str">
        <f>IF(VLOOKUP($I2113&amp;RIGHT($A2125,1),Players!$A$2:$D$132,3)&lt;&gt;0,"("&amp;VLOOKUP($I2113&amp;RIGHT($A2125,1),Players!$A$2:$D$132,4)&amp;")","")</f>
        <v/>
      </c>
    </row>
    <row r="2126" spans="1:10" ht="25.5" customHeight="1" x14ac:dyDescent="0.4">
      <c r="A2126" s="37" t="str">
        <f>CONCATENATE($D2113,"7")</f>
        <v>F7</v>
      </c>
      <c r="B2126" s="222" t="str">
        <f>IF(VLOOKUP($A2126,Players!$A$2:$C$132,3)&lt;&gt;0,VLOOKUP($A2126,Players!$A$2:$C$132,3),"")</f>
        <v/>
      </c>
      <c r="C2126" s="222"/>
      <c r="D2126" s="222"/>
      <c r="E2126" s="222"/>
      <c r="F2126" s="222"/>
      <c r="G2126" s="225" t="str">
        <f>IF(VLOOKUP($I2113&amp;RIGHT($A2126,1),Players!$A$2:$D$132,3)&lt;&gt;0,VLOOKUP($I2113&amp;RIGHT($A2126,1),Players!$A$2:$D$132,3),"")</f>
        <v/>
      </c>
      <c r="H2126" s="225"/>
      <c r="I2126" s="225"/>
      <c r="J2126" s="168" t="str">
        <f>IF(VLOOKUP($I2113&amp;RIGHT($A2126,1),Players!$A$2:$D$132,3)&lt;&gt;0,"("&amp;VLOOKUP($I2113&amp;RIGHT($A2126,1),Players!$A$2:$D$132,4)&amp;")","")</f>
        <v/>
      </c>
    </row>
    <row r="2127" spans="1:10" ht="25.5" customHeight="1" x14ac:dyDescent="0.4">
      <c r="A2127" s="37" t="str">
        <f>CONCATENATE($D2113,"8")</f>
        <v>F8</v>
      </c>
      <c r="B2127" s="222" t="str">
        <f>IF(VLOOKUP($A2127,Players!$A$2:$C$132,3)&lt;&gt;0,VLOOKUP($A2127,Players!$A$2:$C$132,3),"")</f>
        <v/>
      </c>
      <c r="C2127" s="222"/>
      <c r="D2127" s="222"/>
      <c r="E2127" s="222"/>
      <c r="F2127" s="222"/>
      <c r="G2127" s="225" t="str">
        <f>IF(VLOOKUP($I2113&amp;RIGHT($A2127,1),Players!$A$2:$D$132,3)&lt;&gt;0,VLOOKUP($I2113&amp;RIGHT($A2127,1),Players!$A$2:$D$132,3),"")</f>
        <v/>
      </c>
      <c r="H2127" s="225"/>
      <c r="I2127" s="225"/>
      <c r="J2127" s="168" t="str">
        <f>IF(VLOOKUP($I2113&amp;RIGHT($A2127,1),Players!$A$2:$D$132,3)&lt;&gt;0,"("&amp;VLOOKUP($I2113&amp;RIGHT($A2127,1),Players!$A$2:$D$132,4)&amp;")","")</f>
        <v/>
      </c>
    </row>
    <row r="2128" spans="1:10" ht="25.5" customHeight="1" x14ac:dyDescent="0.25">
      <c r="A2128" s="37"/>
      <c r="B2128" s="7"/>
      <c r="C2128" s="7"/>
      <c r="D2128" s="7"/>
      <c r="E2128" s="7"/>
    </row>
    <row r="2129" spans="1:10" x14ac:dyDescent="0.25">
      <c r="A2129" s="9" t="s">
        <v>157</v>
      </c>
    </row>
    <row r="2130" spans="1:10" x14ac:dyDescent="0.25">
      <c r="A2130" t="s">
        <v>179</v>
      </c>
    </row>
    <row r="2131" spans="1:10" x14ac:dyDescent="0.25">
      <c r="A2131" s="55" t="s">
        <v>918</v>
      </c>
    </row>
    <row r="2132" spans="1:10" x14ac:dyDescent="0.25">
      <c r="A2132" t="s">
        <v>919</v>
      </c>
    </row>
    <row r="2133" spans="1:10" ht="25.5" customHeight="1" thickBot="1" x14ac:dyDescent="0.3">
      <c r="A2133" s="37"/>
    </row>
    <row r="2134" spans="1:10" x14ac:dyDescent="0.25">
      <c r="B2134" s="213"/>
      <c r="C2134" s="214"/>
      <c r="D2134" s="214"/>
      <c r="E2134" s="214"/>
      <c r="F2134" s="215"/>
    </row>
    <row r="2135" spans="1:10" ht="13.8" thickBot="1" x14ac:dyDescent="0.3">
      <c r="B2135" s="216"/>
      <c r="C2135" s="217"/>
      <c r="D2135" s="217"/>
      <c r="E2135" s="217"/>
      <c r="F2135" s="218"/>
    </row>
    <row r="2139" spans="1:10" ht="25.5" customHeight="1" x14ac:dyDescent="0.25">
      <c r="A2139" s="36"/>
      <c r="B2139" s="36"/>
      <c r="C2139" s="36"/>
      <c r="D2139" s="36"/>
      <c r="E2139" s="36"/>
      <c r="G2139" s="38"/>
      <c r="H2139" s="227" t="s">
        <v>159</v>
      </c>
      <c r="I2139" s="228"/>
    </row>
    <row r="2140" spans="1:10" x14ac:dyDescent="0.25">
      <c r="A2140" t="s">
        <v>158</v>
      </c>
    </row>
    <row r="2142" spans="1:10" x14ac:dyDescent="0.25">
      <c r="E2142" s="219" t="str">
        <f>CONCATENATE("(",$D2113," vs ",$I2113,")")</f>
        <v>(F vs H)</v>
      </c>
      <c r="F2142" s="219"/>
    </row>
    <row r="2143" spans="1:10" ht="15.6" x14ac:dyDescent="0.3">
      <c r="A2143" s="33" t="s">
        <v>155</v>
      </c>
      <c r="J2143" s="82" t="s">
        <v>534</v>
      </c>
    </row>
    <row r="2144" spans="1:10" ht="12.75" customHeight="1" x14ac:dyDescent="0.3">
      <c r="A2144" s="33"/>
      <c r="G2144" t="str">
        <f ca="1">Team_Matches!$J$6</f>
        <v>[NCTTA Teams Template (v3.4).xlsx]</v>
      </c>
      <c r="J2144" s="55"/>
    </row>
    <row r="2145" spans="1:10" ht="12.75" customHeight="1" x14ac:dyDescent="0.3">
      <c r="A2145" s="33"/>
      <c r="G2145" s="229" t="str">
        <f>Team_Matches!$J1588</f>
        <v>Round 6, Match 2</v>
      </c>
      <c r="H2145" s="229"/>
      <c r="I2145" s="127" t="str">
        <f>Team_Matches!$M1588</f>
        <v/>
      </c>
      <c r="J2145" s="127"/>
    </row>
    <row r="2146" spans="1:10" ht="15.6" x14ac:dyDescent="0.3">
      <c r="A2146" s="33"/>
    </row>
    <row r="2147" spans="1:10" x14ac:dyDescent="0.25">
      <c r="C2147" s="7" t="s">
        <v>160</v>
      </c>
      <c r="D2147" s="3" t="str">
        <f>Team_Matches!$B1590</f>
        <v>F</v>
      </c>
      <c r="F2147" s="83" t="str">
        <f>CONCATENATE($D2147,"-",$I2147)</f>
        <v>F-H</v>
      </c>
      <c r="H2147" s="7" t="s">
        <v>160</v>
      </c>
      <c r="I2147" s="39" t="str">
        <f>Team_Matches!$K1590</f>
        <v>H</v>
      </c>
    </row>
    <row r="2148" spans="1:10" ht="25.5" customHeight="1" x14ac:dyDescent="0.25">
      <c r="A2148" s="34"/>
      <c r="B2148" s="223" t="str">
        <f>IF(VLOOKUP($D2147,Draw!$A$4:$B$27,2)&lt;&gt;0,VLOOKUP($D2147,Draw!$A$4:$B$27,2),"")</f>
        <v/>
      </c>
      <c r="C2148" s="223"/>
      <c r="D2148" s="223"/>
      <c r="E2148" s="224"/>
      <c r="F2148" s="35"/>
      <c r="G2148" s="220" t="str">
        <f>IF(VLOOKUP($I2147,Draw!$A$4:$B$27,2)&lt;&gt;0,VLOOKUP($I2147,Draw!$A$4:$B$27,2),"")</f>
        <v/>
      </c>
      <c r="H2148" s="220"/>
      <c r="I2148" s="220"/>
      <c r="J2148" s="221"/>
    </row>
    <row r="2149" spans="1:10" ht="25.5" customHeight="1" x14ac:dyDescent="0.25"/>
    <row r="2150" spans="1:10" ht="25.5" customHeight="1" x14ac:dyDescent="0.25"/>
    <row r="2151" spans="1:10" ht="24" customHeight="1" x14ac:dyDescent="0.25">
      <c r="A2151" s="9" t="s">
        <v>178</v>
      </c>
    </row>
    <row r="2152" spans="1:10" ht="24" customHeight="1" x14ac:dyDescent="0.25">
      <c r="A2152" s="9"/>
    </row>
    <row r="2153" spans="1:10" x14ac:dyDescent="0.25">
      <c r="A2153" s="9" t="s">
        <v>156</v>
      </c>
      <c r="G2153" s="226" t="s">
        <v>873</v>
      </c>
      <c r="H2153" s="226"/>
      <c r="I2153" s="226"/>
      <c r="J2153" s="226"/>
    </row>
    <row r="2154" spans="1:10" ht="24" customHeight="1" x14ac:dyDescent="0.4">
      <c r="A2154" s="37" t="str">
        <f>CONCATENATE($I2147,"1")</f>
        <v>H1</v>
      </c>
      <c r="B2154" s="222" t="str">
        <f>IF(VLOOKUP($A2154,Players!$A$2:$C$132,3)&lt;&gt;0,VLOOKUP($A2154,Players!$A$2:$C$132,3),"")</f>
        <v/>
      </c>
      <c r="C2154" s="222"/>
      <c r="D2154" s="222"/>
      <c r="E2154" s="222"/>
      <c r="F2154" s="222"/>
      <c r="G2154" s="225" t="str">
        <f>IF(VLOOKUP($D2147&amp;RIGHT($A2154,1),Players!$A$2:$D$132,3)&lt;&gt;0,VLOOKUP($D2147&amp;RIGHT($A2154,1),Players!$A$2:$D$132,3),"")</f>
        <v/>
      </c>
      <c r="H2154" s="225"/>
      <c r="I2154" s="225"/>
      <c r="J2154" s="168" t="str">
        <f>IF(VLOOKUP($D2147&amp;RIGHT($A2154,1),Players!$A$2:$D$132,3)&lt;&gt;0,"("&amp;VLOOKUP($D2147&amp;RIGHT($A2154,1),Players!$A$2:$D$132,4)&amp;")","")</f>
        <v/>
      </c>
    </row>
    <row r="2155" spans="1:10" ht="25.5" customHeight="1" x14ac:dyDescent="0.4">
      <c r="A2155" s="37" t="str">
        <f>CONCATENATE($I2147,"2")</f>
        <v>H2</v>
      </c>
      <c r="B2155" s="222" t="str">
        <f>IF(VLOOKUP($A2155,Players!$A$2:$C$132,3)&lt;&gt;0,VLOOKUP($A2155,Players!$A$2:$C$132,3),"")</f>
        <v/>
      </c>
      <c r="C2155" s="222"/>
      <c r="D2155" s="222"/>
      <c r="E2155" s="222"/>
      <c r="F2155" s="222"/>
      <c r="G2155" s="225" t="str">
        <f>IF(VLOOKUP($D2147&amp;RIGHT($A2155,1),Players!$A$2:$D$132,3)&lt;&gt;0,VLOOKUP($D2147&amp;RIGHT($A2155,1),Players!$A$2:$D$132,3),"")</f>
        <v/>
      </c>
      <c r="H2155" s="225"/>
      <c r="I2155" s="225"/>
      <c r="J2155" s="168" t="str">
        <f>IF(VLOOKUP($D2147&amp;RIGHT($A2155,1),Players!$A$2:$D$132,3)&lt;&gt;0,"("&amp;VLOOKUP($D2147&amp;RIGHT($A2155,1),Players!$A$2:$D$132,4)&amp;")","")</f>
        <v/>
      </c>
    </row>
    <row r="2156" spans="1:10" ht="25.5" customHeight="1" x14ac:dyDescent="0.4">
      <c r="A2156" s="37" t="str">
        <f>CONCATENATE($I2147,"3")</f>
        <v>H3</v>
      </c>
      <c r="B2156" s="222" t="str">
        <f>IF(VLOOKUP($A2156,Players!$A$2:$C$132,3)&lt;&gt;0,VLOOKUP($A2156,Players!$A$2:$C$132,3),"")</f>
        <v/>
      </c>
      <c r="C2156" s="222"/>
      <c r="D2156" s="222"/>
      <c r="E2156" s="222"/>
      <c r="F2156" s="222"/>
      <c r="G2156" s="225" t="str">
        <f>IF(VLOOKUP($D2147&amp;RIGHT($A2156,1),Players!$A$2:$D$132,3)&lt;&gt;0,VLOOKUP($D2147&amp;RIGHT($A2156,1),Players!$A$2:$D$132,3),"")</f>
        <v/>
      </c>
      <c r="H2156" s="225"/>
      <c r="I2156" s="225"/>
      <c r="J2156" s="168" t="str">
        <f>IF(VLOOKUP($D2147&amp;RIGHT($A2156,1),Players!$A$2:$D$132,3)&lt;&gt;0,"("&amp;VLOOKUP($D2147&amp;RIGHT($A2156,1),Players!$A$2:$D$132,4)&amp;")","")</f>
        <v/>
      </c>
    </row>
    <row r="2157" spans="1:10" ht="25.5" customHeight="1" x14ac:dyDescent="0.4">
      <c r="A2157" s="37" t="str">
        <f>CONCATENATE($I2147,"4")</f>
        <v>H4</v>
      </c>
      <c r="B2157" s="222" t="str">
        <f>IF(VLOOKUP($A2157,Players!$A$2:$C$132,3)&lt;&gt;0,VLOOKUP($A2157,Players!$A$2:$C$132,3),"")</f>
        <v/>
      </c>
      <c r="C2157" s="222"/>
      <c r="D2157" s="222"/>
      <c r="E2157" s="222"/>
      <c r="F2157" s="222"/>
      <c r="G2157" s="225" t="str">
        <f>IF(VLOOKUP($D2147&amp;RIGHT($A2157,1),Players!$A$2:$D$132,3)&lt;&gt;0,VLOOKUP($D2147&amp;RIGHT($A2157,1),Players!$A$2:$D$132,3),"")</f>
        <v/>
      </c>
      <c r="H2157" s="225"/>
      <c r="I2157" s="225"/>
      <c r="J2157" s="168" t="str">
        <f>IF(VLOOKUP($D2147&amp;RIGHT($A2157,1),Players!$A$2:$D$132,3)&lt;&gt;0,"("&amp;VLOOKUP($D2147&amp;RIGHT($A2157,1),Players!$A$2:$D$132,4)&amp;")","")</f>
        <v/>
      </c>
    </row>
    <row r="2158" spans="1:10" ht="25.5" customHeight="1" x14ac:dyDescent="0.4">
      <c r="A2158" s="37" t="str">
        <f>CONCATENATE($I2147,"5")</f>
        <v>H5</v>
      </c>
      <c r="B2158" s="222" t="str">
        <f>IF(VLOOKUP($A2158,Players!$A$2:$C$132,3)&lt;&gt;0,VLOOKUP($A2158,Players!$A$2:$C$132,3),"")</f>
        <v/>
      </c>
      <c r="C2158" s="222"/>
      <c r="D2158" s="222"/>
      <c r="E2158" s="222"/>
      <c r="F2158" s="222"/>
      <c r="G2158" s="225" t="str">
        <f>IF(VLOOKUP($D2147&amp;RIGHT($A2158,1),Players!$A$2:$D$132,3)&lt;&gt;0,VLOOKUP($D2147&amp;RIGHT($A2158,1),Players!$A$2:$D$132,3),"")</f>
        <v/>
      </c>
      <c r="H2158" s="225"/>
      <c r="I2158" s="225"/>
      <c r="J2158" s="168" t="str">
        <f>IF(VLOOKUP($D2147&amp;RIGHT($A2158,1),Players!$A$2:$D$132,3)&lt;&gt;0,"("&amp;VLOOKUP($D2147&amp;RIGHT($A2158,1),Players!$A$2:$D$132,4)&amp;")","")</f>
        <v/>
      </c>
    </row>
    <row r="2159" spans="1:10" ht="25.5" customHeight="1" x14ac:dyDescent="0.4">
      <c r="A2159" s="37" t="str">
        <f>CONCATENATE($I2147,"6")</f>
        <v>H6</v>
      </c>
      <c r="B2159" s="222" t="str">
        <f>IF(VLOOKUP($A2159,Players!$A$2:$C$132,3)&lt;&gt;0,VLOOKUP($A2159,Players!$A$2:$C$132,3),"")</f>
        <v/>
      </c>
      <c r="C2159" s="222"/>
      <c r="D2159" s="222"/>
      <c r="E2159" s="222"/>
      <c r="F2159" s="222"/>
      <c r="G2159" s="225" t="str">
        <f>IF(VLOOKUP($D2147&amp;RIGHT($A2159,1),Players!$A$2:$D$132,3)&lt;&gt;0,VLOOKUP($D2147&amp;RIGHT($A2159,1),Players!$A$2:$D$132,3),"")</f>
        <v/>
      </c>
      <c r="H2159" s="225"/>
      <c r="I2159" s="225"/>
      <c r="J2159" s="168" t="str">
        <f>IF(VLOOKUP($D2147&amp;RIGHT($A2159,1),Players!$A$2:$D$132,3)&lt;&gt;0,"("&amp;VLOOKUP($D2147&amp;RIGHT($A2159,1),Players!$A$2:$D$132,4)&amp;")","")</f>
        <v/>
      </c>
    </row>
    <row r="2160" spans="1:10" ht="25.5" customHeight="1" x14ac:dyDescent="0.4">
      <c r="A2160" s="37" t="str">
        <f>CONCATENATE($I2147,"7")</f>
        <v>H7</v>
      </c>
      <c r="B2160" s="222" t="str">
        <f>IF(VLOOKUP($A2160,Players!$A$2:$C$132,3)&lt;&gt;0,VLOOKUP($A2160,Players!$A$2:$C$132,3),"")</f>
        <v/>
      </c>
      <c r="C2160" s="222"/>
      <c r="D2160" s="222"/>
      <c r="E2160" s="222"/>
      <c r="F2160" s="222"/>
      <c r="G2160" s="225" t="str">
        <f>IF(VLOOKUP($D2147&amp;RIGHT($A2160,1),Players!$A$2:$D$132,3)&lt;&gt;0,VLOOKUP($D2147&amp;RIGHT($A2160,1),Players!$A$2:$D$132,3),"")</f>
        <v/>
      </c>
      <c r="H2160" s="225"/>
      <c r="I2160" s="225"/>
      <c r="J2160" s="168" t="str">
        <f>IF(VLOOKUP($D2147&amp;RIGHT($A2160,1),Players!$A$2:$D$132,3)&lt;&gt;0,"("&amp;VLOOKUP($D2147&amp;RIGHT($A2160,1),Players!$A$2:$D$132,4)&amp;")","")</f>
        <v/>
      </c>
    </row>
    <row r="2161" spans="1:10" ht="25.5" customHeight="1" x14ac:dyDescent="0.4">
      <c r="A2161" s="37" t="str">
        <f>CONCATENATE($I2147,"8")</f>
        <v>H8</v>
      </c>
      <c r="B2161" s="222" t="str">
        <f>IF(VLOOKUP($A2161,Players!$A$2:$C$132,3)&lt;&gt;0,VLOOKUP($A2161,Players!$A$2:$C$132,3),"")</f>
        <v/>
      </c>
      <c r="C2161" s="222"/>
      <c r="D2161" s="222"/>
      <c r="E2161" s="222"/>
      <c r="F2161" s="222"/>
      <c r="G2161" s="225" t="str">
        <f>IF(VLOOKUP($D2147&amp;RIGHT($A2161,1),Players!$A$2:$D$132,3)&lt;&gt;0,VLOOKUP($D2147&amp;RIGHT($A2161,1),Players!$A$2:$D$132,3),"")</f>
        <v/>
      </c>
      <c r="H2161" s="225"/>
      <c r="I2161" s="225"/>
      <c r="J2161" s="168" t="str">
        <f>IF(VLOOKUP($D2147&amp;RIGHT($A2161,1),Players!$A$2:$D$132,3)&lt;&gt;0,"("&amp;VLOOKUP($D2147&amp;RIGHT($A2161,1),Players!$A$2:$D$132,4)&amp;")","")</f>
        <v/>
      </c>
    </row>
    <row r="2162" spans="1:10" ht="25.5" customHeight="1" x14ac:dyDescent="0.25">
      <c r="A2162" s="37"/>
      <c r="B2162" s="7"/>
      <c r="C2162" s="7"/>
      <c r="D2162" s="7"/>
      <c r="E2162" s="7"/>
    </row>
    <row r="2163" spans="1:10" x14ac:dyDescent="0.25">
      <c r="A2163" s="9" t="s">
        <v>157</v>
      </c>
    </row>
    <row r="2164" spans="1:10" x14ac:dyDescent="0.25">
      <c r="A2164" t="s">
        <v>179</v>
      </c>
    </row>
    <row r="2165" spans="1:10" x14ac:dyDescent="0.25">
      <c r="A2165" s="55" t="s">
        <v>918</v>
      </c>
    </row>
    <row r="2166" spans="1:10" x14ac:dyDescent="0.25">
      <c r="A2166" t="s">
        <v>919</v>
      </c>
    </row>
    <row r="2167" spans="1:10" ht="25.5" customHeight="1" thickBot="1" x14ac:dyDescent="0.3">
      <c r="A2167" s="37"/>
    </row>
    <row r="2168" spans="1:10" x14ac:dyDescent="0.25">
      <c r="B2168" s="213"/>
      <c r="C2168" s="214"/>
      <c r="D2168" s="214"/>
      <c r="E2168" s="214"/>
      <c r="F2168" s="215"/>
    </row>
    <row r="2169" spans="1:10" ht="13.8" thickBot="1" x14ac:dyDescent="0.3">
      <c r="B2169" s="216"/>
      <c r="C2169" s="217"/>
      <c r="D2169" s="217"/>
      <c r="E2169" s="217"/>
      <c r="F2169" s="218"/>
    </row>
    <row r="2173" spans="1:10" ht="25.5" customHeight="1" x14ac:dyDescent="0.25">
      <c r="A2173" s="36"/>
      <c r="B2173" s="36"/>
      <c r="C2173" s="36"/>
      <c r="D2173" s="36"/>
      <c r="E2173" s="36"/>
      <c r="G2173" s="38"/>
      <c r="H2173" s="227" t="s">
        <v>159</v>
      </c>
      <c r="I2173" s="228"/>
    </row>
    <row r="2174" spans="1:10" x14ac:dyDescent="0.25">
      <c r="A2174" t="s">
        <v>158</v>
      </c>
    </row>
    <row r="2176" spans="1:10" x14ac:dyDescent="0.25">
      <c r="E2176" s="219" t="str">
        <f>CONCATENATE("(",$D2147," vs ",$I2147,")")</f>
        <v>(F vs H)</v>
      </c>
      <c r="F2176" s="219"/>
    </row>
    <row r="2177" spans="1:10" ht="15.6" x14ac:dyDescent="0.3">
      <c r="A2177" s="33" t="s">
        <v>155</v>
      </c>
      <c r="J2177" s="82" t="s">
        <v>535</v>
      </c>
    </row>
    <row r="2178" spans="1:10" ht="12.75" customHeight="1" x14ac:dyDescent="0.3">
      <c r="A2178" s="33"/>
      <c r="G2178" t="str">
        <f ca="1">Team_Matches!$J$6</f>
        <v>[NCTTA Teams Template (v3.4).xlsx]</v>
      </c>
      <c r="J2178" s="55"/>
    </row>
    <row r="2179" spans="1:10" ht="12.75" customHeight="1" x14ac:dyDescent="0.3">
      <c r="A2179" s="33"/>
      <c r="G2179" s="229" t="str">
        <f>Team_Matches!$J1639</f>
        <v>Round 6, Match 3</v>
      </c>
      <c r="H2179" s="229"/>
      <c r="I2179" s="127" t="str">
        <f>Team_Matches!$M1639</f>
        <v/>
      </c>
      <c r="J2179" s="127"/>
    </row>
    <row r="2180" spans="1:10" ht="15.6" x14ac:dyDescent="0.3">
      <c r="A2180" s="33"/>
    </row>
    <row r="2181" spans="1:10" x14ac:dyDescent="0.25">
      <c r="C2181" s="7" t="s">
        <v>160</v>
      </c>
      <c r="D2181" s="39" t="str">
        <f>Team_Matches!$B1641</f>
        <v>E</v>
      </c>
      <c r="F2181" s="83" t="str">
        <f>CONCATENATE($D2181,"-",$I2181)</f>
        <v>E-I</v>
      </c>
      <c r="H2181" s="7" t="s">
        <v>160</v>
      </c>
      <c r="I2181" s="39" t="str">
        <f>Team_Matches!$K1641</f>
        <v>I</v>
      </c>
    </row>
    <row r="2182" spans="1:10" ht="25.5" customHeight="1" x14ac:dyDescent="0.25">
      <c r="A2182" s="34"/>
      <c r="B2182" s="220" t="str">
        <f>IF(VLOOKUP($D2181,Draw!$A$4:$B$27,2)&lt;&gt;0,VLOOKUP($D2181,Draw!$A$4:$B$27,2),"")</f>
        <v/>
      </c>
      <c r="C2182" s="220"/>
      <c r="D2182" s="220"/>
      <c r="E2182" s="221"/>
      <c r="F2182" s="35"/>
      <c r="G2182" s="223" t="str">
        <f>IF(VLOOKUP($I2181,Draw!$A$4:$B$27,2)&lt;&gt;0,VLOOKUP($I2181,Draw!$A$4:$B$27,2),"")</f>
        <v/>
      </c>
      <c r="H2182" s="223"/>
      <c r="I2182" s="223"/>
      <c r="J2182" s="224"/>
    </row>
    <row r="2183" spans="1:10" ht="25.5" customHeight="1" x14ac:dyDescent="0.25"/>
    <row r="2184" spans="1:10" ht="25.5" customHeight="1" x14ac:dyDescent="0.25"/>
    <row r="2185" spans="1:10" ht="24" customHeight="1" x14ac:dyDescent="0.25">
      <c r="A2185" s="9" t="s">
        <v>178</v>
      </c>
    </row>
    <row r="2186" spans="1:10" ht="24" customHeight="1" x14ac:dyDescent="0.25">
      <c r="A2186" s="9"/>
    </row>
    <row r="2187" spans="1:10" x14ac:dyDescent="0.25">
      <c r="A2187" s="9" t="s">
        <v>156</v>
      </c>
      <c r="G2187" s="226" t="s">
        <v>873</v>
      </c>
      <c r="H2187" s="226"/>
      <c r="I2187" s="226"/>
      <c r="J2187" s="226"/>
    </row>
    <row r="2188" spans="1:10" ht="24" customHeight="1" x14ac:dyDescent="0.4">
      <c r="A2188" s="37" t="str">
        <f>CONCATENATE($D2181,"1")</f>
        <v>E1</v>
      </c>
      <c r="B2188" s="222" t="str">
        <f>IF(VLOOKUP($A2188,Players!$A$2:$C$132,3)&lt;&gt;0,VLOOKUP($A2188,Players!$A$2:$C$132,3),"")</f>
        <v/>
      </c>
      <c r="C2188" s="222"/>
      <c r="D2188" s="222"/>
      <c r="E2188" s="222"/>
      <c r="F2188" s="222"/>
      <c r="G2188" s="225" t="str">
        <f>IF(VLOOKUP($I2181&amp;RIGHT($A2188,1),Players!$A$2:$D$132,3)&lt;&gt;0,VLOOKUP($I2181&amp;RIGHT($A2188,1),Players!$A$2:$D$132,3),"")</f>
        <v/>
      </c>
      <c r="H2188" s="225"/>
      <c r="I2188" s="225"/>
      <c r="J2188" s="168" t="str">
        <f>IF(VLOOKUP($I2181&amp;RIGHT($A2188,1),Players!$A$2:$D$132,3)&lt;&gt;0,"("&amp;VLOOKUP($I2181&amp;RIGHT($A2188,1),Players!$A$2:$D$132,4)&amp;")","")</f>
        <v/>
      </c>
    </row>
    <row r="2189" spans="1:10" ht="25.5" customHeight="1" x14ac:dyDescent="0.4">
      <c r="A2189" s="37" t="str">
        <f>CONCATENATE($D2181,"2")</f>
        <v>E2</v>
      </c>
      <c r="B2189" s="222" t="str">
        <f>IF(VLOOKUP($A2189,Players!$A$2:$C$132,3)&lt;&gt;0,VLOOKUP($A2189,Players!$A$2:$C$132,3),"")</f>
        <v/>
      </c>
      <c r="C2189" s="222"/>
      <c r="D2189" s="222"/>
      <c r="E2189" s="222"/>
      <c r="F2189" s="222"/>
      <c r="G2189" s="225" t="str">
        <f>IF(VLOOKUP($I2181&amp;RIGHT($A2189,1),Players!$A$2:$D$132,3)&lt;&gt;0,VLOOKUP($I2181&amp;RIGHT($A2189,1),Players!$A$2:$D$132,3),"")</f>
        <v/>
      </c>
      <c r="H2189" s="225"/>
      <c r="I2189" s="225"/>
      <c r="J2189" s="168" t="str">
        <f>IF(VLOOKUP($I2181&amp;RIGHT($A2189,1),Players!$A$2:$D$132,3)&lt;&gt;0,"("&amp;VLOOKUP($I2181&amp;RIGHT($A2189,1),Players!$A$2:$D$132,4)&amp;")","")</f>
        <v/>
      </c>
    </row>
    <row r="2190" spans="1:10" ht="25.5" customHeight="1" x14ac:dyDescent="0.4">
      <c r="A2190" s="37" t="str">
        <f>CONCATENATE($D2181,"3")</f>
        <v>E3</v>
      </c>
      <c r="B2190" s="222" t="str">
        <f>IF(VLOOKUP($A2190,Players!$A$2:$C$132,3)&lt;&gt;0,VLOOKUP($A2190,Players!$A$2:$C$132,3),"")</f>
        <v/>
      </c>
      <c r="C2190" s="222"/>
      <c r="D2190" s="222"/>
      <c r="E2190" s="222"/>
      <c r="F2190" s="222"/>
      <c r="G2190" s="225" t="str">
        <f>IF(VLOOKUP($I2181&amp;RIGHT($A2190,1),Players!$A$2:$D$132,3)&lt;&gt;0,VLOOKUP($I2181&amp;RIGHT($A2190,1),Players!$A$2:$D$132,3),"")</f>
        <v/>
      </c>
      <c r="H2190" s="225"/>
      <c r="I2190" s="225"/>
      <c r="J2190" s="168" t="str">
        <f>IF(VLOOKUP($I2181&amp;RIGHT($A2190,1),Players!$A$2:$D$132,3)&lt;&gt;0,"("&amp;VLOOKUP($I2181&amp;RIGHT($A2190,1),Players!$A$2:$D$132,4)&amp;")","")</f>
        <v/>
      </c>
    </row>
    <row r="2191" spans="1:10" ht="25.5" customHeight="1" x14ac:dyDescent="0.4">
      <c r="A2191" s="37" t="str">
        <f>CONCATENATE($D2181,"4")</f>
        <v>E4</v>
      </c>
      <c r="B2191" s="222" t="str">
        <f>IF(VLOOKUP($A2191,Players!$A$2:$C$132,3)&lt;&gt;0,VLOOKUP($A2191,Players!$A$2:$C$132,3),"")</f>
        <v/>
      </c>
      <c r="C2191" s="222"/>
      <c r="D2191" s="222"/>
      <c r="E2191" s="222"/>
      <c r="F2191" s="222"/>
      <c r="G2191" s="225" t="str">
        <f>IF(VLOOKUP($I2181&amp;RIGHT($A2191,1),Players!$A$2:$D$132,3)&lt;&gt;0,VLOOKUP($I2181&amp;RIGHT($A2191,1),Players!$A$2:$D$132,3),"")</f>
        <v/>
      </c>
      <c r="H2191" s="225"/>
      <c r="I2191" s="225"/>
      <c r="J2191" s="168" t="str">
        <f>IF(VLOOKUP($I2181&amp;RIGHT($A2191,1),Players!$A$2:$D$132,3)&lt;&gt;0,"("&amp;VLOOKUP($I2181&amp;RIGHT($A2191,1),Players!$A$2:$D$132,4)&amp;")","")</f>
        <v/>
      </c>
    </row>
    <row r="2192" spans="1:10" ht="25.5" customHeight="1" x14ac:dyDescent="0.4">
      <c r="A2192" s="37" t="str">
        <f>CONCATENATE($D2181,"5")</f>
        <v>E5</v>
      </c>
      <c r="B2192" s="222" t="str">
        <f>IF(VLOOKUP($A2192,Players!$A$2:$C$132,3)&lt;&gt;0,VLOOKUP($A2192,Players!$A$2:$C$132,3),"")</f>
        <v/>
      </c>
      <c r="C2192" s="222"/>
      <c r="D2192" s="222"/>
      <c r="E2192" s="222"/>
      <c r="F2192" s="222"/>
      <c r="G2192" s="225" t="str">
        <f>IF(VLOOKUP($I2181&amp;RIGHT($A2192,1),Players!$A$2:$D$132,3)&lt;&gt;0,VLOOKUP($I2181&amp;RIGHT($A2192,1),Players!$A$2:$D$132,3),"")</f>
        <v/>
      </c>
      <c r="H2192" s="225"/>
      <c r="I2192" s="225"/>
      <c r="J2192" s="168" t="str">
        <f>IF(VLOOKUP($I2181&amp;RIGHT($A2192,1),Players!$A$2:$D$132,3)&lt;&gt;0,"("&amp;VLOOKUP($I2181&amp;RIGHT($A2192,1),Players!$A$2:$D$132,4)&amp;")","")</f>
        <v/>
      </c>
    </row>
    <row r="2193" spans="1:10" ht="25.5" customHeight="1" x14ac:dyDescent="0.4">
      <c r="A2193" s="37" t="str">
        <f>CONCATENATE($D2181,"6")</f>
        <v>E6</v>
      </c>
      <c r="B2193" s="222" t="str">
        <f>IF(VLOOKUP($A2193,Players!$A$2:$C$132,3)&lt;&gt;0,VLOOKUP($A2193,Players!$A$2:$C$132,3),"")</f>
        <v/>
      </c>
      <c r="C2193" s="222"/>
      <c r="D2193" s="222"/>
      <c r="E2193" s="222"/>
      <c r="F2193" s="222"/>
      <c r="G2193" s="225" t="str">
        <f>IF(VLOOKUP($I2181&amp;RIGHT($A2193,1),Players!$A$2:$D$132,3)&lt;&gt;0,VLOOKUP($I2181&amp;RIGHT($A2193,1),Players!$A$2:$D$132,3),"")</f>
        <v/>
      </c>
      <c r="H2193" s="225"/>
      <c r="I2193" s="225"/>
      <c r="J2193" s="168" t="str">
        <f>IF(VLOOKUP($I2181&amp;RIGHT($A2193,1),Players!$A$2:$D$132,3)&lt;&gt;0,"("&amp;VLOOKUP($I2181&amp;RIGHT($A2193,1),Players!$A$2:$D$132,4)&amp;")","")</f>
        <v/>
      </c>
    </row>
    <row r="2194" spans="1:10" ht="25.5" customHeight="1" x14ac:dyDescent="0.4">
      <c r="A2194" s="37" t="str">
        <f>CONCATENATE($D2181,"7")</f>
        <v>E7</v>
      </c>
      <c r="B2194" s="222" t="str">
        <f>IF(VLOOKUP($A2194,Players!$A$2:$C$132,3)&lt;&gt;0,VLOOKUP($A2194,Players!$A$2:$C$132,3),"")</f>
        <v/>
      </c>
      <c r="C2194" s="222"/>
      <c r="D2194" s="222"/>
      <c r="E2194" s="222"/>
      <c r="F2194" s="222"/>
      <c r="G2194" s="225" t="str">
        <f>IF(VLOOKUP($I2181&amp;RIGHT($A2194,1),Players!$A$2:$D$132,3)&lt;&gt;0,VLOOKUP($I2181&amp;RIGHT($A2194,1),Players!$A$2:$D$132,3),"")</f>
        <v/>
      </c>
      <c r="H2194" s="225"/>
      <c r="I2194" s="225"/>
      <c r="J2194" s="168" t="str">
        <f>IF(VLOOKUP($I2181&amp;RIGHT($A2194,1),Players!$A$2:$D$132,3)&lt;&gt;0,"("&amp;VLOOKUP($I2181&amp;RIGHT($A2194,1),Players!$A$2:$D$132,4)&amp;")","")</f>
        <v/>
      </c>
    </row>
    <row r="2195" spans="1:10" ht="25.5" customHeight="1" x14ac:dyDescent="0.4">
      <c r="A2195" s="37" t="str">
        <f>CONCATENATE($D2181,"8")</f>
        <v>E8</v>
      </c>
      <c r="B2195" s="222" t="str">
        <f>IF(VLOOKUP($A2195,Players!$A$2:$C$132,3)&lt;&gt;0,VLOOKUP($A2195,Players!$A$2:$C$132,3),"")</f>
        <v/>
      </c>
      <c r="C2195" s="222"/>
      <c r="D2195" s="222"/>
      <c r="E2195" s="222"/>
      <c r="F2195" s="222"/>
      <c r="G2195" s="225" t="str">
        <f>IF(VLOOKUP($I2181&amp;RIGHT($A2195,1),Players!$A$2:$D$132,3)&lt;&gt;0,VLOOKUP($I2181&amp;RIGHT($A2195,1),Players!$A$2:$D$132,3),"")</f>
        <v/>
      </c>
      <c r="H2195" s="225"/>
      <c r="I2195" s="225"/>
      <c r="J2195" s="168" t="str">
        <f>IF(VLOOKUP($I2181&amp;RIGHT($A2195,1),Players!$A$2:$D$132,3)&lt;&gt;0,"("&amp;VLOOKUP($I2181&amp;RIGHT($A2195,1),Players!$A$2:$D$132,4)&amp;")","")</f>
        <v/>
      </c>
    </row>
    <row r="2196" spans="1:10" ht="25.5" customHeight="1" x14ac:dyDescent="0.25">
      <c r="A2196" s="37"/>
      <c r="B2196" s="7"/>
      <c r="C2196" s="7"/>
      <c r="D2196" s="7"/>
      <c r="E2196" s="7"/>
    </row>
    <row r="2197" spans="1:10" x14ac:dyDescent="0.25">
      <c r="A2197" s="9" t="s">
        <v>157</v>
      </c>
    </row>
    <row r="2198" spans="1:10" x14ac:dyDescent="0.25">
      <c r="A2198" t="s">
        <v>179</v>
      </c>
    </row>
    <row r="2199" spans="1:10" x14ac:dyDescent="0.25">
      <c r="A2199" s="55" t="s">
        <v>918</v>
      </c>
    </row>
    <row r="2200" spans="1:10" x14ac:dyDescent="0.25">
      <c r="A2200" t="s">
        <v>919</v>
      </c>
    </row>
    <row r="2201" spans="1:10" ht="25.5" customHeight="1" thickBot="1" x14ac:dyDescent="0.3">
      <c r="A2201" s="37"/>
    </row>
    <row r="2202" spans="1:10" x14ac:dyDescent="0.25">
      <c r="B2202" s="213"/>
      <c r="C2202" s="214"/>
      <c r="D2202" s="214"/>
      <c r="E2202" s="214"/>
      <c r="F2202" s="215"/>
    </row>
    <row r="2203" spans="1:10" ht="13.8" thickBot="1" x14ac:dyDescent="0.3">
      <c r="B2203" s="216"/>
      <c r="C2203" s="217"/>
      <c r="D2203" s="217"/>
      <c r="E2203" s="217"/>
      <c r="F2203" s="218"/>
    </row>
    <row r="2207" spans="1:10" ht="25.5" customHeight="1" x14ac:dyDescent="0.25">
      <c r="A2207" s="36"/>
      <c r="B2207" s="36"/>
      <c r="C2207" s="36"/>
      <c r="D2207" s="36"/>
      <c r="E2207" s="36"/>
      <c r="G2207" s="38"/>
      <c r="H2207" s="227" t="s">
        <v>159</v>
      </c>
      <c r="I2207" s="228"/>
    </row>
    <row r="2208" spans="1:10" x14ac:dyDescent="0.25">
      <c r="A2208" t="s">
        <v>158</v>
      </c>
    </row>
    <row r="2210" spans="1:10" x14ac:dyDescent="0.25">
      <c r="E2210" s="219" t="str">
        <f>CONCATENATE("(",$D2181," vs ",$I2181,")")</f>
        <v>(E vs I)</v>
      </c>
      <c r="F2210" s="219"/>
    </row>
    <row r="2211" spans="1:10" ht="15.6" x14ac:dyDescent="0.3">
      <c r="A2211" s="33" t="s">
        <v>155</v>
      </c>
      <c r="J2211" s="82" t="s">
        <v>536</v>
      </c>
    </row>
    <row r="2212" spans="1:10" ht="12.75" customHeight="1" x14ac:dyDescent="0.3">
      <c r="A2212" s="33"/>
      <c r="G2212" t="str">
        <f ca="1">Team_Matches!$J$6</f>
        <v>[NCTTA Teams Template (v3.4).xlsx]</v>
      </c>
      <c r="J2212" s="55"/>
    </row>
    <row r="2213" spans="1:10" ht="12.75" customHeight="1" x14ac:dyDescent="0.3">
      <c r="A2213" s="33"/>
      <c r="G2213" s="229" t="str">
        <f>Team_Matches!$J1639</f>
        <v>Round 6, Match 3</v>
      </c>
      <c r="H2213" s="229"/>
      <c r="I2213" s="127" t="str">
        <f>Team_Matches!$M1639</f>
        <v/>
      </c>
      <c r="J2213" s="127"/>
    </row>
    <row r="2214" spans="1:10" ht="15.6" x14ac:dyDescent="0.3">
      <c r="A2214" s="33"/>
    </row>
    <row r="2215" spans="1:10" x14ac:dyDescent="0.25">
      <c r="C2215" s="7" t="s">
        <v>160</v>
      </c>
      <c r="D2215" s="39" t="str">
        <f>Team_Matches!$B1641</f>
        <v>E</v>
      </c>
      <c r="F2215" s="83" t="str">
        <f>CONCATENATE($D2215,"-",$I2215)</f>
        <v>E-I</v>
      </c>
      <c r="H2215" s="7" t="s">
        <v>160</v>
      </c>
      <c r="I2215" s="39" t="str">
        <f>Team_Matches!$K1641</f>
        <v>I</v>
      </c>
    </row>
    <row r="2216" spans="1:10" ht="25.5" customHeight="1" x14ac:dyDescent="0.25">
      <c r="A2216" s="34"/>
      <c r="B2216" s="223" t="str">
        <f>IF(VLOOKUP($D2215,Draw!$A$4:$B$27,2)&lt;&gt;0,VLOOKUP($D2215,Draw!$A$4:$B$27,2),"")</f>
        <v/>
      </c>
      <c r="C2216" s="223"/>
      <c r="D2216" s="223"/>
      <c r="E2216" s="224"/>
      <c r="F2216" s="35"/>
      <c r="G2216" s="220" t="str">
        <f>IF(VLOOKUP($I2215,Draw!$A$4:$B$27,2)&lt;&gt;0,VLOOKUP($I2215,Draw!$A$4:$B$27,2),"")</f>
        <v/>
      </c>
      <c r="H2216" s="220"/>
      <c r="I2216" s="220"/>
      <c r="J2216" s="221"/>
    </row>
    <row r="2217" spans="1:10" ht="25.5" customHeight="1" x14ac:dyDescent="0.25"/>
    <row r="2218" spans="1:10" ht="25.5" customHeight="1" x14ac:dyDescent="0.25"/>
    <row r="2219" spans="1:10" ht="24" customHeight="1" x14ac:dyDescent="0.25">
      <c r="A2219" s="9" t="s">
        <v>178</v>
      </c>
    </row>
    <row r="2220" spans="1:10" ht="24" customHeight="1" x14ac:dyDescent="0.25">
      <c r="A2220" s="9"/>
    </row>
    <row r="2221" spans="1:10" x14ac:dyDescent="0.25">
      <c r="A2221" s="9" t="s">
        <v>156</v>
      </c>
      <c r="G2221" s="226" t="s">
        <v>873</v>
      </c>
      <c r="H2221" s="226"/>
      <c r="I2221" s="226"/>
      <c r="J2221" s="226"/>
    </row>
    <row r="2222" spans="1:10" ht="24" customHeight="1" x14ac:dyDescent="0.4">
      <c r="A2222" s="37" t="str">
        <f>CONCATENATE($I2215,"1")</f>
        <v>I1</v>
      </c>
      <c r="B2222" s="222" t="str">
        <f>IF(VLOOKUP($A2222,Players!$A$2:$C$132,3)&lt;&gt;0,VLOOKUP($A2222,Players!$A$2:$C$132,3),"")</f>
        <v/>
      </c>
      <c r="C2222" s="222"/>
      <c r="D2222" s="222"/>
      <c r="E2222" s="222"/>
      <c r="F2222" s="222"/>
      <c r="G2222" s="225" t="str">
        <f>IF(VLOOKUP($D2215&amp;RIGHT($A2222,1),Players!$A$2:$D$132,3)&lt;&gt;0,VLOOKUP($D2215&amp;RIGHT($A2222,1),Players!$A$2:$D$132,3),"")</f>
        <v/>
      </c>
      <c r="H2222" s="225"/>
      <c r="I2222" s="225"/>
      <c r="J2222" s="168" t="str">
        <f>IF(VLOOKUP($D2215&amp;RIGHT($A2222,1),Players!$A$2:$D$132,3)&lt;&gt;0,"("&amp;VLOOKUP($D2215&amp;RIGHT($A2222,1),Players!$A$2:$D$132,4)&amp;")","")</f>
        <v/>
      </c>
    </row>
    <row r="2223" spans="1:10" ht="25.5" customHeight="1" x14ac:dyDescent="0.4">
      <c r="A2223" s="37" t="str">
        <f>CONCATENATE($I2215,"2")</f>
        <v>I2</v>
      </c>
      <c r="B2223" s="222" t="str">
        <f>IF(VLOOKUP($A2223,Players!$A$2:$C$132,3)&lt;&gt;0,VLOOKUP($A2223,Players!$A$2:$C$132,3),"")</f>
        <v/>
      </c>
      <c r="C2223" s="222"/>
      <c r="D2223" s="222"/>
      <c r="E2223" s="222"/>
      <c r="F2223" s="222"/>
      <c r="G2223" s="225" t="str">
        <f>IF(VLOOKUP($D2215&amp;RIGHT($A2223,1),Players!$A$2:$D$132,3)&lt;&gt;0,VLOOKUP($D2215&amp;RIGHT($A2223,1),Players!$A$2:$D$132,3),"")</f>
        <v/>
      </c>
      <c r="H2223" s="225"/>
      <c r="I2223" s="225"/>
      <c r="J2223" s="168" t="str">
        <f>IF(VLOOKUP($D2215&amp;RIGHT($A2223,1),Players!$A$2:$D$132,3)&lt;&gt;0,"("&amp;VLOOKUP($D2215&amp;RIGHT($A2223,1),Players!$A$2:$D$132,4)&amp;")","")</f>
        <v/>
      </c>
    </row>
    <row r="2224" spans="1:10" ht="25.5" customHeight="1" x14ac:dyDescent="0.4">
      <c r="A2224" s="37" t="str">
        <f>CONCATENATE($I2215,"3")</f>
        <v>I3</v>
      </c>
      <c r="B2224" s="222" t="str">
        <f>IF(VLOOKUP($A2224,Players!$A$2:$C$132,3)&lt;&gt;0,VLOOKUP($A2224,Players!$A$2:$C$132,3),"")</f>
        <v/>
      </c>
      <c r="C2224" s="222"/>
      <c r="D2224" s="222"/>
      <c r="E2224" s="222"/>
      <c r="F2224" s="222"/>
      <c r="G2224" s="225" t="str">
        <f>IF(VLOOKUP($D2215&amp;RIGHT($A2224,1),Players!$A$2:$D$132,3)&lt;&gt;0,VLOOKUP($D2215&amp;RIGHT($A2224,1),Players!$A$2:$D$132,3),"")</f>
        <v/>
      </c>
      <c r="H2224" s="225"/>
      <c r="I2224" s="225"/>
      <c r="J2224" s="168" t="str">
        <f>IF(VLOOKUP($D2215&amp;RIGHT($A2224,1),Players!$A$2:$D$132,3)&lt;&gt;0,"("&amp;VLOOKUP($D2215&amp;RIGHT($A2224,1),Players!$A$2:$D$132,4)&amp;")","")</f>
        <v/>
      </c>
    </row>
    <row r="2225" spans="1:10" ht="25.5" customHeight="1" x14ac:dyDescent="0.4">
      <c r="A2225" s="37" t="str">
        <f>CONCATENATE($I2215,"4")</f>
        <v>I4</v>
      </c>
      <c r="B2225" s="222" t="str">
        <f>IF(VLOOKUP($A2225,Players!$A$2:$C$132,3)&lt;&gt;0,VLOOKUP($A2225,Players!$A$2:$C$132,3),"")</f>
        <v/>
      </c>
      <c r="C2225" s="222"/>
      <c r="D2225" s="222"/>
      <c r="E2225" s="222"/>
      <c r="F2225" s="222"/>
      <c r="G2225" s="225" t="str">
        <f>IF(VLOOKUP($D2215&amp;RIGHT($A2225,1),Players!$A$2:$D$132,3)&lt;&gt;0,VLOOKUP($D2215&amp;RIGHT($A2225,1),Players!$A$2:$D$132,3),"")</f>
        <v/>
      </c>
      <c r="H2225" s="225"/>
      <c r="I2225" s="225"/>
      <c r="J2225" s="168" t="str">
        <f>IF(VLOOKUP($D2215&amp;RIGHT($A2225,1),Players!$A$2:$D$132,3)&lt;&gt;0,"("&amp;VLOOKUP($D2215&amp;RIGHT($A2225,1),Players!$A$2:$D$132,4)&amp;")","")</f>
        <v/>
      </c>
    </row>
    <row r="2226" spans="1:10" ht="25.5" customHeight="1" x14ac:dyDescent="0.4">
      <c r="A2226" s="37" t="str">
        <f>CONCATENATE($I2215,"5")</f>
        <v>I5</v>
      </c>
      <c r="B2226" s="222" t="str">
        <f>IF(VLOOKUP($A2226,Players!$A$2:$C$132,3)&lt;&gt;0,VLOOKUP($A2226,Players!$A$2:$C$132,3),"")</f>
        <v/>
      </c>
      <c r="C2226" s="222"/>
      <c r="D2226" s="222"/>
      <c r="E2226" s="222"/>
      <c r="F2226" s="222"/>
      <c r="G2226" s="225" t="str">
        <f>IF(VLOOKUP($D2215&amp;RIGHT($A2226,1),Players!$A$2:$D$132,3)&lt;&gt;0,VLOOKUP($D2215&amp;RIGHT($A2226,1),Players!$A$2:$D$132,3),"")</f>
        <v/>
      </c>
      <c r="H2226" s="225"/>
      <c r="I2226" s="225"/>
      <c r="J2226" s="168" t="str">
        <f>IF(VLOOKUP($D2215&amp;RIGHT($A2226,1),Players!$A$2:$D$132,3)&lt;&gt;0,"("&amp;VLOOKUP($D2215&amp;RIGHT($A2226,1),Players!$A$2:$D$132,4)&amp;")","")</f>
        <v/>
      </c>
    </row>
    <row r="2227" spans="1:10" ht="25.5" customHeight="1" x14ac:dyDescent="0.4">
      <c r="A2227" s="37" t="str">
        <f>CONCATENATE($I2215,"6")</f>
        <v>I6</v>
      </c>
      <c r="B2227" s="222" t="str">
        <f>IF(VLOOKUP($A2227,Players!$A$2:$C$132,3)&lt;&gt;0,VLOOKUP($A2227,Players!$A$2:$C$132,3),"")</f>
        <v/>
      </c>
      <c r="C2227" s="222"/>
      <c r="D2227" s="222"/>
      <c r="E2227" s="222"/>
      <c r="F2227" s="222"/>
      <c r="G2227" s="225" t="str">
        <f>IF(VLOOKUP($D2215&amp;RIGHT($A2227,1),Players!$A$2:$D$132,3)&lt;&gt;0,VLOOKUP($D2215&amp;RIGHT($A2227,1),Players!$A$2:$D$132,3),"")</f>
        <v/>
      </c>
      <c r="H2227" s="225"/>
      <c r="I2227" s="225"/>
      <c r="J2227" s="168" t="str">
        <f>IF(VLOOKUP($D2215&amp;RIGHT($A2227,1),Players!$A$2:$D$132,3)&lt;&gt;0,"("&amp;VLOOKUP($D2215&amp;RIGHT($A2227,1),Players!$A$2:$D$132,4)&amp;")","")</f>
        <v/>
      </c>
    </row>
    <row r="2228" spans="1:10" ht="25.5" customHeight="1" x14ac:dyDescent="0.4">
      <c r="A2228" s="37" t="str">
        <f>CONCATENATE($I2215,"7")</f>
        <v>I7</v>
      </c>
      <c r="B2228" s="222" t="str">
        <f>IF(VLOOKUP($A2228,Players!$A$2:$C$132,3)&lt;&gt;0,VLOOKUP($A2228,Players!$A$2:$C$132,3),"")</f>
        <v/>
      </c>
      <c r="C2228" s="222"/>
      <c r="D2228" s="222"/>
      <c r="E2228" s="222"/>
      <c r="F2228" s="222"/>
      <c r="G2228" s="225" t="str">
        <f>IF(VLOOKUP($D2215&amp;RIGHT($A2228,1),Players!$A$2:$D$132,3)&lt;&gt;0,VLOOKUP($D2215&amp;RIGHT($A2228,1),Players!$A$2:$D$132,3),"")</f>
        <v/>
      </c>
      <c r="H2228" s="225"/>
      <c r="I2228" s="225"/>
      <c r="J2228" s="168" t="str">
        <f>IF(VLOOKUP($D2215&amp;RIGHT($A2228,1),Players!$A$2:$D$132,3)&lt;&gt;0,"("&amp;VLOOKUP($D2215&amp;RIGHT($A2228,1),Players!$A$2:$D$132,4)&amp;")","")</f>
        <v/>
      </c>
    </row>
    <row r="2229" spans="1:10" ht="25.5" customHeight="1" x14ac:dyDescent="0.4">
      <c r="A2229" s="37" t="str">
        <f>CONCATENATE($I2215,"8")</f>
        <v>I8</v>
      </c>
      <c r="B2229" s="222" t="str">
        <f>IF(VLOOKUP($A2229,Players!$A$2:$C$132,3)&lt;&gt;0,VLOOKUP($A2229,Players!$A$2:$C$132,3),"")</f>
        <v/>
      </c>
      <c r="C2229" s="222"/>
      <c r="D2229" s="222"/>
      <c r="E2229" s="222"/>
      <c r="F2229" s="222"/>
      <c r="G2229" s="225" t="str">
        <f>IF(VLOOKUP($D2215&amp;RIGHT($A2229,1),Players!$A$2:$D$132,3)&lt;&gt;0,VLOOKUP($D2215&amp;RIGHT($A2229,1),Players!$A$2:$D$132,3),"")</f>
        <v/>
      </c>
      <c r="H2229" s="225"/>
      <c r="I2229" s="225"/>
      <c r="J2229" s="168" t="str">
        <f>IF(VLOOKUP($D2215&amp;RIGHT($A2229,1),Players!$A$2:$D$132,3)&lt;&gt;0,"("&amp;VLOOKUP($D2215&amp;RIGHT($A2229,1),Players!$A$2:$D$132,4)&amp;")","")</f>
        <v/>
      </c>
    </row>
    <row r="2230" spans="1:10" ht="25.5" customHeight="1" x14ac:dyDescent="0.25">
      <c r="A2230" s="37"/>
      <c r="B2230" s="7"/>
      <c r="C2230" s="7"/>
      <c r="D2230" s="7"/>
      <c r="E2230" s="7"/>
    </row>
    <row r="2231" spans="1:10" x14ac:dyDescent="0.25">
      <c r="A2231" s="9" t="s">
        <v>157</v>
      </c>
    </row>
    <row r="2232" spans="1:10" x14ac:dyDescent="0.25">
      <c r="A2232" t="s">
        <v>179</v>
      </c>
    </row>
    <row r="2233" spans="1:10" x14ac:dyDescent="0.25">
      <c r="A2233" s="55" t="s">
        <v>918</v>
      </c>
    </row>
    <row r="2234" spans="1:10" x14ac:dyDescent="0.25">
      <c r="A2234" t="s">
        <v>919</v>
      </c>
    </row>
    <row r="2235" spans="1:10" ht="25.5" customHeight="1" thickBot="1" x14ac:dyDescent="0.3">
      <c r="A2235" s="37"/>
    </row>
    <row r="2236" spans="1:10" x14ac:dyDescent="0.25">
      <c r="B2236" s="213"/>
      <c r="C2236" s="214"/>
      <c r="D2236" s="214"/>
      <c r="E2236" s="214"/>
      <c r="F2236" s="215"/>
    </row>
    <row r="2237" spans="1:10" ht="13.8" thickBot="1" x14ac:dyDescent="0.3">
      <c r="B2237" s="216"/>
      <c r="C2237" s="217"/>
      <c r="D2237" s="217"/>
      <c r="E2237" s="217"/>
      <c r="F2237" s="218"/>
    </row>
    <row r="2241" spans="1:10" ht="25.5" customHeight="1" x14ac:dyDescent="0.25">
      <c r="A2241" s="36"/>
      <c r="B2241" s="36"/>
      <c r="C2241" s="36"/>
      <c r="D2241" s="36"/>
      <c r="E2241" s="36"/>
      <c r="G2241" s="38"/>
      <c r="H2241" s="227" t="s">
        <v>159</v>
      </c>
      <c r="I2241" s="228"/>
    </row>
    <row r="2242" spans="1:10" x14ac:dyDescent="0.25">
      <c r="A2242" t="s">
        <v>158</v>
      </c>
    </row>
    <row r="2244" spans="1:10" x14ac:dyDescent="0.25">
      <c r="E2244" s="219" t="str">
        <f>CONCATENATE("(",$D2215," vs ",$I2215,")")</f>
        <v>(E vs I)</v>
      </c>
      <c r="F2244" s="219"/>
    </row>
    <row r="2245" spans="1:10" ht="15.6" x14ac:dyDescent="0.3">
      <c r="A2245" s="33" t="s">
        <v>155</v>
      </c>
      <c r="J2245" s="82" t="s">
        <v>537</v>
      </c>
    </row>
    <row r="2246" spans="1:10" ht="12.75" customHeight="1" x14ac:dyDescent="0.3">
      <c r="A2246" s="33"/>
      <c r="G2246" t="str">
        <f ca="1">Team_Matches!$J$6</f>
        <v>[NCTTA Teams Template (v3.4).xlsx]</v>
      </c>
      <c r="J2246" s="55"/>
    </row>
    <row r="2247" spans="1:10" ht="12.75" customHeight="1" x14ac:dyDescent="0.3">
      <c r="A2247" s="33"/>
      <c r="G2247" s="229" t="str">
        <f>Team_Matches!$J1690</f>
        <v>Round 6, Match 4</v>
      </c>
      <c r="H2247" s="229"/>
      <c r="I2247" s="127" t="str">
        <f>Team_Matches!$M1690</f>
        <v/>
      </c>
      <c r="J2247" s="127"/>
    </row>
    <row r="2248" spans="1:10" ht="15.6" x14ac:dyDescent="0.3">
      <c r="A2248" s="33"/>
    </row>
    <row r="2249" spans="1:10" x14ac:dyDescent="0.25">
      <c r="C2249" s="7" t="s">
        <v>160</v>
      </c>
      <c r="D2249" s="39" t="str">
        <f>Team_Matches!$B1692</f>
        <v>D</v>
      </c>
      <c r="F2249" s="83" t="str">
        <f>CONCATENATE($D2249,"-",$I2249)</f>
        <v>D-J</v>
      </c>
      <c r="H2249" s="7" t="s">
        <v>160</v>
      </c>
      <c r="I2249" s="39" t="str">
        <f>Team_Matches!$K1692</f>
        <v>J</v>
      </c>
    </row>
    <row r="2250" spans="1:10" ht="25.5" customHeight="1" x14ac:dyDescent="0.25">
      <c r="A2250" s="34"/>
      <c r="B2250" s="220" t="str">
        <f>IF(VLOOKUP($D2249,Draw!$A$4:$B$27,2)&lt;&gt;0,VLOOKUP($D2249,Draw!$A$4:$B$27,2),"")</f>
        <v/>
      </c>
      <c r="C2250" s="220"/>
      <c r="D2250" s="220"/>
      <c r="E2250" s="221"/>
      <c r="F2250" s="35"/>
      <c r="G2250" s="223" t="str">
        <f>IF(VLOOKUP($I2249,Draw!$A$4:$B$27,2)&lt;&gt;0,VLOOKUP($I2249,Draw!$A$4:$B$27,2),"")</f>
        <v/>
      </c>
      <c r="H2250" s="223"/>
      <c r="I2250" s="223"/>
      <c r="J2250" s="224"/>
    </row>
    <row r="2251" spans="1:10" ht="25.5" customHeight="1" x14ac:dyDescent="0.25"/>
    <row r="2252" spans="1:10" ht="25.5" customHeight="1" x14ac:dyDescent="0.25"/>
    <row r="2253" spans="1:10" ht="24" customHeight="1" x14ac:dyDescent="0.25">
      <c r="A2253" s="9" t="s">
        <v>178</v>
      </c>
    </row>
    <row r="2254" spans="1:10" ht="24" customHeight="1" x14ac:dyDescent="0.25">
      <c r="A2254" s="9"/>
    </row>
    <row r="2255" spans="1:10" x14ac:dyDescent="0.25">
      <c r="A2255" s="9" t="s">
        <v>156</v>
      </c>
      <c r="G2255" s="226" t="s">
        <v>873</v>
      </c>
      <c r="H2255" s="226"/>
      <c r="I2255" s="226"/>
      <c r="J2255" s="226"/>
    </row>
    <row r="2256" spans="1:10" ht="24" customHeight="1" x14ac:dyDescent="0.4">
      <c r="A2256" s="37" t="str">
        <f>CONCATENATE($D2249,"1")</f>
        <v>D1</v>
      </c>
      <c r="B2256" s="222" t="str">
        <f>IF(VLOOKUP($A2256,Players!$A$2:$C$132,3)&lt;&gt;0,VLOOKUP($A2256,Players!$A$2:$C$132,3),"")</f>
        <v/>
      </c>
      <c r="C2256" s="222"/>
      <c r="D2256" s="222"/>
      <c r="E2256" s="222"/>
      <c r="F2256" s="222"/>
      <c r="G2256" s="225" t="str">
        <f>IF(VLOOKUP($I2249&amp;RIGHT($A2256,1),Players!$A$2:$D$132,3)&lt;&gt;0,VLOOKUP($I2249&amp;RIGHT($A2256,1),Players!$A$2:$D$132,3),"")</f>
        <v/>
      </c>
      <c r="H2256" s="225"/>
      <c r="I2256" s="225"/>
      <c r="J2256" s="168" t="str">
        <f>IF(VLOOKUP($I2249&amp;RIGHT($A2256,1),Players!$A$2:$D$132,3)&lt;&gt;0,"("&amp;VLOOKUP($I2249&amp;RIGHT($A2256,1),Players!$A$2:$D$132,4)&amp;")","")</f>
        <v/>
      </c>
    </row>
    <row r="2257" spans="1:10" ht="25.5" customHeight="1" x14ac:dyDescent="0.4">
      <c r="A2257" s="37" t="str">
        <f>CONCATENATE($D2249,"2")</f>
        <v>D2</v>
      </c>
      <c r="B2257" s="222" t="str">
        <f>IF(VLOOKUP($A2257,Players!$A$2:$C$132,3)&lt;&gt;0,VLOOKUP($A2257,Players!$A$2:$C$132,3),"")</f>
        <v/>
      </c>
      <c r="C2257" s="222"/>
      <c r="D2257" s="222"/>
      <c r="E2257" s="222"/>
      <c r="F2257" s="222"/>
      <c r="G2257" s="225" t="str">
        <f>IF(VLOOKUP($I2249&amp;RIGHT($A2257,1),Players!$A$2:$D$132,3)&lt;&gt;0,VLOOKUP($I2249&amp;RIGHT($A2257,1),Players!$A$2:$D$132,3),"")</f>
        <v/>
      </c>
      <c r="H2257" s="225"/>
      <c r="I2257" s="225"/>
      <c r="J2257" s="168" t="str">
        <f>IF(VLOOKUP($I2249&amp;RIGHT($A2257,1),Players!$A$2:$D$132,3)&lt;&gt;0,"("&amp;VLOOKUP($I2249&amp;RIGHT($A2257,1),Players!$A$2:$D$132,4)&amp;")","")</f>
        <v/>
      </c>
    </row>
    <row r="2258" spans="1:10" ht="25.5" customHeight="1" x14ac:dyDescent="0.4">
      <c r="A2258" s="37" t="str">
        <f>CONCATENATE($D2249,"3")</f>
        <v>D3</v>
      </c>
      <c r="B2258" s="222" t="str">
        <f>IF(VLOOKUP($A2258,Players!$A$2:$C$132,3)&lt;&gt;0,VLOOKUP($A2258,Players!$A$2:$C$132,3),"")</f>
        <v/>
      </c>
      <c r="C2258" s="222"/>
      <c r="D2258" s="222"/>
      <c r="E2258" s="222"/>
      <c r="F2258" s="222"/>
      <c r="G2258" s="225" t="str">
        <f>IF(VLOOKUP($I2249&amp;RIGHT($A2258,1),Players!$A$2:$D$132,3)&lt;&gt;0,VLOOKUP($I2249&amp;RIGHT($A2258,1),Players!$A$2:$D$132,3),"")</f>
        <v/>
      </c>
      <c r="H2258" s="225"/>
      <c r="I2258" s="225"/>
      <c r="J2258" s="168" t="str">
        <f>IF(VLOOKUP($I2249&amp;RIGHT($A2258,1),Players!$A$2:$D$132,3)&lt;&gt;0,"("&amp;VLOOKUP($I2249&amp;RIGHT($A2258,1),Players!$A$2:$D$132,4)&amp;")","")</f>
        <v/>
      </c>
    </row>
    <row r="2259" spans="1:10" ht="25.5" customHeight="1" x14ac:dyDescent="0.4">
      <c r="A2259" s="37" t="str">
        <f>CONCATENATE($D2249,"4")</f>
        <v>D4</v>
      </c>
      <c r="B2259" s="222" t="str">
        <f>IF(VLOOKUP($A2259,Players!$A$2:$C$132,3)&lt;&gt;0,VLOOKUP($A2259,Players!$A$2:$C$132,3),"")</f>
        <v/>
      </c>
      <c r="C2259" s="222"/>
      <c r="D2259" s="222"/>
      <c r="E2259" s="222"/>
      <c r="F2259" s="222"/>
      <c r="G2259" s="225" t="str">
        <f>IF(VLOOKUP($I2249&amp;RIGHT($A2259,1),Players!$A$2:$D$132,3)&lt;&gt;0,VLOOKUP($I2249&amp;RIGHT($A2259,1),Players!$A$2:$D$132,3),"")</f>
        <v/>
      </c>
      <c r="H2259" s="225"/>
      <c r="I2259" s="225"/>
      <c r="J2259" s="168" t="str">
        <f>IF(VLOOKUP($I2249&amp;RIGHT($A2259,1),Players!$A$2:$D$132,3)&lt;&gt;0,"("&amp;VLOOKUP($I2249&amp;RIGHT($A2259,1),Players!$A$2:$D$132,4)&amp;")","")</f>
        <v/>
      </c>
    </row>
    <row r="2260" spans="1:10" ht="25.5" customHeight="1" x14ac:dyDescent="0.4">
      <c r="A2260" s="37" t="str">
        <f>CONCATENATE($D2249,"5")</f>
        <v>D5</v>
      </c>
      <c r="B2260" s="222" t="str">
        <f>IF(VLOOKUP($A2260,Players!$A$2:$C$132,3)&lt;&gt;0,VLOOKUP($A2260,Players!$A$2:$C$132,3),"")</f>
        <v/>
      </c>
      <c r="C2260" s="222"/>
      <c r="D2260" s="222"/>
      <c r="E2260" s="222"/>
      <c r="F2260" s="222"/>
      <c r="G2260" s="225" t="str">
        <f>IF(VLOOKUP($I2249&amp;RIGHT($A2260,1),Players!$A$2:$D$132,3)&lt;&gt;0,VLOOKUP($I2249&amp;RIGHT($A2260,1),Players!$A$2:$D$132,3),"")</f>
        <v/>
      </c>
      <c r="H2260" s="225"/>
      <c r="I2260" s="225"/>
      <c r="J2260" s="168" t="str">
        <f>IF(VLOOKUP($I2249&amp;RIGHT($A2260,1),Players!$A$2:$D$132,3)&lt;&gt;0,"("&amp;VLOOKUP($I2249&amp;RIGHT($A2260,1),Players!$A$2:$D$132,4)&amp;")","")</f>
        <v/>
      </c>
    </row>
    <row r="2261" spans="1:10" ht="25.5" customHeight="1" x14ac:dyDescent="0.4">
      <c r="A2261" s="37" t="str">
        <f>CONCATENATE($D2249,"6")</f>
        <v>D6</v>
      </c>
      <c r="B2261" s="222" t="str">
        <f>IF(VLOOKUP($A2261,Players!$A$2:$C$132,3)&lt;&gt;0,VLOOKUP($A2261,Players!$A$2:$C$132,3),"")</f>
        <v/>
      </c>
      <c r="C2261" s="222"/>
      <c r="D2261" s="222"/>
      <c r="E2261" s="222"/>
      <c r="F2261" s="222"/>
      <c r="G2261" s="225" t="str">
        <f>IF(VLOOKUP($I2249&amp;RIGHT($A2261,1),Players!$A$2:$D$132,3)&lt;&gt;0,VLOOKUP($I2249&amp;RIGHT($A2261,1),Players!$A$2:$D$132,3),"")</f>
        <v/>
      </c>
      <c r="H2261" s="225"/>
      <c r="I2261" s="225"/>
      <c r="J2261" s="168" t="str">
        <f>IF(VLOOKUP($I2249&amp;RIGHT($A2261,1),Players!$A$2:$D$132,3)&lt;&gt;0,"("&amp;VLOOKUP($I2249&amp;RIGHT($A2261,1),Players!$A$2:$D$132,4)&amp;")","")</f>
        <v/>
      </c>
    </row>
    <row r="2262" spans="1:10" ht="25.5" customHeight="1" x14ac:dyDescent="0.4">
      <c r="A2262" s="37" t="str">
        <f>CONCATENATE($D2249,"7")</f>
        <v>D7</v>
      </c>
      <c r="B2262" s="222" t="str">
        <f>IF(VLOOKUP($A2262,Players!$A$2:$C$132,3)&lt;&gt;0,VLOOKUP($A2262,Players!$A$2:$C$132,3),"")</f>
        <v/>
      </c>
      <c r="C2262" s="222"/>
      <c r="D2262" s="222"/>
      <c r="E2262" s="222"/>
      <c r="F2262" s="222"/>
      <c r="G2262" s="225" t="str">
        <f>IF(VLOOKUP($I2249&amp;RIGHT($A2262,1),Players!$A$2:$D$132,3)&lt;&gt;0,VLOOKUP($I2249&amp;RIGHT($A2262,1),Players!$A$2:$D$132,3),"")</f>
        <v/>
      </c>
      <c r="H2262" s="225"/>
      <c r="I2262" s="225"/>
      <c r="J2262" s="168" t="str">
        <f>IF(VLOOKUP($I2249&amp;RIGHT($A2262,1),Players!$A$2:$D$132,3)&lt;&gt;0,"("&amp;VLOOKUP($I2249&amp;RIGHT($A2262,1),Players!$A$2:$D$132,4)&amp;")","")</f>
        <v/>
      </c>
    </row>
    <row r="2263" spans="1:10" ht="25.5" customHeight="1" x14ac:dyDescent="0.4">
      <c r="A2263" s="37" t="str">
        <f>CONCATENATE($D2249,"8")</f>
        <v>D8</v>
      </c>
      <c r="B2263" s="222" t="str">
        <f>IF(VLOOKUP($A2263,Players!$A$2:$C$132,3)&lt;&gt;0,VLOOKUP($A2263,Players!$A$2:$C$132,3),"")</f>
        <v/>
      </c>
      <c r="C2263" s="222"/>
      <c r="D2263" s="222"/>
      <c r="E2263" s="222"/>
      <c r="F2263" s="222"/>
      <c r="G2263" s="225" t="str">
        <f>IF(VLOOKUP($I2249&amp;RIGHT($A2263,1),Players!$A$2:$D$132,3)&lt;&gt;0,VLOOKUP($I2249&amp;RIGHT($A2263,1),Players!$A$2:$D$132,3),"")</f>
        <v/>
      </c>
      <c r="H2263" s="225"/>
      <c r="I2263" s="225"/>
      <c r="J2263" s="168" t="str">
        <f>IF(VLOOKUP($I2249&amp;RIGHT($A2263,1),Players!$A$2:$D$132,3)&lt;&gt;0,"("&amp;VLOOKUP($I2249&amp;RIGHT($A2263,1),Players!$A$2:$D$132,4)&amp;")","")</f>
        <v/>
      </c>
    </row>
    <row r="2264" spans="1:10" ht="25.5" customHeight="1" x14ac:dyDescent="0.25">
      <c r="A2264" s="37"/>
      <c r="B2264" s="7"/>
      <c r="C2264" s="7"/>
      <c r="D2264" s="7"/>
      <c r="E2264" s="7"/>
    </row>
    <row r="2265" spans="1:10" x14ac:dyDescent="0.25">
      <c r="A2265" s="9" t="s">
        <v>157</v>
      </c>
    </row>
    <row r="2266" spans="1:10" x14ac:dyDescent="0.25">
      <c r="A2266" t="s">
        <v>179</v>
      </c>
    </row>
    <row r="2267" spans="1:10" x14ac:dyDescent="0.25">
      <c r="A2267" s="55" t="s">
        <v>918</v>
      </c>
    </row>
    <row r="2268" spans="1:10" x14ac:dyDescent="0.25">
      <c r="A2268" t="s">
        <v>919</v>
      </c>
    </row>
    <row r="2269" spans="1:10" ht="25.5" customHeight="1" thickBot="1" x14ac:dyDescent="0.3">
      <c r="A2269" s="37"/>
    </row>
    <row r="2270" spans="1:10" x14ac:dyDescent="0.25">
      <c r="B2270" s="213"/>
      <c r="C2270" s="214"/>
      <c r="D2270" s="214"/>
      <c r="E2270" s="214"/>
      <c r="F2270" s="215"/>
    </row>
    <row r="2271" spans="1:10" ht="13.8" thickBot="1" x14ac:dyDescent="0.3">
      <c r="B2271" s="216"/>
      <c r="C2271" s="217"/>
      <c r="D2271" s="217"/>
      <c r="E2271" s="217"/>
      <c r="F2271" s="218"/>
    </row>
    <row r="2275" spans="1:10" ht="25.5" customHeight="1" x14ac:dyDescent="0.25">
      <c r="A2275" s="36"/>
      <c r="B2275" s="36"/>
      <c r="C2275" s="36"/>
      <c r="D2275" s="36"/>
      <c r="E2275" s="36"/>
      <c r="G2275" s="38"/>
      <c r="H2275" s="227" t="s">
        <v>159</v>
      </c>
      <c r="I2275" s="228"/>
    </row>
    <row r="2276" spans="1:10" x14ac:dyDescent="0.25">
      <c r="A2276" t="s">
        <v>158</v>
      </c>
    </row>
    <row r="2278" spans="1:10" x14ac:dyDescent="0.25">
      <c r="E2278" s="219" t="str">
        <f>CONCATENATE("(",$D2249," vs ",$I2249,")")</f>
        <v>(D vs J)</v>
      </c>
      <c r="F2278" s="219"/>
    </row>
    <row r="2279" spans="1:10" ht="15.6" x14ac:dyDescent="0.3">
      <c r="A2279" s="33" t="s">
        <v>155</v>
      </c>
      <c r="J2279" s="82" t="s">
        <v>538</v>
      </c>
    </row>
    <row r="2280" spans="1:10" ht="12.75" customHeight="1" x14ac:dyDescent="0.3">
      <c r="A2280" s="33"/>
      <c r="G2280" t="str">
        <f ca="1">Team_Matches!$J$6</f>
        <v>[NCTTA Teams Template (v3.4).xlsx]</v>
      </c>
      <c r="J2280" s="55"/>
    </row>
    <row r="2281" spans="1:10" ht="12.75" customHeight="1" x14ac:dyDescent="0.3">
      <c r="A2281" s="33"/>
      <c r="G2281" s="229" t="str">
        <f>Team_Matches!$J1690</f>
        <v>Round 6, Match 4</v>
      </c>
      <c r="H2281" s="229"/>
      <c r="I2281" s="127" t="str">
        <f>Team_Matches!$M1690</f>
        <v/>
      </c>
      <c r="J2281" s="127"/>
    </row>
    <row r="2282" spans="1:10" ht="15.6" x14ac:dyDescent="0.3">
      <c r="A2282" s="33"/>
    </row>
    <row r="2283" spans="1:10" x14ac:dyDescent="0.25">
      <c r="C2283" s="7" t="s">
        <v>160</v>
      </c>
      <c r="D2283" s="39" t="str">
        <f>Team_Matches!$B1692</f>
        <v>D</v>
      </c>
      <c r="F2283" s="83" t="str">
        <f>CONCATENATE($D2283,"-",$I2283)</f>
        <v>D-J</v>
      </c>
      <c r="H2283" s="7" t="s">
        <v>160</v>
      </c>
      <c r="I2283" s="39" t="str">
        <f>Team_Matches!$K1692</f>
        <v>J</v>
      </c>
    </row>
    <row r="2284" spans="1:10" ht="25.5" customHeight="1" x14ac:dyDescent="0.25">
      <c r="A2284" s="34"/>
      <c r="B2284" s="223" t="str">
        <f>IF(VLOOKUP($D2283,Draw!$A$4:$B$27,2)&lt;&gt;0,VLOOKUP($D2283,Draw!$A$4:$B$27,2),"")</f>
        <v/>
      </c>
      <c r="C2284" s="223"/>
      <c r="D2284" s="223"/>
      <c r="E2284" s="224"/>
      <c r="F2284" s="35"/>
      <c r="G2284" s="220" t="str">
        <f>IF(VLOOKUP($I2283,Draw!$A$4:$B$27,2)&lt;&gt;0,VLOOKUP($I2283,Draw!$A$4:$B$27,2),"")</f>
        <v/>
      </c>
      <c r="H2284" s="220"/>
      <c r="I2284" s="220"/>
      <c r="J2284" s="221"/>
    </row>
    <row r="2285" spans="1:10" ht="25.5" customHeight="1" x14ac:dyDescent="0.25"/>
    <row r="2286" spans="1:10" ht="25.5" customHeight="1" x14ac:dyDescent="0.25"/>
    <row r="2287" spans="1:10" ht="24" customHeight="1" x14ac:dyDescent="0.25">
      <c r="A2287" s="9" t="s">
        <v>178</v>
      </c>
    </row>
    <row r="2288" spans="1:10" ht="24" customHeight="1" x14ac:dyDescent="0.25">
      <c r="A2288" s="9"/>
    </row>
    <row r="2289" spans="1:10" x14ac:dyDescent="0.25">
      <c r="A2289" s="9" t="s">
        <v>156</v>
      </c>
      <c r="G2289" s="226" t="s">
        <v>873</v>
      </c>
      <c r="H2289" s="226"/>
      <c r="I2289" s="226"/>
      <c r="J2289" s="226"/>
    </row>
    <row r="2290" spans="1:10" ht="24" customHeight="1" x14ac:dyDescent="0.4">
      <c r="A2290" s="37" t="str">
        <f>CONCATENATE($I2283,"1")</f>
        <v>J1</v>
      </c>
      <c r="B2290" s="222" t="str">
        <f>IF(VLOOKUP($A2290,Players!$A$2:$C$132,3)&lt;&gt;0,VLOOKUP($A2290,Players!$A$2:$C$132,3),"")</f>
        <v/>
      </c>
      <c r="C2290" s="222"/>
      <c r="D2290" s="222"/>
      <c r="E2290" s="222"/>
      <c r="F2290" s="222"/>
      <c r="G2290" s="225" t="str">
        <f>IF(VLOOKUP($D2283&amp;RIGHT($A2290,1),Players!$A$2:$D$132,3)&lt;&gt;0,VLOOKUP($D2283&amp;RIGHT($A2290,1),Players!$A$2:$D$132,3),"")</f>
        <v/>
      </c>
      <c r="H2290" s="225"/>
      <c r="I2290" s="225"/>
      <c r="J2290" s="168" t="str">
        <f>IF(VLOOKUP($D2283&amp;RIGHT($A2290,1),Players!$A$2:$D$132,3)&lt;&gt;0,"("&amp;VLOOKUP($D2283&amp;RIGHT($A2290,1),Players!$A$2:$D$132,4)&amp;")","")</f>
        <v/>
      </c>
    </row>
    <row r="2291" spans="1:10" ht="25.5" customHeight="1" x14ac:dyDescent="0.4">
      <c r="A2291" s="37" t="str">
        <f>CONCATENATE($I2283,"2")</f>
        <v>J2</v>
      </c>
      <c r="B2291" s="222" t="str">
        <f>IF(VLOOKUP($A2291,Players!$A$2:$C$132,3)&lt;&gt;0,VLOOKUP($A2291,Players!$A$2:$C$132,3),"")</f>
        <v/>
      </c>
      <c r="C2291" s="222"/>
      <c r="D2291" s="222"/>
      <c r="E2291" s="222"/>
      <c r="F2291" s="222"/>
      <c r="G2291" s="225" t="str">
        <f>IF(VLOOKUP($D2283&amp;RIGHT($A2291,1),Players!$A$2:$D$132,3)&lt;&gt;0,VLOOKUP($D2283&amp;RIGHT($A2291,1),Players!$A$2:$D$132,3),"")</f>
        <v/>
      </c>
      <c r="H2291" s="225"/>
      <c r="I2291" s="225"/>
      <c r="J2291" s="168" t="str">
        <f>IF(VLOOKUP($D2283&amp;RIGHT($A2291,1),Players!$A$2:$D$132,3)&lt;&gt;0,"("&amp;VLOOKUP($D2283&amp;RIGHT($A2291,1),Players!$A$2:$D$132,4)&amp;")","")</f>
        <v/>
      </c>
    </row>
    <row r="2292" spans="1:10" ht="25.5" customHeight="1" x14ac:dyDescent="0.4">
      <c r="A2292" s="37" t="str">
        <f>CONCATENATE($I2283,"3")</f>
        <v>J3</v>
      </c>
      <c r="B2292" s="222" t="str">
        <f>IF(VLOOKUP($A2292,Players!$A$2:$C$132,3)&lt;&gt;0,VLOOKUP($A2292,Players!$A$2:$C$132,3),"")</f>
        <v/>
      </c>
      <c r="C2292" s="222"/>
      <c r="D2292" s="222"/>
      <c r="E2292" s="222"/>
      <c r="F2292" s="222"/>
      <c r="G2292" s="225" t="str">
        <f>IF(VLOOKUP($D2283&amp;RIGHT($A2292,1),Players!$A$2:$D$132,3)&lt;&gt;0,VLOOKUP($D2283&amp;RIGHT($A2292,1),Players!$A$2:$D$132,3),"")</f>
        <v/>
      </c>
      <c r="H2292" s="225"/>
      <c r="I2292" s="225"/>
      <c r="J2292" s="168" t="str">
        <f>IF(VLOOKUP($D2283&amp;RIGHT($A2292,1),Players!$A$2:$D$132,3)&lt;&gt;0,"("&amp;VLOOKUP($D2283&amp;RIGHT($A2292,1),Players!$A$2:$D$132,4)&amp;")","")</f>
        <v/>
      </c>
    </row>
    <row r="2293" spans="1:10" ht="25.5" customHeight="1" x14ac:dyDescent="0.4">
      <c r="A2293" s="37" t="str">
        <f>CONCATENATE($I2283,"4")</f>
        <v>J4</v>
      </c>
      <c r="B2293" s="222" t="str">
        <f>IF(VLOOKUP($A2293,Players!$A$2:$C$132,3)&lt;&gt;0,VLOOKUP($A2293,Players!$A$2:$C$132,3),"")</f>
        <v/>
      </c>
      <c r="C2293" s="222"/>
      <c r="D2293" s="222"/>
      <c r="E2293" s="222"/>
      <c r="F2293" s="222"/>
      <c r="G2293" s="225" t="str">
        <f>IF(VLOOKUP($D2283&amp;RIGHT($A2293,1),Players!$A$2:$D$132,3)&lt;&gt;0,VLOOKUP($D2283&amp;RIGHT($A2293,1),Players!$A$2:$D$132,3),"")</f>
        <v/>
      </c>
      <c r="H2293" s="225"/>
      <c r="I2293" s="225"/>
      <c r="J2293" s="168" t="str">
        <f>IF(VLOOKUP($D2283&amp;RIGHT($A2293,1),Players!$A$2:$D$132,3)&lt;&gt;0,"("&amp;VLOOKUP($D2283&amp;RIGHT($A2293,1),Players!$A$2:$D$132,4)&amp;")","")</f>
        <v/>
      </c>
    </row>
    <row r="2294" spans="1:10" ht="25.5" customHeight="1" x14ac:dyDescent="0.4">
      <c r="A2294" s="37" t="str">
        <f>CONCATENATE($I2283,"5")</f>
        <v>J5</v>
      </c>
      <c r="B2294" s="222" t="str">
        <f>IF(VLOOKUP($A2294,Players!$A$2:$C$132,3)&lt;&gt;0,VLOOKUP($A2294,Players!$A$2:$C$132,3),"")</f>
        <v/>
      </c>
      <c r="C2294" s="222"/>
      <c r="D2294" s="222"/>
      <c r="E2294" s="222"/>
      <c r="F2294" s="222"/>
      <c r="G2294" s="225" t="str">
        <f>IF(VLOOKUP($D2283&amp;RIGHT($A2294,1),Players!$A$2:$D$132,3)&lt;&gt;0,VLOOKUP($D2283&amp;RIGHT($A2294,1),Players!$A$2:$D$132,3),"")</f>
        <v/>
      </c>
      <c r="H2294" s="225"/>
      <c r="I2294" s="225"/>
      <c r="J2294" s="168" t="str">
        <f>IF(VLOOKUP($D2283&amp;RIGHT($A2294,1),Players!$A$2:$D$132,3)&lt;&gt;0,"("&amp;VLOOKUP($D2283&amp;RIGHT($A2294,1),Players!$A$2:$D$132,4)&amp;")","")</f>
        <v/>
      </c>
    </row>
    <row r="2295" spans="1:10" ht="25.5" customHeight="1" x14ac:dyDescent="0.4">
      <c r="A2295" s="37" t="str">
        <f>CONCATENATE($I2283,"6")</f>
        <v>J6</v>
      </c>
      <c r="B2295" s="222" t="str">
        <f>IF(VLOOKUP($A2295,Players!$A$2:$C$132,3)&lt;&gt;0,VLOOKUP($A2295,Players!$A$2:$C$132,3),"")</f>
        <v/>
      </c>
      <c r="C2295" s="222"/>
      <c r="D2295" s="222"/>
      <c r="E2295" s="222"/>
      <c r="F2295" s="222"/>
      <c r="G2295" s="225" t="str">
        <f>IF(VLOOKUP($D2283&amp;RIGHT($A2295,1),Players!$A$2:$D$132,3)&lt;&gt;0,VLOOKUP($D2283&amp;RIGHT($A2295,1),Players!$A$2:$D$132,3),"")</f>
        <v/>
      </c>
      <c r="H2295" s="225"/>
      <c r="I2295" s="225"/>
      <c r="J2295" s="168" t="str">
        <f>IF(VLOOKUP($D2283&amp;RIGHT($A2295,1),Players!$A$2:$D$132,3)&lt;&gt;0,"("&amp;VLOOKUP($D2283&amp;RIGHT($A2295,1),Players!$A$2:$D$132,4)&amp;")","")</f>
        <v/>
      </c>
    </row>
    <row r="2296" spans="1:10" ht="25.5" customHeight="1" x14ac:dyDescent="0.4">
      <c r="A2296" s="37" t="str">
        <f>CONCATENATE($I2283,"7")</f>
        <v>J7</v>
      </c>
      <c r="B2296" s="222" t="str">
        <f>IF(VLOOKUP($A2296,Players!$A$2:$C$132,3)&lt;&gt;0,VLOOKUP($A2296,Players!$A$2:$C$132,3),"")</f>
        <v/>
      </c>
      <c r="C2296" s="222"/>
      <c r="D2296" s="222"/>
      <c r="E2296" s="222"/>
      <c r="F2296" s="222"/>
      <c r="G2296" s="225" t="str">
        <f>IF(VLOOKUP($D2283&amp;RIGHT($A2296,1),Players!$A$2:$D$132,3)&lt;&gt;0,VLOOKUP($D2283&amp;RIGHT($A2296,1),Players!$A$2:$D$132,3),"")</f>
        <v/>
      </c>
      <c r="H2296" s="225"/>
      <c r="I2296" s="225"/>
      <c r="J2296" s="168" t="str">
        <f>IF(VLOOKUP($D2283&amp;RIGHT($A2296,1),Players!$A$2:$D$132,3)&lt;&gt;0,"("&amp;VLOOKUP($D2283&amp;RIGHT($A2296,1),Players!$A$2:$D$132,4)&amp;")","")</f>
        <v/>
      </c>
    </row>
    <row r="2297" spans="1:10" ht="25.5" customHeight="1" x14ac:dyDescent="0.4">
      <c r="A2297" s="37" t="str">
        <f>CONCATENATE($I2283,"8")</f>
        <v>J8</v>
      </c>
      <c r="B2297" s="222" t="str">
        <f>IF(VLOOKUP($A2297,Players!$A$2:$C$132,3)&lt;&gt;0,VLOOKUP($A2297,Players!$A$2:$C$132,3),"")</f>
        <v/>
      </c>
      <c r="C2297" s="222"/>
      <c r="D2297" s="222"/>
      <c r="E2297" s="222"/>
      <c r="F2297" s="222"/>
      <c r="G2297" s="225" t="str">
        <f>IF(VLOOKUP($D2283&amp;RIGHT($A2297,1),Players!$A$2:$D$132,3)&lt;&gt;0,VLOOKUP($D2283&amp;RIGHT($A2297,1),Players!$A$2:$D$132,3),"")</f>
        <v/>
      </c>
      <c r="H2297" s="225"/>
      <c r="I2297" s="225"/>
      <c r="J2297" s="168" t="str">
        <f>IF(VLOOKUP($D2283&amp;RIGHT($A2297,1),Players!$A$2:$D$132,3)&lt;&gt;0,"("&amp;VLOOKUP($D2283&amp;RIGHT($A2297,1),Players!$A$2:$D$132,4)&amp;")","")</f>
        <v/>
      </c>
    </row>
    <row r="2298" spans="1:10" ht="25.5" customHeight="1" x14ac:dyDescent="0.25">
      <c r="A2298" s="37"/>
      <c r="B2298" s="7"/>
      <c r="C2298" s="7"/>
      <c r="D2298" s="7"/>
      <c r="E2298" s="7"/>
    </row>
    <row r="2299" spans="1:10" x14ac:dyDescent="0.25">
      <c r="A2299" s="9" t="s">
        <v>157</v>
      </c>
    </row>
    <row r="2300" spans="1:10" x14ac:dyDescent="0.25">
      <c r="A2300" t="s">
        <v>179</v>
      </c>
    </row>
    <row r="2301" spans="1:10" x14ac:dyDescent="0.25">
      <c r="A2301" s="55" t="s">
        <v>918</v>
      </c>
    </row>
    <row r="2302" spans="1:10" x14ac:dyDescent="0.25">
      <c r="A2302" t="s">
        <v>919</v>
      </c>
    </row>
    <row r="2303" spans="1:10" ht="25.5" customHeight="1" thickBot="1" x14ac:dyDescent="0.3">
      <c r="A2303" s="37"/>
    </row>
    <row r="2304" spans="1:10" x14ac:dyDescent="0.25">
      <c r="B2304" s="213"/>
      <c r="C2304" s="214"/>
      <c r="D2304" s="214"/>
      <c r="E2304" s="214"/>
      <c r="F2304" s="215"/>
    </row>
    <row r="2305" spans="1:10" ht="13.8" thickBot="1" x14ac:dyDescent="0.3">
      <c r="B2305" s="216"/>
      <c r="C2305" s="217"/>
      <c r="D2305" s="217"/>
      <c r="E2305" s="217"/>
      <c r="F2305" s="218"/>
    </row>
    <row r="2309" spans="1:10" ht="25.5" customHeight="1" x14ac:dyDescent="0.25">
      <c r="A2309" s="36"/>
      <c r="B2309" s="36"/>
      <c r="C2309" s="36"/>
      <c r="D2309" s="36"/>
      <c r="E2309" s="36"/>
      <c r="G2309" s="38"/>
      <c r="H2309" s="227" t="s">
        <v>159</v>
      </c>
      <c r="I2309" s="228"/>
    </row>
    <row r="2310" spans="1:10" x14ac:dyDescent="0.25">
      <c r="A2310" t="s">
        <v>158</v>
      </c>
    </row>
    <row r="2312" spans="1:10" x14ac:dyDescent="0.25">
      <c r="E2312" s="219" t="str">
        <f>CONCATENATE("(",$D2283," vs ",$I2283,")")</f>
        <v>(D vs J)</v>
      </c>
      <c r="F2312" s="219"/>
    </row>
    <row r="2313" spans="1:10" ht="15.6" x14ac:dyDescent="0.3">
      <c r="A2313" s="33" t="s">
        <v>155</v>
      </c>
      <c r="J2313" s="82" t="s">
        <v>540</v>
      </c>
    </row>
    <row r="2314" spans="1:10" ht="12.75" customHeight="1" x14ac:dyDescent="0.3">
      <c r="A2314" s="33"/>
      <c r="G2314" t="str">
        <f ca="1">Team_Matches!$J$6</f>
        <v>[NCTTA Teams Template (v3.4).xlsx]</v>
      </c>
      <c r="J2314" s="55"/>
    </row>
    <row r="2315" spans="1:10" ht="12.75" customHeight="1" x14ac:dyDescent="0.3">
      <c r="A2315" s="33"/>
      <c r="G2315" s="229" t="str">
        <f>Team_Matches!$J1741</f>
        <v>Round 6, Match 5</v>
      </c>
      <c r="H2315" s="229"/>
      <c r="I2315" s="127" t="str">
        <f>Team_Matches!$M1741</f>
        <v/>
      </c>
      <c r="J2315" s="127"/>
    </row>
    <row r="2316" spans="1:10" ht="15.6" x14ac:dyDescent="0.3">
      <c r="A2316" s="33"/>
    </row>
    <row r="2317" spans="1:10" x14ac:dyDescent="0.25">
      <c r="C2317" s="7" t="s">
        <v>160</v>
      </c>
      <c r="D2317" s="39" t="str">
        <f>Team_Matches!$B1743</f>
        <v>C</v>
      </c>
      <c r="F2317" s="83" t="str">
        <f>CONCATENATE($D2317,"-",$I2317)</f>
        <v>C-K</v>
      </c>
      <c r="H2317" s="7" t="s">
        <v>160</v>
      </c>
      <c r="I2317" s="3" t="str">
        <f>Team_Matches!$K1743</f>
        <v>K</v>
      </c>
    </row>
    <row r="2318" spans="1:10" ht="25.5" customHeight="1" x14ac:dyDescent="0.25">
      <c r="A2318" s="34"/>
      <c r="B2318" s="220" t="str">
        <f>IF(VLOOKUP($D2317,Draw!$A$4:$B$27,2)&lt;&gt;0,VLOOKUP($D2317,Draw!$A$4:$B$27,2),"")</f>
        <v/>
      </c>
      <c r="C2318" s="220"/>
      <c r="D2318" s="220"/>
      <c r="E2318" s="221"/>
      <c r="F2318" s="35"/>
      <c r="G2318" s="223" t="str">
        <f>IF(VLOOKUP($I2317,Draw!$A$4:$B$27,2)&lt;&gt;0,VLOOKUP($I2317,Draw!$A$4:$B$27,2),"")</f>
        <v/>
      </c>
      <c r="H2318" s="223"/>
      <c r="I2318" s="223"/>
      <c r="J2318" s="224"/>
    </row>
    <row r="2319" spans="1:10" ht="25.5" customHeight="1" x14ac:dyDescent="0.25"/>
    <row r="2320" spans="1:10" ht="25.5" customHeight="1" x14ac:dyDescent="0.25"/>
    <row r="2321" spans="1:10" ht="24" customHeight="1" x14ac:dyDescent="0.25">
      <c r="A2321" s="9" t="s">
        <v>178</v>
      </c>
    </row>
    <row r="2322" spans="1:10" ht="24" customHeight="1" x14ac:dyDescent="0.25">
      <c r="A2322" s="9"/>
    </row>
    <row r="2323" spans="1:10" x14ac:dyDescent="0.25">
      <c r="A2323" s="9" t="s">
        <v>156</v>
      </c>
      <c r="G2323" s="226" t="s">
        <v>873</v>
      </c>
      <c r="H2323" s="226"/>
      <c r="I2323" s="226"/>
      <c r="J2323" s="226"/>
    </row>
    <row r="2324" spans="1:10" ht="24" customHeight="1" x14ac:dyDescent="0.4">
      <c r="A2324" s="37" t="str">
        <f>CONCATENATE($D2317,"1")</f>
        <v>C1</v>
      </c>
      <c r="B2324" s="222" t="str">
        <f>IF(VLOOKUP($A2324,Players!$A$2:$C$132,3)&lt;&gt;0,VLOOKUP($A2324,Players!$A$2:$C$132,3),"")</f>
        <v/>
      </c>
      <c r="C2324" s="222"/>
      <c r="D2324" s="222"/>
      <c r="E2324" s="222"/>
      <c r="F2324" s="222"/>
      <c r="G2324" s="225" t="str">
        <f>IF(VLOOKUP($I2317&amp;RIGHT($A2324,1),Players!$A$2:$D$132,3)&lt;&gt;0,VLOOKUP($I2317&amp;RIGHT($A2324,1),Players!$A$2:$D$132,3),"")</f>
        <v/>
      </c>
      <c r="H2324" s="225"/>
      <c r="I2324" s="225"/>
      <c r="J2324" s="168" t="str">
        <f>IF(VLOOKUP($I2317&amp;RIGHT($A2324,1),Players!$A$2:$D$132,3)&lt;&gt;0,"("&amp;VLOOKUP($I2317&amp;RIGHT($A2324,1),Players!$A$2:$D$132,4)&amp;")","")</f>
        <v/>
      </c>
    </row>
    <row r="2325" spans="1:10" ht="25.5" customHeight="1" x14ac:dyDescent="0.4">
      <c r="A2325" s="37" t="str">
        <f>CONCATENATE($D2317,"2")</f>
        <v>C2</v>
      </c>
      <c r="B2325" s="222" t="str">
        <f>IF(VLOOKUP($A2325,Players!$A$2:$C$132,3)&lt;&gt;0,VLOOKUP($A2325,Players!$A$2:$C$132,3),"")</f>
        <v/>
      </c>
      <c r="C2325" s="222"/>
      <c r="D2325" s="222"/>
      <c r="E2325" s="222"/>
      <c r="F2325" s="222"/>
      <c r="G2325" s="225" t="str">
        <f>IF(VLOOKUP($I2317&amp;RIGHT($A2325,1),Players!$A$2:$D$132,3)&lt;&gt;0,VLOOKUP($I2317&amp;RIGHT($A2325,1),Players!$A$2:$D$132,3),"")</f>
        <v/>
      </c>
      <c r="H2325" s="225"/>
      <c r="I2325" s="225"/>
      <c r="J2325" s="168" t="str">
        <f>IF(VLOOKUP($I2317&amp;RIGHT($A2325,1),Players!$A$2:$D$132,3)&lt;&gt;0,"("&amp;VLOOKUP($I2317&amp;RIGHT($A2325,1),Players!$A$2:$D$132,4)&amp;")","")</f>
        <v/>
      </c>
    </row>
    <row r="2326" spans="1:10" ht="25.5" customHeight="1" x14ac:dyDescent="0.4">
      <c r="A2326" s="37" t="str">
        <f>CONCATENATE($D2317,"3")</f>
        <v>C3</v>
      </c>
      <c r="B2326" s="222" t="str">
        <f>IF(VLOOKUP($A2326,Players!$A$2:$C$132,3)&lt;&gt;0,VLOOKUP($A2326,Players!$A$2:$C$132,3),"")</f>
        <v/>
      </c>
      <c r="C2326" s="222"/>
      <c r="D2326" s="222"/>
      <c r="E2326" s="222"/>
      <c r="F2326" s="222"/>
      <c r="G2326" s="225" t="str">
        <f>IF(VLOOKUP($I2317&amp;RIGHT($A2326,1),Players!$A$2:$D$132,3)&lt;&gt;0,VLOOKUP($I2317&amp;RIGHT($A2326,1),Players!$A$2:$D$132,3),"")</f>
        <v/>
      </c>
      <c r="H2326" s="225"/>
      <c r="I2326" s="225"/>
      <c r="J2326" s="168" t="str">
        <f>IF(VLOOKUP($I2317&amp;RIGHT($A2326,1),Players!$A$2:$D$132,3)&lt;&gt;0,"("&amp;VLOOKUP($I2317&amp;RIGHT($A2326,1),Players!$A$2:$D$132,4)&amp;")","")</f>
        <v/>
      </c>
    </row>
    <row r="2327" spans="1:10" ht="25.5" customHeight="1" x14ac:dyDescent="0.4">
      <c r="A2327" s="37" t="str">
        <f>CONCATENATE($D2317,"4")</f>
        <v>C4</v>
      </c>
      <c r="B2327" s="222" t="str">
        <f>IF(VLOOKUP($A2327,Players!$A$2:$C$132,3)&lt;&gt;0,VLOOKUP($A2327,Players!$A$2:$C$132,3),"")</f>
        <v/>
      </c>
      <c r="C2327" s="222"/>
      <c r="D2327" s="222"/>
      <c r="E2327" s="222"/>
      <c r="F2327" s="222"/>
      <c r="G2327" s="225" t="str">
        <f>IF(VLOOKUP($I2317&amp;RIGHT($A2327,1),Players!$A$2:$D$132,3)&lt;&gt;0,VLOOKUP($I2317&amp;RIGHT($A2327,1),Players!$A$2:$D$132,3),"")</f>
        <v/>
      </c>
      <c r="H2327" s="225"/>
      <c r="I2327" s="225"/>
      <c r="J2327" s="168" t="str">
        <f>IF(VLOOKUP($I2317&amp;RIGHT($A2327,1),Players!$A$2:$D$132,3)&lt;&gt;0,"("&amp;VLOOKUP($I2317&amp;RIGHT($A2327,1),Players!$A$2:$D$132,4)&amp;")","")</f>
        <v/>
      </c>
    </row>
    <row r="2328" spans="1:10" ht="25.5" customHeight="1" x14ac:dyDescent="0.4">
      <c r="A2328" s="37" t="str">
        <f>CONCATENATE($D2317,"5")</f>
        <v>C5</v>
      </c>
      <c r="B2328" s="222" t="str">
        <f>IF(VLOOKUP($A2328,Players!$A$2:$C$132,3)&lt;&gt;0,VLOOKUP($A2328,Players!$A$2:$C$132,3),"")</f>
        <v/>
      </c>
      <c r="C2328" s="222"/>
      <c r="D2328" s="222"/>
      <c r="E2328" s="222"/>
      <c r="F2328" s="222"/>
      <c r="G2328" s="225" t="str">
        <f>IF(VLOOKUP($I2317&amp;RIGHT($A2328,1),Players!$A$2:$D$132,3)&lt;&gt;0,VLOOKUP($I2317&amp;RIGHT($A2328,1),Players!$A$2:$D$132,3),"")</f>
        <v/>
      </c>
      <c r="H2328" s="225"/>
      <c r="I2328" s="225"/>
      <c r="J2328" s="168" t="str">
        <f>IF(VLOOKUP($I2317&amp;RIGHT($A2328,1),Players!$A$2:$D$132,3)&lt;&gt;0,"("&amp;VLOOKUP($I2317&amp;RIGHT($A2328,1),Players!$A$2:$D$132,4)&amp;")","")</f>
        <v/>
      </c>
    </row>
    <row r="2329" spans="1:10" ht="25.5" customHeight="1" x14ac:dyDescent="0.4">
      <c r="A2329" s="37" t="str">
        <f>CONCATENATE($D2317,"6")</f>
        <v>C6</v>
      </c>
      <c r="B2329" s="222" t="str">
        <f>IF(VLOOKUP($A2329,Players!$A$2:$C$132,3)&lt;&gt;0,VLOOKUP($A2329,Players!$A$2:$C$132,3),"")</f>
        <v/>
      </c>
      <c r="C2329" s="222"/>
      <c r="D2329" s="222"/>
      <c r="E2329" s="222"/>
      <c r="F2329" s="222"/>
      <c r="G2329" s="225" t="str">
        <f>IF(VLOOKUP($I2317&amp;RIGHT($A2329,1),Players!$A$2:$D$132,3)&lt;&gt;0,VLOOKUP($I2317&amp;RIGHT($A2329,1),Players!$A$2:$D$132,3),"")</f>
        <v/>
      </c>
      <c r="H2329" s="225"/>
      <c r="I2329" s="225"/>
      <c r="J2329" s="168" t="str">
        <f>IF(VLOOKUP($I2317&amp;RIGHT($A2329,1),Players!$A$2:$D$132,3)&lt;&gt;0,"("&amp;VLOOKUP($I2317&amp;RIGHT($A2329,1),Players!$A$2:$D$132,4)&amp;")","")</f>
        <v/>
      </c>
    </row>
    <row r="2330" spans="1:10" ht="25.5" customHeight="1" x14ac:dyDescent="0.4">
      <c r="A2330" s="37" t="str">
        <f>CONCATENATE($D2317,"7")</f>
        <v>C7</v>
      </c>
      <c r="B2330" s="222" t="str">
        <f>IF(VLOOKUP($A2330,Players!$A$2:$C$132,3)&lt;&gt;0,VLOOKUP($A2330,Players!$A$2:$C$132,3),"")</f>
        <v/>
      </c>
      <c r="C2330" s="222"/>
      <c r="D2330" s="222"/>
      <c r="E2330" s="222"/>
      <c r="F2330" s="222"/>
      <c r="G2330" s="225" t="str">
        <f>IF(VLOOKUP($I2317&amp;RIGHT($A2330,1),Players!$A$2:$D$132,3)&lt;&gt;0,VLOOKUP($I2317&amp;RIGHT($A2330,1),Players!$A$2:$D$132,3),"")</f>
        <v/>
      </c>
      <c r="H2330" s="225"/>
      <c r="I2330" s="225"/>
      <c r="J2330" s="168" t="str">
        <f>IF(VLOOKUP($I2317&amp;RIGHT($A2330,1),Players!$A$2:$D$132,3)&lt;&gt;0,"("&amp;VLOOKUP($I2317&amp;RIGHT($A2330,1),Players!$A$2:$D$132,4)&amp;")","")</f>
        <v/>
      </c>
    </row>
    <row r="2331" spans="1:10" ht="25.5" customHeight="1" x14ac:dyDescent="0.4">
      <c r="A2331" s="37" t="str">
        <f>CONCATENATE($D2317,"8")</f>
        <v>C8</v>
      </c>
      <c r="B2331" s="222" t="str">
        <f>IF(VLOOKUP($A2331,Players!$A$2:$C$132,3)&lt;&gt;0,VLOOKUP($A2331,Players!$A$2:$C$132,3),"")</f>
        <v/>
      </c>
      <c r="C2331" s="222"/>
      <c r="D2331" s="222"/>
      <c r="E2331" s="222"/>
      <c r="F2331" s="222"/>
      <c r="G2331" s="225" t="str">
        <f>IF(VLOOKUP($I2317&amp;RIGHT($A2331,1),Players!$A$2:$D$132,3)&lt;&gt;0,VLOOKUP($I2317&amp;RIGHT($A2331,1),Players!$A$2:$D$132,3),"")</f>
        <v/>
      </c>
      <c r="H2331" s="225"/>
      <c r="I2331" s="225"/>
      <c r="J2331" s="168" t="str">
        <f>IF(VLOOKUP($I2317&amp;RIGHT($A2331,1),Players!$A$2:$D$132,3)&lt;&gt;0,"("&amp;VLOOKUP($I2317&amp;RIGHT($A2331,1),Players!$A$2:$D$132,4)&amp;")","")</f>
        <v/>
      </c>
    </row>
    <row r="2332" spans="1:10" ht="25.5" customHeight="1" x14ac:dyDescent="0.25">
      <c r="A2332" s="37"/>
      <c r="B2332" s="7"/>
      <c r="C2332" s="7"/>
      <c r="D2332" s="7"/>
      <c r="E2332" s="7"/>
    </row>
    <row r="2333" spans="1:10" x14ac:dyDescent="0.25">
      <c r="A2333" s="9" t="s">
        <v>157</v>
      </c>
    </row>
    <row r="2334" spans="1:10" x14ac:dyDescent="0.25">
      <c r="A2334" t="s">
        <v>179</v>
      </c>
    </row>
    <row r="2335" spans="1:10" x14ac:dyDescent="0.25">
      <c r="A2335" s="55" t="s">
        <v>918</v>
      </c>
    </row>
    <row r="2336" spans="1:10" x14ac:dyDescent="0.25">
      <c r="A2336" t="s">
        <v>919</v>
      </c>
    </row>
    <row r="2337" spans="1:10" ht="25.5" customHeight="1" thickBot="1" x14ac:dyDescent="0.3">
      <c r="A2337" s="37"/>
    </row>
    <row r="2338" spans="1:10" x14ac:dyDescent="0.25">
      <c r="B2338" s="213"/>
      <c r="C2338" s="214"/>
      <c r="D2338" s="214"/>
      <c r="E2338" s="214"/>
      <c r="F2338" s="215"/>
    </row>
    <row r="2339" spans="1:10" ht="13.8" thickBot="1" x14ac:dyDescent="0.3">
      <c r="B2339" s="216"/>
      <c r="C2339" s="217"/>
      <c r="D2339" s="217"/>
      <c r="E2339" s="217"/>
      <c r="F2339" s="218"/>
    </row>
    <row r="2343" spans="1:10" ht="25.5" customHeight="1" x14ac:dyDescent="0.25">
      <c r="A2343" s="36"/>
      <c r="B2343" s="36"/>
      <c r="C2343" s="36"/>
      <c r="D2343" s="36"/>
      <c r="E2343" s="36"/>
      <c r="G2343" s="38"/>
      <c r="H2343" s="227" t="s">
        <v>159</v>
      </c>
      <c r="I2343" s="228"/>
    </row>
    <row r="2344" spans="1:10" x14ac:dyDescent="0.25">
      <c r="A2344" t="s">
        <v>158</v>
      </c>
    </row>
    <row r="2346" spans="1:10" x14ac:dyDescent="0.25">
      <c r="E2346" s="219" t="str">
        <f>CONCATENATE("(",$D2317," vs ",$I2317,")")</f>
        <v>(C vs K)</v>
      </c>
      <c r="F2346" s="219"/>
    </row>
    <row r="2347" spans="1:10" ht="15.6" x14ac:dyDescent="0.3">
      <c r="A2347" s="33" t="s">
        <v>155</v>
      </c>
      <c r="J2347" s="82" t="s">
        <v>539</v>
      </c>
    </row>
    <row r="2348" spans="1:10" ht="12.75" customHeight="1" x14ac:dyDescent="0.3">
      <c r="A2348" s="33"/>
      <c r="G2348" t="str">
        <f ca="1">Team_Matches!$J$6</f>
        <v>[NCTTA Teams Template (v3.4).xlsx]</v>
      </c>
      <c r="J2348" s="55"/>
    </row>
    <row r="2349" spans="1:10" ht="12.75" customHeight="1" x14ac:dyDescent="0.3">
      <c r="A2349" s="33"/>
      <c r="G2349" s="229" t="str">
        <f>Team_Matches!$J1741</f>
        <v>Round 6, Match 5</v>
      </c>
      <c r="H2349" s="229"/>
      <c r="I2349" s="127" t="str">
        <f>Team_Matches!$M1741</f>
        <v/>
      </c>
      <c r="J2349" s="127"/>
    </row>
    <row r="2350" spans="1:10" ht="15.6" x14ac:dyDescent="0.3">
      <c r="A2350" s="33"/>
    </row>
    <row r="2351" spans="1:10" x14ac:dyDescent="0.25">
      <c r="C2351" s="7" t="s">
        <v>160</v>
      </c>
      <c r="D2351" s="39" t="str">
        <f>Team_Matches!$B1743</f>
        <v>C</v>
      </c>
      <c r="F2351" s="83" t="str">
        <f>CONCATENATE($D2351,"-",$I2351)</f>
        <v>C-K</v>
      </c>
      <c r="H2351" s="7" t="s">
        <v>160</v>
      </c>
      <c r="I2351" s="3" t="str">
        <f>Team_Matches!$K1743</f>
        <v>K</v>
      </c>
    </row>
    <row r="2352" spans="1:10" ht="25.5" customHeight="1" x14ac:dyDescent="0.25">
      <c r="A2352" s="34"/>
      <c r="B2352" s="223" t="str">
        <f>IF(VLOOKUP($D2351,Draw!$A$4:$B$27,2)&lt;&gt;0,VLOOKUP($D2351,Draw!$A$4:$B$27,2),"")</f>
        <v/>
      </c>
      <c r="C2352" s="223"/>
      <c r="D2352" s="223"/>
      <c r="E2352" s="224"/>
      <c r="F2352" s="35"/>
      <c r="G2352" s="220" t="str">
        <f>IF(VLOOKUP($I2351,Draw!$A$4:$B$27,2)&lt;&gt;0,VLOOKUP($I2351,Draw!$A$4:$B$27,2),"")</f>
        <v/>
      </c>
      <c r="H2352" s="220"/>
      <c r="I2352" s="220"/>
      <c r="J2352" s="221"/>
    </row>
    <row r="2353" spans="1:10" ht="25.5" customHeight="1" x14ac:dyDescent="0.25"/>
    <row r="2354" spans="1:10" ht="25.5" customHeight="1" x14ac:dyDescent="0.25"/>
    <row r="2355" spans="1:10" ht="24" customHeight="1" x14ac:dyDescent="0.25">
      <c r="A2355" s="9" t="s">
        <v>178</v>
      </c>
    </row>
    <row r="2356" spans="1:10" ht="24" customHeight="1" x14ac:dyDescent="0.25">
      <c r="A2356" s="9"/>
    </row>
    <row r="2357" spans="1:10" x14ac:dyDescent="0.25">
      <c r="A2357" s="9" t="s">
        <v>156</v>
      </c>
      <c r="G2357" s="226" t="s">
        <v>873</v>
      </c>
      <c r="H2357" s="226"/>
      <c r="I2357" s="226"/>
      <c r="J2357" s="226"/>
    </row>
    <row r="2358" spans="1:10" ht="24" customHeight="1" x14ac:dyDescent="0.4">
      <c r="A2358" s="37" t="str">
        <f>CONCATENATE($I2351,"1")</f>
        <v>K1</v>
      </c>
      <c r="B2358" s="222" t="str">
        <f>IF(VLOOKUP($A2358,Players!$A$2:$C$132,3)&lt;&gt;0,VLOOKUP($A2358,Players!$A$2:$C$132,3),"")</f>
        <v/>
      </c>
      <c r="C2358" s="222"/>
      <c r="D2358" s="222"/>
      <c r="E2358" s="222"/>
      <c r="F2358" s="222"/>
      <c r="G2358" s="225" t="str">
        <f>IF(VLOOKUP($D2351&amp;RIGHT($A2358,1),Players!$A$2:$D$132,3)&lt;&gt;0,VLOOKUP($D2351&amp;RIGHT($A2358,1),Players!$A$2:$D$132,3),"")</f>
        <v/>
      </c>
      <c r="H2358" s="225"/>
      <c r="I2358" s="225"/>
      <c r="J2358" s="168" t="str">
        <f>IF(VLOOKUP($D2351&amp;RIGHT($A2358,1),Players!$A$2:$D$132,3)&lt;&gt;0,"("&amp;VLOOKUP($D2351&amp;RIGHT($A2358,1),Players!$A$2:$D$132,4)&amp;")","")</f>
        <v/>
      </c>
    </row>
    <row r="2359" spans="1:10" ht="25.5" customHeight="1" x14ac:dyDescent="0.4">
      <c r="A2359" s="37" t="str">
        <f>CONCATENATE($I2351,"2")</f>
        <v>K2</v>
      </c>
      <c r="B2359" s="222" t="str">
        <f>IF(VLOOKUP($A2359,Players!$A$2:$C$132,3)&lt;&gt;0,VLOOKUP($A2359,Players!$A$2:$C$132,3),"")</f>
        <v/>
      </c>
      <c r="C2359" s="222"/>
      <c r="D2359" s="222"/>
      <c r="E2359" s="222"/>
      <c r="F2359" s="222"/>
      <c r="G2359" s="225" t="str">
        <f>IF(VLOOKUP($D2351&amp;RIGHT($A2359,1),Players!$A$2:$D$132,3)&lt;&gt;0,VLOOKUP($D2351&amp;RIGHT($A2359,1),Players!$A$2:$D$132,3),"")</f>
        <v/>
      </c>
      <c r="H2359" s="225"/>
      <c r="I2359" s="225"/>
      <c r="J2359" s="168" t="str">
        <f>IF(VLOOKUP($D2351&amp;RIGHT($A2359,1),Players!$A$2:$D$132,3)&lt;&gt;0,"("&amp;VLOOKUP($D2351&amp;RIGHT($A2359,1),Players!$A$2:$D$132,4)&amp;")","")</f>
        <v/>
      </c>
    </row>
    <row r="2360" spans="1:10" ht="25.5" customHeight="1" x14ac:dyDescent="0.4">
      <c r="A2360" s="37" t="str">
        <f>CONCATENATE($I2351,"3")</f>
        <v>K3</v>
      </c>
      <c r="B2360" s="222" t="str">
        <f>IF(VLOOKUP($A2360,Players!$A$2:$C$132,3)&lt;&gt;0,VLOOKUP($A2360,Players!$A$2:$C$132,3),"")</f>
        <v/>
      </c>
      <c r="C2360" s="222"/>
      <c r="D2360" s="222"/>
      <c r="E2360" s="222"/>
      <c r="F2360" s="222"/>
      <c r="G2360" s="225" t="str">
        <f>IF(VLOOKUP($D2351&amp;RIGHT($A2360,1),Players!$A$2:$D$132,3)&lt;&gt;0,VLOOKUP($D2351&amp;RIGHT($A2360,1),Players!$A$2:$D$132,3),"")</f>
        <v/>
      </c>
      <c r="H2360" s="225"/>
      <c r="I2360" s="225"/>
      <c r="J2360" s="168" t="str">
        <f>IF(VLOOKUP($D2351&amp;RIGHT($A2360,1),Players!$A$2:$D$132,3)&lt;&gt;0,"("&amp;VLOOKUP($D2351&amp;RIGHT($A2360,1),Players!$A$2:$D$132,4)&amp;")","")</f>
        <v/>
      </c>
    </row>
    <row r="2361" spans="1:10" ht="25.5" customHeight="1" x14ac:dyDescent="0.4">
      <c r="A2361" s="37" t="str">
        <f>CONCATENATE($I2351,"4")</f>
        <v>K4</v>
      </c>
      <c r="B2361" s="222" t="str">
        <f>IF(VLOOKUP($A2361,Players!$A$2:$C$132,3)&lt;&gt;0,VLOOKUP($A2361,Players!$A$2:$C$132,3),"")</f>
        <v/>
      </c>
      <c r="C2361" s="222"/>
      <c r="D2361" s="222"/>
      <c r="E2361" s="222"/>
      <c r="F2361" s="222"/>
      <c r="G2361" s="225" t="str">
        <f>IF(VLOOKUP($D2351&amp;RIGHT($A2361,1),Players!$A$2:$D$132,3)&lt;&gt;0,VLOOKUP($D2351&amp;RIGHT($A2361,1),Players!$A$2:$D$132,3),"")</f>
        <v/>
      </c>
      <c r="H2361" s="225"/>
      <c r="I2361" s="225"/>
      <c r="J2361" s="168" t="str">
        <f>IF(VLOOKUP($D2351&amp;RIGHT($A2361,1),Players!$A$2:$D$132,3)&lt;&gt;0,"("&amp;VLOOKUP($D2351&amp;RIGHT($A2361,1),Players!$A$2:$D$132,4)&amp;")","")</f>
        <v/>
      </c>
    </row>
    <row r="2362" spans="1:10" ht="25.5" customHeight="1" x14ac:dyDescent="0.4">
      <c r="A2362" s="37" t="str">
        <f>CONCATENATE($I2351,"5")</f>
        <v>K5</v>
      </c>
      <c r="B2362" s="222" t="str">
        <f>IF(VLOOKUP($A2362,Players!$A$2:$C$132,3)&lt;&gt;0,VLOOKUP($A2362,Players!$A$2:$C$132,3),"")</f>
        <v/>
      </c>
      <c r="C2362" s="222"/>
      <c r="D2362" s="222"/>
      <c r="E2362" s="222"/>
      <c r="F2362" s="222"/>
      <c r="G2362" s="225" t="str">
        <f>IF(VLOOKUP($D2351&amp;RIGHT($A2362,1),Players!$A$2:$D$132,3)&lt;&gt;0,VLOOKUP($D2351&amp;RIGHT($A2362,1),Players!$A$2:$D$132,3),"")</f>
        <v/>
      </c>
      <c r="H2362" s="225"/>
      <c r="I2362" s="225"/>
      <c r="J2362" s="168" t="str">
        <f>IF(VLOOKUP($D2351&amp;RIGHT($A2362,1),Players!$A$2:$D$132,3)&lt;&gt;0,"("&amp;VLOOKUP($D2351&amp;RIGHT($A2362,1),Players!$A$2:$D$132,4)&amp;")","")</f>
        <v/>
      </c>
    </row>
    <row r="2363" spans="1:10" ht="25.5" customHeight="1" x14ac:dyDescent="0.4">
      <c r="A2363" s="37" t="str">
        <f>CONCATENATE($I2351,"6")</f>
        <v>K6</v>
      </c>
      <c r="B2363" s="222" t="str">
        <f>IF(VLOOKUP($A2363,Players!$A$2:$C$132,3)&lt;&gt;0,VLOOKUP($A2363,Players!$A$2:$C$132,3),"")</f>
        <v/>
      </c>
      <c r="C2363" s="222"/>
      <c r="D2363" s="222"/>
      <c r="E2363" s="222"/>
      <c r="F2363" s="222"/>
      <c r="G2363" s="225" t="str">
        <f>IF(VLOOKUP($D2351&amp;RIGHT($A2363,1),Players!$A$2:$D$132,3)&lt;&gt;0,VLOOKUP($D2351&amp;RIGHT($A2363,1),Players!$A$2:$D$132,3),"")</f>
        <v/>
      </c>
      <c r="H2363" s="225"/>
      <c r="I2363" s="225"/>
      <c r="J2363" s="168" t="str">
        <f>IF(VLOOKUP($D2351&amp;RIGHT($A2363,1),Players!$A$2:$D$132,3)&lt;&gt;0,"("&amp;VLOOKUP($D2351&amp;RIGHT($A2363,1),Players!$A$2:$D$132,4)&amp;")","")</f>
        <v/>
      </c>
    </row>
    <row r="2364" spans="1:10" ht="25.5" customHeight="1" x14ac:dyDescent="0.4">
      <c r="A2364" s="37" t="str">
        <f>CONCATENATE($I2351,"7")</f>
        <v>K7</v>
      </c>
      <c r="B2364" s="222" t="str">
        <f>IF(VLOOKUP($A2364,Players!$A$2:$C$132,3)&lt;&gt;0,VLOOKUP($A2364,Players!$A$2:$C$132,3),"")</f>
        <v/>
      </c>
      <c r="C2364" s="222"/>
      <c r="D2364" s="222"/>
      <c r="E2364" s="222"/>
      <c r="F2364" s="222"/>
      <c r="G2364" s="225" t="str">
        <f>IF(VLOOKUP($D2351&amp;RIGHT($A2364,1),Players!$A$2:$D$132,3)&lt;&gt;0,VLOOKUP($D2351&amp;RIGHT($A2364,1),Players!$A$2:$D$132,3),"")</f>
        <v/>
      </c>
      <c r="H2364" s="225"/>
      <c r="I2364" s="225"/>
      <c r="J2364" s="168" t="str">
        <f>IF(VLOOKUP($D2351&amp;RIGHT($A2364,1),Players!$A$2:$D$132,3)&lt;&gt;0,"("&amp;VLOOKUP($D2351&amp;RIGHT($A2364,1),Players!$A$2:$D$132,4)&amp;")","")</f>
        <v/>
      </c>
    </row>
    <row r="2365" spans="1:10" ht="25.5" customHeight="1" x14ac:dyDescent="0.4">
      <c r="A2365" s="37" t="str">
        <f>CONCATENATE($I2351,"8")</f>
        <v>K8</v>
      </c>
      <c r="B2365" s="222" t="str">
        <f>IF(VLOOKUP($A2365,Players!$A$2:$C$132,3)&lt;&gt;0,VLOOKUP($A2365,Players!$A$2:$C$132,3),"")</f>
        <v/>
      </c>
      <c r="C2365" s="222"/>
      <c r="D2365" s="222"/>
      <c r="E2365" s="222"/>
      <c r="F2365" s="222"/>
      <c r="G2365" s="225" t="str">
        <f>IF(VLOOKUP($D2351&amp;RIGHT($A2365,1),Players!$A$2:$D$132,3)&lt;&gt;0,VLOOKUP($D2351&amp;RIGHT($A2365,1),Players!$A$2:$D$132,3),"")</f>
        <v/>
      </c>
      <c r="H2365" s="225"/>
      <c r="I2365" s="225"/>
      <c r="J2365" s="168" t="str">
        <f>IF(VLOOKUP($D2351&amp;RIGHT($A2365,1),Players!$A$2:$D$132,3)&lt;&gt;0,"("&amp;VLOOKUP($D2351&amp;RIGHT($A2365,1),Players!$A$2:$D$132,4)&amp;")","")</f>
        <v/>
      </c>
    </row>
    <row r="2366" spans="1:10" ht="25.5" customHeight="1" x14ac:dyDescent="0.25">
      <c r="A2366" s="37"/>
      <c r="B2366" s="7"/>
      <c r="C2366" s="7"/>
      <c r="D2366" s="7"/>
      <c r="E2366" s="7"/>
    </row>
    <row r="2367" spans="1:10" x14ac:dyDescent="0.25">
      <c r="A2367" s="9" t="s">
        <v>157</v>
      </c>
    </row>
    <row r="2368" spans="1:10" x14ac:dyDescent="0.25">
      <c r="A2368" t="s">
        <v>179</v>
      </c>
    </row>
    <row r="2369" spans="1:10" x14ac:dyDescent="0.25">
      <c r="A2369" s="55" t="s">
        <v>918</v>
      </c>
    </row>
    <row r="2370" spans="1:10" x14ac:dyDescent="0.25">
      <c r="A2370" t="s">
        <v>919</v>
      </c>
    </row>
    <row r="2371" spans="1:10" ht="25.5" customHeight="1" thickBot="1" x14ac:dyDescent="0.3">
      <c r="A2371" s="37"/>
    </row>
    <row r="2372" spans="1:10" x14ac:dyDescent="0.25">
      <c r="B2372" s="213"/>
      <c r="C2372" s="214"/>
      <c r="D2372" s="214"/>
      <c r="E2372" s="214"/>
      <c r="F2372" s="215"/>
    </row>
    <row r="2373" spans="1:10" ht="13.8" thickBot="1" x14ac:dyDescent="0.3">
      <c r="B2373" s="216"/>
      <c r="C2373" s="217"/>
      <c r="D2373" s="217"/>
      <c r="E2373" s="217"/>
      <c r="F2373" s="218"/>
    </row>
    <row r="2377" spans="1:10" ht="25.5" customHeight="1" x14ac:dyDescent="0.25">
      <c r="A2377" s="36"/>
      <c r="B2377" s="36"/>
      <c r="C2377" s="36"/>
      <c r="D2377" s="36"/>
      <c r="E2377" s="36"/>
      <c r="G2377" s="38"/>
      <c r="H2377" s="227" t="s">
        <v>159</v>
      </c>
      <c r="I2377" s="228"/>
    </row>
    <row r="2378" spans="1:10" x14ac:dyDescent="0.25">
      <c r="A2378" t="s">
        <v>158</v>
      </c>
    </row>
    <row r="2380" spans="1:10" x14ac:dyDescent="0.25">
      <c r="E2380" s="219" t="str">
        <f>CONCATENATE("(",$D2351," vs ",$I2351,")")</f>
        <v>(C vs K)</v>
      </c>
      <c r="F2380" s="219"/>
    </row>
    <row r="2381" spans="1:10" ht="15.6" x14ac:dyDescent="0.3">
      <c r="A2381" s="33" t="s">
        <v>155</v>
      </c>
      <c r="J2381" s="82" t="s">
        <v>541</v>
      </c>
    </row>
    <row r="2382" spans="1:10" ht="12.75" customHeight="1" x14ac:dyDescent="0.3">
      <c r="A2382" s="33"/>
      <c r="G2382" t="str">
        <f ca="1">Team_Matches!$J$6</f>
        <v>[NCTTA Teams Template (v3.4).xlsx]</v>
      </c>
      <c r="J2382" s="55"/>
    </row>
    <row r="2383" spans="1:10" ht="12.75" customHeight="1" x14ac:dyDescent="0.3">
      <c r="A2383" s="33"/>
      <c r="G2383" s="229" t="str">
        <f>Team_Matches!$J1792</f>
        <v>Round 6, Match 6</v>
      </c>
      <c r="H2383" s="229"/>
      <c r="I2383" s="127" t="str">
        <f>Team_Matches!$M1792</f>
        <v/>
      </c>
      <c r="J2383" s="127"/>
    </row>
    <row r="2384" spans="1:10" ht="15.6" x14ac:dyDescent="0.3">
      <c r="A2384" s="33"/>
    </row>
    <row r="2385" spans="1:10" x14ac:dyDescent="0.25">
      <c r="C2385" s="7" t="s">
        <v>160</v>
      </c>
      <c r="D2385" s="39" t="str">
        <f>Team_Matches!$B1794</f>
        <v>B</v>
      </c>
      <c r="F2385" s="83" t="str">
        <f>CONCATENATE($D2385,"-",$I2385)</f>
        <v>B-L</v>
      </c>
      <c r="H2385" s="7" t="s">
        <v>160</v>
      </c>
      <c r="I2385" s="39" t="str">
        <f>Team_Matches!$K1794</f>
        <v>L</v>
      </c>
    </row>
    <row r="2386" spans="1:10" ht="25.5" customHeight="1" x14ac:dyDescent="0.25">
      <c r="A2386" s="34"/>
      <c r="B2386" s="220" t="str">
        <f>IF(VLOOKUP($D2385,Draw!$A$4:$B$27,2)&lt;&gt;0,VLOOKUP($D2385,Draw!$A$4:$B$27,2),"")</f>
        <v/>
      </c>
      <c r="C2386" s="220"/>
      <c r="D2386" s="220"/>
      <c r="E2386" s="221"/>
      <c r="F2386" s="35"/>
      <c r="G2386" s="223" t="str">
        <f>IF(VLOOKUP($I2385,Draw!$A$4:$B$27,2)&lt;&gt;0,VLOOKUP($I2385,Draw!$A$4:$B$27,2),"")</f>
        <v/>
      </c>
      <c r="H2386" s="223"/>
      <c r="I2386" s="223"/>
      <c r="J2386" s="224"/>
    </row>
    <row r="2387" spans="1:10" ht="25.5" customHeight="1" x14ac:dyDescent="0.25"/>
    <row r="2388" spans="1:10" ht="25.5" customHeight="1" x14ac:dyDescent="0.25"/>
    <row r="2389" spans="1:10" ht="24" customHeight="1" x14ac:dyDescent="0.25">
      <c r="A2389" s="9" t="s">
        <v>178</v>
      </c>
    </row>
    <row r="2390" spans="1:10" ht="24" customHeight="1" x14ac:dyDescent="0.25">
      <c r="A2390" s="9"/>
    </row>
    <row r="2391" spans="1:10" x14ac:dyDescent="0.25">
      <c r="A2391" s="9" t="s">
        <v>156</v>
      </c>
      <c r="G2391" s="226" t="s">
        <v>873</v>
      </c>
      <c r="H2391" s="226"/>
      <c r="I2391" s="226"/>
      <c r="J2391" s="226"/>
    </row>
    <row r="2392" spans="1:10" ht="24" customHeight="1" x14ac:dyDescent="0.4">
      <c r="A2392" s="37" t="str">
        <f>CONCATENATE($D2385,"1")</f>
        <v>B1</v>
      </c>
      <c r="B2392" s="222" t="str">
        <f>IF(VLOOKUP($A2392,Players!$A$2:$C$132,3)&lt;&gt;0,VLOOKUP($A2392,Players!$A$2:$C$132,3),"")</f>
        <v/>
      </c>
      <c r="C2392" s="222"/>
      <c r="D2392" s="222"/>
      <c r="E2392" s="222"/>
      <c r="F2392" s="222"/>
      <c r="G2392" s="225" t="str">
        <f>IF(VLOOKUP($I2385&amp;RIGHT($A2392,1),Players!$A$2:$D$132,3)&lt;&gt;0,VLOOKUP($I2385&amp;RIGHT($A2392,1),Players!$A$2:$D$132,3),"")</f>
        <v/>
      </c>
      <c r="H2392" s="225"/>
      <c r="I2392" s="225"/>
      <c r="J2392" s="168" t="str">
        <f>IF(VLOOKUP($I2385&amp;RIGHT($A2392,1),Players!$A$2:$D$132,3)&lt;&gt;0,"("&amp;VLOOKUP($I2385&amp;RIGHT($A2392,1),Players!$A$2:$D$132,4)&amp;")","")</f>
        <v/>
      </c>
    </row>
    <row r="2393" spans="1:10" ht="25.5" customHeight="1" x14ac:dyDescent="0.4">
      <c r="A2393" s="37" t="str">
        <f>CONCATENATE($D2385,"2")</f>
        <v>B2</v>
      </c>
      <c r="B2393" s="222" t="str">
        <f>IF(VLOOKUP($A2393,Players!$A$2:$C$132,3)&lt;&gt;0,VLOOKUP($A2393,Players!$A$2:$C$132,3),"")</f>
        <v/>
      </c>
      <c r="C2393" s="222"/>
      <c r="D2393" s="222"/>
      <c r="E2393" s="222"/>
      <c r="F2393" s="222"/>
      <c r="G2393" s="225" t="str">
        <f>IF(VLOOKUP($I2385&amp;RIGHT($A2393,1),Players!$A$2:$D$132,3)&lt;&gt;0,VLOOKUP($I2385&amp;RIGHT($A2393,1),Players!$A$2:$D$132,3),"")</f>
        <v/>
      </c>
      <c r="H2393" s="225"/>
      <c r="I2393" s="225"/>
      <c r="J2393" s="168" t="str">
        <f>IF(VLOOKUP($I2385&amp;RIGHT($A2393,1),Players!$A$2:$D$132,3)&lt;&gt;0,"("&amp;VLOOKUP($I2385&amp;RIGHT($A2393,1),Players!$A$2:$D$132,4)&amp;")","")</f>
        <v/>
      </c>
    </row>
    <row r="2394" spans="1:10" ht="25.5" customHeight="1" x14ac:dyDescent="0.4">
      <c r="A2394" s="37" t="str">
        <f>CONCATENATE($D2385,"3")</f>
        <v>B3</v>
      </c>
      <c r="B2394" s="222" t="str">
        <f>IF(VLOOKUP($A2394,Players!$A$2:$C$132,3)&lt;&gt;0,VLOOKUP($A2394,Players!$A$2:$C$132,3),"")</f>
        <v/>
      </c>
      <c r="C2394" s="222"/>
      <c r="D2394" s="222"/>
      <c r="E2394" s="222"/>
      <c r="F2394" s="222"/>
      <c r="G2394" s="225" t="str">
        <f>IF(VLOOKUP($I2385&amp;RIGHT($A2394,1),Players!$A$2:$D$132,3)&lt;&gt;0,VLOOKUP($I2385&amp;RIGHT($A2394,1),Players!$A$2:$D$132,3),"")</f>
        <v/>
      </c>
      <c r="H2394" s="225"/>
      <c r="I2394" s="225"/>
      <c r="J2394" s="168" t="str">
        <f>IF(VLOOKUP($I2385&amp;RIGHT($A2394,1),Players!$A$2:$D$132,3)&lt;&gt;0,"("&amp;VLOOKUP($I2385&amp;RIGHT($A2394,1),Players!$A$2:$D$132,4)&amp;")","")</f>
        <v/>
      </c>
    </row>
    <row r="2395" spans="1:10" ht="25.5" customHeight="1" x14ac:dyDescent="0.4">
      <c r="A2395" s="37" t="str">
        <f>CONCATENATE($D2385,"4")</f>
        <v>B4</v>
      </c>
      <c r="B2395" s="222" t="str">
        <f>IF(VLOOKUP($A2395,Players!$A$2:$C$132,3)&lt;&gt;0,VLOOKUP($A2395,Players!$A$2:$C$132,3),"")</f>
        <v/>
      </c>
      <c r="C2395" s="222"/>
      <c r="D2395" s="222"/>
      <c r="E2395" s="222"/>
      <c r="F2395" s="222"/>
      <c r="G2395" s="225" t="str">
        <f>IF(VLOOKUP($I2385&amp;RIGHT($A2395,1),Players!$A$2:$D$132,3)&lt;&gt;0,VLOOKUP($I2385&amp;RIGHT($A2395,1),Players!$A$2:$D$132,3),"")</f>
        <v/>
      </c>
      <c r="H2395" s="225"/>
      <c r="I2395" s="225"/>
      <c r="J2395" s="168" t="str">
        <f>IF(VLOOKUP($I2385&amp;RIGHT($A2395,1),Players!$A$2:$D$132,3)&lt;&gt;0,"("&amp;VLOOKUP($I2385&amp;RIGHT($A2395,1),Players!$A$2:$D$132,4)&amp;")","")</f>
        <v/>
      </c>
    </row>
    <row r="2396" spans="1:10" ht="25.5" customHeight="1" x14ac:dyDescent="0.4">
      <c r="A2396" s="37" t="str">
        <f>CONCATENATE($D2385,"5")</f>
        <v>B5</v>
      </c>
      <c r="B2396" s="222" t="str">
        <f>IF(VLOOKUP($A2396,Players!$A$2:$C$132,3)&lt;&gt;0,VLOOKUP($A2396,Players!$A$2:$C$132,3),"")</f>
        <v/>
      </c>
      <c r="C2396" s="222"/>
      <c r="D2396" s="222"/>
      <c r="E2396" s="222"/>
      <c r="F2396" s="222"/>
      <c r="G2396" s="225" t="str">
        <f>IF(VLOOKUP($I2385&amp;RIGHT($A2396,1),Players!$A$2:$D$132,3)&lt;&gt;0,VLOOKUP($I2385&amp;RIGHT($A2396,1),Players!$A$2:$D$132,3),"")</f>
        <v/>
      </c>
      <c r="H2396" s="225"/>
      <c r="I2396" s="225"/>
      <c r="J2396" s="168" t="str">
        <f>IF(VLOOKUP($I2385&amp;RIGHT($A2396,1),Players!$A$2:$D$132,3)&lt;&gt;0,"("&amp;VLOOKUP($I2385&amp;RIGHT($A2396,1),Players!$A$2:$D$132,4)&amp;")","")</f>
        <v/>
      </c>
    </row>
    <row r="2397" spans="1:10" ht="25.5" customHeight="1" x14ac:dyDescent="0.4">
      <c r="A2397" s="37" t="str">
        <f>CONCATENATE($D2385,"6")</f>
        <v>B6</v>
      </c>
      <c r="B2397" s="222" t="str">
        <f>IF(VLOOKUP($A2397,Players!$A$2:$C$132,3)&lt;&gt;0,VLOOKUP($A2397,Players!$A$2:$C$132,3),"")</f>
        <v/>
      </c>
      <c r="C2397" s="222"/>
      <c r="D2397" s="222"/>
      <c r="E2397" s="222"/>
      <c r="F2397" s="222"/>
      <c r="G2397" s="225" t="str">
        <f>IF(VLOOKUP($I2385&amp;RIGHT($A2397,1),Players!$A$2:$D$132,3)&lt;&gt;0,VLOOKUP($I2385&amp;RIGHT($A2397,1),Players!$A$2:$D$132,3),"")</f>
        <v/>
      </c>
      <c r="H2397" s="225"/>
      <c r="I2397" s="225"/>
      <c r="J2397" s="168" t="str">
        <f>IF(VLOOKUP($I2385&amp;RIGHT($A2397,1),Players!$A$2:$D$132,3)&lt;&gt;0,"("&amp;VLOOKUP($I2385&amp;RIGHT($A2397,1),Players!$A$2:$D$132,4)&amp;")","")</f>
        <v/>
      </c>
    </row>
    <row r="2398" spans="1:10" ht="25.5" customHeight="1" x14ac:dyDescent="0.4">
      <c r="A2398" s="37" t="str">
        <f>CONCATENATE($D2385,"7")</f>
        <v>B7</v>
      </c>
      <c r="B2398" s="222" t="str">
        <f>IF(VLOOKUP($A2398,Players!$A$2:$C$132,3)&lt;&gt;0,VLOOKUP($A2398,Players!$A$2:$C$132,3),"")</f>
        <v/>
      </c>
      <c r="C2398" s="222"/>
      <c r="D2398" s="222"/>
      <c r="E2398" s="222"/>
      <c r="F2398" s="222"/>
      <c r="G2398" s="225" t="str">
        <f>IF(VLOOKUP($I2385&amp;RIGHT($A2398,1),Players!$A$2:$D$132,3)&lt;&gt;0,VLOOKUP($I2385&amp;RIGHT($A2398,1),Players!$A$2:$D$132,3),"")</f>
        <v/>
      </c>
      <c r="H2398" s="225"/>
      <c r="I2398" s="225"/>
      <c r="J2398" s="168" t="str">
        <f>IF(VLOOKUP($I2385&amp;RIGHT($A2398,1),Players!$A$2:$D$132,3)&lt;&gt;0,"("&amp;VLOOKUP($I2385&amp;RIGHT($A2398,1),Players!$A$2:$D$132,4)&amp;")","")</f>
        <v/>
      </c>
    </row>
    <row r="2399" spans="1:10" ht="25.5" customHeight="1" x14ac:dyDescent="0.4">
      <c r="A2399" s="37" t="str">
        <f>CONCATENATE($D2385,"8")</f>
        <v>B8</v>
      </c>
      <c r="B2399" s="222" t="str">
        <f>IF(VLOOKUP($A2399,Players!$A$2:$C$132,3)&lt;&gt;0,VLOOKUP($A2399,Players!$A$2:$C$132,3),"")</f>
        <v/>
      </c>
      <c r="C2399" s="222"/>
      <c r="D2399" s="222"/>
      <c r="E2399" s="222"/>
      <c r="F2399" s="222"/>
      <c r="G2399" s="225" t="str">
        <f>IF(VLOOKUP($I2385&amp;RIGHT($A2399,1),Players!$A$2:$D$132,3)&lt;&gt;0,VLOOKUP($I2385&amp;RIGHT($A2399,1),Players!$A$2:$D$132,3),"")</f>
        <v/>
      </c>
      <c r="H2399" s="225"/>
      <c r="I2399" s="225"/>
      <c r="J2399" s="168" t="str">
        <f>IF(VLOOKUP($I2385&amp;RIGHT($A2399,1),Players!$A$2:$D$132,3)&lt;&gt;0,"("&amp;VLOOKUP($I2385&amp;RIGHT($A2399,1),Players!$A$2:$D$132,4)&amp;")","")</f>
        <v/>
      </c>
    </row>
    <row r="2400" spans="1:10" ht="25.5" customHeight="1" x14ac:dyDescent="0.25">
      <c r="A2400" s="37"/>
      <c r="B2400" s="7"/>
      <c r="C2400" s="7"/>
      <c r="D2400" s="7"/>
      <c r="E2400" s="7"/>
    </row>
    <row r="2401" spans="1:10" x14ac:dyDescent="0.25">
      <c r="A2401" s="9" t="s">
        <v>157</v>
      </c>
    </row>
    <row r="2402" spans="1:10" x14ac:dyDescent="0.25">
      <c r="A2402" t="s">
        <v>179</v>
      </c>
    </row>
    <row r="2403" spans="1:10" x14ac:dyDescent="0.25">
      <c r="A2403" s="55" t="s">
        <v>918</v>
      </c>
    </row>
    <row r="2404" spans="1:10" x14ac:dyDescent="0.25">
      <c r="A2404" t="s">
        <v>919</v>
      </c>
    </row>
    <row r="2405" spans="1:10" ht="25.5" customHeight="1" thickBot="1" x14ac:dyDescent="0.3">
      <c r="A2405" s="37"/>
    </row>
    <row r="2406" spans="1:10" x14ac:dyDescent="0.25">
      <c r="B2406" s="213"/>
      <c r="C2406" s="214"/>
      <c r="D2406" s="214"/>
      <c r="E2406" s="214"/>
      <c r="F2406" s="215"/>
    </row>
    <row r="2407" spans="1:10" ht="13.8" thickBot="1" x14ac:dyDescent="0.3">
      <c r="B2407" s="216"/>
      <c r="C2407" s="217"/>
      <c r="D2407" s="217"/>
      <c r="E2407" s="217"/>
      <c r="F2407" s="218"/>
    </row>
    <row r="2411" spans="1:10" ht="25.5" customHeight="1" x14ac:dyDescent="0.25">
      <c r="A2411" s="36"/>
      <c r="B2411" s="36"/>
      <c r="C2411" s="36"/>
      <c r="D2411" s="36"/>
      <c r="E2411" s="36"/>
      <c r="G2411" s="38"/>
      <c r="H2411" s="227" t="s">
        <v>159</v>
      </c>
      <c r="I2411" s="228"/>
    </row>
    <row r="2412" spans="1:10" x14ac:dyDescent="0.25">
      <c r="A2412" t="s">
        <v>158</v>
      </c>
    </row>
    <row r="2414" spans="1:10" x14ac:dyDescent="0.25">
      <c r="E2414" s="219" t="str">
        <f>CONCATENATE("(",$D2385," vs ",$I2385,")")</f>
        <v>(B vs L)</v>
      </c>
      <c r="F2414" s="219"/>
    </row>
    <row r="2415" spans="1:10" ht="15.6" x14ac:dyDescent="0.3">
      <c r="A2415" s="33" t="s">
        <v>155</v>
      </c>
      <c r="J2415" s="82" t="s">
        <v>542</v>
      </c>
    </row>
    <row r="2416" spans="1:10" ht="12.75" customHeight="1" x14ac:dyDescent="0.3">
      <c r="A2416" s="33"/>
      <c r="G2416" t="str">
        <f ca="1">Team_Matches!$J$6</f>
        <v>[NCTTA Teams Template (v3.4).xlsx]</v>
      </c>
      <c r="J2416" s="55"/>
    </row>
    <row r="2417" spans="1:10" ht="12.75" customHeight="1" x14ac:dyDescent="0.3">
      <c r="A2417" s="33"/>
      <c r="G2417" s="229" t="str">
        <f>Team_Matches!$J1792</f>
        <v>Round 6, Match 6</v>
      </c>
      <c r="H2417" s="229"/>
      <c r="I2417" s="127" t="str">
        <f>Team_Matches!$M1792</f>
        <v/>
      </c>
      <c r="J2417" s="127"/>
    </row>
    <row r="2418" spans="1:10" ht="15.6" x14ac:dyDescent="0.3">
      <c r="A2418" s="33"/>
    </row>
    <row r="2419" spans="1:10" x14ac:dyDescent="0.25">
      <c r="C2419" s="7" t="s">
        <v>160</v>
      </c>
      <c r="D2419" s="39" t="str">
        <f>Team_Matches!$B1794</f>
        <v>B</v>
      </c>
      <c r="F2419" s="83" t="str">
        <f>CONCATENATE($D2419,"-",$I2419)</f>
        <v>B-L</v>
      </c>
      <c r="H2419" s="7" t="s">
        <v>160</v>
      </c>
      <c r="I2419" s="39" t="str">
        <f>Team_Matches!$K1794</f>
        <v>L</v>
      </c>
    </row>
    <row r="2420" spans="1:10" ht="25.5" customHeight="1" x14ac:dyDescent="0.25">
      <c r="A2420" s="34"/>
      <c r="B2420" s="223" t="str">
        <f>IF(VLOOKUP($D2419,Draw!$A$4:$B$27,2)&lt;&gt;0,VLOOKUP($D2419,Draw!$A$4:$B$27,2),"")</f>
        <v/>
      </c>
      <c r="C2420" s="223"/>
      <c r="D2420" s="223"/>
      <c r="E2420" s="224"/>
      <c r="F2420" s="35"/>
      <c r="G2420" s="220" t="str">
        <f>IF(VLOOKUP($I2419,Draw!$A$4:$B$27,2)&lt;&gt;0,VLOOKUP($I2419,Draw!$A$4:$B$27,2),"")</f>
        <v/>
      </c>
      <c r="H2420" s="220"/>
      <c r="I2420" s="220"/>
      <c r="J2420" s="221"/>
    </row>
    <row r="2421" spans="1:10" ht="25.5" customHeight="1" x14ac:dyDescent="0.25"/>
    <row r="2422" spans="1:10" ht="25.5" customHeight="1" x14ac:dyDescent="0.25"/>
    <row r="2423" spans="1:10" ht="24" customHeight="1" x14ac:dyDescent="0.25">
      <c r="A2423" s="9" t="s">
        <v>178</v>
      </c>
    </row>
    <row r="2424" spans="1:10" ht="24" customHeight="1" x14ac:dyDescent="0.25">
      <c r="A2424" s="9"/>
    </row>
    <row r="2425" spans="1:10" x14ac:dyDescent="0.25">
      <c r="A2425" s="9" t="s">
        <v>156</v>
      </c>
      <c r="G2425" s="226" t="s">
        <v>873</v>
      </c>
      <c r="H2425" s="226"/>
      <c r="I2425" s="226"/>
      <c r="J2425" s="226"/>
    </row>
    <row r="2426" spans="1:10" ht="24" customHeight="1" x14ac:dyDescent="0.4">
      <c r="A2426" s="37" t="str">
        <f>CONCATENATE($I2419,"1")</f>
        <v>L1</v>
      </c>
      <c r="B2426" s="222" t="str">
        <f>IF(VLOOKUP($A2426,Players!$A$2:$C$132,3)&lt;&gt;0,VLOOKUP($A2426,Players!$A$2:$C$132,3),"")</f>
        <v/>
      </c>
      <c r="C2426" s="222"/>
      <c r="D2426" s="222"/>
      <c r="E2426" s="222"/>
      <c r="F2426" s="222"/>
      <c r="G2426" s="225" t="str">
        <f>IF(VLOOKUP($D2419&amp;RIGHT($A2426,1),Players!$A$2:$D$132,3)&lt;&gt;0,VLOOKUP($D2419&amp;RIGHT($A2426,1),Players!$A$2:$D$132,3),"")</f>
        <v/>
      </c>
      <c r="H2426" s="225"/>
      <c r="I2426" s="225"/>
      <c r="J2426" s="168" t="str">
        <f>IF(VLOOKUP($D2419&amp;RIGHT($A2426,1),Players!$A$2:$D$132,3)&lt;&gt;0,"("&amp;VLOOKUP($D2419&amp;RIGHT($A2426,1),Players!$A$2:$D$132,4)&amp;")","")</f>
        <v/>
      </c>
    </row>
    <row r="2427" spans="1:10" ht="25.5" customHeight="1" x14ac:dyDescent="0.4">
      <c r="A2427" s="37" t="str">
        <f>CONCATENATE($I2419,"2")</f>
        <v>L2</v>
      </c>
      <c r="B2427" s="222" t="str">
        <f>IF(VLOOKUP($A2427,Players!$A$2:$C$132,3)&lt;&gt;0,VLOOKUP($A2427,Players!$A$2:$C$132,3),"")</f>
        <v/>
      </c>
      <c r="C2427" s="222"/>
      <c r="D2427" s="222"/>
      <c r="E2427" s="222"/>
      <c r="F2427" s="222"/>
      <c r="G2427" s="225" t="str">
        <f>IF(VLOOKUP($D2419&amp;RIGHT($A2427,1),Players!$A$2:$D$132,3)&lt;&gt;0,VLOOKUP($D2419&amp;RIGHT($A2427,1),Players!$A$2:$D$132,3),"")</f>
        <v/>
      </c>
      <c r="H2427" s="225"/>
      <c r="I2427" s="225"/>
      <c r="J2427" s="168" t="str">
        <f>IF(VLOOKUP($D2419&amp;RIGHT($A2427,1),Players!$A$2:$D$132,3)&lt;&gt;0,"("&amp;VLOOKUP($D2419&amp;RIGHT($A2427,1),Players!$A$2:$D$132,4)&amp;")","")</f>
        <v/>
      </c>
    </row>
    <row r="2428" spans="1:10" ht="25.5" customHeight="1" x14ac:dyDescent="0.4">
      <c r="A2428" s="37" t="str">
        <f>CONCATENATE($I2419,"3")</f>
        <v>L3</v>
      </c>
      <c r="B2428" s="222" t="str">
        <f>IF(VLOOKUP($A2428,Players!$A$2:$C$132,3)&lt;&gt;0,VLOOKUP($A2428,Players!$A$2:$C$132,3),"")</f>
        <v/>
      </c>
      <c r="C2428" s="222"/>
      <c r="D2428" s="222"/>
      <c r="E2428" s="222"/>
      <c r="F2428" s="222"/>
      <c r="G2428" s="225" t="str">
        <f>IF(VLOOKUP($D2419&amp;RIGHT($A2428,1),Players!$A$2:$D$132,3)&lt;&gt;0,VLOOKUP($D2419&amp;RIGHT($A2428,1),Players!$A$2:$D$132,3),"")</f>
        <v/>
      </c>
      <c r="H2428" s="225"/>
      <c r="I2428" s="225"/>
      <c r="J2428" s="168" t="str">
        <f>IF(VLOOKUP($D2419&amp;RIGHT($A2428,1),Players!$A$2:$D$132,3)&lt;&gt;0,"("&amp;VLOOKUP($D2419&amp;RIGHT($A2428,1),Players!$A$2:$D$132,4)&amp;")","")</f>
        <v/>
      </c>
    </row>
    <row r="2429" spans="1:10" ht="25.5" customHeight="1" x14ac:dyDescent="0.4">
      <c r="A2429" s="37" t="str">
        <f>CONCATENATE($I2419,"4")</f>
        <v>L4</v>
      </c>
      <c r="B2429" s="222" t="str">
        <f>IF(VLOOKUP($A2429,Players!$A$2:$C$132,3)&lt;&gt;0,VLOOKUP($A2429,Players!$A$2:$C$132,3),"")</f>
        <v/>
      </c>
      <c r="C2429" s="222"/>
      <c r="D2429" s="222"/>
      <c r="E2429" s="222"/>
      <c r="F2429" s="222"/>
      <c r="G2429" s="225" t="str">
        <f>IF(VLOOKUP($D2419&amp;RIGHT($A2429,1),Players!$A$2:$D$132,3)&lt;&gt;0,VLOOKUP($D2419&amp;RIGHT($A2429,1),Players!$A$2:$D$132,3),"")</f>
        <v/>
      </c>
      <c r="H2429" s="225"/>
      <c r="I2429" s="225"/>
      <c r="J2429" s="168" t="str">
        <f>IF(VLOOKUP($D2419&amp;RIGHT($A2429,1),Players!$A$2:$D$132,3)&lt;&gt;0,"("&amp;VLOOKUP($D2419&amp;RIGHT($A2429,1),Players!$A$2:$D$132,4)&amp;")","")</f>
        <v/>
      </c>
    </row>
    <row r="2430" spans="1:10" ht="25.5" customHeight="1" x14ac:dyDescent="0.4">
      <c r="A2430" s="37" t="str">
        <f>CONCATENATE($I2419,"5")</f>
        <v>L5</v>
      </c>
      <c r="B2430" s="222" t="str">
        <f>IF(VLOOKUP($A2430,Players!$A$2:$C$132,3)&lt;&gt;0,VLOOKUP($A2430,Players!$A$2:$C$132,3),"")</f>
        <v/>
      </c>
      <c r="C2430" s="222"/>
      <c r="D2430" s="222"/>
      <c r="E2430" s="222"/>
      <c r="F2430" s="222"/>
      <c r="G2430" s="225" t="str">
        <f>IF(VLOOKUP($D2419&amp;RIGHT($A2430,1),Players!$A$2:$D$132,3)&lt;&gt;0,VLOOKUP($D2419&amp;RIGHT($A2430,1),Players!$A$2:$D$132,3),"")</f>
        <v/>
      </c>
      <c r="H2430" s="225"/>
      <c r="I2430" s="225"/>
      <c r="J2430" s="168" t="str">
        <f>IF(VLOOKUP($D2419&amp;RIGHT($A2430,1),Players!$A$2:$D$132,3)&lt;&gt;0,"("&amp;VLOOKUP($D2419&amp;RIGHT($A2430,1),Players!$A$2:$D$132,4)&amp;")","")</f>
        <v/>
      </c>
    </row>
    <row r="2431" spans="1:10" ht="25.5" customHeight="1" x14ac:dyDescent="0.4">
      <c r="A2431" s="37" t="str">
        <f>CONCATENATE($I2419,"6")</f>
        <v>L6</v>
      </c>
      <c r="B2431" s="222" t="str">
        <f>IF(VLOOKUP($A2431,Players!$A$2:$C$132,3)&lt;&gt;0,VLOOKUP($A2431,Players!$A$2:$C$132,3),"")</f>
        <v/>
      </c>
      <c r="C2431" s="222"/>
      <c r="D2431" s="222"/>
      <c r="E2431" s="222"/>
      <c r="F2431" s="222"/>
      <c r="G2431" s="225" t="str">
        <f>IF(VLOOKUP($D2419&amp;RIGHT($A2431,1),Players!$A$2:$D$132,3)&lt;&gt;0,VLOOKUP($D2419&amp;RIGHT($A2431,1),Players!$A$2:$D$132,3),"")</f>
        <v/>
      </c>
      <c r="H2431" s="225"/>
      <c r="I2431" s="225"/>
      <c r="J2431" s="168" t="str">
        <f>IF(VLOOKUP($D2419&amp;RIGHT($A2431,1),Players!$A$2:$D$132,3)&lt;&gt;0,"("&amp;VLOOKUP($D2419&amp;RIGHT($A2431,1),Players!$A$2:$D$132,4)&amp;")","")</f>
        <v/>
      </c>
    </row>
    <row r="2432" spans="1:10" ht="25.5" customHeight="1" x14ac:dyDescent="0.4">
      <c r="A2432" s="37" t="str">
        <f>CONCATENATE($I2419,"7")</f>
        <v>L7</v>
      </c>
      <c r="B2432" s="222" t="str">
        <f>IF(VLOOKUP($A2432,Players!$A$2:$C$132,3)&lt;&gt;0,VLOOKUP($A2432,Players!$A$2:$C$132,3),"")</f>
        <v/>
      </c>
      <c r="C2432" s="222"/>
      <c r="D2432" s="222"/>
      <c r="E2432" s="222"/>
      <c r="F2432" s="222"/>
      <c r="G2432" s="225" t="str">
        <f>IF(VLOOKUP($D2419&amp;RIGHT($A2432,1),Players!$A$2:$D$132,3)&lt;&gt;0,VLOOKUP($D2419&amp;RIGHT($A2432,1),Players!$A$2:$D$132,3),"")</f>
        <v/>
      </c>
      <c r="H2432" s="225"/>
      <c r="I2432" s="225"/>
      <c r="J2432" s="168" t="str">
        <f>IF(VLOOKUP($D2419&amp;RIGHT($A2432,1),Players!$A$2:$D$132,3)&lt;&gt;0,"("&amp;VLOOKUP($D2419&amp;RIGHT($A2432,1),Players!$A$2:$D$132,4)&amp;")","")</f>
        <v/>
      </c>
    </row>
    <row r="2433" spans="1:10" ht="25.5" customHeight="1" x14ac:dyDescent="0.4">
      <c r="A2433" s="37" t="str">
        <f>CONCATENATE($I2419,"8")</f>
        <v>L8</v>
      </c>
      <c r="B2433" s="222" t="str">
        <f>IF(VLOOKUP($A2433,Players!$A$2:$C$132,3)&lt;&gt;0,VLOOKUP($A2433,Players!$A$2:$C$132,3),"")</f>
        <v/>
      </c>
      <c r="C2433" s="222"/>
      <c r="D2433" s="222"/>
      <c r="E2433" s="222"/>
      <c r="F2433" s="222"/>
      <c r="G2433" s="225" t="str">
        <f>IF(VLOOKUP($D2419&amp;RIGHT($A2433,1),Players!$A$2:$D$132,3)&lt;&gt;0,VLOOKUP($D2419&amp;RIGHT($A2433,1),Players!$A$2:$D$132,3),"")</f>
        <v/>
      </c>
      <c r="H2433" s="225"/>
      <c r="I2433" s="225"/>
      <c r="J2433" s="168" t="str">
        <f>IF(VLOOKUP($D2419&amp;RIGHT($A2433,1),Players!$A$2:$D$132,3)&lt;&gt;0,"("&amp;VLOOKUP($D2419&amp;RIGHT($A2433,1),Players!$A$2:$D$132,4)&amp;")","")</f>
        <v/>
      </c>
    </row>
    <row r="2434" spans="1:10" ht="25.5" customHeight="1" x14ac:dyDescent="0.25">
      <c r="A2434" s="37"/>
      <c r="B2434" s="7"/>
      <c r="C2434" s="7"/>
      <c r="D2434" s="7"/>
      <c r="E2434" s="7"/>
    </row>
    <row r="2435" spans="1:10" x14ac:dyDescent="0.25">
      <c r="A2435" s="9" t="s">
        <v>157</v>
      </c>
    </row>
    <row r="2436" spans="1:10" x14ac:dyDescent="0.25">
      <c r="A2436" t="s">
        <v>179</v>
      </c>
    </row>
    <row r="2437" spans="1:10" x14ac:dyDescent="0.25">
      <c r="A2437" s="55" t="s">
        <v>918</v>
      </c>
    </row>
    <row r="2438" spans="1:10" x14ac:dyDescent="0.25">
      <c r="A2438" t="s">
        <v>919</v>
      </c>
    </row>
    <row r="2439" spans="1:10" ht="25.5" customHeight="1" thickBot="1" x14ac:dyDescent="0.3">
      <c r="A2439" s="37"/>
    </row>
    <row r="2440" spans="1:10" x14ac:dyDescent="0.25">
      <c r="B2440" s="213"/>
      <c r="C2440" s="214"/>
      <c r="D2440" s="214"/>
      <c r="E2440" s="214"/>
      <c r="F2440" s="215"/>
    </row>
    <row r="2441" spans="1:10" ht="13.8" thickBot="1" x14ac:dyDescent="0.3">
      <c r="B2441" s="216"/>
      <c r="C2441" s="217"/>
      <c r="D2441" s="217"/>
      <c r="E2441" s="217"/>
      <c r="F2441" s="218"/>
    </row>
    <row r="2445" spans="1:10" ht="25.5" customHeight="1" x14ac:dyDescent="0.25">
      <c r="A2445" s="36"/>
      <c r="B2445" s="36"/>
      <c r="C2445" s="36"/>
      <c r="D2445" s="36"/>
      <c r="E2445" s="36"/>
      <c r="G2445" s="38"/>
      <c r="H2445" s="227" t="s">
        <v>159</v>
      </c>
      <c r="I2445" s="228"/>
    </row>
    <row r="2446" spans="1:10" x14ac:dyDescent="0.25">
      <c r="A2446" t="s">
        <v>158</v>
      </c>
    </row>
    <row r="2448" spans="1:10" x14ac:dyDescent="0.25">
      <c r="E2448" s="219" t="str">
        <f>CONCATENATE("(",$D2419," vs ",$I2419,")")</f>
        <v>(B vs L)</v>
      </c>
      <c r="F2448" s="219"/>
    </row>
    <row r="2449" spans="1:10" ht="15.6" x14ac:dyDescent="0.3">
      <c r="A2449" s="33" t="s">
        <v>155</v>
      </c>
      <c r="J2449" s="82" t="s">
        <v>543</v>
      </c>
    </row>
    <row r="2450" spans="1:10" ht="12.75" customHeight="1" x14ac:dyDescent="0.3">
      <c r="A2450" s="33"/>
      <c r="G2450" t="str">
        <f ca="1">Team_Matches!$J$6</f>
        <v>[NCTTA Teams Template (v3.4).xlsx]</v>
      </c>
      <c r="J2450" s="55"/>
    </row>
    <row r="2451" spans="1:10" ht="12.75" customHeight="1" x14ac:dyDescent="0.3">
      <c r="A2451" s="33"/>
      <c r="G2451" s="229" t="str">
        <f>Team_Matches!$J1843</f>
        <v>Round 7, Match 1</v>
      </c>
      <c r="H2451" s="229"/>
      <c r="I2451" s="127" t="str">
        <f>Team_Matches!$M1843</f>
        <v/>
      </c>
      <c r="J2451" s="127"/>
    </row>
    <row r="2452" spans="1:10" ht="15.6" x14ac:dyDescent="0.3">
      <c r="A2452" s="33"/>
    </row>
    <row r="2453" spans="1:10" x14ac:dyDescent="0.25">
      <c r="C2453" s="7" t="s">
        <v>160</v>
      </c>
      <c r="D2453" s="39" t="str">
        <f>Team_Matches!$B1845</f>
        <v>A</v>
      </c>
      <c r="F2453" s="83" t="str">
        <f>CONCATENATE($D2453,"-",$I2453)</f>
        <v>A-F</v>
      </c>
      <c r="H2453" s="7" t="s">
        <v>160</v>
      </c>
      <c r="I2453" s="39" t="str">
        <f>Team_Matches!$K1845</f>
        <v>F</v>
      </c>
    </row>
    <row r="2454" spans="1:10" ht="25.5" customHeight="1" x14ac:dyDescent="0.25">
      <c r="A2454" s="34"/>
      <c r="B2454" s="220" t="str">
        <f>IF(VLOOKUP($D2453,Draw!$A$4:$B$27,2)&lt;&gt;0,VLOOKUP($D2453,Draw!$A$4:$B$27,2),"")</f>
        <v/>
      </c>
      <c r="C2454" s="220"/>
      <c r="D2454" s="220"/>
      <c r="E2454" s="221"/>
      <c r="F2454" s="35"/>
      <c r="G2454" s="223" t="str">
        <f>IF(VLOOKUP($I2453,Draw!$A$4:$B$27,2)&lt;&gt;0,VLOOKUP($I2453,Draw!$A$4:$B$27,2),"")</f>
        <v/>
      </c>
      <c r="H2454" s="223"/>
      <c r="I2454" s="223"/>
      <c r="J2454" s="224"/>
    </row>
    <row r="2455" spans="1:10" ht="25.5" customHeight="1" x14ac:dyDescent="0.25"/>
    <row r="2456" spans="1:10" ht="25.5" customHeight="1" x14ac:dyDescent="0.25"/>
    <row r="2457" spans="1:10" ht="24" customHeight="1" x14ac:dyDescent="0.25">
      <c r="A2457" s="9" t="s">
        <v>178</v>
      </c>
    </row>
    <row r="2458" spans="1:10" ht="24" customHeight="1" x14ac:dyDescent="0.25">
      <c r="A2458" s="9"/>
    </row>
    <row r="2459" spans="1:10" x14ac:dyDescent="0.25">
      <c r="A2459" s="9" t="s">
        <v>156</v>
      </c>
      <c r="G2459" s="226" t="s">
        <v>873</v>
      </c>
      <c r="H2459" s="226"/>
      <c r="I2459" s="226"/>
      <c r="J2459" s="226"/>
    </row>
    <row r="2460" spans="1:10" ht="24" customHeight="1" x14ac:dyDescent="0.4">
      <c r="A2460" s="37" t="str">
        <f>CONCATENATE($D2453,"1")</f>
        <v>A1</v>
      </c>
      <c r="B2460" s="222" t="str">
        <f>IF(VLOOKUP($A2460,Players!$A$2:$C$132,3)&lt;&gt;0,VLOOKUP($A2460,Players!$A$2:$C$132,3),"")</f>
        <v/>
      </c>
      <c r="C2460" s="222"/>
      <c r="D2460" s="222"/>
      <c r="E2460" s="222"/>
      <c r="F2460" s="222"/>
      <c r="G2460" s="225" t="str">
        <f>IF(VLOOKUP($I2453&amp;RIGHT($A2460,1),Players!$A$2:$D$132,3)&lt;&gt;0,VLOOKUP($I2453&amp;RIGHT($A2460,1),Players!$A$2:$D$132,3),"")</f>
        <v/>
      </c>
      <c r="H2460" s="225"/>
      <c r="I2460" s="225"/>
      <c r="J2460" s="168" t="str">
        <f>IF(VLOOKUP($I2453&amp;RIGHT($A2460,1),Players!$A$2:$D$132,3)&lt;&gt;0,"("&amp;VLOOKUP($I2453&amp;RIGHT($A2460,1),Players!$A$2:$D$132,4)&amp;")","")</f>
        <v/>
      </c>
    </row>
    <row r="2461" spans="1:10" ht="25.5" customHeight="1" x14ac:dyDescent="0.4">
      <c r="A2461" s="37" t="str">
        <f>CONCATENATE($D2453,"2")</f>
        <v>A2</v>
      </c>
      <c r="B2461" s="222" t="str">
        <f>IF(VLOOKUP($A2461,Players!$A$2:$C$132,3)&lt;&gt;0,VLOOKUP($A2461,Players!$A$2:$C$132,3),"")</f>
        <v/>
      </c>
      <c r="C2461" s="222"/>
      <c r="D2461" s="222"/>
      <c r="E2461" s="222"/>
      <c r="F2461" s="222"/>
      <c r="G2461" s="225" t="str">
        <f>IF(VLOOKUP($I2453&amp;RIGHT($A2461,1),Players!$A$2:$D$132,3)&lt;&gt;0,VLOOKUP($I2453&amp;RIGHT($A2461,1),Players!$A$2:$D$132,3),"")</f>
        <v/>
      </c>
      <c r="H2461" s="225"/>
      <c r="I2461" s="225"/>
      <c r="J2461" s="168" t="str">
        <f>IF(VLOOKUP($I2453&amp;RIGHT($A2461,1),Players!$A$2:$D$132,3)&lt;&gt;0,"("&amp;VLOOKUP($I2453&amp;RIGHT($A2461,1),Players!$A$2:$D$132,4)&amp;")","")</f>
        <v/>
      </c>
    </row>
    <row r="2462" spans="1:10" ht="25.5" customHeight="1" x14ac:dyDescent="0.4">
      <c r="A2462" s="37" t="str">
        <f>CONCATENATE($D2453,"3")</f>
        <v>A3</v>
      </c>
      <c r="B2462" s="222" t="str">
        <f>IF(VLOOKUP($A2462,Players!$A$2:$C$132,3)&lt;&gt;0,VLOOKUP($A2462,Players!$A$2:$C$132,3),"")</f>
        <v/>
      </c>
      <c r="C2462" s="222"/>
      <c r="D2462" s="222"/>
      <c r="E2462" s="222"/>
      <c r="F2462" s="222"/>
      <c r="G2462" s="225" t="str">
        <f>IF(VLOOKUP($I2453&amp;RIGHT($A2462,1),Players!$A$2:$D$132,3)&lt;&gt;0,VLOOKUP($I2453&amp;RIGHT($A2462,1),Players!$A$2:$D$132,3),"")</f>
        <v/>
      </c>
      <c r="H2462" s="225"/>
      <c r="I2462" s="225"/>
      <c r="J2462" s="168" t="str">
        <f>IF(VLOOKUP($I2453&amp;RIGHT($A2462,1),Players!$A$2:$D$132,3)&lt;&gt;0,"("&amp;VLOOKUP($I2453&amp;RIGHT($A2462,1),Players!$A$2:$D$132,4)&amp;")","")</f>
        <v/>
      </c>
    </row>
    <row r="2463" spans="1:10" ht="25.5" customHeight="1" x14ac:dyDescent="0.4">
      <c r="A2463" s="37" t="str">
        <f>CONCATENATE($D2453,"4")</f>
        <v>A4</v>
      </c>
      <c r="B2463" s="222" t="str">
        <f>IF(VLOOKUP($A2463,Players!$A$2:$C$132,3)&lt;&gt;0,VLOOKUP($A2463,Players!$A$2:$C$132,3),"")</f>
        <v/>
      </c>
      <c r="C2463" s="222"/>
      <c r="D2463" s="222"/>
      <c r="E2463" s="222"/>
      <c r="F2463" s="222"/>
      <c r="G2463" s="225" t="str">
        <f>IF(VLOOKUP($I2453&amp;RIGHT($A2463,1),Players!$A$2:$D$132,3)&lt;&gt;0,VLOOKUP($I2453&amp;RIGHT($A2463,1),Players!$A$2:$D$132,3),"")</f>
        <v/>
      </c>
      <c r="H2463" s="225"/>
      <c r="I2463" s="225"/>
      <c r="J2463" s="168" t="str">
        <f>IF(VLOOKUP($I2453&amp;RIGHT($A2463,1),Players!$A$2:$D$132,3)&lt;&gt;0,"("&amp;VLOOKUP($I2453&amp;RIGHT($A2463,1),Players!$A$2:$D$132,4)&amp;")","")</f>
        <v/>
      </c>
    </row>
    <row r="2464" spans="1:10" ht="25.5" customHeight="1" x14ac:dyDescent="0.4">
      <c r="A2464" s="37" t="str">
        <f>CONCATENATE($D2453,"5")</f>
        <v>A5</v>
      </c>
      <c r="B2464" s="222" t="str">
        <f>IF(VLOOKUP($A2464,Players!$A$2:$C$132,3)&lt;&gt;0,VLOOKUP($A2464,Players!$A$2:$C$132,3),"")</f>
        <v/>
      </c>
      <c r="C2464" s="222"/>
      <c r="D2464" s="222"/>
      <c r="E2464" s="222"/>
      <c r="F2464" s="222"/>
      <c r="G2464" s="225" t="str">
        <f>IF(VLOOKUP($I2453&amp;RIGHT($A2464,1),Players!$A$2:$D$132,3)&lt;&gt;0,VLOOKUP($I2453&amp;RIGHT($A2464,1),Players!$A$2:$D$132,3),"")</f>
        <v/>
      </c>
      <c r="H2464" s="225"/>
      <c r="I2464" s="225"/>
      <c r="J2464" s="168" t="str">
        <f>IF(VLOOKUP($I2453&amp;RIGHT($A2464,1),Players!$A$2:$D$132,3)&lt;&gt;0,"("&amp;VLOOKUP($I2453&amp;RIGHT($A2464,1),Players!$A$2:$D$132,4)&amp;")","")</f>
        <v/>
      </c>
    </row>
    <row r="2465" spans="1:10" ht="25.5" customHeight="1" x14ac:dyDescent="0.4">
      <c r="A2465" s="37" t="str">
        <f>CONCATENATE($D2453,"6")</f>
        <v>A6</v>
      </c>
      <c r="B2465" s="222" t="str">
        <f>IF(VLOOKUP($A2465,Players!$A$2:$C$132,3)&lt;&gt;0,VLOOKUP($A2465,Players!$A$2:$C$132,3),"")</f>
        <v/>
      </c>
      <c r="C2465" s="222"/>
      <c r="D2465" s="222"/>
      <c r="E2465" s="222"/>
      <c r="F2465" s="222"/>
      <c r="G2465" s="225" t="str">
        <f>IF(VLOOKUP($I2453&amp;RIGHT($A2465,1),Players!$A$2:$D$132,3)&lt;&gt;0,VLOOKUP($I2453&amp;RIGHT($A2465,1),Players!$A$2:$D$132,3),"")</f>
        <v/>
      </c>
      <c r="H2465" s="225"/>
      <c r="I2465" s="225"/>
      <c r="J2465" s="168" t="str">
        <f>IF(VLOOKUP($I2453&amp;RIGHT($A2465,1),Players!$A$2:$D$132,3)&lt;&gt;0,"("&amp;VLOOKUP($I2453&amp;RIGHT($A2465,1),Players!$A$2:$D$132,4)&amp;")","")</f>
        <v/>
      </c>
    </row>
    <row r="2466" spans="1:10" ht="25.5" customHeight="1" x14ac:dyDescent="0.4">
      <c r="A2466" s="37" t="str">
        <f>CONCATENATE($D2453,"7")</f>
        <v>A7</v>
      </c>
      <c r="B2466" s="222" t="str">
        <f>IF(VLOOKUP($A2466,Players!$A$2:$C$132,3)&lt;&gt;0,VLOOKUP($A2466,Players!$A$2:$C$132,3),"")</f>
        <v/>
      </c>
      <c r="C2466" s="222"/>
      <c r="D2466" s="222"/>
      <c r="E2466" s="222"/>
      <c r="F2466" s="222"/>
      <c r="G2466" s="225" t="str">
        <f>IF(VLOOKUP($I2453&amp;RIGHT($A2466,1),Players!$A$2:$D$132,3)&lt;&gt;0,VLOOKUP($I2453&amp;RIGHT($A2466,1),Players!$A$2:$D$132,3),"")</f>
        <v/>
      </c>
      <c r="H2466" s="225"/>
      <c r="I2466" s="225"/>
      <c r="J2466" s="168" t="str">
        <f>IF(VLOOKUP($I2453&amp;RIGHT($A2466,1),Players!$A$2:$D$132,3)&lt;&gt;0,"("&amp;VLOOKUP($I2453&amp;RIGHT($A2466,1),Players!$A$2:$D$132,4)&amp;")","")</f>
        <v/>
      </c>
    </row>
    <row r="2467" spans="1:10" ht="25.5" customHeight="1" x14ac:dyDescent="0.4">
      <c r="A2467" s="37" t="str">
        <f>CONCATENATE($D2453,"8")</f>
        <v>A8</v>
      </c>
      <c r="B2467" s="222" t="str">
        <f>IF(VLOOKUP($A2467,Players!$A$2:$C$132,3)&lt;&gt;0,VLOOKUP($A2467,Players!$A$2:$C$132,3),"")</f>
        <v/>
      </c>
      <c r="C2467" s="222"/>
      <c r="D2467" s="222"/>
      <c r="E2467" s="222"/>
      <c r="F2467" s="222"/>
      <c r="G2467" s="225" t="str">
        <f>IF(VLOOKUP($I2453&amp;RIGHT($A2467,1),Players!$A$2:$D$132,3)&lt;&gt;0,VLOOKUP($I2453&amp;RIGHT($A2467,1),Players!$A$2:$D$132,3),"")</f>
        <v/>
      </c>
      <c r="H2467" s="225"/>
      <c r="I2467" s="225"/>
      <c r="J2467" s="168" t="str">
        <f>IF(VLOOKUP($I2453&amp;RIGHT($A2467,1),Players!$A$2:$D$132,3)&lt;&gt;0,"("&amp;VLOOKUP($I2453&amp;RIGHT($A2467,1),Players!$A$2:$D$132,4)&amp;")","")</f>
        <v/>
      </c>
    </row>
    <row r="2468" spans="1:10" ht="25.5" customHeight="1" x14ac:dyDescent="0.25">
      <c r="A2468" s="37"/>
      <c r="B2468" s="7"/>
      <c r="C2468" s="7"/>
      <c r="D2468" s="7"/>
      <c r="E2468" s="7"/>
    </row>
    <row r="2469" spans="1:10" x14ac:dyDescent="0.25">
      <c r="A2469" s="9" t="s">
        <v>157</v>
      </c>
    </row>
    <row r="2470" spans="1:10" x14ac:dyDescent="0.25">
      <c r="A2470" t="s">
        <v>179</v>
      </c>
    </row>
    <row r="2471" spans="1:10" x14ac:dyDescent="0.25">
      <c r="A2471" s="55" t="s">
        <v>918</v>
      </c>
    </row>
    <row r="2472" spans="1:10" x14ac:dyDescent="0.25">
      <c r="A2472" t="s">
        <v>919</v>
      </c>
    </row>
    <row r="2473" spans="1:10" ht="25.5" customHeight="1" thickBot="1" x14ac:dyDescent="0.3">
      <c r="A2473" s="37"/>
    </row>
    <row r="2474" spans="1:10" x14ac:dyDescent="0.25">
      <c r="B2474" s="213"/>
      <c r="C2474" s="214"/>
      <c r="D2474" s="214"/>
      <c r="E2474" s="214"/>
      <c r="F2474" s="215"/>
    </row>
    <row r="2475" spans="1:10" ht="13.8" thickBot="1" x14ac:dyDescent="0.3">
      <c r="B2475" s="216"/>
      <c r="C2475" s="217"/>
      <c r="D2475" s="217"/>
      <c r="E2475" s="217"/>
      <c r="F2475" s="218"/>
    </row>
    <row r="2479" spans="1:10" ht="25.5" customHeight="1" x14ac:dyDescent="0.25">
      <c r="A2479" s="36"/>
      <c r="B2479" s="36"/>
      <c r="C2479" s="36"/>
      <c r="D2479" s="36"/>
      <c r="E2479" s="36"/>
      <c r="G2479" s="38"/>
      <c r="H2479" s="227" t="s">
        <v>159</v>
      </c>
      <c r="I2479" s="228"/>
    </row>
    <row r="2480" spans="1:10" x14ac:dyDescent="0.25">
      <c r="A2480" t="s">
        <v>158</v>
      </c>
    </row>
    <row r="2482" spans="1:10" x14ac:dyDescent="0.25">
      <c r="E2482" s="219" t="str">
        <f>CONCATENATE("(",$D2453," vs ",$I2453,")")</f>
        <v>(A vs F)</v>
      </c>
      <c r="F2482" s="219"/>
    </row>
    <row r="2483" spans="1:10" ht="15.6" x14ac:dyDescent="0.3">
      <c r="A2483" s="33" t="s">
        <v>155</v>
      </c>
      <c r="J2483" s="82" t="s">
        <v>544</v>
      </c>
    </row>
    <row r="2484" spans="1:10" ht="12.75" customHeight="1" x14ac:dyDescent="0.3">
      <c r="A2484" s="33"/>
      <c r="G2484" t="str">
        <f ca="1">Team_Matches!$J$6</f>
        <v>[NCTTA Teams Template (v3.4).xlsx]</v>
      </c>
      <c r="J2484" s="55"/>
    </row>
    <row r="2485" spans="1:10" ht="12.75" customHeight="1" x14ac:dyDescent="0.3">
      <c r="A2485" s="33"/>
      <c r="G2485" s="229" t="str">
        <f>Team_Matches!$J1843</f>
        <v>Round 7, Match 1</v>
      </c>
      <c r="H2485" s="229"/>
      <c r="I2485" s="127" t="str">
        <f>Team_Matches!$M1843</f>
        <v/>
      </c>
      <c r="J2485" s="127"/>
    </row>
    <row r="2486" spans="1:10" ht="15.6" x14ac:dyDescent="0.3">
      <c r="A2486" s="33"/>
    </row>
    <row r="2487" spans="1:10" x14ac:dyDescent="0.25">
      <c r="C2487" s="7" t="s">
        <v>160</v>
      </c>
      <c r="D2487" s="39" t="str">
        <f>Team_Matches!$B1845</f>
        <v>A</v>
      </c>
      <c r="F2487" s="83" t="str">
        <f>CONCATENATE($D2487,"-",$I2487)</f>
        <v>A-F</v>
      </c>
      <c r="H2487" s="7" t="s">
        <v>160</v>
      </c>
      <c r="I2487" s="39" t="str">
        <f>Team_Matches!$K1845</f>
        <v>F</v>
      </c>
    </row>
    <row r="2488" spans="1:10" ht="25.5" customHeight="1" x14ac:dyDescent="0.25">
      <c r="A2488" s="34"/>
      <c r="B2488" s="223" t="str">
        <f>IF(VLOOKUP($D2487,Draw!$A$4:$B$27,2)&lt;&gt;0,VLOOKUP($D2487,Draw!$A$4:$B$27,2),"")</f>
        <v/>
      </c>
      <c r="C2488" s="223"/>
      <c r="D2488" s="223"/>
      <c r="E2488" s="224"/>
      <c r="F2488" s="35"/>
      <c r="G2488" s="220" t="str">
        <f>IF(VLOOKUP($I2487,Draw!$A$4:$B$27,2)&lt;&gt;0,VLOOKUP($I2487,Draw!$A$4:$B$27,2),"")</f>
        <v/>
      </c>
      <c r="H2488" s="220"/>
      <c r="I2488" s="220"/>
      <c r="J2488" s="221"/>
    </row>
    <row r="2489" spans="1:10" ht="25.5" customHeight="1" x14ac:dyDescent="0.25"/>
    <row r="2490" spans="1:10" ht="25.5" customHeight="1" x14ac:dyDescent="0.25"/>
    <row r="2491" spans="1:10" ht="24" customHeight="1" x14ac:dyDescent="0.25">
      <c r="A2491" s="9" t="s">
        <v>178</v>
      </c>
    </row>
    <row r="2492" spans="1:10" ht="24" customHeight="1" x14ac:dyDescent="0.25">
      <c r="A2492" s="9"/>
    </row>
    <row r="2493" spans="1:10" x14ac:dyDescent="0.25">
      <c r="A2493" s="9" t="s">
        <v>156</v>
      </c>
      <c r="G2493" s="226" t="s">
        <v>873</v>
      </c>
      <c r="H2493" s="226"/>
      <c r="I2493" s="226"/>
      <c r="J2493" s="226"/>
    </row>
    <row r="2494" spans="1:10" ht="24" customHeight="1" x14ac:dyDescent="0.4">
      <c r="A2494" s="37" t="str">
        <f>CONCATENATE($I2487,"1")</f>
        <v>F1</v>
      </c>
      <c r="B2494" s="222" t="str">
        <f>IF(VLOOKUP($A2494,Players!$A$2:$C$132,3)&lt;&gt;0,VLOOKUP($A2494,Players!$A$2:$C$132,3),"")</f>
        <v/>
      </c>
      <c r="C2494" s="222"/>
      <c r="D2494" s="222"/>
      <c r="E2494" s="222"/>
      <c r="F2494" s="222"/>
      <c r="G2494" s="225" t="str">
        <f>IF(VLOOKUP($D2487&amp;RIGHT($A2494,1),Players!$A$2:$D$132,3)&lt;&gt;0,VLOOKUP($D2487&amp;RIGHT($A2494,1),Players!$A$2:$D$132,3),"")</f>
        <v/>
      </c>
      <c r="H2494" s="225"/>
      <c r="I2494" s="225"/>
      <c r="J2494" s="168" t="str">
        <f>IF(VLOOKUP($D2487&amp;RIGHT($A2494,1),Players!$A$2:$D$132,3)&lt;&gt;0,"("&amp;VLOOKUP($D2487&amp;RIGHT($A2494,1),Players!$A$2:$D$132,4)&amp;")","")</f>
        <v/>
      </c>
    </row>
    <row r="2495" spans="1:10" ht="25.5" customHeight="1" x14ac:dyDescent="0.4">
      <c r="A2495" s="37" t="str">
        <f>CONCATENATE($I2487,"2")</f>
        <v>F2</v>
      </c>
      <c r="B2495" s="222" t="str">
        <f>IF(VLOOKUP($A2495,Players!$A$2:$C$132,3)&lt;&gt;0,VLOOKUP($A2495,Players!$A$2:$C$132,3),"")</f>
        <v/>
      </c>
      <c r="C2495" s="222"/>
      <c r="D2495" s="222"/>
      <c r="E2495" s="222"/>
      <c r="F2495" s="222"/>
      <c r="G2495" s="225" t="str">
        <f>IF(VLOOKUP($D2487&amp;RIGHT($A2495,1),Players!$A$2:$D$132,3)&lt;&gt;0,VLOOKUP($D2487&amp;RIGHT($A2495,1),Players!$A$2:$D$132,3),"")</f>
        <v/>
      </c>
      <c r="H2495" s="225"/>
      <c r="I2495" s="225"/>
      <c r="J2495" s="168" t="str">
        <f>IF(VLOOKUP($D2487&amp;RIGHT($A2495,1),Players!$A$2:$D$132,3)&lt;&gt;0,"("&amp;VLOOKUP($D2487&amp;RIGHT($A2495,1),Players!$A$2:$D$132,4)&amp;")","")</f>
        <v/>
      </c>
    </row>
    <row r="2496" spans="1:10" ht="25.5" customHeight="1" x14ac:dyDescent="0.4">
      <c r="A2496" s="37" t="str">
        <f>CONCATENATE($I2487,"3")</f>
        <v>F3</v>
      </c>
      <c r="B2496" s="222" t="str">
        <f>IF(VLOOKUP($A2496,Players!$A$2:$C$132,3)&lt;&gt;0,VLOOKUP($A2496,Players!$A$2:$C$132,3),"")</f>
        <v/>
      </c>
      <c r="C2496" s="222"/>
      <c r="D2496" s="222"/>
      <c r="E2496" s="222"/>
      <c r="F2496" s="222"/>
      <c r="G2496" s="225" t="str">
        <f>IF(VLOOKUP($D2487&amp;RIGHT($A2496,1),Players!$A$2:$D$132,3)&lt;&gt;0,VLOOKUP($D2487&amp;RIGHT($A2496,1),Players!$A$2:$D$132,3),"")</f>
        <v/>
      </c>
      <c r="H2496" s="225"/>
      <c r="I2496" s="225"/>
      <c r="J2496" s="168" t="str">
        <f>IF(VLOOKUP($D2487&amp;RIGHT($A2496,1),Players!$A$2:$D$132,3)&lt;&gt;0,"("&amp;VLOOKUP($D2487&amp;RIGHT($A2496,1),Players!$A$2:$D$132,4)&amp;")","")</f>
        <v/>
      </c>
    </row>
    <row r="2497" spans="1:10" ht="25.5" customHeight="1" x14ac:dyDescent="0.4">
      <c r="A2497" s="37" t="str">
        <f>CONCATENATE($I2487,"4")</f>
        <v>F4</v>
      </c>
      <c r="B2497" s="222" t="str">
        <f>IF(VLOOKUP($A2497,Players!$A$2:$C$132,3)&lt;&gt;0,VLOOKUP($A2497,Players!$A$2:$C$132,3),"")</f>
        <v/>
      </c>
      <c r="C2497" s="222"/>
      <c r="D2497" s="222"/>
      <c r="E2497" s="222"/>
      <c r="F2497" s="222"/>
      <c r="G2497" s="225" t="str">
        <f>IF(VLOOKUP($D2487&amp;RIGHT($A2497,1),Players!$A$2:$D$132,3)&lt;&gt;0,VLOOKUP($D2487&amp;RIGHT($A2497,1),Players!$A$2:$D$132,3),"")</f>
        <v/>
      </c>
      <c r="H2497" s="225"/>
      <c r="I2497" s="225"/>
      <c r="J2497" s="168" t="str">
        <f>IF(VLOOKUP($D2487&amp;RIGHT($A2497,1),Players!$A$2:$D$132,3)&lt;&gt;0,"("&amp;VLOOKUP($D2487&amp;RIGHT($A2497,1),Players!$A$2:$D$132,4)&amp;")","")</f>
        <v/>
      </c>
    </row>
    <row r="2498" spans="1:10" ht="25.5" customHeight="1" x14ac:dyDescent="0.4">
      <c r="A2498" s="37" t="str">
        <f>CONCATENATE($I2487,"5")</f>
        <v>F5</v>
      </c>
      <c r="B2498" s="222" t="str">
        <f>IF(VLOOKUP($A2498,Players!$A$2:$C$132,3)&lt;&gt;0,VLOOKUP($A2498,Players!$A$2:$C$132,3),"")</f>
        <v/>
      </c>
      <c r="C2498" s="222"/>
      <c r="D2498" s="222"/>
      <c r="E2498" s="222"/>
      <c r="F2498" s="222"/>
      <c r="G2498" s="225" t="str">
        <f>IF(VLOOKUP($D2487&amp;RIGHT($A2498,1),Players!$A$2:$D$132,3)&lt;&gt;0,VLOOKUP($D2487&amp;RIGHT($A2498,1),Players!$A$2:$D$132,3),"")</f>
        <v/>
      </c>
      <c r="H2498" s="225"/>
      <c r="I2498" s="225"/>
      <c r="J2498" s="168" t="str">
        <f>IF(VLOOKUP($D2487&amp;RIGHT($A2498,1),Players!$A$2:$D$132,3)&lt;&gt;0,"("&amp;VLOOKUP($D2487&amp;RIGHT($A2498,1),Players!$A$2:$D$132,4)&amp;")","")</f>
        <v/>
      </c>
    </row>
    <row r="2499" spans="1:10" ht="25.5" customHeight="1" x14ac:dyDescent="0.4">
      <c r="A2499" s="37" t="str">
        <f>CONCATENATE($I2487,"6")</f>
        <v>F6</v>
      </c>
      <c r="B2499" s="222" t="str">
        <f>IF(VLOOKUP($A2499,Players!$A$2:$C$132,3)&lt;&gt;0,VLOOKUP($A2499,Players!$A$2:$C$132,3),"")</f>
        <v/>
      </c>
      <c r="C2499" s="222"/>
      <c r="D2499" s="222"/>
      <c r="E2499" s="222"/>
      <c r="F2499" s="222"/>
      <c r="G2499" s="225" t="str">
        <f>IF(VLOOKUP($D2487&amp;RIGHT($A2499,1),Players!$A$2:$D$132,3)&lt;&gt;0,VLOOKUP($D2487&amp;RIGHT($A2499,1),Players!$A$2:$D$132,3),"")</f>
        <v/>
      </c>
      <c r="H2499" s="225"/>
      <c r="I2499" s="225"/>
      <c r="J2499" s="168" t="str">
        <f>IF(VLOOKUP($D2487&amp;RIGHT($A2499,1),Players!$A$2:$D$132,3)&lt;&gt;0,"("&amp;VLOOKUP($D2487&amp;RIGHT($A2499,1),Players!$A$2:$D$132,4)&amp;")","")</f>
        <v/>
      </c>
    </row>
    <row r="2500" spans="1:10" ht="25.5" customHeight="1" x14ac:dyDescent="0.4">
      <c r="A2500" s="37" t="str">
        <f>CONCATENATE($I2487,"7")</f>
        <v>F7</v>
      </c>
      <c r="B2500" s="222" t="str">
        <f>IF(VLOOKUP($A2500,Players!$A$2:$C$132,3)&lt;&gt;0,VLOOKUP($A2500,Players!$A$2:$C$132,3),"")</f>
        <v/>
      </c>
      <c r="C2500" s="222"/>
      <c r="D2500" s="222"/>
      <c r="E2500" s="222"/>
      <c r="F2500" s="222"/>
      <c r="G2500" s="225" t="str">
        <f>IF(VLOOKUP($D2487&amp;RIGHT($A2500,1),Players!$A$2:$D$132,3)&lt;&gt;0,VLOOKUP($D2487&amp;RIGHT($A2500,1),Players!$A$2:$D$132,3),"")</f>
        <v/>
      </c>
      <c r="H2500" s="225"/>
      <c r="I2500" s="225"/>
      <c r="J2500" s="168" t="str">
        <f>IF(VLOOKUP($D2487&amp;RIGHT($A2500,1),Players!$A$2:$D$132,3)&lt;&gt;0,"("&amp;VLOOKUP($D2487&amp;RIGHT($A2500,1),Players!$A$2:$D$132,4)&amp;")","")</f>
        <v/>
      </c>
    </row>
    <row r="2501" spans="1:10" ht="25.5" customHeight="1" x14ac:dyDescent="0.4">
      <c r="A2501" s="37" t="str">
        <f>CONCATENATE($I2487,"8")</f>
        <v>F8</v>
      </c>
      <c r="B2501" s="222" t="str">
        <f>IF(VLOOKUP($A2501,Players!$A$2:$C$132,3)&lt;&gt;0,VLOOKUP($A2501,Players!$A$2:$C$132,3),"")</f>
        <v/>
      </c>
      <c r="C2501" s="222"/>
      <c r="D2501" s="222"/>
      <c r="E2501" s="222"/>
      <c r="F2501" s="222"/>
      <c r="G2501" s="225" t="str">
        <f>IF(VLOOKUP($D2487&amp;RIGHT($A2501,1),Players!$A$2:$D$132,3)&lt;&gt;0,VLOOKUP($D2487&amp;RIGHT($A2501,1),Players!$A$2:$D$132,3),"")</f>
        <v/>
      </c>
      <c r="H2501" s="225"/>
      <c r="I2501" s="225"/>
      <c r="J2501" s="168" t="str">
        <f>IF(VLOOKUP($D2487&amp;RIGHT($A2501,1),Players!$A$2:$D$132,3)&lt;&gt;0,"("&amp;VLOOKUP($D2487&amp;RIGHT($A2501,1),Players!$A$2:$D$132,4)&amp;")","")</f>
        <v/>
      </c>
    </row>
    <row r="2502" spans="1:10" ht="25.5" customHeight="1" x14ac:dyDescent="0.25">
      <c r="A2502" s="37"/>
      <c r="B2502" s="7"/>
      <c r="C2502" s="7"/>
      <c r="D2502" s="7"/>
      <c r="E2502" s="7"/>
    </row>
    <row r="2503" spans="1:10" x14ac:dyDescent="0.25">
      <c r="A2503" s="9" t="s">
        <v>157</v>
      </c>
    </row>
    <row r="2504" spans="1:10" x14ac:dyDescent="0.25">
      <c r="A2504" t="s">
        <v>179</v>
      </c>
    </row>
    <row r="2505" spans="1:10" x14ac:dyDescent="0.25">
      <c r="A2505" s="55" t="s">
        <v>918</v>
      </c>
    </row>
    <row r="2506" spans="1:10" x14ac:dyDescent="0.25">
      <c r="A2506" t="s">
        <v>919</v>
      </c>
    </row>
    <row r="2507" spans="1:10" ht="25.5" customHeight="1" thickBot="1" x14ac:dyDescent="0.3">
      <c r="A2507" s="37"/>
    </row>
    <row r="2508" spans="1:10" x14ac:dyDescent="0.25">
      <c r="B2508" s="213"/>
      <c r="C2508" s="214"/>
      <c r="D2508" s="214"/>
      <c r="E2508" s="214"/>
      <c r="F2508" s="215"/>
    </row>
    <row r="2509" spans="1:10" ht="13.8" thickBot="1" x14ac:dyDescent="0.3">
      <c r="B2509" s="216"/>
      <c r="C2509" s="217"/>
      <c r="D2509" s="217"/>
      <c r="E2509" s="217"/>
      <c r="F2509" s="218"/>
    </row>
    <row r="2513" spans="1:10" ht="25.5" customHeight="1" x14ac:dyDescent="0.25">
      <c r="A2513" s="36"/>
      <c r="B2513" s="36"/>
      <c r="C2513" s="36"/>
      <c r="D2513" s="36"/>
      <c r="E2513" s="36"/>
      <c r="G2513" s="38"/>
      <c r="H2513" s="227" t="s">
        <v>159</v>
      </c>
      <c r="I2513" s="228"/>
    </row>
    <row r="2514" spans="1:10" x14ac:dyDescent="0.25">
      <c r="A2514" t="s">
        <v>158</v>
      </c>
    </row>
    <row r="2516" spans="1:10" x14ac:dyDescent="0.25">
      <c r="E2516" s="219" t="str">
        <f>CONCATENATE("(",$D2487," vs ",$I2487,")")</f>
        <v>(A vs F)</v>
      </c>
      <c r="F2516" s="219"/>
    </row>
    <row r="2517" spans="1:10" ht="15.6" x14ac:dyDescent="0.3">
      <c r="A2517" s="33" t="s">
        <v>155</v>
      </c>
      <c r="J2517" s="82" t="s">
        <v>545</v>
      </c>
    </row>
    <row r="2518" spans="1:10" ht="12.75" customHeight="1" x14ac:dyDescent="0.3">
      <c r="A2518" s="33"/>
      <c r="G2518" t="str">
        <f ca="1">Team_Matches!$J$6</f>
        <v>[NCTTA Teams Template (v3.4).xlsx]</v>
      </c>
      <c r="J2518" s="55"/>
    </row>
    <row r="2519" spans="1:10" ht="12.75" customHeight="1" x14ac:dyDescent="0.3">
      <c r="A2519" s="33"/>
      <c r="G2519" s="229" t="str">
        <f>Team_Matches!$J1894</f>
        <v>Round 7, Match 2</v>
      </c>
      <c r="H2519" s="229"/>
      <c r="I2519" s="127" t="str">
        <f>Team_Matches!$M1894</f>
        <v/>
      </c>
      <c r="J2519" s="127"/>
    </row>
    <row r="2520" spans="1:10" ht="15.6" x14ac:dyDescent="0.3">
      <c r="A2520" s="33"/>
    </row>
    <row r="2521" spans="1:10" x14ac:dyDescent="0.25">
      <c r="C2521" s="7" t="s">
        <v>160</v>
      </c>
      <c r="D2521" s="39" t="str">
        <f>Team_Matches!$B1896</f>
        <v>E</v>
      </c>
      <c r="F2521" s="83" t="str">
        <f>CONCATENATE($D2521,"-",$I2521)</f>
        <v>E-G</v>
      </c>
      <c r="H2521" s="7" t="s">
        <v>160</v>
      </c>
      <c r="I2521" s="39" t="str">
        <f>Team_Matches!$K1896</f>
        <v>G</v>
      </c>
    </row>
    <row r="2522" spans="1:10" ht="25.5" customHeight="1" x14ac:dyDescent="0.25">
      <c r="A2522" s="34"/>
      <c r="B2522" s="220" t="str">
        <f>IF(VLOOKUP($D2521,Draw!$A$4:$B$27,2)&lt;&gt;0,VLOOKUP($D2521,Draw!$A$4:$B$27,2),"")</f>
        <v/>
      </c>
      <c r="C2522" s="220"/>
      <c r="D2522" s="220"/>
      <c r="E2522" s="221"/>
      <c r="F2522" s="35"/>
      <c r="G2522" s="223" t="str">
        <f>IF(VLOOKUP($I2521,Draw!$A$4:$B$27,2)&lt;&gt;0,VLOOKUP($I2521,Draw!$A$4:$B$27,2),"")</f>
        <v/>
      </c>
      <c r="H2522" s="223"/>
      <c r="I2522" s="223"/>
      <c r="J2522" s="224"/>
    </row>
    <row r="2523" spans="1:10" ht="25.5" customHeight="1" x14ac:dyDescent="0.25"/>
    <row r="2524" spans="1:10" ht="25.5" customHeight="1" x14ac:dyDescent="0.25"/>
    <row r="2525" spans="1:10" ht="24" customHeight="1" x14ac:dyDescent="0.25">
      <c r="A2525" s="9" t="s">
        <v>178</v>
      </c>
    </row>
    <row r="2526" spans="1:10" ht="24" customHeight="1" x14ac:dyDescent="0.25">
      <c r="A2526" s="9"/>
    </row>
    <row r="2527" spans="1:10" x14ac:dyDescent="0.25">
      <c r="A2527" s="9" t="s">
        <v>156</v>
      </c>
      <c r="G2527" s="226" t="s">
        <v>873</v>
      </c>
      <c r="H2527" s="226"/>
      <c r="I2527" s="226"/>
      <c r="J2527" s="226"/>
    </row>
    <row r="2528" spans="1:10" ht="24" customHeight="1" x14ac:dyDescent="0.4">
      <c r="A2528" s="37" t="str">
        <f>CONCATENATE($D2521,"1")</f>
        <v>E1</v>
      </c>
      <c r="B2528" s="222" t="str">
        <f>IF(VLOOKUP($A2528,Players!$A$2:$C$132,3)&lt;&gt;0,VLOOKUP($A2528,Players!$A$2:$C$132,3),"")</f>
        <v/>
      </c>
      <c r="C2528" s="222"/>
      <c r="D2528" s="222"/>
      <c r="E2528" s="222"/>
      <c r="F2528" s="222"/>
      <c r="G2528" s="225" t="str">
        <f>IF(VLOOKUP($I2521&amp;RIGHT($A2528,1),Players!$A$2:$D$132,3)&lt;&gt;0,VLOOKUP($I2521&amp;RIGHT($A2528,1),Players!$A$2:$D$132,3),"")</f>
        <v/>
      </c>
      <c r="H2528" s="225"/>
      <c r="I2528" s="225"/>
      <c r="J2528" s="168" t="str">
        <f>IF(VLOOKUP($I2521&amp;RIGHT($A2528,1),Players!$A$2:$D$132,3)&lt;&gt;0,"("&amp;VLOOKUP($I2521&amp;RIGHT($A2528,1),Players!$A$2:$D$132,4)&amp;")","")</f>
        <v/>
      </c>
    </row>
    <row r="2529" spans="1:10" ht="25.5" customHeight="1" x14ac:dyDescent="0.4">
      <c r="A2529" s="37" t="str">
        <f>CONCATENATE($D2521,"2")</f>
        <v>E2</v>
      </c>
      <c r="B2529" s="222" t="str">
        <f>IF(VLOOKUP($A2529,Players!$A$2:$C$132,3)&lt;&gt;0,VLOOKUP($A2529,Players!$A$2:$C$132,3),"")</f>
        <v/>
      </c>
      <c r="C2529" s="222"/>
      <c r="D2529" s="222"/>
      <c r="E2529" s="222"/>
      <c r="F2529" s="222"/>
      <c r="G2529" s="225" t="str">
        <f>IF(VLOOKUP($I2521&amp;RIGHT($A2529,1),Players!$A$2:$D$132,3)&lt;&gt;0,VLOOKUP($I2521&amp;RIGHT($A2529,1),Players!$A$2:$D$132,3),"")</f>
        <v/>
      </c>
      <c r="H2529" s="225"/>
      <c r="I2529" s="225"/>
      <c r="J2529" s="168" t="str">
        <f>IF(VLOOKUP($I2521&amp;RIGHT($A2529,1),Players!$A$2:$D$132,3)&lt;&gt;0,"("&amp;VLOOKUP($I2521&amp;RIGHT($A2529,1),Players!$A$2:$D$132,4)&amp;")","")</f>
        <v/>
      </c>
    </row>
    <row r="2530" spans="1:10" ht="25.5" customHeight="1" x14ac:dyDescent="0.4">
      <c r="A2530" s="37" t="str">
        <f>CONCATENATE($D2521,"3")</f>
        <v>E3</v>
      </c>
      <c r="B2530" s="222" t="str">
        <f>IF(VLOOKUP($A2530,Players!$A$2:$C$132,3)&lt;&gt;0,VLOOKUP($A2530,Players!$A$2:$C$132,3),"")</f>
        <v/>
      </c>
      <c r="C2530" s="222"/>
      <c r="D2530" s="222"/>
      <c r="E2530" s="222"/>
      <c r="F2530" s="222"/>
      <c r="G2530" s="225" t="str">
        <f>IF(VLOOKUP($I2521&amp;RIGHT($A2530,1),Players!$A$2:$D$132,3)&lt;&gt;0,VLOOKUP($I2521&amp;RIGHT($A2530,1),Players!$A$2:$D$132,3),"")</f>
        <v/>
      </c>
      <c r="H2530" s="225"/>
      <c r="I2530" s="225"/>
      <c r="J2530" s="168" t="str">
        <f>IF(VLOOKUP($I2521&amp;RIGHT($A2530,1),Players!$A$2:$D$132,3)&lt;&gt;0,"("&amp;VLOOKUP($I2521&amp;RIGHT($A2530,1),Players!$A$2:$D$132,4)&amp;")","")</f>
        <v/>
      </c>
    </row>
    <row r="2531" spans="1:10" ht="25.5" customHeight="1" x14ac:dyDescent="0.4">
      <c r="A2531" s="37" t="str">
        <f>CONCATENATE($D2521,"4")</f>
        <v>E4</v>
      </c>
      <c r="B2531" s="222" t="str">
        <f>IF(VLOOKUP($A2531,Players!$A$2:$C$132,3)&lt;&gt;0,VLOOKUP($A2531,Players!$A$2:$C$132,3),"")</f>
        <v/>
      </c>
      <c r="C2531" s="222"/>
      <c r="D2531" s="222"/>
      <c r="E2531" s="222"/>
      <c r="F2531" s="222"/>
      <c r="G2531" s="225" t="str">
        <f>IF(VLOOKUP($I2521&amp;RIGHT($A2531,1),Players!$A$2:$D$132,3)&lt;&gt;0,VLOOKUP($I2521&amp;RIGHT($A2531,1),Players!$A$2:$D$132,3),"")</f>
        <v/>
      </c>
      <c r="H2531" s="225"/>
      <c r="I2531" s="225"/>
      <c r="J2531" s="168" t="str">
        <f>IF(VLOOKUP($I2521&amp;RIGHT($A2531,1),Players!$A$2:$D$132,3)&lt;&gt;0,"("&amp;VLOOKUP($I2521&amp;RIGHT($A2531,1),Players!$A$2:$D$132,4)&amp;")","")</f>
        <v/>
      </c>
    </row>
    <row r="2532" spans="1:10" ht="25.5" customHeight="1" x14ac:dyDescent="0.4">
      <c r="A2532" s="37" t="str">
        <f>CONCATENATE($D2521,"5")</f>
        <v>E5</v>
      </c>
      <c r="B2532" s="222" t="str">
        <f>IF(VLOOKUP($A2532,Players!$A$2:$C$132,3)&lt;&gt;0,VLOOKUP($A2532,Players!$A$2:$C$132,3),"")</f>
        <v/>
      </c>
      <c r="C2532" s="222"/>
      <c r="D2532" s="222"/>
      <c r="E2532" s="222"/>
      <c r="F2532" s="222"/>
      <c r="G2532" s="225" t="str">
        <f>IF(VLOOKUP($I2521&amp;RIGHT($A2532,1),Players!$A$2:$D$132,3)&lt;&gt;0,VLOOKUP($I2521&amp;RIGHT($A2532,1),Players!$A$2:$D$132,3),"")</f>
        <v/>
      </c>
      <c r="H2532" s="225"/>
      <c r="I2532" s="225"/>
      <c r="J2532" s="168" t="str">
        <f>IF(VLOOKUP($I2521&amp;RIGHT($A2532,1),Players!$A$2:$D$132,3)&lt;&gt;0,"("&amp;VLOOKUP($I2521&amp;RIGHT($A2532,1),Players!$A$2:$D$132,4)&amp;")","")</f>
        <v/>
      </c>
    </row>
    <row r="2533" spans="1:10" ht="25.5" customHeight="1" x14ac:dyDescent="0.4">
      <c r="A2533" s="37" t="str">
        <f>CONCATENATE($D2521,"6")</f>
        <v>E6</v>
      </c>
      <c r="B2533" s="222" t="str">
        <f>IF(VLOOKUP($A2533,Players!$A$2:$C$132,3)&lt;&gt;0,VLOOKUP($A2533,Players!$A$2:$C$132,3),"")</f>
        <v/>
      </c>
      <c r="C2533" s="222"/>
      <c r="D2533" s="222"/>
      <c r="E2533" s="222"/>
      <c r="F2533" s="222"/>
      <c r="G2533" s="225" t="str">
        <f>IF(VLOOKUP($I2521&amp;RIGHT($A2533,1),Players!$A$2:$D$132,3)&lt;&gt;0,VLOOKUP($I2521&amp;RIGHT($A2533,1),Players!$A$2:$D$132,3),"")</f>
        <v/>
      </c>
      <c r="H2533" s="225"/>
      <c r="I2533" s="225"/>
      <c r="J2533" s="168" t="str">
        <f>IF(VLOOKUP($I2521&amp;RIGHT($A2533,1),Players!$A$2:$D$132,3)&lt;&gt;0,"("&amp;VLOOKUP($I2521&amp;RIGHT($A2533,1),Players!$A$2:$D$132,4)&amp;")","")</f>
        <v/>
      </c>
    </row>
    <row r="2534" spans="1:10" ht="25.5" customHeight="1" x14ac:dyDescent="0.4">
      <c r="A2534" s="37" t="str">
        <f>CONCATENATE($D2521,"7")</f>
        <v>E7</v>
      </c>
      <c r="B2534" s="222" t="str">
        <f>IF(VLOOKUP($A2534,Players!$A$2:$C$132,3)&lt;&gt;0,VLOOKUP($A2534,Players!$A$2:$C$132,3),"")</f>
        <v/>
      </c>
      <c r="C2534" s="222"/>
      <c r="D2534" s="222"/>
      <c r="E2534" s="222"/>
      <c r="F2534" s="222"/>
      <c r="G2534" s="225" t="str">
        <f>IF(VLOOKUP($I2521&amp;RIGHT($A2534,1),Players!$A$2:$D$132,3)&lt;&gt;0,VLOOKUP($I2521&amp;RIGHT($A2534,1),Players!$A$2:$D$132,3),"")</f>
        <v/>
      </c>
      <c r="H2534" s="225"/>
      <c r="I2534" s="225"/>
      <c r="J2534" s="168" t="str">
        <f>IF(VLOOKUP($I2521&amp;RIGHT($A2534,1),Players!$A$2:$D$132,3)&lt;&gt;0,"("&amp;VLOOKUP($I2521&amp;RIGHT($A2534,1),Players!$A$2:$D$132,4)&amp;")","")</f>
        <v/>
      </c>
    </row>
    <row r="2535" spans="1:10" ht="25.5" customHeight="1" x14ac:dyDescent="0.4">
      <c r="A2535" s="37" t="str">
        <f>CONCATENATE($D2521,"8")</f>
        <v>E8</v>
      </c>
      <c r="B2535" s="222" t="str">
        <f>IF(VLOOKUP($A2535,Players!$A$2:$C$132,3)&lt;&gt;0,VLOOKUP($A2535,Players!$A$2:$C$132,3),"")</f>
        <v/>
      </c>
      <c r="C2535" s="222"/>
      <c r="D2535" s="222"/>
      <c r="E2535" s="222"/>
      <c r="F2535" s="222"/>
      <c r="G2535" s="225" t="str">
        <f>IF(VLOOKUP($I2521&amp;RIGHT($A2535,1),Players!$A$2:$D$132,3)&lt;&gt;0,VLOOKUP($I2521&amp;RIGHT($A2535,1),Players!$A$2:$D$132,3),"")</f>
        <v/>
      </c>
      <c r="H2535" s="225"/>
      <c r="I2535" s="225"/>
      <c r="J2535" s="168" t="str">
        <f>IF(VLOOKUP($I2521&amp;RIGHT($A2535,1),Players!$A$2:$D$132,3)&lt;&gt;0,"("&amp;VLOOKUP($I2521&amp;RIGHT($A2535,1),Players!$A$2:$D$132,4)&amp;")","")</f>
        <v/>
      </c>
    </row>
    <row r="2536" spans="1:10" ht="25.5" customHeight="1" x14ac:dyDescent="0.25">
      <c r="A2536" s="37"/>
      <c r="B2536" s="7"/>
      <c r="C2536" s="7"/>
      <c r="D2536" s="7"/>
      <c r="E2536" s="7"/>
    </row>
    <row r="2537" spans="1:10" x14ac:dyDescent="0.25">
      <c r="A2537" s="9" t="s">
        <v>157</v>
      </c>
    </row>
    <row r="2538" spans="1:10" x14ac:dyDescent="0.25">
      <c r="A2538" t="s">
        <v>179</v>
      </c>
    </row>
    <row r="2539" spans="1:10" x14ac:dyDescent="0.25">
      <c r="A2539" s="55" t="s">
        <v>918</v>
      </c>
    </row>
    <row r="2540" spans="1:10" x14ac:dyDescent="0.25">
      <c r="A2540" t="s">
        <v>919</v>
      </c>
    </row>
    <row r="2541" spans="1:10" ht="25.5" customHeight="1" thickBot="1" x14ac:dyDescent="0.3">
      <c r="A2541" s="37"/>
    </row>
    <row r="2542" spans="1:10" x14ac:dyDescent="0.25">
      <c r="B2542" s="213"/>
      <c r="C2542" s="214"/>
      <c r="D2542" s="214"/>
      <c r="E2542" s="214"/>
      <c r="F2542" s="215"/>
    </row>
    <row r="2543" spans="1:10" ht="13.8" thickBot="1" x14ac:dyDescent="0.3">
      <c r="B2543" s="216"/>
      <c r="C2543" s="217"/>
      <c r="D2543" s="217"/>
      <c r="E2543" s="217"/>
      <c r="F2543" s="218"/>
    </row>
    <row r="2547" spans="1:10" ht="25.5" customHeight="1" x14ac:dyDescent="0.25">
      <c r="A2547" s="36"/>
      <c r="B2547" s="36"/>
      <c r="C2547" s="36"/>
      <c r="D2547" s="36"/>
      <c r="E2547" s="36"/>
      <c r="G2547" s="38"/>
      <c r="H2547" s="227" t="s">
        <v>159</v>
      </c>
      <c r="I2547" s="228"/>
    </row>
    <row r="2548" spans="1:10" x14ac:dyDescent="0.25">
      <c r="A2548" t="s">
        <v>158</v>
      </c>
    </row>
    <row r="2550" spans="1:10" x14ac:dyDescent="0.25">
      <c r="E2550" s="219" t="str">
        <f>CONCATENATE("(",$D2521," vs ",$I2521,")")</f>
        <v>(E vs G)</v>
      </c>
      <c r="F2550" s="219"/>
    </row>
    <row r="2551" spans="1:10" ht="15.6" x14ac:dyDescent="0.3">
      <c r="A2551" s="33" t="s">
        <v>155</v>
      </c>
      <c r="J2551" s="82" t="s">
        <v>546</v>
      </c>
    </row>
    <row r="2552" spans="1:10" ht="12.75" customHeight="1" x14ac:dyDescent="0.3">
      <c r="A2552" s="33"/>
      <c r="G2552" t="str">
        <f ca="1">Team_Matches!$J$6</f>
        <v>[NCTTA Teams Template (v3.4).xlsx]</v>
      </c>
      <c r="J2552" s="55"/>
    </row>
    <row r="2553" spans="1:10" ht="12.75" customHeight="1" x14ac:dyDescent="0.3">
      <c r="A2553" s="33"/>
      <c r="G2553" s="229" t="str">
        <f>Team_Matches!$J1894</f>
        <v>Round 7, Match 2</v>
      </c>
      <c r="H2553" s="229"/>
      <c r="I2553" s="127" t="str">
        <f>Team_Matches!$M1894</f>
        <v/>
      </c>
      <c r="J2553" s="127"/>
    </row>
    <row r="2554" spans="1:10" ht="15.6" x14ac:dyDescent="0.3">
      <c r="A2554" s="33"/>
    </row>
    <row r="2555" spans="1:10" x14ac:dyDescent="0.25">
      <c r="C2555" s="7" t="s">
        <v>160</v>
      </c>
      <c r="D2555" s="39" t="str">
        <f>Team_Matches!$B1896</f>
        <v>E</v>
      </c>
      <c r="F2555" s="83" t="str">
        <f>CONCATENATE($D2555,"-",$I2555)</f>
        <v>E-G</v>
      </c>
      <c r="H2555" s="7" t="s">
        <v>160</v>
      </c>
      <c r="I2555" s="39" t="str">
        <f>Team_Matches!$K1896</f>
        <v>G</v>
      </c>
    </row>
    <row r="2556" spans="1:10" ht="25.5" customHeight="1" x14ac:dyDescent="0.25">
      <c r="A2556" s="34"/>
      <c r="B2556" s="223" t="str">
        <f>IF(VLOOKUP($D2555,Draw!$A$4:$B$27,2)&lt;&gt;0,VLOOKUP($D2555,Draw!$A$4:$B$27,2),"")</f>
        <v/>
      </c>
      <c r="C2556" s="223"/>
      <c r="D2556" s="223"/>
      <c r="E2556" s="224"/>
      <c r="F2556" s="35"/>
      <c r="G2556" s="220" t="str">
        <f>IF(VLOOKUP($I2555,Draw!$A$4:$B$27,2)&lt;&gt;0,VLOOKUP($I2555,Draw!$A$4:$B$27,2),"")</f>
        <v/>
      </c>
      <c r="H2556" s="220"/>
      <c r="I2556" s="220"/>
      <c r="J2556" s="221"/>
    </row>
    <row r="2557" spans="1:10" ht="25.5" customHeight="1" x14ac:dyDescent="0.25"/>
    <row r="2558" spans="1:10" ht="25.5" customHeight="1" x14ac:dyDescent="0.25"/>
    <row r="2559" spans="1:10" ht="24" customHeight="1" x14ac:dyDescent="0.25">
      <c r="A2559" s="9" t="s">
        <v>178</v>
      </c>
    </row>
    <row r="2560" spans="1:10" ht="24" customHeight="1" x14ac:dyDescent="0.25">
      <c r="A2560" s="9"/>
    </row>
    <row r="2561" spans="1:10" x14ac:dyDescent="0.25">
      <c r="A2561" s="9" t="s">
        <v>156</v>
      </c>
      <c r="G2561" s="226" t="s">
        <v>873</v>
      </c>
      <c r="H2561" s="226"/>
      <c r="I2561" s="226"/>
      <c r="J2561" s="226"/>
    </row>
    <row r="2562" spans="1:10" ht="24" customHeight="1" x14ac:dyDescent="0.4">
      <c r="A2562" s="37" t="str">
        <f>CONCATENATE($I2555,"1")</f>
        <v>G1</v>
      </c>
      <c r="B2562" s="222" t="str">
        <f>IF(VLOOKUP($A2562,Players!$A$2:$C$132,3)&lt;&gt;0,VLOOKUP($A2562,Players!$A$2:$C$132,3),"")</f>
        <v/>
      </c>
      <c r="C2562" s="222"/>
      <c r="D2562" s="222"/>
      <c r="E2562" s="222"/>
      <c r="F2562" s="222"/>
      <c r="G2562" s="225" t="str">
        <f>IF(VLOOKUP($D2555&amp;RIGHT($A2562,1),Players!$A$2:$D$132,3)&lt;&gt;0,VLOOKUP($D2555&amp;RIGHT($A2562,1),Players!$A$2:$D$132,3),"")</f>
        <v/>
      </c>
      <c r="H2562" s="225"/>
      <c r="I2562" s="225"/>
      <c r="J2562" s="168" t="str">
        <f>IF(VLOOKUP($D2555&amp;RIGHT($A2562,1),Players!$A$2:$D$132,3)&lt;&gt;0,"("&amp;VLOOKUP($D2555&amp;RIGHT($A2562,1),Players!$A$2:$D$132,4)&amp;")","")</f>
        <v/>
      </c>
    </row>
    <row r="2563" spans="1:10" ht="25.5" customHeight="1" x14ac:dyDescent="0.4">
      <c r="A2563" s="37" t="str">
        <f>CONCATENATE($I2555,"2")</f>
        <v>G2</v>
      </c>
      <c r="B2563" s="222" t="str">
        <f>IF(VLOOKUP($A2563,Players!$A$2:$C$132,3)&lt;&gt;0,VLOOKUP($A2563,Players!$A$2:$C$132,3),"")</f>
        <v/>
      </c>
      <c r="C2563" s="222"/>
      <c r="D2563" s="222"/>
      <c r="E2563" s="222"/>
      <c r="F2563" s="222"/>
      <c r="G2563" s="225" t="str">
        <f>IF(VLOOKUP($D2555&amp;RIGHT($A2563,1),Players!$A$2:$D$132,3)&lt;&gt;0,VLOOKUP($D2555&amp;RIGHT($A2563,1),Players!$A$2:$D$132,3),"")</f>
        <v/>
      </c>
      <c r="H2563" s="225"/>
      <c r="I2563" s="225"/>
      <c r="J2563" s="168" t="str">
        <f>IF(VLOOKUP($D2555&amp;RIGHT($A2563,1),Players!$A$2:$D$132,3)&lt;&gt;0,"("&amp;VLOOKUP($D2555&amp;RIGHT($A2563,1),Players!$A$2:$D$132,4)&amp;")","")</f>
        <v/>
      </c>
    </row>
    <row r="2564" spans="1:10" ht="25.5" customHeight="1" x14ac:dyDescent="0.4">
      <c r="A2564" s="37" t="str">
        <f>CONCATENATE($I2555,"3")</f>
        <v>G3</v>
      </c>
      <c r="B2564" s="222" t="str">
        <f>IF(VLOOKUP($A2564,Players!$A$2:$C$132,3)&lt;&gt;0,VLOOKUP($A2564,Players!$A$2:$C$132,3),"")</f>
        <v/>
      </c>
      <c r="C2564" s="222"/>
      <c r="D2564" s="222"/>
      <c r="E2564" s="222"/>
      <c r="F2564" s="222"/>
      <c r="G2564" s="225" t="str">
        <f>IF(VLOOKUP($D2555&amp;RIGHT($A2564,1),Players!$A$2:$D$132,3)&lt;&gt;0,VLOOKUP($D2555&amp;RIGHT($A2564,1),Players!$A$2:$D$132,3),"")</f>
        <v/>
      </c>
      <c r="H2564" s="225"/>
      <c r="I2564" s="225"/>
      <c r="J2564" s="168" t="str">
        <f>IF(VLOOKUP($D2555&amp;RIGHT($A2564,1),Players!$A$2:$D$132,3)&lt;&gt;0,"("&amp;VLOOKUP($D2555&amp;RIGHT($A2564,1),Players!$A$2:$D$132,4)&amp;")","")</f>
        <v/>
      </c>
    </row>
    <row r="2565" spans="1:10" ht="25.5" customHeight="1" x14ac:dyDescent="0.4">
      <c r="A2565" s="37" t="str">
        <f>CONCATENATE($I2555,"4")</f>
        <v>G4</v>
      </c>
      <c r="B2565" s="222" t="str">
        <f>IF(VLOOKUP($A2565,Players!$A$2:$C$132,3)&lt;&gt;0,VLOOKUP($A2565,Players!$A$2:$C$132,3),"")</f>
        <v/>
      </c>
      <c r="C2565" s="222"/>
      <c r="D2565" s="222"/>
      <c r="E2565" s="222"/>
      <c r="F2565" s="222"/>
      <c r="G2565" s="225" t="str">
        <f>IF(VLOOKUP($D2555&amp;RIGHT($A2565,1),Players!$A$2:$D$132,3)&lt;&gt;0,VLOOKUP($D2555&amp;RIGHT($A2565,1),Players!$A$2:$D$132,3),"")</f>
        <v/>
      </c>
      <c r="H2565" s="225"/>
      <c r="I2565" s="225"/>
      <c r="J2565" s="168" t="str">
        <f>IF(VLOOKUP($D2555&amp;RIGHT($A2565,1),Players!$A$2:$D$132,3)&lt;&gt;0,"("&amp;VLOOKUP($D2555&amp;RIGHT($A2565,1),Players!$A$2:$D$132,4)&amp;")","")</f>
        <v/>
      </c>
    </row>
    <row r="2566" spans="1:10" ht="25.5" customHeight="1" x14ac:dyDescent="0.4">
      <c r="A2566" s="37" t="str">
        <f>CONCATENATE($I2555,"5")</f>
        <v>G5</v>
      </c>
      <c r="B2566" s="222" t="str">
        <f>IF(VLOOKUP($A2566,Players!$A$2:$C$132,3)&lt;&gt;0,VLOOKUP($A2566,Players!$A$2:$C$132,3),"")</f>
        <v/>
      </c>
      <c r="C2566" s="222"/>
      <c r="D2566" s="222"/>
      <c r="E2566" s="222"/>
      <c r="F2566" s="222"/>
      <c r="G2566" s="225" t="str">
        <f>IF(VLOOKUP($D2555&amp;RIGHT($A2566,1),Players!$A$2:$D$132,3)&lt;&gt;0,VLOOKUP($D2555&amp;RIGHT($A2566,1),Players!$A$2:$D$132,3),"")</f>
        <v/>
      </c>
      <c r="H2566" s="225"/>
      <c r="I2566" s="225"/>
      <c r="J2566" s="168" t="str">
        <f>IF(VLOOKUP($D2555&amp;RIGHT($A2566,1),Players!$A$2:$D$132,3)&lt;&gt;0,"("&amp;VLOOKUP($D2555&amp;RIGHT($A2566,1),Players!$A$2:$D$132,4)&amp;")","")</f>
        <v/>
      </c>
    </row>
    <row r="2567" spans="1:10" ht="25.5" customHeight="1" x14ac:dyDescent="0.4">
      <c r="A2567" s="37" t="str">
        <f>CONCATENATE($I2555,"6")</f>
        <v>G6</v>
      </c>
      <c r="B2567" s="222" t="str">
        <f>IF(VLOOKUP($A2567,Players!$A$2:$C$132,3)&lt;&gt;0,VLOOKUP($A2567,Players!$A$2:$C$132,3),"")</f>
        <v/>
      </c>
      <c r="C2567" s="222"/>
      <c r="D2567" s="222"/>
      <c r="E2567" s="222"/>
      <c r="F2567" s="222"/>
      <c r="G2567" s="225" t="str">
        <f>IF(VLOOKUP($D2555&amp;RIGHT($A2567,1),Players!$A$2:$D$132,3)&lt;&gt;0,VLOOKUP($D2555&amp;RIGHT($A2567,1),Players!$A$2:$D$132,3),"")</f>
        <v/>
      </c>
      <c r="H2567" s="225"/>
      <c r="I2567" s="225"/>
      <c r="J2567" s="168" t="str">
        <f>IF(VLOOKUP($D2555&amp;RIGHT($A2567,1),Players!$A$2:$D$132,3)&lt;&gt;0,"("&amp;VLOOKUP($D2555&amp;RIGHT($A2567,1),Players!$A$2:$D$132,4)&amp;")","")</f>
        <v/>
      </c>
    </row>
    <row r="2568" spans="1:10" ht="25.5" customHeight="1" x14ac:dyDescent="0.4">
      <c r="A2568" s="37" t="str">
        <f>CONCATENATE($I2555,"7")</f>
        <v>G7</v>
      </c>
      <c r="B2568" s="222" t="str">
        <f>IF(VLOOKUP($A2568,Players!$A$2:$C$132,3)&lt;&gt;0,VLOOKUP($A2568,Players!$A$2:$C$132,3),"")</f>
        <v/>
      </c>
      <c r="C2568" s="222"/>
      <c r="D2568" s="222"/>
      <c r="E2568" s="222"/>
      <c r="F2568" s="222"/>
      <c r="G2568" s="225" t="str">
        <f>IF(VLOOKUP($D2555&amp;RIGHT($A2568,1),Players!$A$2:$D$132,3)&lt;&gt;0,VLOOKUP($D2555&amp;RIGHT($A2568,1),Players!$A$2:$D$132,3),"")</f>
        <v/>
      </c>
      <c r="H2568" s="225"/>
      <c r="I2568" s="225"/>
      <c r="J2568" s="168" t="str">
        <f>IF(VLOOKUP($D2555&amp;RIGHT($A2568,1),Players!$A$2:$D$132,3)&lt;&gt;0,"("&amp;VLOOKUP($D2555&amp;RIGHT($A2568,1),Players!$A$2:$D$132,4)&amp;")","")</f>
        <v/>
      </c>
    </row>
    <row r="2569" spans="1:10" ht="25.5" customHeight="1" x14ac:dyDescent="0.4">
      <c r="A2569" s="37" t="str">
        <f>CONCATENATE($I2555,"8")</f>
        <v>G8</v>
      </c>
      <c r="B2569" s="222" t="str">
        <f>IF(VLOOKUP($A2569,Players!$A$2:$C$132,3)&lt;&gt;0,VLOOKUP($A2569,Players!$A$2:$C$132,3),"")</f>
        <v/>
      </c>
      <c r="C2569" s="222"/>
      <c r="D2569" s="222"/>
      <c r="E2569" s="222"/>
      <c r="F2569" s="222"/>
      <c r="G2569" s="225" t="str">
        <f>IF(VLOOKUP($D2555&amp;RIGHT($A2569,1),Players!$A$2:$D$132,3)&lt;&gt;0,VLOOKUP($D2555&amp;RIGHT($A2569,1),Players!$A$2:$D$132,3),"")</f>
        <v/>
      </c>
      <c r="H2569" s="225"/>
      <c r="I2569" s="225"/>
      <c r="J2569" s="168" t="str">
        <f>IF(VLOOKUP($D2555&amp;RIGHT($A2569,1),Players!$A$2:$D$132,3)&lt;&gt;0,"("&amp;VLOOKUP($D2555&amp;RIGHT($A2569,1),Players!$A$2:$D$132,4)&amp;")","")</f>
        <v/>
      </c>
    </row>
    <row r="2570" spans="1:10" ht="25.5" customHeight="1" x14ac:dyDescent="0.25">
      <c r="A2570" s="37"/>
      <c r="B2570" s="7"/>
      <c r="C2570" s="7"/>
      <c r="D2570" s="7"/>
      <c r="E2570" s="7"/>
    </row>
    <row r="2571" spans="1:10" x14ac:dyDescent="0.25">
      <c r="A2571" s="9" t="s">
        <v>157</v>
      </c>
    </row>
    <row r="2572" spans="1:10" x14ac:dyDescent="0.25">
      <c r="A2572" t="s">
        <v>179</v>
      </c>
    </row>
    <row r="2573" spans="1:10" x14ac:dyDescent="0.25">
      <c r="A2573" s="55" t="s">
        <v>918</v>
      </c>
    </row>
    <row r="2574" spans="1:10" x14ac:dyDescent="0.25">
      <c r="A2574" t="s">
        <v>919</v>
      </c>
    </row>
    <row r="2575" spans="1:10" ht="25.5" customHeight="1" thickBot="1" x14ac:dyDescent="0.3">
      <c r="A2575" s="37"/>
    </row>
    <row r="2576" spans="1:10" x14ac:dyDescent="0.25">
      <c r="B2576" s="213"/>
      <c r="C2576" s="214"/>
      <c r="D2576" s="214"/>
      <c r="E2576" s="214"/>
      <c r="F2576" s="215"/>
    </row>
    <row r="2577" spans="1:10" ht="13.8" thickBot="1" x14ac:dyDescent="0.3">
      <c r="B2577" s="216"/>
      <c r="C2577" s="217"/>
      <c r="D2577" s="217"/>
      <c r="E2577" s="217"/>
      <c r="F2577" s="218"/>
    </row>
    <row r="2581" spans="1:10" ht="25.5" customHeight="1" x14ac:dyDescent="0.25">
      <c r="A2581" s="36"/>
      <c r="B2581" s="36"/>
      <c r="C2581" s="36"/>
      <c r="D2581" s="36"/>
      <c r="E2581" s="36"/>
      <c r="G2581" s="38"/>
      <c r="H2581" s="227" t="s">
        <v>159</v>
      </c>
      <c r="I2581" s="228"/>
    </row>
    <row r="2582" spans="1:10" x14ac:dyDescent="0.25">
      <c r="A2582" t="s">
        <v>158</v>
      </c>
    </row>
    <row r="2584" spans="1:10" x14ac:dyDescent="0.25">
      <c r="E2584" s="219" t="str">
        <f>CONCATENATE("(",$D2555," vs ",$I2555,")")</f>
        <v>(E vs G)</v>
      </c>
      <c r="F2584" s="219"/>
    </row>
    <row r="2585" spans="1:10" ht="15.6" x14ac:dyDescent="0.3">
      <c r="A2585" s="33" t="s">
        <v>155</v>
      </c>
      <c r="J2585" s="82" t="s">
        <v>547</v>
      </c>
    </row>
    <row r="2586" spans="1:10" ht="12.75" customHeight="1" x14ac:dyDescent="0.3">
      <c r="A2586" s="33"/>
      <c r="G2586" t="str">
        <f ca="1">Team_Matches!$J$6</f>
        <v>[NCTTA Teams Template (v3.4).xlsx]</v>
      </c>
      <c r="J2586" s="55"/>
    </row>
    <row r="2587" spans="1:10" ht="12.75" customHeight="1" x14ac:dyDescent="0.3">
      <c r="A2587" s="33"/>
      <c r="G2587" s="229" t="str">
        <f>Team_Matches!$J1945</f>
        <v>Round 7, Match 3</v>
      </c>
      <c r="H2587" s="229"/>
      <c r="I2587" s="127" t="str">
        <f>Team_Matches!$M1945</f>
        <v/>
      </c>
      <c r="J2587" s="127"/>
    </row>
    <row r="2588" spans="1:10" ht="15.6" x14ac:dyDescent="0.3">
      <c r="A2588" s="33"/>
    </row>
    <row r="2589" spans="1:10" x14ac:dyDescent="0.25">
      <c r="C2589" s="7" t="s">
        <v>160</v>
      </c>
      <c r="D2589" s="39" t="str">
        <f>Team_Matches!$B1947</f>
        <v>D</v>
      </c>
      <c r="F2589" s="83" t="str">
        <f>CONCATENATE($D2589,"-",$I2589)</f>
        <v>D-H</v>
      </c>
      <c r="H2589" s="7" t="s">
        <v>160</v>
      </c>
      <c r="I2589" s="39" t="str">
        <f>Team_Matches!$K1947</f>
        <v>H</v>
      </c>
    </row>
    <row r="2590" spans="1:10" ht="25.5" customHeight="1" x14ac:dyDescent="0.25">
      <c r="A2590" s="34"/>
      <c r="B2590" s="220" t="str">
        <f>IF(VLOOKUP($D2589,Draw!$A$4:$B$27,2)&lt;&gt;0,VLOOKUP($D2589,Draw!$A$4:$B$27,2),"")</f>
        <v/>
      </c>
      <c r="C2590" s="220"/>
      <c r="D2590" s="220"/>
      <c r="E2590" s="221"/>
      <c r="F2590" s="35"/>
      <c r="G2590" s="223" t="str">
        <f>IF(VLOOKUP($I2589,Draw!$A$4:$B$27,2)&lt;&gt;0,VLOOKUP($I2589,Draw!$A$4:$B$27,2),"")</f>
        <v/>
      </c>
      <c r="H2590" s="223"/>
      <c r="I2590" s="223"/>
      <c r="J2590" s="224"/>
    </row>
    <row r="2591" spans="1:10" ht="25.5" customHeight="1" x14ac:dyDescent="0.25"/>
    <row r="2592" spans="1:10" ht="25.5" customHeight="1" x14ac:dyDescent="0.25"/>
    <row r="2593" spans="1:10" ht="24" customHeight="1" x14ac:dyDescent="0.25">
      <c r="A2593" s="9" t="s">
        <v>178</v>
      </c>
    </row>
    <row r="2594" spans="1:10" ht="24" customHeight="1" x14ac:dyDescent="0.25">
      <c r="A2594" s="9"/>
    </row>
    <row r="2595" spans="1:10" x14ac:dyDescent="0.25">
      <c r="A2595" s="9" t="s">
        <v>156</v>
      </c>
      <c r="G2595" s="226" t="s">
        <v>873</v>
      </c>
      <c r="H2595" s="226"/>
      <c r="I2595" s="226"/>
      <c r="J2595" s="226"/>
    </row>
    <row r="2596" spans="1:10" ht="24" customHeight="1" x14ac:dyDescent="0.4">
      <c r="A2596" s="37" t="str">
        <f>CONCATENATE($D2589,"1")</f>
        <v>D1</v>
      </c>
      <c r="B2596" s="222" t="str">
        <f>IF(VLOOKUP($A2596,Players!$A$2:$C$132,3)&lt;&gt;0,VLOOKUP($A2596,Players!$A$2:$C$132,3),"")</f>
        <v/>
      </c>
      <c r="C2596" s="222"/>
      <c r="D2596" s="222"/>
      <c r="E2596" s="222"/>
      <c r="F2596" s="222"/>
      <c r="G2596" s="225" t="str">
        <f>IF(VLOOKUP($I2589&amp;RIGHT($A2596,1),Players!$A$2:$D$132,3)&lt;&gt;0,VLOOKUP($I2589&amp;RIGHT($A2596,1),Players!$A$2:$D$132,3),"")</f>
        <v/>
      </c>
      <c r="H2596" s="225"/>
      <c r="I2596" s="225"/>
      <c r="J2596" s="168" t="str">
        <f>IF(VLOOKUP($I2589&amp;RIGHT($A2596,1),Players!$A$2:$D$132,3)&lt;&gt;0,"("&amp;VLOOKUP($I2589&amp;RIGHT($A2596,1),Players!$A$2:$D$132,4)&amp;")","")</f>
        <v/>
      </c>
    </row>
    <row r="2597" spans="1:10" ht="25.5" customHeight="1" x14ac:dyDescent="0.4">
      <c r="A2597" s="37" t="str">
        <f>CONCATENATE($D2589,"2")</f>
        <v>D2</v>
      </c>
      <c r="B2597" s="222" t="str">
        <f>IF(VLOOKUP($A2597,Players!$A$2:$C$132,3)&lt;&gt;0,VLOOKUP($A2597,Players!$A$2:$C$132,3),"")</f>
        <v/>
      </c>
      <c r="C2597" s="222"/>
      <c r="D2597" s="222"/>
      <c r="E2597" s="222"/>
      <c r="F2597" s="222"/>
      <c r="G2597" s="225" t="str">
        <f>IF(VLOOKUP($I2589&amp;RIGHT($A2597,1),Players!$A$2:$D$132,3)&lt;&gt;0,VLOOKUP($I2589&amp;RIGHT($A2597,1),Players!$A$2:$D$132,3),"")</f>
        <v/>
      </c>
      <c r="H2597" s="225"/>
      <c r="I2597" s="225"/>
      <c r="J2597" s="168" t="str">
        <f>IF(VLOOKUP($I2589&amp;RIGHT($A2597,1),Players!$A$2:$D$132,3)&lt;&gt;0,"("&amp;VLOOKUP($I2589&amp;RIGHT($A2597,1),Players!$A$2:$D$132,4)&amp;")","")</f>
        <v/>
      </c>
    </row>
    <row r="2598" spans="1:10" ht="25.5" customHeight="1" x14ac:dyDescent="0.4">
      <c r="A2598" s="37" t="str">
        <f>CONCATENATE($D2589,"3")</f>
        <v>D3</v>
      </c>
      <c r="B2598" s="222" t="str">
        <f>IF(VLOOKUP($A2598,Players!$A$2:$C$132,3)&lt;&gt;0,VLOOKUP($A2598,Players!$A$2:$C$132,3),"")</f>
        <v/>
      </c>
      <c r="C2598" s="222"/>
      <c r="D2598" s="222"/>
      <c r="E2598" s="222"/>
      <c r="F2598" s="222"/>
      <c r="G2598" s="225" t="str">
        <f>IF(VLOOKUP($I2589&amp;RIGHT($A2598,1),Players!$A$2:$D$132,3)&lt;&gt;0,VLOOKUP($I2589&amp;RIGHT($A2598,1),Players!$A$2:$D$132,3),"")</f>
        <v/>
      </c>
      <c r="H2598" s="225"/>
      <c r="I2598" s="225"/>
      <c r="J2598" s="168" t="str">
        <f>IF(VLOOKUP($I2589&amp;RIGHT($A2598,1),Players!$A$2:$D$132,3)&lt;&gt;0,"("&amp;VLOOKUP($I2589&amp;RIGHT($A2598,1),Players!$A$2:$D$132,4)&amp;")","")</f>
        <v/>
      </c>
    </row>
    <row r="2599" spans="1:10" ht="25.5" customHeight="1" x14ac:dyDescent="0.4">
      <c r="A2599" s="37" t="str">
        <f>CONCATENATE($D2589,"4")</f>
        <v>D4</v>
      </c>
      <c r="B2599" s="222" t="str">
        <f>IF(VLOOKUP($A2599,Players!$A$2:$C$132,3)&lt;&gt;0,VLOOKUP($A2599,Players!$A$2:$C$132,3),"")</f>
        <v/>
      </c>
      <c r="C2599" s="222"/>
      <c r="D2599" s="222"/>
      <c r="E2599" s="222"/>
      <c r="F2599" s="222"/>
      <c r="G2599" s="225" t="str">
        <f>IF(VLOOKUP($I2589&amp;RIGHT($A2599,1),Players!$A$2:$D$132,3)&lt;&gt;0,VLOOKUP($I2589&amp;RIGHT($A2599,1),Players!$A$2:$D$132,3),"")</f>
        <v/>
      </c>
      <c r="H2599" s="225"/>
      <c r="I2599" s="225"/>
      <c r="J2599" s="168" t="str">
        <f>IF(VLOOKUP($I2589&amp;RIGHT($A2599,1),Players!$A$2:$D$132,3)&lt;&gt;0,"("&amp;VLOOKUP($I2589&amp;RIGHT($A2599,1),Players!$A$2:$D$132,4)&amp;")","")</f>
        <v/>
      </c>
    </row>
    <row r="2600" spans="1:10" ht="25.5" customHeight="1" x14ac:dyDescent="0.4">
      <c r="A2600" s="37" t="str">
        <f>CONCATENATE($D2589,"5")</f>
        <v>D5</v>
      </c>
      <c r="B2600" s="222" t="str">
        <f>IF(VLOOKUP($A2600,Players!$A$2:$C$132,3)&lt;&gt;0,VLOOKUP($A2600,Players!$A$2:$C$132,3),"")</f>
        <v/>
      </c>
      <c r="C2600" s="222"/>
      <c r="D2600" s="222"/>
      <c r="E2600" s="222"/>
      <c r="F2600" s="222"/>
      <c r="G2600" s="225" t="str">
        <f>IF(VLOOKUP($I2589&amp;RIGHT($A2600,1),Players!$A$2:$D$132,3)&lt;&gt;0,VLOOKUP($I2589&amp;RIGHT($A2600,1),Players!$A$2:$D$132,3),"")</f>
        <v/>
      </c>
      <c r="H2600" s="225"/>
      <c r="I2600" s="225"/>
      <c r="J2600" s="168" t="str">
        <f>IF(VLOOKUP($I2589&amp;RIGHT($A2600,1),Players!$A$2:$D$132,3)&lt;&gt;0,"("&amp;VLOOKUP($I2589&amp;RIGHT($A2600,1),Players!$A$2:$D$132,4)&amp;")","")</f>
        <v/>
      </c>
    </row>
    <row r="2601" spans="1:10" ht="25.5" customHeight="1" x14ac:dyDescent="0.4">
      <c r="A2601" s="37" t="str">
        <f>CONCATENATE($D2589,"6")</f>
        <v>D6</v>
      </c>
      <c r="B2601" s="222" t="str">
        <f>IF(VLOOKUP($A2601,Players!$A$2:$C$132,3)&lt;&gt;0,VLOOKUP($A2601,Players!$A$2:$C$132,3),"")</f>
        <v/>
      </c>
      <c r="C2601" s="222"/>
      <c r="D2601" s="222"/>
      <c r="E2601" s="222"/>
      <c r="F2601" s="222"/>
      <c r="G2601" s="225" t="str">
        <f>IF(VLOOKUP($I2589&amp;RIGHT($A2601,1),Players!$A$2:$D$132,3)&lt;&gt;0,VLOOKUP($I2589&amp;RIGHT($A2601,1),Players!$A$2:$D$132,3),"")</f>
        <v/>
      </c>
      <c r="H2601" s="225"/>
      <c r="I2601" s="225"/>
      <c r="J2601" s="168" t="str">
        <f>IF(VLOOKUP($I2589&amp;RIGHT($A2601,1),Players!$A$2:$D$132,3)&lt;&gt;0,"("&amp;VLOOKUP($I2589&amp;RIGHT($A2601,1),Players!$A$2:$D$132,4)&amp;")","")</f>
        <v/>
      </c>
    </row>
    <row r="2602" spans="1:10" ht="25.5" customHeight="1" x14ac:dyDescent="0.4">
      <c r="A2602" s="37" t="str">
        <f>CONCATENATE($D2589,"7")</f>
        <v>D7</v>
      </c>
      <c r="B2602" s="222" t="str">
        <f>IF(VLOOKUP($A2602,Players!$A$2:$C$132,3)&lt;&gt;0,VLOOKUP($A2602,Players!$A$2:$C$132,3),"")</f>
        <v/>
      </c>
      <c r="C2602" s="222"/>
      <c r="D2602" s="222"/>
      <c r="E2602" s="222"/>
      <c r="F2602" s="222"/>
      <c r="G2602" s="225" t="str">
        <f>IF(VLOOKUP($I2589&amp;RIGHT($A2602,1),Players!$A$2:$D$132,3)&lt;&gt;0,VLOOKUP($I2589&amp;RIGHT($A2602,1),Players!$A$2:$D$132,3),"")</f>
        <v/>
      </c>
      <c r="H2602" s="225"/>
      <c r="I2602" s="225"/>
      <c r="J2602" s="168" t="str">
        <f>IF(VLOOKUP($I2589&amp;RIGHT($A2602,1),Players!$A$2:$D$132,3)&lt;&gt;0,"("&amp;VLOOKUP($I2589&amp;RIGHT($A2602,1),Players!$A$2:$D$132,4)&amp;")","")</f>
        <v/>
      </c>
    </row>
    <row r="2603" spans="1:10" ht="25.5" customHeight="1" x14ac:dyDescent="0.4">
      <c r="A2603" s="37" t="str">
        <f>CONCATENATE($D2589,"8")</f>
        <v>D8</v>
      </c>
      <c r="B2603" s="222" t="str">
        <f>IF(VLOOKUP($A2603,Players!$A$2:$C$132,3)&lt;&gt;0,VLOOKUP($A2603,Players!$A$2:$C$132,3),"")</f>
        <v/>
      </c>
      <c r="C2603" s="222"/>
      <c r="D2603" s="222"/>
      <c r="E2603" s="222"/>
      <c r="F2603" s="222"/>
      <c r="G2603" s="225" t="str">
        <f>IF(VLOOKUP($I2589&amp;RIGHT($A2603,1),Players!$A$2:$D$132,3)&lt;&gt;0,VLOOKUP($I2589&amp;RIGHT($A2603,1),Players!$A$2:$D$132,3),"")</f>
        <v/>
      </c>
      <c r="H2603" s="225"/>
      <c r="I2603" s="225"/>
      <c r="J2603" s="168" t="str">
        <f>IF(VLOOKUP($I2589&amp;RIGHT($A2603,1),Players!$A$2:$D$132,3)&lt;&gt;0,"("&amp;VLOOKUP($I2589&amp;RIGHT($A2603,1),Players!$A$2:$D$132,4)&amp;")","")</f>
        <v/>
      </c>
    </row>
    <row r="2604" spans="1:10" ht="25.5" customHeight="1" x14ac:dyDescent="0.25">
      <c r="A2604" s="37"/>
      <c r="B2604" s="7"/>
      <c r="C2604" s="7"/>
      <c r="D2604" s="7"/>
      <c r="E2604" s="7"/>
    </row>
    <row r="2605" spans="1:10" x14ac:dyDescent="0.25">
      <c r="A2605" s="9" t="s">
        <v>157</v>
      </c>
    </row>
    <row r="2606" spans="1:10" x14ac:dyDescent="0.25">
      <c r="A2606" t="s">
        <v>179</v>
      </c>
    </row>
    <row r="2607" spans="1:10" x14ac:dyDescent="0.25">
      <c r="A2607" s="55" t="s">
        <v>918</v>
      </c>
    </row>
    <row r="2608" spans="1:10" x14ac:dyDescent="0.25">
      <c r="A2608" t="s">
        <v>919</v>
      </c>
    </row>
    <row r="2609" spans="1:10" ht="25.5" customHeight="1" thickBot="1" x14ac:dyDescent="0.3">
      <c r="A2609" s="37"/>
    </row>
    <row r="2610" spans="1:10" x14ac:dyDescent="0.25">
      <c r="B2610" s="213"/>
      <c r="C2610" s="214"/>
      <c r="D2610" s="214"/>
      <c r="E2610" s="214"/>
      <c r="F2610" s="215"/>
    </row>
    <row r="2611" spans="1:10" ht="13.8" thickBot="1" x14ac:dyDescent="0.3">
      <c r="B2611" s="216"/>
      <c r="C2611" s="217"/>
      <c r="D2611" s="217"/>
      <c r="E2611" s="217"/>
      <c r="F2611" s="218"/>
    </row>
    <row r="2615" spans="1:10" ht="25.5" customHeight="1" x14ac:dyDescent="0.25">
      <c r="A2615" s="36"/>
      <c r="B2615" s="36"/>
      <c r="C2615" s="36"/>
      <c r="D2615" s="36"/>
      <c r="E2615" s="36"/>
      <c r="G2615" s="38"/>
      <c r="H2615" s="227" t="s">
        <v>159</v>
      </c>
      <c r="I2615" s="228"/>
    </row>
    <row r="2616" spans="1:10" x14ac:dyDescent="0.25">
      <c r="A2616" t="s">
        <v>158</v>
      </c>
    </row>
    <row r="2618" spans="1:10" x14ac:dyDescent="0.25">
      <c r="E2618" s="219" t="str">
        <f>CONCATENATE("(",$D2589," vs ",$I2589,")")</f>
        <v>(D vs H)</v>
      </c>
      <c r="F2618" s="219"/>
    </row>
    <row r="2619" spans="1:10" ht="15.6" x14ac:dyDescent="0.3">
      <c r="A2619" s="33" t="s">
        <v>155</v>
      </c>
      <c r="J2619" s="82" t="s">
        <v>548</v>
      </c>
    </row>
    <row r="2620" spans="1:10" ht="12.75" customHeight="1" x14ac:dyDescent="0.3">
      <c r="A2620" s="33"/>
      <c r="G2620" t="str">
        <f ca="1">Team_Matches!$J$6</f>
        <v>[NCTTA Teams Template (v3.4).xlsx]</v>
      </c>
      <c r="J2620" s="55"/>
    </row>
    <row r="2621" spans="1:10" ht="12.75" customHeight="1" x14ac:dyDescent="0.3">
      <c r="A2621" s="33"/>
      <c r="G2621" s="229" t="str">
        <f>Team_Matches!$J1945</f>
        <v>Round 7, Match 3</v>
      </c>
      <c r="H2621" s="229"/>
      <c r="I2621" s="127" t="str">
        <f>Team_Matches!$M1945</f>
        <v/>
      </c>
      <c r="J2621" s="127"/>
    </row>
    <row r="2622" spans="1:10" ht="15.6" x14ac:dyDescent="0.3">
      <c r="A2622" s="33"/>
    </row>
    <row r="2623" spans="1:10" x14ac:dyDescent="0.25">
      <c r="C2623" s="7" t="s">
        <v>160</v>
      </c>
      <c r="D2623" s="39" t="str">
        <f>Team_Matches!$B1947</f>
        <v>D</v>
      </c>
      <c r="F2623" s="83" t="str">
        <f>CONCATENATE($D2623,"-",$I2623)</f>
        <v>D-H</v>
      </c>
      <c r="H2623" s="7" t="s">
        <v>160</v>
      </c>
      <c r="I2623" s="39" t="str">
        <f>Team_Matches!$K1947</f>
        <v>H</v>
      </c>
    </row>
    <row r="2624" spans="1:10" ht="25.5" customHeight="1" x14ac:dyDescent="0.25">
      <c r="A2624" s="34"/>
      <c r="B2624" s="223" t="str">
        <f>IF(VLOOKUP($D2623,Draw!$A$4:$B$27,2)&lt;&gt;0,VLOOKUP($D2623,Draw!$A$4:$B$27,2),"")</f>
        <v/>
      </c>
      <c r="C2624" s="223"/>
      <c r="D2624" s="223"/>
      <c r="E2624" s="224"/>
      <c r="F2624" s="35"/>
      <c r="G2624" s="220" t="str">
        <f>IF(VLOOKUP($I2623,Draw!$A$4:$B$27,2)&lt;&gt;0,VLOOKUP($I2623,Draw!$A$4:$B$27,2),"")</f>
        <v/>
      </c>
      <c r="H2624" s="220"/>
      <c r="I2624" s="220"/>
      <c r="J2624" s="221"/>
    </row>
    <row r="2625" spans="1:10" ht="25.5" customHeight="1" x14ac:dyDescent="0.25"/>
    <row r="2626" spans="1:10" ht="25.5" customHeight="1" x14ac:dyDescent="0.25"/>
    <row r="2627" spans="1:10" ht="24" customHeight="1" x14ac:dyDescent="0.25">
      <c r="A2627" s="9" t="s">
        <v>178</v>
      </c>
    </row>
    <row r="2628" spans="1:10" ht="24" customHeight="1" x14ac:dyDescent="0.25">
      <c r="A2628" s="9"/>
    </row>
    <row r="2629" spans="1:10" x14ac:dyDescent="0.25">
      <c r="A2629" s="9" t="s">
        <v>156</v>
      </c>
      <c r="G2629" s="226" t="s">
        <v>873</v>
      </c>
      <c r="H2629" s="226"/>
      <c r="I2629" s="226"/>
      <c r="J2629" s="226"/>
    </row>
    <row r="2630" spans="1:10" ht="24" customHeight="1" x14ac:dyDescent="0.4">
      <c r="A2630" s="37" t="str">
        <f>CONCATENATE($I2623,"1")</f>
        <v>H1</v>
      </c>
      <c r="B2630" s="222" t="str">
        <f>IF(VLOOKUP($A2630,Players!$A$2:$C$132,3)&lt;&gt;0,VLOOKUP($A2630,Players!$A$2:$C$132,3),"")</f>
        <v/>
      </c>
      <c r="C2630" s="222"/>
      <c r="D2630" s="222"/>
      <c r="E2630" s="222"/>
      <c r="F2630" s="222"/>
      <c r="G2630" s="225" t="str">
        <f>IF(VLOOKUP($D2623&amp;RIGHT($A2630,1),Players!$A$2:$D$132,3)&lt;&gt;0,VLOOKUP($D2623&amp;RIGHT($A2630,1),Players!$A$2:$D$132,3),"")</f>
        <v/>
      </c>
      <c r="H2630" s="225"/>
      <c r="I2630" s="225"/>
      <c r="J2630" s="168" t="str">
        <f>IF(VLOOKUP($D2623&amp;RIGHT($A2630,1),Players!$A$2:$D$132,3)&lt;&gt;0,"("&amp;VLOOKUP($D2623&amp;RIGHT($A2630,1),Players!$A$2:$D$132,4)&amp;")","")</f>
        <v/>
      </c>
    </row>
    <row r="2631" spans="1:10" ht="25.5" customHeight="1" x14ac:dyDescent="0.4">
      <c r="A2631" s="37" t="str">
        <f>CONCATENATE($I2623,"2")</f>
        <v>H2</v>
      </c>
      <c r="B2631" s="222" t="str">
        <f>IF(VLOOKUP($A2631,Players!$A$2:$C$132,3)&lt;&gt;0,VLOOKUP($A2631,Players!$A$2:$C$132,3),"")</f>
        <v/>
      </c>
      <c r="C2631" s="222"/>
      <c r="D2631" s="222"/>
      <c r="E2631" s="222"/>
      <c r="F2631" s="222"/>
      <c r="G2631" s="225" t="str">
        <f>IF(VLOOKUP($D2623&amp;RIGHT($A2631,1),Players!$A$2:$D$132,3)&lt;&gt;0,VLOOKUP($D2623&amp;RIGHT($A2631,1),Players!$A$2:$D$132,3),"")</f>
        <v/>
      </c>
      <c r="H2631" s="225"/>
      <c r="I2631" s="225"/>
      <c r="J2631" s="168" t="str">
        <f>IF(VLOOKUP($D2623&amp;RIGHT($A2631,1),Players!$A$2:$D$132,3)&lt;&gt;0,"("&amp;VLOOKUP($D2623&amp;RIGHT($A2631,1),Players!$A$2:$D$132,4)&amp;")","")</f>
        <v/>
      </c>
    </row>
    <row r="2632" spans="1:10" ht="25.5" customHeight="1" x14ac:dyDescent="0.4">
      <c r="A2632" s="37" t="str">
        <f>CONCATENATE($I2623,"3")</f>
        <v>H3</v>
      </c>
      <c r="B2632" s="222" t="str">
        <f>IF(VLOOKUP($A2632,Players!$A$2:$C$132,3)&lt;&gt;0,VLOOKUP($A2632,Players!$A$2:$C$132,3),"")</f>
        <v/>
      </c>
      <c r="C2632" s="222"/>
      <c r="D2632" s="222"/>
      <c r="E2632" s="222"/>
      <c r="F2632" s="222"/>
      <c r="G2632" s="225" t="str">
        <f>IF(VLOOKUP($D2623&amp;RIGHT($A2632,1),Players!$A$2:$D$132,3)&lt;&gt;0,VLOOKUP($D2623&amp;RIGHT($A2632,1),Players!$A$2:$D$132,3),"")</f>
        <v/>
      </c>
      <c r="H2632" s="225"/>
      <c r="I2632" s="225"/>
      <c r="J2632" s="168" t="str">
        <f>IF(VLOOKUP($D2623&amp;RIGHT($A2632,1),Players!$A$2:$D$132,3)&lt;&gt;0,"("&amp;VLOOKUP($D2623&amp;RIGHT($A2632,1),Players!$A$2:$D$132,4)&amp;")","")</f>
        <v/>
      </c>
    </row>
    <row r="2633" spans="1:10" ht="25.5" customHeight="1" x14ac:dyDescent="0.4">
      <c r="A2633" s="37" t="str">
        <f>CONCATENATE($I2623,"4")</f>
        <v>H4</v>
      </c>
      <c r="B2633" s="222" t="str">
        <f>IF(VLOOKUP($A2633,Players!$A$2:$C$132,3)&lt;&gt;0,VLOOKUP($A2633,Players!$A$2:$C$132,3),"")</f>
        <v/>
      </c>
      <c r="C2633" s="222"/>
      <c r="D2633" s="222"/>
      <c r="E2633" s="222"/>
      <c r="F2633" s="222"/>
      <c r="G2633" s="225" t="str">
        <f>IF(VLOOKUP($D2623&amp;RIGHT($A2633,1),Players!$A$2:$D$132,3)&lt;&gt;0,VLOOKUP($D2623&amp;RIGHT($A2633,1),Players!$A$2:$D$132,3),"")</f>
        <v/>
      </c>
      <c r="H2633" s="225"/>
      <c r="I2633" s="225"/>
      <c r="J2633" s="168" t="str">
        <f>IF(VLOOKUP($D2623&amp;RIGHT($A2633,1),Players!$A$2:$D$132,3)&lt;&gt;0,"("&amp;VLOOKUP($D2623&amp;RIGHT($A2633,1),Players!$A$2:$D$132,4)&amp;")","")</f>
        <v/>
      </c>
    </row>
    <row r="2634" spans="1:10" ht="25.5" customHeight="1" x14ac:dyDescent="0.4">
      <c r="A2634" s="37" t="str">
        <f>CONCATENATE($I2623,"5")</f>
        <v>H5</v>
      </c>
      <c r="B2634" s="222" t="str">
        <f>IF(VLOOKUP($A2634,Players!$A$2:$C$132,3)&lt;&gt;0,VLOOKUP($A2634,Players!$A$2:$C$132,3),"")</f>
        <v/>
      </c>
      <c r="C2634" s="222"/>
      <c r="D2634" s="222"/>
      <c r="E2634" s="222"/>
      <c r="F2634" s="222"/>
      <c r="G2634" s="225" t="str">
        <f>IF(VLOOKUP($D2623&amp;RIGHT($A2634,1),Players!$A$2:$D$132,3)&lt;&gt;0,VLOOKUP($D2623&amp;RIGHT($A2634,1),Players!$A$2:$D$132,3),"")</f>
        <v/>
      </c>
      <c r="H2634" s="225"/>
      <c r="I2634" s="225"/>
      <c r="J2634" s="168" t="str">
        <f>IF(VLOOKUP($D2623&amp;RIGHT($A2634,1),Players!$A$2:$D$132,3)&lt;&gt;0,"("&amp;VLOOKUP($D2623&amp;RIGHT($A2634,1),Players!$A$2:$D$132,4)&amp;")","")</f>
        <v/>
      </c>
    </row>
    <row r="2635" spans="1:10" ht="25.5" customHeight="1" x14ac:dyDescent="0.4">
      <c r="A2635" s="37" t="str">
        <f>CONCATENATE($I2623,"6")</f>
        <v>H6</v>
      </c>
      <c r="B2635" s="222" t="str">
        <f>IF(VLOOKUP($A2635,Players!$A$2:$C$132,3)&lt;&gt;0,VLOOKUP($A2635,Players!$A$2:$C$132,3),"")</f>
        <v/>
      </c>
      <c r="C2635" s="222"/>
      <c r="D2635" s="222"/>
      <c r="E2635" s="222"/>
      <c r="F2635" s="222"/>
      <c r="G2635" s="225" t="str">
        <f>IF(VLOOKUP($D2623&amp;RIGHT($A2635,1),Players!$A$2:$D$132,3)&lt;&gt;0,VLOOKUP($D2623&amp;RIGHT($A2635,1),Players!$A$2:$D$132,3),"")</f>
        <v/>
      </c>
      <c r="H2635" s="225"/>
      <c r="I2635" s="225"/>
      <c r="J2635" s="168" t="str">
        <f>IF(VLOOKUP($D2623&amp;RIGHT($A2635,1),Players!$A$2:$D$132,3)&lt;&gt;0,"("&amp;VLOOKUP($D2623&amp;RIGHT($A2635,1),Players!$A$2:$D$132,4)&amp;")","")</f>
        <v/>
      </c>
    </row>
    <row r="2636" spans="1:10" ht="25.5" customHeight="1" x14ac:dyDescent="0.4">
      <c r="A2636" s="37" t="str">
        <f>CONCATENATE($I2623,"7")</f>
        <v>H7</v>
      </c>
      <c r="B2636" s="222" t="str">
        <f>IF(VLOOKUP($A2636,Players!$A$2:$C$132,3)&lt;&gt;0,VLOOKUP($A2636,Players!$A$2:$C$132,3),"")</f>
        <v/>
      </c>
      <c r="C2636" s="222"/>
      <c r="D2636" s="222"/>
      <c r="E2636" s="222"/>
      <c r="F2636" s="222"/>
      <c r="G2636" s="225" t="str">
        <f>IF(VLOOKUP($D2623&amp;RIGHT($A2636,1),Players!$A$2:$D$132,3)&lt;&gt;0,VLOOKUP($D2623&amp;RIGHT($A2636,1),Players!$A$2:$D$132,3),"")</f>
        <v/>
      </c>
      <c r="H2636" s="225"/>
      <c r="I2636" s="225"/>
      <c r="J2636" s="168" t="str">
        <f>IF(VLOOKUP($D2623&amp;RIGHT($A2636,1),Players!$A$2:$D$132,3)&lt;&gt;0,"("&amp;VLOOKUP($D2623&amp;RIGHT($A2636,1),Players!$A$2:$D$132,4)&amp;")","")</f>
        <v/>
      </c>
    </row>
    <row r="2637" spans="1:10" ht="25.5" customHeight="1" x14ac:dyDescent="0.4">
      <c r="A2637" s="37" t="str">
        <f>CONCATENATE($I2623,"8")</f>
        <v>H8</v>
      </c>
      <c r="B2637" s="222" t="str">
        <f>IF(VLOOKUP($A2637,Players!$A$2:$C$132,3)&lt;&gt;0,VLOOKUP($A2637,Players!$A$2:$C$132,3),"")</f>
        <v/>
      </c>
      <c r="C2637" s="222"/>
      <c r="D2637" s="222"/>
      <c r="E2637" s="222"/>
      <c r="F2637" s="222"/>
      <c r="G2637" s="225" t="str">
        <f>IF(VLOOKUP($D2623&amp;RIGHT($A2637,1),Players!$A$2:$D$132,3)&lt;&gt;0,VLOOKUP($D2623&amp;RIGHT($A2637,1),Players!$A$2:$D$132,3),"")</f>
        <v/>
      </c>
      <c r="H2637" s="225"/>
      <c r="I2637" s="225"/>
      <c r="J2637" s="168" t="str">
        <f>IF(VLOOKUP($D2623&amp;RIGHT($A2637,1),Players!$A$2:$D$132,3)&lt;&gt;0,"("&amp;VLOOKUP($D2623&amp;RIGHT($A2637,1),Players!$A$2:$D$132,4)&amp;")","")</f>
        <v/>
      </c>
    </row>
    <row r="2638" spans="1:10" ht="25.5" customHeight="1" x14ac:dyDescent="0.25">
      <c r="A2638" s="37"/>
      <c r="B2638" s="7"/>
      <c r="C2638" s="7"/>
      <c r="D2638" s="7"/>
      <c r="E2638" s="7"/>
    </row>
    <row r="2639" spans="1:10" x14ac:dyDescent="0.25">
      <c r="A2639" s="9" t="s">
        <v>157</v>
      </c>
    </row>
    <row r="2640" spans="1:10" x14ac:dyDescent="0.25">
      <c r="A2640" t="s">
        <v>179</v>
      </c>
    </row>
    <row r="2641" spans="1:10" x14ac:dyDescent="0.25">
      <c r="A2641" s="55" t="s">
        <v>918</v>
      </c>
    </row>
    <row r="2642" spans="1:10" x14ac:dyDescent="0.25">
      <c r="A2642" t="s">
        <v>919</v>
      </c>
    </row>
    <row r="2643" spans="1:10" ht="25.5" customHeight="1" thickBot="1" x14ac:dyDescent="0.3">
      <c r="A2643" s="37"/>
    </row>
    <row r="2644" spans="1:10" x14ac:dyDescent="0.25">
      <c r="B2644" s="213"/>
      <c r="C2644" s="214"/>
      <c r="D2644" s="214"/>
      <c r="E2644" s="214"/>
      <c r="F2644" s="215"/>
    </row>
    <row r="2645" spans="1:10" ht="13.8" thickBot="1" x14ac:dyDescent="0.3">
      <c r="B2645" s="216"/>
      <c r="C2645" s="217"/>
      <c r="D2645" s="217"/>
      <c r="E2645" s="217"/>
      <c r="F2645" s="218"/>
    </row>
    <row r="2649" spans="1:10" ht="25.5" customHeight="1" x14ac:dyDescent="0.25">
      <c r="A2649" s="36"/>
      <c r="B2649" s="36"/>
      <c r="C2649" s="36"/>
      <c r="D2649" s="36"/>
      <c r="E2649" s="36"/>
      <c r="G2649" s="38"/>
      <c r="H2649" s="227" t="s">
        <v>159</v>
      </c>
      <c r="I2649" s="228"/>
    </row>
    <row r="2650" spans="1:10" x14ac:dyDescent="0.25">
      <c r="A2650" t="s">
        <v>158</v>
      </c>
    </row>
    <row r="2652" spans="1:10" x14ac:dyDescent="0.25">
      <c r="E2652" s="219" t="str">
        <f>CONCATENATE("(",$D2623," vs ",$I2623,")")</f>
        <v>(D vs H)</v>
      </c>
      <c r="F2652" s="219"/>
    </row>
    <row r="2653" spans="1:10" ht="15.6" x14ac:dyDescent="0.3">
      <c r="A2653" s="33" t="s">
        <v>155</v>
      </c>
      <c r="J2653" s="82" t="s">
        <v>549</v>
      </c>
    </row>
    <row r="2654" spans="1:10" ht="12.75" customHeight="1" x14ac:dyDescent="0.3">
      <c r="A2654" s="33"/>
      <c r="G2654" t="str">
        <f ca="1">Team_Matches!$J$6</f>
        <v>[NCTTA Teams Template (v3.4).xlsx]</v>
      </c>
      <c r="J2654" s="55"/>
    </row>
    <row r="2655" spans="1:10" ht="12.75" customHeight="1" x14ac:dyDescent="0.3">
      <c r="A2655" s="33"/>
      <c r="G2655" s="229" t="str">
        <f>Team_Matches!$J1996</f>
        <v>Round 7, Match 4</v>
      </c>
      <c r="H2655" s="229"/>
      <c r="I2655" s="127" t="str">
        <f>Team_Matches!$M1996</f>
        <v/>
      </c>
      <c r="J2655" s="127"/>
    </row>
    <row r="2656" spans="1:10" ht="15.6" x14ac:dyDescent="0.3">
      <c r="A2656" s="33"/>
    </row>
    <row r="2657" spans="1:10" x14ac:dyDescent="0.25">
      <c r="C2657" s="7" t="s">
        <v>160</v>
      </c>
      <c r="D2657" s="39" t="str">
        <f>Team_Matches!$B1998</f>
        <v>C</v>
      </c>
      <c r="F2657" s="83" t="str">
        <f>CONCATENATE($D2657,"-",$I2657)</f>
        <v>C-I</v>
      </c>
      <c r="H2657" s="7" t="s">
        <v>160</v>
      </c>
      <c r="I2657" s="39" t="str">
        <f>Team_Matches!$K1998</f>
        <v>I</v>
      </c>
    </row>
    <row r="2658" spans="1:10" ht="25.5" customHeight="1" x14ac:dyDescent="0.25">
      <c r="A2658" s="34"/>
      <c r="B2658" s="220" t="str">
        <f>IF(VLOOKUP($D2657,Draw!$A$4:$B$27,2)&lt;&gt;0,VLOOKUP($D2657,Draw!$A$4:$B$27,2),"")</f>
        <v/>
      </c>
      <c r="C2658" s="220"/>
      <c r="D2658" s="220"/>
      <c r="E2658" s="221"/>
      <c r="F2658" s="35"/>
      <c r="G2658" s="223" t="str">
        <f>IF(VLOOKUP($I2657,Draw!$A$4:$B$27,2)&lt;&gt;0,VLOOKUP($I2657,Draw!$A$4:$B$27,2),"")</f>
        <v/>
      </c>
      <c r="H2658" s="223"/>
      <c r="I2658" s="223"/>
      <c r="J2658" s="224"/>
    </row>
    <row r="2659" spans="1:10" ht="25.5" customHeight="1" x14ac:dyDescent="0.25"/>
    <row r="2660" spans="1:10" ht="25.5" customHeight="1" x14ac:dyDescent="0.25"/>
    <row r="2661" spans="1:10" ht="24" customHeight="1" x14ac:dyDescent="0.25">
      <c r="A2661" s="9" t="s">
        <v>178</v>
      </c>
    </row>
    <row r="2662" spans="1:10" ht="24" customHeight="1" x14ac:dyDescent="0.25">
      <c r="A2662" s="9"/>
    </row>
    <row r="2663" spans="1:10" x14ac:dyDescent="0.25">
      <c r="A2663" s="9" t="s">
        <v>156</v>
      </c>
      <c r="G2663" s="226" t="s">
        <v>873</v>
      </c>
      <c r="H2663" s="226"/>
      <c r="I2663" s="226"/>
      <c r="J2663" s="226"/>
    </row>
    <row r="2664" spans="1:10" ht="24" customHeight="1" x14ac:dyDescent="0.4">
      <c r="A2664" s="37" t="str">
        <f>CONCATENATE($D2657,"1")</f>
        <v>C1</v>
      </c>
      <c r="B2664" s="222" t="str">
        <f>IF(VLOOKUP($A2664,Players!$A$2:$C$132,3)&lt;&gt;0,VLOOKUP($A2664,Players!$A$2:$C$132,3),"")</f>
        <v/>
      </c>
      <c r="C2664" s="222"/>
      <c r="D2664" s="222"/>
      <c r="E2664" s="222"/>
      <c r="F2664" s="222"/>
      <c r="G2664" s="225" t="str">
        <f>IF(VLOOKUP($I2657&amp;RIGHT($A2664,1),Players!$A$2:$D$132,3)&lt;&gt;0,VLOOKUP($I2657&amp;RIGHT($A2664,1),Players!$A$2:$D$132,3),"")</f>
        <v/>
      </c>
      <c r="H2664" s="225"/>
      <c r="I2664" s="225"/>
      <c r="J2664" s="168" t="str">
        <f>IF(VLOOKUP($I2657&amp;RIGHT($A2664,1),Players!$A$2:$D$132,3)&lt;&gt;0,"("&amp;VLOOKUP($I2657&amp;RIGHT($A2664,1),Players!$A$2:$D$132,4)&amp;")","")</f>
        <v/>
      </c>
    </row>
    <row r="2665" spans="1:10" ht="25.5" customHeight="1" x14ac:dyDescent="0.4">
      <c r="A2665" s="37" t="str">
        <f>CONCATENATE($D2657,"2")</f>
        <v>C2</v>
      </c>
      <c r="B2665" s="222" t="str">
        <f>IF(VLOOKUP($A2665,Players!$A$2:$C$132,3)&lt;&gt;0,VLOOKUP($A2665,Players!$A$2:$C$132,3),"")</f>
        <v/>
      </c>
      <c r="C2665" s="222"/>
      <c r="D2665" s="222"/>
      <c r="E2665" s="222"/>
      <c r="F2665" s="222"/>
      <c r="G2665" s="225" t="str">
        <f>IF(VLOOKUP($I2657&amp;RIGHT($A2665,1),Players!$A$2:$D$132,3)&lt;&gt;0,VLOOKUP($I2657&amp;RIGHT($A2665,1),Players!$A$2:$D$132,3),"")</f>
        <v/>
      </c>
      <c r="H2665" s="225"/>
      <c r="I2665" s="225"/>
      <c r="J2665" s="168" t="str">
        <f>IF(VLOOKUP($I2657&amp;RIGHT($A2665,1),Players!$A$2:$D$132,3)&lt;&gt;0,"("&amp;VLOOKUP($I2657&amp;RIGHT($A2665,1),Players!$A$2:$D$132,4)&amp;")","")</f>
        <v/>
      </c>
    </row>
    <row r="2666" spans="1:10" ht="25.5" customHeight="1" x14ac:dyDescent="0.4">
      <c r="A2666" s="37" t="str">
        <f>CONCATENATE($D2657,"3")</f>
        <v>C3</v>
      </c>
      <c r="B2666" s="222" t="str">
        <f>IF(VLOOKUP($A2666,Players!$A$2:$C$132,3)&lt;&gt;0,VLOOKUP($A2666,Players!$A$2:$C$132,3),"")</f>
        <v/>
      </c>
      <c r="C2666" s="222"/>
      <c r="D2666" s="222"/>
      <c r="E2666" s="222"/>
      <c r="F2666" s="222"/>
      <c r="G2666" s="225" t="str">
        <f>IF(VLOOKUP($I2657&amp;RIGHT($A2666,1),Players!$A$2:$D$132,3)&lt;&gt;0,VLOOKUP($I2657&amp;RIGHT($A2666,1),Players!$A$2:$D$132,3),"")</f>
        <v/>
      </c>
      <c r="H2666" s="225"/>
      <c r="I2666" s="225"/>
      <c r="J2666" s="168" t="str">
        <f>IF(VLOOKUP($I2657&amp;RIGHT($A2666,1),Players!$A$2:$D$132,3)&lt;&gt;0,"("&amp;VLOOKUP($I2657&amp;RIGHT($A2666,1),Players!$A$2:$D$132,4)&amp;")","")</f>
        <v/>
      </c>
    </row>
    <row r="2667" spans="1:10" ht="25.5" customHeight="1" x14ac:dyDescent="0.4">
      <c r="A2667" s="37" t="str">
        <f>CONCATENATE($D2657,"4")</f>
        <v>C4</v>
      </c>
      <c r="B2667" s="222" t="str">
        <f>IF(VLOOKUP($A2667,Players!$A$2:$C$132,3)&lt;&gt;0,VLOOKUP($A2667,Players!$A$2:$C$132,3),"")</f>
        <v/>
      </c>
      <c r="C2667" s="222"/>
      <c r="D2667" s="222"/>
      <c r="E2667" s="222"/>
      <c r="F2667" s="222"/>
      <c r="G2667" s="225" t="str">
        <f>IF(VLOOKUP($I2657&amp;RIGHT($A2667,1),Players!$A$2:$D$132,3)&lt;&gt;0,VLOOKUP($I2657&amp;RIGHT($A2667,1),Players!$A$2:$D$132,3),"")</f>
        <v/>
      </c>
      <c r="H2667" s="225"/>
      <c r="I2667" s="225"/>
      <c r="J2667" s="168" t="str">
        <f>IF(VLOOKUP($I2657&amp;RIGHT($A2667,1),Players!$A$2:$D$132,3)&lt;&gt;0,"("&amp;VLOOKUP($I2657&amp;RIGHT($A2667,1),Players!$A$2:$D$132,4)&amp;")","")</f>
        <v/>
      </c>
    </row>
    <row r="2668" spans="1:10" ht="25.5" customHeight="1" x14ac:dyDescent="0.4">
      <c r="A2668" s="37" t="str">
        <f>CONCATENATE($D2657,"5")</f>
        <v>C5</v>
      </c>
      <c r="B2668" s="222" t="str">
        <f>IF(VLOOKUP($A2668,Players!$A$2:$C$132,3)&lt;&gt;0,VLOOKUP($A2668,Players!$A$2:$C$132,3),"")</f>
        <v/>
      </c>
      <c r="C2668" s="222"/>
      <c r="D2668" s="222"/>
      <c r="E2668" s="222"/>
      <c r="F2668" s="222"/>
      <c r="G2668" s="225" t="str">
        <f>IF(VLOOKUP($I2657&amp;RIGHT($A2668,1),Players!$A$2:$D$132,3)&lt;&gt;0,VLOOKUP($I2657&amp;RIGHT($A2668,1),Players!$A$2:$D$132,3),"")</f>
        <v/>
      </c>
      <c r="H2668" s="225"/>
      <c r="I2668" s="225"/>
      <c r="J2668" s="168" t="str">
        <f>IF(VLOOKUP($I2657&amp;RIGHT($A2668,1),Players!$A$2:$D$132,3)&lt;&gt;0,"("&amp;VLOOKUP($I2657&amp;RIGHT($A2668,1),Players!$A$2:$D$132,4)&amp;")","")</f>
        <v/>
      </c>
    </row>
    <row r="2669" spans="1:10" ht="25.5" customHeight="1" x14ac:dyDescent="0.4">
      <c r="A2669" s="37" t="str">
        <f>CONCATENATE($D2657,"6")</f>
        <v>C6</v>
      </c>
      <c r="B2669" s="222" t="str">
        <f>IF(VLOOKUP($A2669,Players!$A$2:$C$132,3)&lt;&gt;0,VLOOKUP($A2669,Players!$A$2:$C$132,3),"")</f>
        <v/>
      </c>
      <c r="C2669" s="222"/>
      <c r="D2669" s="222"/>
      <c r="E2669" s="222"/>
      <c r="F2669" s="222"/>
      <c r="G2669" s="225" t="str">
        <f>IF(VLOOKUP($I2657&amp;RIGHT($A2669,1),Players!$A$2:$D$132,3)&lt;&gt;0,VLOOKUP($I2657&amp;RIGHT($A2669,1),Players!$A$2:$D$132,3),"")</f>
        <v/>
      </c>
      <c r="H2669" s="225"/>
      <c r="I2669" s="225"/>
      <c r="J2669" s="168" t="str">
        <f>IF(VLOOKUP($I2657&amp;RIGHT($A2669,1),Players!$A$2:$D$132,3)&lt;&gt;0,"("&amp;VLOOKUP($I2657&amp;RIGHT($A2669,1),Players!$A$2:$D$132,4)&amp;")","")</f>
        <v/>
      </c>
    </row>
    <row r="2670" spans="1:10" ht="25.5" customHeight="1" x14ac:dyDescent="0.4">
      <c r="A2670" s="37" t="str">
        <f>CONCATENATE($D2657,"7")</f>
        <v>C7</v>
      </c>
      <c r="B2670" s="222" t="str">
        <f>IF(VLOOKUP($A2670,Players!$A$2:$C$132,3)&lt;&gt;0,VLOOKUP($A2670,Players!$A$2:$C$132,3),"")</f>
        <v/>
      </c>
      <c r="C2670" s="222"/>
      <c r="D2670" s="222"/>
      <c r="E2670" s="222"/>
      <c r="F2670" s="222"/>
      <c r="G2670" s="225" t="str">
        <f>IF(VLOOKUP($I2657&amp;RIGHT($A2670,1),Players!$A$2:$D$132,3)&lt;&gt;0,VLOOKUP($I2657&amp;RIGHT($A2670,1),Players!$A$2:$D$132,3),"")</f>
        <v/>
      </c>
      <c r="H2670" s="225"/>
      <c r="I2670" s="225"/>
      <c r="J2670" s="168" t="str">
        <f>IF(VLOOKUP($I2657&amp;RIGHT($A2670,1),Players!$A$2:$D$132,3)&lt;&gt;0,"("&amp;VLOOKUP($I2657&amp;RIGHT($A2670,1),Players!$A$2:$D$132,4)&amp;")","")</f>
        <v/>
      </c>
    </row>
    <row r="2671" spans="1:10" ht="25.5" customHeight="1" x14ac:dyDescent="0.4">
      <c r="A2671" s="37" t="str">
        <f>CONCATENATE($D2657,"8")</f>
        <v>C8</v>
      </c>
      <c r="B2671" s="222" t="str">
        <f>IF(VLOOKUP($A2671,Players!$A$2:$C$132,3)&lt;&gt;0,VLOOKUP($A2671,Players!$A$2:$C$132,3),"")</f>
        <v/>
      </c>
      <c r="C2671" s="222"/>
      <c r="D2671" s="222"/>
      <c r="E2671" s="222"/>
      <c r="F2671" s="222"/>
      <c r="G2671" s="225" t="str">
        <f>IF(VLOOKUP($I2657&amp;RIGHT($A2671,1),Players!$A$2:$D$132,3)&lt;&gt;0,VLOOKUP($I2657&amp;RIGHT($A2671,1),Players!$A$2:$D$132,3),"")</f>
        <v/>
      </c>
      <c r="H2671" s="225"/>
      <c r="I2671" s="225"/>
      <c r="J2671" s="168" t="str">
        <f>IF(VLOOKUP($I2657&amp;RIGHT($A2671,1),Players!$A$2:$D$132,3)&lt;&gt;0,"("&amp;VLOOKUP($I2657&amp;RIGHT($A2671,1),Players!$A$2:$D$132,4)&amp;")","")</f>
        <v/>
      </c>
    </row>
    <row r="2672" spans="1:10" ht="25.5" customHeight="1" x14ac:dyDescent="0.25">
      <c r="A2672" s="37"/>
      <c r="B2672" s="7"/>
      <c r="C2672" s="7"/>
      <c r="D2672" s="7"/>
      <c r="E2672" s="7"/>
    </row>
    <row r="2673" spans="1:10" x14ac:dyDescent="0.25">
      <c r="A2673" s="9" t="s">
        <v>157</v>
      </c>
    </row>
    <row r="2674" spans="1:10" x14ac:dyDescent="0.25">
      <c r="A2674" t="s">
        <v>179</v>
      </c>
    </row>
    <row r="2675" spans="1:10" x14ac:dyDescent="0.25">
      <c r="A2675" s="55" t="s">
        <v>918</v>
      </c>
    </row>
    <row r="2676" spans="1:10" x14ac:dyDescent="0.25">
      <c r="A2676" t="s">
        <v>919</v>
      </c>
    </row>
    <row r="2677" spans="1:10" ht="25.5" customHeight="1" thickBot="1" x14ac:dyDescent="0.3">
      <c r="A2677" s="37"/>
    </row>
    <row r="2678" spans="1:10" x14ac:dyDescent="0.25">
      <c r="B2678" s="213"/>
      <c r="C2678" s="214"/>
      <c r="D2678" s="214"/>
      <c r="E2678" s="214"/>
      <c r="F2678" s="215"/>
    </row>
    <row r="2679" spans="1:10" ht="13.8" thickBot="1" x14ac:dyDescent="0.3">
      <c r="B2679" s="216"/>
      <c r="C2679" s="217"/>
      <c r="D2679" s="217"/>
      <c r="E2679" s="217"/>
      <c r="F2679" s="218"/>
    </row>
    <row r="2683" spans="1:10" ht="25.5" customHeight="1" x14ac:dyDescent="0.25">
      <c r="A2683" s="36"/>
      <c r="B2683" s="36"/>
      <c r="C2683" s="36"/>
      <c r="D2683" s="36"/>
      <c r="E2683" s="36"/>
      <c r="G2683" s="38"/>
      <c r="H2683" s="227" t="s">
        <v>159</v>
      </c>
      <c r="I2683" s="228"/>
    </row>
    <row r="2684" spans="1:10" x14ac:dyDescent="0.25">
      <c r="A2684" t="s">
        <v>158</v>
      </c>
    </row>
    <row r="2686" spans="1:10" x14ac:dyDescent="0.25">
      <c r="E2686" s="219" t="str">
        <f>CONCATENATE("(",$D2657," vs ",$I2657,")")</f>
        <v>(C vs I)</v>
      </c>
      <c r="F2686" s="219"/>
    </row>
    <row r="2687" spans="1:10" ht="15.6" x14ac:dyDescent="0.3">
      <c r="A2687" s="33" t="s">
        <v>155</v>
      </c>
      <c r="J2687" s="82" t="s">
        <v>550</v>
      </c>
    </row>
    <row r="2688" spans="1:10" ht="12.75" customHeight="1" x14ac:dyDescent="0.3">
      <c r="A2688" s="33"/>
      <c r="G2688" t="str">
        <f ca="1">Team_Matches!$J$6</f>
        <v>[NCTTA Teams Template (v3.4).xlsx]</v>
      </c>
      <c r="J2688" s="55"/>
    </row>
    <row r="2689" spans="1:10" ht="12.75" customHeight="1" x14ac:dyDescent="0.3">
      <c r="A2689" s="33"/>
      <c r="G2689" s="229" t="str">
        <f>Team_Matches!$J1996</f>
        <v>Round 7, Match 4</v>
      </c>
      <c r="H2689" s="229"/>
      <c r="I2689" s="127" t="str">
        <f>Team_Matches!$M1996</f>
        <v/>
      </c>
      <c r="J2689" s="127"/>
    </row>
    <row r="2690" spans="1:10" ht="15.6" x14ac:dyDescent="0.3">
      <c r="A2690" s="33"/>
    </row>
    <row r="2691" spans="1:10" x14ac:dyDescent="0.25">
      <c r="C2691" s="7" t="s">
        <v>160</v>
      </c>
      <c r="D2691" s="39" t="str">
        <f>Team_Matches!$B1998</f>
        <v>C</v>
      </c>
      <c r="F2691" s="83" t="str">
        <f>CONCATENATE($D2691,"-",$I2691)</f>
        <v>C-I</v>
      </c>
      <c r="H2691" s="7" t="s">
        <v>160</v>
      </c>
      <c r="I2691" s="39" t="str">
        <f>Team_Matches!$K1998</f>
        <v>I</v>
      </c>
    </row>
    <row r="2692" spans="1:10" ht="25.5" customHeight="1" x14ac:dyDescent="0.25">
      <c r="A2692" s="34"/>
      <c r="B2692" s="223" t="str">
        <f>IF(VLOOKUP($D2691,Draw!$A$4:$B$27,2)&lt;&gt;0,VLOOKUP($D2691,Draw!$A$4:$B$27,2),"")</f>
        <v/>
      </c>
      <c r="C2692" s="223"/>
      <c r="D2692" s="223"/>
      <c r="E2692" s="224"/>
      <c r="F2692" s="35"/>
      <c r="G2692" s="220" t="str">
        <f>IF(VLOOKUP($I2691,Draw!$A$4:$B$27,2)&lt;&gt;0,VLOOKUP($I2691,Draw!$A$4:$B$27,2),"")</f>
        <v/>
      </c>
      <c r="H2692" s="220"/>
      <c r="I2692" s="220"/>
      <c r="J2692" s="221"/>
    </row>
    <row r="2693" spans="1:10" ht="25.5" customHeight="1" x14ac:dyDescent="0.25"/>
    <row r="2694" spans="1:10" ht="25.5" customHeight="1" x14ac:dyDescent="0.25"/>
    <row r="2695" spans="1:10" ht="24" customHeight="1" x14ac:dyDescent="0.25">
      <c r="A2695" s="9" t="s">
        <v>178</v>
      </c>
    </row>
    <row r="2696" spans="1:10" ht="24" customHeight="1" x14ac:dyDescent="0.25">
      <c r="A2696" s="9"/>
    </row>
    <row r="2697" spans="1:10" x14ac:dyDescent="0.25">
      <c r="A2697" s="9" t="s">
        <v>156</v>
      </c>
      <c r="G2697" s="226" t="s">
        <v>873</v>
      </c>
      <c r="H2697" s="226"/>
      <c r="I2697" s="226"/>
      <c r="J2697" s="226"/>
    </row>
    <row r="2698" spans="1:10" ht="24" customHeight="1" x14ac:dyDescent="0.4">
      <c r="A2698" s="37" t="str">
        <f>CONCATENATE($I2691,"1")</f>
        <v>I1</v>
      </c>
      <c r="B2698" s="222" t="str">
        <f>IF(VLOOKUP($A2698,Players!$A$2:$C$132,3)&lt;&gt;0,VLOOKUP($A2698,Players!$A$2:$C$132,3),"")</f>
        <v/>
      </c>
      <c r="C2698" s="222"/>
      <c r="D2698" s="222"/>
      <c r="E2698" s="222"/>
      <c r="F2698" s="222"/>
      <c r="G2698" s="225" t="str">
        <f>IF(VLOOKUP($D2691&amp;RIGHT($A2698,1),Players!$A$2:$D$132,3)&lt;&gt;0,VLOOKUP($D2691&amp;RIGHT($A2698,1),Players!$A$2:$D$132,3),"")</f>
        <v/>
      </c>
      <c r="H2698" s="225"/>
      <c r="I2698" s="225"/>
      <c r="J2698" s="168" t="str">
        <f>IF(VLOOKUP($D2691&amp;RIGHT($A2698,1),Players!$A$2:$D$132,3)&lt;&gt;0,"("&amp;VLOOKUP($D2691&amp;RIGHT($A2698,1),Players!$A$2:$D$132,4)&amp;")","")</f>
        <v/>
      </c>
    </row>
    <row r="2699" spans="1:10" ht="25.5" customHeight="1" x14ac:dyDescent="0.4">
      <c r="A2699" s="37" t="str">
        <f>CONCATENATE($I2691,"2")</f>
        <v>I2</v>
      </c>
      <c r="B2699" s="222" t="str">
        <f>IF(VLOOKUP($A2699,Players!$A$2:$C$132,3)&lt;&gt;0,VLOOKUP($A2699,Players!$A$2:$C$132,3),"")</f>
        <v/>
      </c>
      <c r="C2699" s="222"/>
      <c r="D2699" s="222"/>
      <c r="E2699" s="222"/>
      <c r="F2699" s="222"/>
      <c r="G2699" s="225" t="str">
        <f>IF(VLOOKUP($D2691&amp;RIGHT($A2699,1),Players!$A$2:$D$132,3)&lt;&gt;0,VLOOKUP($D2691&amp;RIGHT($A2699,1),Players!$A$2:$D$132,3),"")</f>
        <v/>
      </c>
      <c r="H2699" s="225"/>
      <c r="I2699" s="225"/>
      <c r="J2699" s="168" t="str">
        <f>IF(VLOOKUP($D2691&amp;RIGHT($A2699,1),Players!$A$2:$D$132,3)&lt;&gt;0,"("&amp;VLOOKUP($D2691&amp;RIGHT($A2699,1),Players!$A$2:$D$132,4)&amp;")","")</f>
        <v/>
      </c>
    </row>
    <row r="2700" spans="1:10" ht="25.5" customHeight="1" x14ac:dyDescent="0.4">
      <c r="A2700" s="37" t="str">
        <f>CONCATENATE($I2691,"3")</f>
        <v>I3</v>
      </c>
      <c r="B2700" s="222" t="str">
        <f>IF(VLOOKUP($A2700,Players!$A$2:$C$132,3)&lt;&gt;0,VLOOKUP($A2700,Players!$A$2:$C$132,3),"")</f>
        <v/>
      </c>
      <c r="C2700" s="222"/>
      <c r="D2700" s="222"/>
      <c r="E2700" s="222"/>
      <c r="F2700" s="222"/>
      <c r="G2700" s="225" t="str">
        <f>IF(VLOOKUP($D2691&amp;RIGHT($A2700,1),Players!$A$2:$D$132,3)&lt;&gt;0,VLOOKUP($D2691&amp;RIGHT($A2700,1),Players!$A$2:$D$132,3),"")</f>
        <v/>
      </c>
      <c r="H2700" s="225"/>
      <c r="I2700" s="225"/>
      <c r="J2700" s="168" t="str">
        <f>IF(VLOOKUP($D2691&amp;RIGHT($A2700,1),Players!$A$2:$D$132,3)&lt;&gt;0,"("&amp;VLOOKUP($D2691&amp;RIGHT($A2700,1),Players!$A$2:$D$132,4)&amp;")","")</f>
        <v/>
      </c>
    </row>
    <row r="2701" spans="1:10" ht="25.5" customHeight="1" x14ac:dyDescent="0.4">
      <c r="A2701" s="37" t="str">
        <f>CONCATENATE($I2691,"4")</f>
        <v>I4</v>
      </c>
      <c r="B2701" s="222" t="str">
        <f>IF(VLOOKUP($A2701,Players!$A$2:$C$132,3)&lt;&gt;0,VLOOKUP($A2701,Players!$A$2:$C$132,3),"")</f>
        <v/>
      </c>
      <c r="C2701" s="222"/>
      <c r="D2701" s="222"/>
      <c r="E2701" s="222"/>
      <c r="F2701" s="222"/>
      <c r="G2701" s="225" t="str">
        <f>IF(VLOOKUP($D2691&amp;RIGHT($A2701,1),Players!$A$2:$D$132,3)&lt;&gt;0,VLOOKUP($D2691&amp;RIGHT($A2701,1),Players!$A$2:$D$132,3),"")</f>
        <v/>
      </c>
      <c r="H2701" s="225"/>
      <c r="I2701" s="225"/>
      <c r="J2701" s="168" t="str">
        <f>IF(VLOOKUP($D2691&amp;RIGHT($A2701,1),Players!$A$2:$D$132,3)&lt;&gt;0,"("&amp;VLOOKUP($D2691&amp;RIGHT($A2701,1),Players!$A$2:$D$132,4)&amp;")","")</f>
        <v/>
      </c>
    </row>
    <row r="2702" spans="1:10" ht="25.5" customHeight="1" x14ac:dyDescent="0.4">
      <c r="A2702" s="37" t="str">
        <f>CONCATENATE($I2691,"5")</f>
        <v>I5</v>
      </c>
      <c r="B2702" s="222" t="str">
        <f>IF(VLOOKUP($A2702,Players!$A$2:$C$132,3)&lt;&gt;0,VLOOKUP($A2702,Players!$A$2:$C$132,3),"")</f>
        <v/>
      </c>
      <c r="C2702" s="222"/>
      <c r="D2702" s="222"/>
      <c r="E2702" s="222"/>
      <c r="F2702" s="222"/>
      <c r="G2702" s="225" t="str">
        <f>IF(VLOOKUP($D2691&amp;RIGHT($A2702,1),Players!$A$2:$D$132,3)&lt;&gt;0,VLOOKUP($D2691&amp;RIGHT($A2702,1),Players!$A$2:$D$132,3),"")</f>
        <v/>
      </c>
      <c r="H2702" s="225"/>
      <c r="I2702" s="225"/>
      <c r="J2702" s="168" t="str">
        <f>IF(VLOOKUP($D2691&amp;RIGHT($A2702,1),Players!$A$2:$D$132,3)&lt;&gt;0,"("&amp;VLOOKUP($D2691&amp;RIGHT($A2702,1),Players!$A$2:$D$132,4)&amp;")","")</f>
        <v/>
      </c>
    </row>
    <row r="2703" spans="1:10" ht="25.5" customHeight="1" x14ac:dyDescent="0.4">
      <c r="A2703" s="37" t="str">
        <f>CONCATENATE($I2691,"6")</f>
        <v>I6</v>
      </c>
      <c r="B2703" s="222" t="str">
        <f>IF(VLOOKUP($A2703,Players!$A$2:$C$132,3)&lt;&gt;0,VLOOKUP($A2703,Players!$A$2:$C$132,3),"")</f>
        <v/>
      </c>
      <c r="C2703" s="222"/>
      <c r="D2703" s="222"/>
      <c r="E2703" s="222"/>
      <c r="F2703" s="222"/>
      <c r="G2703" s="225" t="str">
        <f>IF(VLOOKUP($D2691&amp;RIGHT($A2703,1),Players!$A$2:$D$132,3)&lt;&gt;0,VLOOKUP($D2691&amp;RIGHT($A2703,1),Players!$A$2:$D$132,3),"")</f>
        <v/>
      </c>
      <c r="H2703" s="225"/>
      <c r="I2703" s="225"/>
      <c r="J2703" s="168" t="str">
        <f>IF(VLOOKUP($D2691&amp;RIGHT($A2703,1),Players!$A$2:$D$132,3)&lt;&gt;0,"("&amp;VLOOKUP($D2691&amp;RIGHT($A2703,1),Players!$A$2:$D$132,4)&amp;")","")</f>
        <v/>
      </c>
    </row>
    <row r="2704" spans="1:10" ht="25.5" customHeight="1" x14ac:dyDescent="0.4">
      <c r="A2704" s="37" t="str">
        <f>CONCATENATE($I2691,"7")</f>
        <v>I7</v>
      </c>
      <c r="B2704" s="222" t="str">
        <f>IF(VLOOKUP($A2704,Players!$A$2:$C$132,3)&lt;&gt;0,VLOOKUP($A2704,Players!$A$2:$C$132,3),"")</f>
        <v/>
      </c>
      <c r="C2704" s="222"/>
      <c r="D2704" s="222"/>
      <c r="E2704" s="222"/>
      <c r="F2704" s="222"/>
      <c r="G2704" s="225" t="str">
        <f>IF(VLOOKUP($D2691&amp;RIGHT($A2704,1),Players!$A$2:$D$132,3)&lt;&gt;0,VLOOKUP($D2691&amp;RIGHT($A2704,1),Players!$A$2:$D$132,3),"")</f>
        <v/>
      </c>
      <c r="H2704" s="225"/>
      <c r="I2704" s="225"/>
      <c r="J2704" s="168" t="str">
        <f>IF(VLOOKUP($D2691&amp;RIGHT($A2704,1),Players!$A$2:$D$132,3)&lt;&gt;0,"("&amp;VLOOKUP($D2691&amp;RIGHT($A2704,1),Players!$A$2:$D$132,4)&amp;")","")</f>
        <v/>
      </c>
    </row>
    <row r="2705" spans="1:10" ht="25.5" customHeight="1" x14ac:dyDescent="0.4">
      <c r="A2705" s="37" t="str">
        <f>CONCATENATE($I2691,"8")</f>
        <v>I8</v>
      </c>
      <c r="B2705" s="222" t="str">
        <f>IF(VLOOKUP($A2705,Players!$A$2:$C$132,3)&lt;&gt;0,VLOOKUP($A2705,Players!$A$2:$C$132,3),"")</f>
        <v/>
      </c>
      <c r="C2705" s="222"/>
      <c r="D2705" s="222"/>
      <c r="E2705" s="222"/>
      <c r="F2705" s="222"/>
      <c r="G2705" s="225" t="str">
        <f>IF(VLOOKUP($D2691&amp;RIGHT($A2705,1),Players!$A$2:$D$132,3)&lt;&gt;0,VLOOKUP($D2691&amp;RIGHT($A2705,1),Players!$A$2:$D$132,3),"")</f>
        <v/>
      </c>
      <c r="H2705" s="225"/>
      <c r="I2705" s="225"/>
      <c r="J2705" s="168" t="str">
        <f>IF(VLOOKUP($D2691&amp;RIGHT($A2705,1),Players!$A$2:$D$132,3)&lt;&gt;0,"("&amp;VLOOKUP($D2691&amp;RIGHT($A2705,1),Players!$A$2:$D$132,4)&amp;")","")</f>
        <v/>
      </c>
    </row>
    <row r="2706" spans="1:10" ht="25.5" customHeight="1" x14ac:dyDescent="0.25">
      <c r="A2706" s="37"/>
      <c r="B2706" s="7"/>
      <c r="C2706" s="7"/>
      <c r="D2706" s="7"/>
      <c r="E2706" s="7"/>
    </row>
    <row r="2707" spans="1:10" x14ac:dyDescent="0.25">
      <c r="A2707" s="9" t="s">
        <v>157</v>
      </c>
    </row>
    <row r="2708" spans="1:10" x14ac:dyDescent="0.25">
      <c r="A2708" t="s">
        <v>179</v>
      </c>
    </row>
    <row r="2709" spans="1:10" x14ac:dyDescent="0.25">
      <c r="A2709" s="55" t="s">
        <v>918</v>
      </c>
    </row>
    <row r="2710" spans="1:10" x14ac:dyDescent="0.25">
      <c r="A2710" t="s">
        <v>919</v>
      </c>
    </row>
    <row r="2711" spans="1:10" ht="25.5" customHeight="1" thickBot="1" x14ac:dyDescent="0.3">
      <c r="A2711" s="37"/>
    </row>
    <row r="2712" spans="1:10" x14ac:dyDescent="0.25">
      <c r="B2712" s="213"/>
      <c r="C2712" s="214"/>
      <c r="D2712" s="214"/>
      <c r="E2712" s="214"/>
      <c r="F2712" s="215"/>
    </row>
    <row r="2713" spans="1:10" ht="13.8" thickBot="1" x14ac:dyDescent="0.3">
      <c r="B2713" s="216"/>
      <c r="C2713" s="217"/>
      <c r="D2713" s="217"/>
      <c r="E2713" s="217"/>
      <c r="F2713" s="218"/>
    </row>
    <row r="2717" spans="1:10" ht="25.5" customHeight="1" x14ac:dyDescent="0.25">
      <c r="A2717" s="36"/>
      <c r="B2717" s="36"/>
      <c r="C2717" s="36"/>
      <c r="D2717" s="36"/>
      <c r="E2717" s="36"/>
      <c r="G2717" s="38"/>
      <c r="H2717" s="227" t="s">
        <v>159</v>
      </c>
      <c r="I2717" s="228"/>
    </row>
    <row r="2718" spans="1:10" x14ac:dyDescent="0.25">
      <c r="A2718" t="s">
        <v>158</v>
      </c>
    </row>
    <row r="2720" spans="1:10" x14ac:dyDescent="0.25">
      <c r="E2720" s="219" t="str">
        <f>CONCATENATE("(",$D2691," vs ",$I2691,")")</f>
        <v>(C vs I)</v>
      </c>
      <c r="F2720" s="219"/>
    </row>
    <row r="2721" spans="1:10" ht="15.6" x14ac:dyDescent="0.3">
      <c r="A2721" s="33" t="s">
        <v>155</v>
      </c>
      <c r="J2721" s="82" t="s">
        <v>551</v>
      </c>
    </row>
    <row r="2722" spans="1:10" ht="12.75" customHeight="1" x14ac:dyDescent="0.3">
      <c r="A2722" s="33"/>
      <c r="G2722" t="str">
        <f ca="1">Team_Matches!$J$6</f>
        <v>[NCTTA Teams Template (v3.4).xlsx]</v>
      </c>
      <c r="J2722" s="55"/>
    </row>
    <row r="2723" spans="1:10" ht="12.75" customHeight="1" x14ac:dyDescent="0.3">
      <c r="A2723" s="33"/>
      <c r="G2723" s="229" t="str">
        <f>Team_Matches!$J2047</f>
        <v>Round 7, Match 5</v>
      </c>
      <c r="H2723" s="229"/>
      <c r="I2723" s="127" t="str">
        <f>Team_Matches!$M2047</f>
        <v/>
      </c>
      <c r="J2723" s="127"/>
    </row>
    <row r="2724" spans="1:10" ht="15.6" x14ac:dyDescent="0.3">
      <c r="A2724" s="33"/>
    </row>
    <row r="2725" spans="1:10" x14ac:dyDescent="0.25">
      <c r="C2725" s="7" t="s">
        <v>160</v>
      </c>
      <c r="D2725" s="3" t="str">
        <f>Team_Matches!$B2049</f>
        <v>B</v>
      </c>
      <c r="F2725" s="83" t="str">
        <f>CONCATENATE($D2725,"-",$I2725)</f>
        <v>B-J</v>
      </c>
      <c r="H2725" s="7" t="s">
        <v>160</v>
      </c>
      <c r="I2725" s="39" t="str">
        <f>Team_Matches!$K2049</f>
        <v>J</v>
      </c>
    </row>
    <row r="2726" spans="1:10" ht="25.5" customHeight="1" x14ac:dyDescent="0.25">
      <c r="A2726" s="34"/>
      <c r="B2726" s="220" t="str">
        <f>IF(VLOOKUP($D2725,Draw!$A$4:$B$27,2)&lt;&gt;0,VLOOKUP($D2725,Draw!$A$4:$B$27,2),"")</f>
        <v/>
      </c>
      <c r="C2726" s="220"/>
      <c r="D2726" s="220"/>
      <c r="E2726" s="221"/>
      <c r="F2726" s="35"/>
      <c r="G2726" s="223" t="str">
        <f>IF(VLOOKUP($I2725,Draw!$A$4:$B$27,2)&lt;&gt;0,VLOOKUP($I2725,Draw!$A$4:$B$27,2),"")</f>
        <v/>
      </c>
      <c r="H2726" s="223"/>
      <c r="I2726" s="223"/>
      <c r="J2726" s="224"/>
    </row>
    <row r="2727" spans="1:10" ht="25.5" customHeight="1" x14ac:dyDescent="0.25"/>
    <row r="2728" spans="1:10" ht="25.5" customHeight="1" x14ac:dyDescent="0.25"/>
    <row r="2729" spans="1:10" ht="24" customHeight="1" x14ac:dyDescent="0.25">
      <c r="A2729" s="9" t="s">
        <v>178</v>
      </c>
    </row>
    <row r="2730" spans="1:10" ht="24" customHeight="1" x14ac:dyDescent="0.25">
      <c r="A2730" s="9"/>
    </row>
    <row r="2731" spans="1:10" x14ac:dyDescent="0.25">
      <c r="A2731" s="9" t="s">
        <v>156</v>
      </c>
      <c r="G2731" s="226" t="s">
        <v>873</v>
      </c>
      <c r="H2731" s="226"/>
      <c r="I2731" s="226"/>
      <c r="J2731" s="226"/>
    </row>
    <row r="2732" spans="1:10" ht="24" customHeight="1" x14ac:dyDescent="0.4">
      <c r="A2732" s="37" t="str">
        <f>CONCATENATE($D2725,"1")</f>
        <v>B1</v>
      </c>
      <c r="B2732" s="222" t="str">
        <f>IF(VLOOKUP($A2732,Players!$A$2:$C$132,3)&lt;&gt;0,VLOOKUP($A2732,Players!$A$2:$C$132,3),"")</f>
        <v/>
      </c>
      <c r="C2732" s="222"/>
      <c r="D2732" s="222"/>
      <c r="E2732" s="222"/>
      <c r="F2732" s="222"/>
      <c r="G2732" s="225" t="str">
        <f>IF(VLOOKUP($I2725&amp;RIGHT($A2732,1),Players!$A$2:$D$132,3)&lt;&gt;0,VLOOKUP($I2725&amp;RIGHT($A2732,1),Players!$A$2:$D$132,3),"")</f>
        <v/>
      </c>
      <c r="H2732" s="225"/>
      <c r="I2732" s="225"/>
      <c r="J2732" s="168" t="str">
        <f>IF(VLOOKUP($I2725&amp;RIGHT($A2732,1),Players!$A$2:$D$132,3)&lt;&gt;0,"("&amp;VLOOKUP($I2725&amp;RIGHT($A2732,1),Players!$A$2:$D$132,4)&amp;")","")</f>
        <v/>
      </c>
    </row>
    <row r="2733" spans="1:10" ht="25.5" customHeight="1" x14ac:dyDescent="0.4">
      <c r="A2733" s="37" t="str">
        <f>CONCATENATE($D2725,"2")</f>
        <v>B2</v>
      </c>
      <c r="B2733" s="222" t="str">
        <f>IF(VLOOKUP($A2733,Players!$A$2:$C$132,3)&lt;&gt;0,VLOOKUP($A2733,Players!$A$2:$C$132,3),"")</f>
        <v/>
      </c>
      <c r="C2733" s="222"/>
      <c r="D2733" s="222"/>
      <c r="E2733" s="222"/>
      <c r="F2733" s="222"/>
      <c r="G2733" s="225" t="str">
        <f>IF(VLOOKUP($I2725&amp;RIGHT($A2733,1),Players!$A$2:$D$132,3)&lt;&gt;0,VLOOKUP($I2725&amp;RIGHT($A2733,1),Players!$A$2:$D$132,3),"")</f>
        <v/>
      </c>
      <c r="H2733" s="225"/>
      <c r="I2733" s="225"/>
      <c r="J2733" s="168" t="str">
        <f>IF(VLOOKUP($I2725&amp;RIGHT($A2733,1),Players!$A$2:$D$132,3)&lt;&gt;0,"("&amp;VLOOKUP($I2725&amp;RIGHT($A2733,1),Players!$A$2:$D$132,4)&amp;")","")</f>
        <v/>
      </c>
    </row>
    <row r="2734" spans="1:10" ht="25.5" customHeight="1" x14ac:dyDescent="0.4">
      <c r="A2734" s="37" t="str">
        <f>CONCATENATE($D2725,"3")</f>
        <v>B3</v>
      </c>
      <c r="B2734" s="222" t="str">
        <f>IF(VLOOKUP($A2734,Players!$A$2:$C$132,3)&lt;&gt;0,VLOOKUP($A2734,Players!$A$2:$C$132,3),"")</f>
        <v/>
      </c>
      <c r="C2734" s="222"/>
      <c r="D2734" s="222"/>
      <c r="E2734" s="222"/>
      <c r="F2734" s="222"/>
      <c r="G2734" s="225" t="str">
        <f>IF(VLOOKUP($I2725&amp;RIGHT($A2734,1),Players!$A$2:$D$132,3)&lt;&gt;0,VLOOKUP($I2725&amp;RIGHT($A2734,1),Players!$A$2:$D$132,3),"")</f>
        <v/>
      </c>
      <c r="H2734" s="225"/>
      <c r="I2734" s="225"/>
      <c r="J2734" s="168" t="str">
        <f>IF(VLOOKUP($I2725&amp;RIGHT($A2734,1),Players!$A$2:$D$132,3)&lt;&gt;0,"("&amp;VLOOKUP($I2725&amp;RIGHT($A2734,1),Players!$A$2:$D$132,4)&amp;")","")</f>
        <v/>
      </c>
    </row>
    <row r="2735" spans="1:10" ht="25.5" customHeight="1" x14ac:dyDescent="0.4">
      <c r="A2735" s="37" t="str">
        <f>CONCATENATE($D2725,"4")</f>
        <v>B4</v>
      </c>
      <c r="B2735" s="222" t="str">
        <f>IF(VLOOKUP($A2735,Players!$A$2:$C$132,3)&lt;&gt;0,VLOOKUP($A2735,Players!$A$2:$C$132,3),"")</f>
        <v/>
      </c>
      <c r="C2735" s="222"/>
      <c r="D2735" s="222"/>
      <c r="E2735" s="222"/>
      <c r="F2735" s="222"/>
      <c r="G2735" s="225" t="str">
        <f>IF(VLOOKUP($I2725&amp;RIGHT($A2735,1),Players!$A$2:$D$132,3)&lt;&gt;0,VLOOKUP($I2725&amp;RIGHT($A2735,1),Players!$A$2:$D$132,3),"")</f>
        <v/>
      </c>
      <c r="H2735" s="225"/>
      <c r="I2735" s="225"/>
      <c r="J2735" s="168" t="str">
        <f>IF(VLOOKUP($I2725&amp;RIGHT($A2735,1),Players!$A$2:$D$132,3)&lt;&gt;0,"("&amp;VLOOKUP($I2725&amp;RIGHT($A2735,1),Players!$A$2:$D$132,4)&amp;")","")</f>
        <v/>
      </c>
    </row>
    <row r="2736" spans="1:10" ht="25.5" customHeight="1" x14ac:dyDescent="0.4">
      <c r="A2736" s="37" t="str">
        <f>CONCATENATE($D2725,"5")</f>
        <v>B5</v>
      </c>
      <c r="B2736" s="222" t="str">
        <f>IF(VLOOKUP($A2736,Players!$A$2:$C$132,3)&lt;&gt;0,VLOOKUP($A2736,Players!$A$2:$C$132,3),"")</f>
        <v/>
      </c>
      <c r="C2736" s="222"/>
      <c r="D2736" s="222"/>
      <c r="E2736" s="222"/>
      <c r="F2736" s="222"/>
      <c r="G2736" s="225" t="str">
        <f>IF(VLOOKUP($I2725&amp;RIGHT($A2736,1),Players!$A$2:$D$132,3)&lt;&gt;0,VLOOKUP($I2725&amp;RIGHT($A2736,1),Players!$A$2:$D$132,3),"")</f>
        <v/>
      </c>
      <c r="H2736" s="225"/>
      <c r="I2736" s="225"/>
      <c r="J2736" s="168" t="str">
        <f>IF(VLOOKUP($I2725&amp;RIGHT($A2736,1),Players!$A$2:$D$132,3)&lt;&gt;0,"("&amp;VLOOKUP($I2725&amp;RIGHT($A2736,1),Players!$A$2:$D$132,4)&amp;")","")</f>
        <v/>
      </c>
    </row>
    <row r="2737" spans="1:10" ht="25.5" customHeight="1" x14ac:dyDescent="0.4">
      <c r="A2737" s="37" t="str">
        <f>CONCATENATE($D2725,"6")</f>
        <v>B6</v>
      </c>
      <c r="B2737" s="222" t="str">
        <f>IF(VLOOKUP($A2737,Players!$A$2:$C$132,3)&lt;&gt;0,VLOOKUP($A2737,Players!$A$2:$C$132,3),"")</f>
        <v/>
      </c>
      <c r="C2737" s="222"/>
      <c r="D2737" s="222"/>
      <c r="E2737" s="222"/>
      <c r="F2737" s="222"/>
      <c r="G2737" s="225" t="str">
        <f>IF(VLOOKUP($I2725&amp;RIGHT($A2737,1),Players!$A$2:$D$132,3)&lt;&gt;0,VLOOKUP($I2725&amp;RIGHT($A2737,1),Players!$A$2:$D$132,3),"")</f>
        <v/>
      </c>
      <c r="H2737" s="225"/>
      <c r="I2737" s="225"/>
      <c r="J2737" s="168" t="str">
        <f>IF(VLOOKUP($I2725&amp;RIGHT($A2737,1),Players!$A$2:$D$132,3)&lt;&gt;0,"("&amp;VLOOKUP($I2725&amp;RIGHT($A2737,1),Players!$A$2:$D$132,4)&amp;")","")</f>
        <v/>
      </c>
    </row>
    <row r="2738" spans="1:10" ht="25.5" customHeight="1" x14ac:dyDescent="0.4">
      <c r="A2738" s="37" t="str">
        <f>CONCATENATE($D2725,"7")</f>
        <v>B7</v>
      </c>
      <c r="B2738" s="222" t="str">
        <f>IF(VLOOKUP($A2738,Players!$A$2:$C$132,3)&lt;&gt;0,VLOOKUP($A2738,Players!$A$2:$C$132,3),"")</f>
        <v/>
      </c>
      <c r="C2738" s="222"/>
      <c r="D2738" s="222"/>
      <c r="E2738" s="222"/>
      <c r="F2738" s="222"/>
      <c r="G2738" s="225" t="str">
        <f>IF(VLOOKUP($I2725&amp;RIGHT($A2738,1),Players!$A$2:$D$132,3)&lt;&gt;0,VLOOKUP($I2725&amp;RIGHT($A2738,1),Players!$A$2:$D$132,3),"")</f>
        <v/>
      </c>
      <c r="H2738" s="225"/>
      <c r="I2738" s="225"/>
      <c r="J2738" s="168" t="str">
        <f>IF(VLOOKUP($I2725&amp;RIGHT($A2738,1),Players!$A$2:$D$132,3)&lt;&gt;0,"("&amp;VLOOKUP($I2725&amp;RIGHT($A2738,1),Players!$A$2:$D$132,4)&amp;")","")</f>
        <v/>
      </c>
    </row>
    <row r="2739" spans="1:10" ht="25.5" customHeight="1" x14ac:dyDescent="0.4">
      <c r="A2739" s="37" t="str">
        <f>CONCATENATE($D2725,"8")</f>
        <v>B8</v>
      </c>
      <c r="B2739" s="222" t="str">
        <f>IF(VLOOKUP($A2739,Players!$A$2:$C$132,3)&lt;&gt;0,VLOOKUP($A2739,Players!$A$2:$C$132,3),"")</f>
        <v/>
      </c>
      <c r="C2739" s="222"/>
      <c r="D2739" s="222"/>
      <c r="E2739" s="222"/>
      <c r="F2739" s="222"/>
      <c r="G2739" s="225" t="str">
        <f>IF(VLOOKUP($I2725&amp;RIGHT($A2739,1),Players!$A$2:$D$132,3)&lt;&gt;0,VLOOKUP($I2725&amp;RIGHT($A2739,1),Players!$A$2:$D$132,3),"")</f>
        <v/>
      </c>
      <c r="H2739" s="225"/>
      <c r="I2739" s="225"/>
      <c r="J2739" s="168" t="str">
        <f>IF(VLOOKUP($I2725&amp;RIGHT($A2739,1),Players!$A$2:$D$132,3)&lt;&gt;0,"("&amp;VLOOKUP($I2725&amp;RIGHT($A2739,1),Players!$A$2:$D$132,4)&amp;")","")</f>
        <v/>
      </c>
    </row>
    <row r="2740" spans="1:10" ht="25.5" customHeight="1" x14ac:dyDescent="0.25">
      <c r="A2740" s="37"/>
      <c r="B2740" s="7"/>
      <c r="C2740" s="7"/>
      <c r="D2740" s="7"/>
      <c r="E2740" s="7"/>
    </row>
    <row r="2741" spans="1:10" x14ac:dyDescent="0.25">
      <c r="A2741" s="9" t="s">
        <v>157</v>
      </c>
    </row>
    <row r="2742" spans="1:10" x14ac:dyDescent="0.25">
      <c r="A2742" t="s">
        <v>179</v>
      </c>
    </row>
    <row r="2743" spans="1:10" x14ac:dyDescent="0.25">
      <c r="A2743" s="55" t="s">
        <v>918</v>
      </c>
    </row>
    <row r="2744" spans="1:10" x14ac:dyDescent="0.25">
      <c r="A2744" t="s">
        <v>919</v>
      </c>
    </row>
    <row r="2745" spans="1:10" ht="25.5" customHeight="1" thickBot="1" x14ac:dyDescent="0.3">
      <c r="A2745" s="37"/>
    </row>
    <row r="2746" spans="1:10" x14ac:dyDescent="0.25">
      <c r="B2746" s="213"/>
      <c r="C2746" s="214"/>
      <c r="D2746" s="214"/>
      <c r="E2746" s="214"/>
      <c r="F2746" s="215"/>
    </row>
    <row r="2747" spans="1:10" ht="13.8" thickBot="1" x14ac:dyDescent="0.3">
      <c r="B2747" s="216"/>
      <c r="C2747" s="217"/>
      <c r="D2747" s="217"/>
      <c r="E2747" s="217"/>
      <c r="F2747" s="218"/>
    </row>
    <row r="2751" spans="1:10" ht="25.5" customHeight="1" x14ac:dyDescent="0.25">
      <c r="A2751" s="36"/>
      <c r="B2751" s="36"/>
      <c r="C2751" s="36"/>
      <c r="D2751" s="36"/>
      <c r="E2751" s="36"/>
      <c r="G2751" s="38"/>
      <c r="H2751" s="227" t="s">
        <v>159</v>
      </c>
      <c r="I2751" s="228"/>
    </row>
    <row r="2752" spans="1:10" x14ac:dyDescent="0.25">
      <c r="A2752" t="s">
        <v>158</v>
      </c>
    </row>
    <row r="2754" spans="1:10" x14ac:dyDescent="0.25">
      <c r="E2754" s="219" t="str">
        <f>CONCATENATE("(",$D2725," vs ",$I2725,")")</f>
        <v>(B vs J)</v>
      </c>
      <c r="F2754" s="219"/>
    </row>
    <row r="2755" spans="1:10" ht="15.6" x14ac:dyDescent="0.3">
      <c r="A2755" s="33" t="s">
        <v>155</v>
      </c>
      <c r="J2755" s="82" t="s">
        <v>552</v>
      </c>
    </row>
    <row r="2756" spans="1:10" ht="12.75" customHeight="1" x14ac:dyDescent="0.3">
      <c r="A2756" s="33"/>
      <c r="G2756" t="str">
        <f ca="1">Team_Matches!$J$6</f>
        <v>[NCTTA Teams Template (v3.4).xlsx]</v>
      </c>
      <c r="J2756" s="55"/>
    </row>
    <row r="2757" spans="1:10" ht="12.75" customHeight="1" x14ac:dyDescent="0.3">
      <c r="A2757" s="33"/>
      <c r="G2757" s="229" t="str">
        <f>Team_Matches!$J2047</f>
        <v>Round 7, Match 5</v>
      </c>
      <c r="H2757" s="229"/>
      <c r="I2757" s="127" t="str">
        <f>Team_Matches!$M2047</f>
        <v/>
      </c>
      <c r="J2757" s="127"/>
    </row>
    <row r="2758" spans="1:10" ht="15.6" x14ac:dyDescent="0.3">
      <c r="A2758" s="33"/>
    </row>
    <row r="2759" spans="1:10" x14ac:dyDescent="0.25">
      <c r="C2759" s="7" t="s">
        <v>160</v>
      </c>
      <c r="D2759" s="3" t="str">
        <f>Team_Matches!$B2049</f>
        <v>B</v>
      </c>
      <c r="F2759" s="83" t="str">
        <f>CONCATENATE($D2759,"-",$I2759)</f>
        <v>B-J</v>
      </c>
      <c r="H2759" s="7" t="s">
        <v>160</v>
      </c>
      <c r="I2759" s="39" t="str">
        <f>Team_Matches!$K2049</f>
        <v>J</v>
      </c>
    </row>
    <row r="2760" spans="1:10" ht="25.5" customHeight="1" x14ac:dyDescent="0.25">
      <c r="A2760" s="34"/>
      <c r="B2760" s="223" t="str">
        <f>IF(VLOOKUP($D2759,Draw!$A$4:$B$27,2)&lt;&gt;0,VLOOKUP($D2759,Draw!$A$4:$B$27,2),"")</f>
        <v/>
      </c>
      <c r="C2760" s="223"/>
      <c r="D2760" s="223"/>
      <c r="E2760" s="224"/>
      <c r="F2760" s="35"/>
      <c r="G2760" s="220" t="str">
        <f>IF(VLOOKUP($I2759,Draw!$A$4:$B$27,2)&lt;&gt;0,VLOOKUP($I2759,Draw!$A$4:$B$27,2),"")</f>
        <v/>
      </c>
      <c r="H2760" s="220"/>
      <c r="I2760" s="220"/>
      <c r="J2760" s="221"/>
    </row>
    <row r="2761" spans="1:10" ht="25.5" customHeight="1" x14ac:dyDescent="0.25"/>
    <row r="2762" spans="1:10" ht="25.5" customHeight="1" x14ac:dyDescent="0.25"/>
    <row r="2763" spans="1:10" ht="24" customHeight="1" x14ac:dyDescent="0.25">
      <c r="A2763" s="9" t="s">
        <v>178</v>
      </c>
    </row>
    <row r="2764" spans="1:10" ht="24" customHeight="1" x14ac:dyDescent="0.25">
      <c r="A2764" s="9"/>
    </row>
    <row r="2765" spans="1:10" x14ac:dyDescent="0.25">
      <c r="A2765" s="9" t="s">
        <v>156</v>
      </c>
      <c r="G2765" s="226" t="s">
        <v>873</v>
      </c>
      <c r="H2765" s="226"/>
      <c r="I2765" s="226"/>
      <c r="J2765" s="226"/>
    </row>
    <row r="2766" spans="1:10" ht="24" customHeight="1" x14ac:dyDescent="0.4">
      <c r="A2766" s="37" t="str">
        <f>CONCATENATE($I2759,"1")</f>
        <v>J1</v>
      </c>
      <c r="B2766" s="222" t="str">
        <f>IF(VLOOKUP($A2766,Players!$A$2:$C$132,3)&lt;&gt;0,VLOOKUP($A2766,Players!$A$2:$C$132,3),"")</f>
        <v/>
      </c>
      <c r="C2766" s="222"/>
      <c r="D2766" s="222"/>
      <c r="E2766" s="222"/>
      <c r="F2766" s="222"/>
      <c r="G2766" s="225" t="str">
        <f>IF(VLOOKUP($D2759&amp;RIGHT($A2766,1),Players!$A$2:$D$132,3)&lt;&gt;0,VLOOKUP($D2759&amp;RIGHT($A2766,1),Players!$A$2:$D$132,3),"")</f>
        <v/>
      </c>
      <c r="H2766" s="225"/>
      <c r="I2766" s="225"/>
      <c r="J2766" s="168" t="str">
        <f>IF(VLOOKUP($D2759&amp;RIGHT($A2766,1),Players!$A$2:$D$132,3)&lt;&gt;0,"("&amp;VLOOKUP($D2759&amp;RIGHT($A2766,1),Players!$A$2:$D$132,4)&amp;")","")</f>
        <v/>
      </c>
    </row>
    <row r="2767" spans="1:10" ht="25.5" customHeight="1" x14ac:dyDescent="0.4">
      <c r="A2767" s="37" t="str">
        <f>CONCATENATE($I2759,"2")</f>
        <v>J2</v>
      </c>
      <c r="B2767" s="222" t="str">
        <f>IF(VLOOKUP($A2767,Players!$A$2:$C$132,3)&lt;&gt;0,VLOOKUP($A2767,Players!$A$2:$C$132,3),"")</f>
        <v/>
      </c>
      <c r="C2767" s="222"/>
      <c r="D2767" s="222"/>
      <c r="E2767" s="222"/>
      <c r="F2767" s="222"/>
      <c r="G2767" s="225" t="str">
        <f>IF(VLOOKUP($D2759&amp;RIGHT($A2767,1),Players!$A$2:$D$132,3)&lt;&gt;0,VLOOKUP($D2759&amp;RIGHT($A2767,1),Players!$A$2:$D$132,3),"")</f>
        <v/>
      </c>
      <c r="H2767" s="225"/>
      <c r="I2767" s="225"/>
      <c r="J2767" s="168" t="str">
        <f>IF(VLOOKUP($D2759&amp;RIGHT($A2767,1),Players!$A$2:$D$132,3)&lt;&gt;0,"("&amp;VLOOKUP($D2759&amp;RIGHT($A2767,1),Players!$A$2:$D$132,4)&amp;")","")</f>
        <v/>
      </c>
    </row>
    <row r="2768" spans="1:10" ht="25.5" customHeight="1" x14ac:dyDescent="0.4">
      <c r="A2768" s="37" t="str">
        <f>CONCATENATE($I2759,"3")</f>
        <v>J3</v>
      </c>
      <c r="B2768" s="222" t="str">
        <f>IF(VLOOKUP($A2768,Players!$A$2:$C$132,3)&lt;&gt;0,VLOOKUP($A2768,Players!$A$2:$C$132,3),"")</f>
        <v/>
      </c>
      <c r="C2768" s="222"/>
      <c r="D2768" s="222"/>
      <c r="E2768" s="222"/>
      <c r="F2768" s="222"/>
      <c r="G2768" s="225" t="str">
        <f>IF(VLOOKUP($D2759&amp;RIGHT($A2768,1),Players!$A$2:$D$132,3)&lt;&gt;0,VLOOKUP($D2759&amp;RIGHT($A2768,1),Players!$A$2:$D$132,3),"")</f>
        <v/>
      </c>
      <c r="H2768" s="225"/>
      <c r="I2768" s="225"/>
      <c r="J2768" s="168" t="str">
        <f>IF(VLOOKUP($D2759&amp;RIGHT($A2768,1),Players!$A$2:$D$132,3)&lt;&gt;0,"("&amp;VLOOKUP($D2759&amp;RIGHT($A2768,1),Players!$A$2:$D$132,4)&amp;")","")</f>
        <v/>
      </c>
    </row>
    <row r="2769" spans="1:10" ht="25.5" customHeight="1" x14ac:dyDescent="0.4">
      <c r="A2769" s="37" t="str">
        <f>CONCATENATE($I2759,"4")</f>
        <v>J4</v>
      </c>
      <c r="B2769" s="222" t="str">
        <f>IF(VLOOKUP($A2769,Players!$A$2:$C$132,3)&lt;&gt;0,VLOOKUP($A2769,Players!$A$2:$C$132,3),"")</f>
        <v/>
      </c>
      <c r="C2769" s="222"/>
      <c r="D2769" s="222"/>
      <c r="E2769" s="222"/>
      <c r="F2769" s="222"/>
      <c r="G2769" s="225" t="str">
        <f>IF(VLOOKUP($D2759&amp;RIGHT($A2769,1),Players!$A$2:$D$132,3)&lt;&gt;0,VLOOKUP($D2759&amp;RIGHT($A2769,1),Players!$A$2:$D$132,3),"")</f>
        <v/>
      </c>
      <c r="H2769" s="225"/>
      <c r="I2769" s="225"/>
      <c r="J2769" s="168" t="str">
        <f>IF(VLOOKUP($D2759&amp;RIGHT($A2769,1),Players!$A$2:$D$132,3)&lt;&gt;0,"("&amp;VLOOKUP($D2759&amp;RIGHT($A2769,1),Players!$A$2:$D$132,4)&amp;")","")</f>
        <v/>
      </c>
    </row>
    <row r="2770" spans="1:10" ht="25.5" customHeight="1" x14ac:dyDescent="0.4">
      <c r="A2770" s="37" t="str">
        <f>CONCATENATE($I2759,"5")</f>
        <v>J5</v>
      </c>
      <c r="B2770" s="222" t="str">
        <f>IF(VLOOKUP($A2770,Players!$A$2:$C$132,3)&lt;&gt;0,VLOOKUP($A2770,Players!$A$2:$C$132,3),"")</f>
        <v/>
      </c>
      <c r="C2770" s="222"/>
      <c r="D2770" s="222"/>
      <c r="E2770" s="222"/>
      <c r="F2770" s="222"/>
      <c r="G2770" s="225" t="str">
        <f>IF(VLOOKUP($D2759&amp;RIGHT($A2770,1),Players!$A$2:$D$132,3)&lt;&gt;0,VLOOKUP($D2759&amp;RIGHT($A2770,1),Players!$A$2:$D$132,3),"")</f>
        <v/>
      </c>
      <c r="H2770" s="225"/>
      <c r="I2770" s="225"/>
      <c r="J2770" s="168" t="str">
        <f>IF(VLOOKUP($D2759&amp;RIGHT($A2770,1),Players!$A$2:$D$132,3)&lt;&gt;0,"("&amp;VLOOKUP($D2759&amp;RIGHT($A2770,1),Players!$A$2:$D$132,4)&amp;")","")</f>
        <v/>
      </c>
    </row>
    <row r="2771" spans="1:10" ht="25.5" customHeight="1" x14ac:dyDescent="0.4">
      <c r="A2771" s="37" t="str">
        <f>CONCATENATE($I2759,"6")</f>
        <v>J6</v>
      </c>
      <c r="B2771" s="222" t="str">
        <f>IF(VLOOKUP($A2771,Players!$A$2:$C$132,3)&lt;&gt;0,VLOOKUP($A2771,Players!$A$2:$C$132,3),"")</f>
        <v/>
      </c>
      <c r="C2771" s="222"/>
      <c r="D2771" s="222"/>
      <c r="E2771" s="222"/>
      <c r="F2771" s="222"/>
      <c r="G2771" s="225" t="str">
        <f>IF(VLOOKUP($D2759&amp;RIGHT($A2771,1),Players!$A$2:$D$132,3)&lt;&gt;0,VLOOKUP($D2759&amp;RIGHT($A2771,1),Players!$A$2:$D$132,3),"")</f>
        <v/>
      </c>
      <c r="H2771" s="225"/>
      <c r="I2771" s="225"/>
      <c r="J2771" s="168" t="str">
        <f>IF(VLOOKUP($D2759&amp;RIGHT($A2771,1),Players!$A$2:$D$132,3)&lt;&gt;0,"("&amp;VLOOKUP($D2759&amp;RIGHT($A2771,1),Players!$A$2:$D$132,4)&amp;")","")</f>
        <v/>
      </c>
    </row>
    <row r="2772" spans="1:10" ht="25.5" customHeight="1" x14ac:dyDescent="0.4">
      <c r="A2772" s="37" t="str">
        <f>CONCATENATE($I2759,"7")</f>
        <v>J7</v>
      </c>
      <c r="B2772" s="222" t="str">
        <f>IF(VLOOKUP($A2772,Players!$A$2:$C$132,3)&lt;&gt;0,VLOOKUP($A2772,Players!$A$2:$C$132,3),"")</f>
        <v/>
      </c>
      <c r="C2772" s="222"/>
      <c r="D2772" s="222"/>
      <c r="E2772" s="222"/>
      <c r="F2772" s="222"/>
      <c r="G2772" s="225" t="str">
        <f>IF(VLOOKUP($D2759&amp;RIGHT($A2772,1),Players!$A$2:$D$132,3)&lt;&gt;0,VLOOKUP($D2759&amp;RIGHT($A2772,1),Players!$A$2:$D$132,3),"")</f>
        <v/>
      </c>
      <c r="H2772" s="225"/>
      <c r="I2772" s="225"/>
      <c r="J2772" s="168" t="str">
        <f>IF(VLOOKUP($D2759&amp;RIGHT($A2772,1),Players!$A$2:$D$132,3)&lt;&gt;0,"("&amp;VLOOKUP($D2759&amp;RIGHT($A2772,1),Players!$A$2:$D$132,4)&amp;")","")</f>
        <v/>
      </c>
    </row>
    <row r="2773" spans="1:10" ht="25.5" customHeight="1" x14ac:dyDescent="0.4">
      <c r="A2773" s="37" t="str">
        <f>CONCATENATE($I2759,"8")</f>
        <v>J8</v>
      </c>
      <c r="B2773" s="222" t="str">
        <f>IF(VLOOKUP($A2773,Players!$A$2:$C$132,3)&lt;&gt;0,VLOOKUP($A2773,Players!$A$2:$C$132,3),"")</f>
        <v/>
      </c>
      <c r="C2773" s="222"/>
      <c r="D2773" s="222"/>
      <c r="E2773" s="222"/>
      <c r="F2773" s="222"/>
      <c r="G2773" s="225" t="str">
        <f>IF(VLOOKUP($D2759&amp;RIGHT($A2773,1),Players!$A$2:$D$132,3)&lt;&gt;0,VLOOKUP($D2759&amp;RIGHT($A2773,1),Players!$A$2:$D$132,3),"")</f>
        <v/>
      </c>
      <c r="H2773" s="225"/>
      <c r="I2773" s="225"/>
      <c r="J2773" s="168" t="str">
        <f>IF(VLOOKUP($D2759&amp;RIGHT($A2773,1),Players!$A$2:$D$132,3)&lt;&gt;0,"("&amp;VLOOKUP($D2759&amp;RIGHT($A2773,1),Players!$A$2:$D$132,4)&amp;")","")</f>
        <v/>
      </c>
    </row>
    <row r="2774" spans="1:10" ht="25.5" customHeight="1" x14ac:dyDescent="0.25">
      <c r="A2774" s="37"/>
      <c r="B2774" s="7"/>
      <c r="C2774" s="7"/>
      <c r="D2774" s="7"/>
      <c r="E2774" s="7"/>
    </row>
    <row r="2775" spans="1:10" x14ac:dyDescent="0.25">
      <c r="A2775" s="9" t="s">
        <v>157</v>
      </c>
    </row>
    <row r="2776" spans="1:10" x14ac:dyDescent="0.25">
      <c r="A2776" t="s">
        <v>179</v>
      </c>
    </row>
    <row r="2777" spans="1:10" x14ac:dyDescent="0.25">
      <c r="A2777" s="55" t="s">
        <v>918</v>
      </c>
    </row>
    <row r="2778" spans="1:10" x14ac:dyDescent="0.25">
      <c r="A2778" t="s">
        <v>919</v>
      </c>
    </row>
    <row r="2779" spans="1:10" ht="25.5" customHeight="1" thickBot="1" x14ac:dyDescent="0.3">
      <c r="A2779" s="37"/>
    </row>
    <row r="2780" spans="1:10" x14ac:dyDescent="0.25">
      <c r="B2780" s="213"/>
      <c r="C2780" s="214"/>
      <c r="D2780" s="214"/>
      <c r="E2780" s="214"/>
      <c r="F2780" s="215"/>
    </row>
    <row r="2781" spans="1:10" ht="13.8" thickBot="1" x14ac:dyDescent="0.3">
      <c r="B2781" s="216"/>
      <c r="C2781" s="217"/>
      <c r="D2781" s="217"/>
      <c r="E2781" s="217"/>
      <c r="F2781" s="218"/>
    </row>
    <row r="2785" spans="1:10" ht="25.5" customHeight="1" x14ac:dyDescent="0.25">
      <c r="A2785" s="36"/>
      <c r="B2785" s="36"/>
      <c r="C2785" s="36"/>
      <c r="D2785" s="36"/>
      <c r="E2785" s="36"/>
      <c r="G2785" s="38"/>
      <c r="H2785" s="227" t="s">
        <v>159</v>
      </c>
      <c r="I2785" s="228"/>
    </row>
    <row r="2786" spans="1:10" x14ac:dyDescent="0.25">
      <c r="A2786" t="s">
        <v>158</v>
      </c>
    </row>
    <row r="2788" spans="1:10" x14ac:dyDescent="0.25">
      <c r="E2788" s="219" t="str">
        <f>CONCATENATE("(",$D2759," vs ",$I2759,")")</f>
        <v>(B vs J)</v>
      </c>
      <c r="F2788" s="219"/>
    </row>
    <row r="2789" spans="1:10" ht="15.6" x14ac:dyDescent="0.3">
      <c r="A2789" s="33" t="s">
        <v>155</v>
      </c>
      <c r="J2789" s="82" t="s">
        <v>553</v>
      </c>
    </row>
    <row r="2790" spans="1:10" ht="12.75" customHeight="1" x14ac:dyDescent="0.3">
      <c r="A2790" s="33"/>
      <c r="G2790" t="str">
        <f ca="1">Team_Matches!$J$6</f>
        <v>[NCTTA Teams Template (v3.4).xlsx]</v>
      </c>
      <c r="J2790" s="55"/>
    </row>
    <row r="2791" spans="1:10" ht="12.75" customHeight="1" x14ac:dyDescent="0.3">
      <c r="A2791" s="33"/>
      <c r="G2791" s="229" t="str">
        <f>Team_Matches!$J2098</f>
        <v>Round 7, Match 6</v>
      </c>
      <c r="H2791" s="229"/>
      <c r="I2791" s="127" t="str">
        <f>Team_Matches!$M2098</f>
        <v/>
      </c>
      <c r="J2791" s="127"/>
    </row>
    <row r="2792" spans="1:10" ht="15.6" x14ac:dyDescent="0.3">
      <c r="A2792" s="33"/>
    </row>
    <row r="2793" spans="1:10" x14ac:dyDescent="0.25">
      <c r="C2793" s="7" t="s">
        <v>160</v>
      </c>
      <c r="D2793" s="39" t="str">
        <f>Team_Matches!$B2100</f>
        <v>K</v>
      </c>
      <c r="F2793" s="83" t="str">
        <f>CONCATENATE($D2793,"-",$I2793)</f>
        <v>K-L</v>
      </c>
      <c r="H2793" s="7" t="s">
        <v>160</v>
      </c>
      <c r="I2793" s="39" t="str">
        <f>Team_Matches!$K2100</f>
        <v>L</v>
      </c>
    </row>
    <row r="2794" spans="1:10" ht="25.5" customHeight="1" x14ac:dyDescent="0.25">
      <c r="A2794" s="34"/>
      <c r="B2794" s="220" t="str">
        <f>IF(VLOOKUP($D2793,Draw!$A$4:$B$27,2)&lt;&gt;0,VLOOKUP($D2793,Draw!$A$4:$B$27,2),"")</f>
        <v/>
      </c>
      <c r="C2794" s="220"/>
      <c r="D2794" s="220"/>
      <c r="E2794" s="221"/>
      <c r="F2794" s="35"/>
      <c r="G2794" s="223" t="str">
        <f>IF(VLOOKUP($I2793,Draw!$A$4:$B$27,2)&lt;&gt;0,VLOOKUP($I2793,Draw!$A$4:$B$27,2),"")</f>
        <v/>
      </c>
      <c r="H2794" s="223"/>
      <c r="I2794" s="223"/>
      <c r="J2794" s="224"/>
    </row>
    <row r="2795" spans="1:10" ht="25.5" customHeight="1" x14ac:dyDescent="0.25"/>
    <row r="2796" spans="1:10" ht="25.5" customHeight="1" x14ac:dyDescent="0.25"/>
    <row r="2797" spans="1:10" ht="24" customHeight="1" x14ac:dyDescent="0.25">
      <c r="A2797" s="9" t="s">
        <v>178</v>
      </c>
    </row>
    <row r="2798" spans="1:10" ht="24" customHeight="1" x14ac:dyDescent="0.25">
      <c r="A2798" s="9"/>
    </row>
    <row r="2799" spans="1:10" x14ac:dyDescent="0.25">
      <c r="A2799" s="9" t="s">
        <v>156</v>
      </c>
      <c r="G2799" s="226" t="s">
        <v>873</v>
      </c>
      <c r="H2799" s="226"/>
      <c r="I2799" s="226"/>
      <c r="J2799" s="226"/>
    </row>
    <row r="2800" spans="1:10" ht="24" customHeight="1" x14ac:dyDescent="0.4">
      <c r="A2800" s="37" t="str">
        <f>CONCATENATE($D2793,"1")</f>
        <v>K1</v>
      </c>
      <c r="B2800" s="222" t="str">
        <f>IF(VLOOKUP($A2800,Players!$A$2:$C$132,3)&lt;&gt;0,VLOOKUP($A2800,Players!$A$2:$C$132,3),"")</f>
        <v/>
      </c>
      <c r="C2800" s="222"/>
      <c r="D2800" s="222"/>
      <c r="E2800" s="222"/>
      <c r="F2800" s="222"/>
      <c r="G2800" s="225" t="str">
        <f>IF(VLOOKUP($I2793&amp;RIGHT($A2800,1),Players!$A$2:$D$132,3)&lt;&gt;0,VLOOKUP($I2793&amp;RIGHT($A2800,1),Players!$A$2:$D$132,3),"")</f>
        <v/>
      </c>
      <c r="H2800" s="225"/>
      <c r="I2800" s="225"/>
      <c r="J2800" s="168" t="str">
        <f>IF(VLOOKUP($I2793&amp;RIGHT($A2800,1),Players!$A$2:$D$132,3)&lt;&gt;0,"("&amp;VLOOKUP($I2793&amp;RIGHT($A2800,1),Players!$A$2:$D$132,4)&amp;")","")</f>
        <v/>
      </c>
    </row>
    <row r="2801" spans="1:10" ht="25.5" customHeight="1" x14ac:dyDescent="0.4">
      <c r="A2801" s="37" t="str">
        <f>CONCATENATE($D2793,"2")</f>
        <v>K2</v>
      </c>
      <c r="B2801" s="222" t="str">
        <f>IF(VLOOKUP($A2801,Players!$A$2:$C$132,3)&lt;&gt;0,VLOOKUP($A2801,Players!$A$2:$C$132,3),"")</f>
        <v/>
      </c>
      <c r="C2801" s="222"/>
      <c r="D2801" s="222"/>
      <c r="E2801" s="222"/>
      <c r="F2801" s="222"/>
      <c r="G2801" s="225" t="str">
        <f>IF(VLOOKUP($I2793&amp;RIGHT($A2801,1),Players!$A$2:$D$132,3)&lt;&gt;0,VLOOKUP($I2793&amp;RIGHT($A2801,1),Players!$A$2:$D$132,3),"")</f>
        <v/>
      </c>
      <c r="H2801" s="225"/>
      <c r="I2801" s="225"/>
      <c r="J2801" s="168" t="str">
        <f>IF(VLOOKUP($I2793&amp;RIGHT($A2801,1),Players!$A$2:$D$132,3)&lt;&gt;0,"("&amp;VLOOKUP($I2793&amp;RIGHT($A2801,1),Players!$A$2:$D$132,4)&amp;")","")</f>
        <v/>
      </c>
    </row>
    <row r="2802" spans="1:10" ht="25.5" customHeight="1" x14ac:dyDescent="0.4">
      <c r="A2802" s="37" t="str">
        <f>CONCATENATE($D2793,"3")</f>
        <v>K3</v>
      </c>
      <c r="B2802" s="222" t="str">
        <f>IF(VLOOKUP($A2802,Players!$A$2:$C$132,3)&lt;&gt;0,VLOOKUP($A2802,Players!$A$2:$C$132,3),"")</f>
        <v/>
      </c>
      <c r="C2802" s="222"/>
      <c r="D2802" s="222"/>
      <c r="E2802" s="222"/>
      <c r="F2802" s="222"/>
      <c r="G2802" s="225" t="str">
        <f>IF(VLOOKUP($I2793&amp;RIGHT($A2802,1),Players!$A$2:$D$132,3)&lt;&gt;0,VLOOKUP($I2793&amp;RIGHT($A2802,1),Players!$A$2:$D$132,3),"")</f>
        <v/>
      </c>
      <c r="H2802" s="225"/>
      <c r="I2802" s="225"/>
      <c r="J2802" s="168" t="str">
        <f>IF(VLOOKUP($I2793&amp;RIGHT($A2802,1),Players!$A$2:$D$132,3)&lt;&gt;0,"("&amp;VLOOKUP($I2793&amp;RIGHT($A2802,1),Players!$A$2:$D$132,4)&amp;")","")</f>
        <v/>
      </c>
    </row>
    <row r="2803" spans="1:10" ht="25.5" customHeight="1" x14ac:dyDescent="0.4">
      <c r="A2803" s="37" t="str">
        <f>CONCATENATE($D2793,"4")</f>
        <v>K4</v>
      </c>
      <c r="B2803" s="222" t="str">
        <f>IF(VLOOKUP($A2803,Players!$A$2:$C$132,3)&lt;&gt;0,VLOOKUP($A2803,Players!$A$2:$C$132,3),"")</f>
        <v/>
      </c>
      <c r="C2803" s="222"/>
      <c r="D2803" s="222"/>
      <c r="E2803" s="222"/>
      <c r="F2803" s="222"/>
      <c r="G2803" s="225" t="str">
        <f>IF(VLOOKUP($I2793&amp;RIGHT($A2803,1),Players!$A$2:$D$132,3)&lt;&gt;0,VLOOKUP($I2793&amp;RIGHT($A2803,1),Players!$A$2:$D$132,3),"")</f>
        <v/>
      </c>
      <c r="H2803" s="225"/>
      <c r="I2803" s="225"/>
      <c r="J2803" s="168" t="str">
        <f>IF(VLOOKUP($I2793&amp;RIGHT($A2803,1),Players!$A$2:$D$132,3)&lt;&gt;0,"("&amp;VLOOKUP($I2793&amp;RIGHT($A2803,1),Players!$A$2:$D$132,4)&amp;")","")</f>
        <v/>
      </c>
    </row>
    <row r="2804" spans="1:10" ht="25.5" customHeight="1" x14ac:dyDescent="0.4">
      <c r="A2804" s="37" t="str">
        <f>CONCATENATE($D2793,"5")</f>
        <v>K5</v>
      </c>
      <c r="B2804" s="222" t="str">
        <f>IF(VLOOKUP($A2804,Players!$A$2:$C$132,3)&lt;&gt;0,VLOOKUP($A2804,Players!$A$2:$C$132,3),"")</f>
        <v/>
      </c>
      <c r="C2804" s="222"/>
      <c r="D2804" s="222"/>
      <c r="E2804" s="222"/>
      <c r="F2804" s="222"/>
      <c r="G2804" s="225" t="str">
        <f>IF(VLOOKUP($I2793&amp;RIGHT($A2804,1),Players!$A$2:$D$132,3)&lt;&gt;0,VLOOKUP($I2793&amp;RIGHT($A2804,1),Players!$A$2:$D$132,3),"")</f>
        <v/>
      </c>
      <c r="H2804" s="225"/>
      <c r="I2804" s="225"/>
      <c r="J2804" s="168" t="str">
        <f>IF(VLOOKUP($I2793&amp;RIGHT($A2804,1),Players!$A$2:$D$132,3)&lt;&gt;0,"("&amp;VLOOKUP($I2793&amp;RIGHT($A2804,1),Players!$A$2:$D$132,4)&amp;")","")</f>
        <v/>
      </c>
    </row>
    <row r="2805" spans="1:10" ht="25.5" customHeight="1" x14ac:dyDescent="0.4">
      <c r="A2805" s="37" t="str">
        <f>CONCATENATE($D2793,"6")</f>
        <v>K6</v>
      </c>
      <c r="B2805" s="222" t="str">
        <f>IF(VLOOKUP($A2805,Players!$A$2:$C$132,3)&lt;&gt;0,VLOOKUP($A2805,Players!$A$2:$C$132,3),"")</f>
        <v/>
      </c>
      <c r="C2805" s="222"/>
      <c r="D2805" s="222"/>
      <c r="E2805" s="222"/>
      <c r="F2805" s="222"/>
      <c r="G2805" s="225" t="str">
        <f>IF(VLOOKUP($I2793&amp;RIGHT($A2805,1),Players!$A$2:$D$132,3)&lt;&gt;0,VLOOKUP($I2793&amp;RIGHT($A2805,1),Players!$A$2:$D$132,3),"")</f>
        <v/>
      </c>
      <c r="H2805" s="225"/>
      <c r="I2805" s="225"/>
      <c r="J2805" s="168" t="str">
        <f>IF(VLOOKUP($I2793&amp;RIGHT($A2805,1),Players!$A$2:$D$132,3)&lt;&gt;0,"("&amp;VLOOKUP($I2793&amp;RIGHT($A2805,1),Players!$A$2:$D$132,4)&amp;")","")</f>
        <v/>
      </c>
    </row>
    <row r="2806" spans="1:10" ht="25.5" customHeight="1" x14ac:dyDescent="0.4">
      <c r="A2806" s="37" t="str">
        <f>CONCATENATE($D2793,"7")</f>
        <v>K7</v>
      </c>
      <c r="B2806" s="222" t="str">
        <f>IF(VLOOKUP($A2806,Players!$A$2:$C$132,3)&lt;&gt;0,VLOOKUP($A2806,Players!$A$2:$C$132,3),"")</f>
        <v/>
      </c>
      <c r="C2806" s="222"/>
      <c r="D2806" s="222"/>
      <c r="E2806" s="222"/>
      <c r="F2806" s="222"/>
      <c r="G2806" s="225" t="str">
        <f>IF(VLOOKUP($I2793&amp;RIGHT($A2806,1),Players!$A$2:$D$132,3)&lt;&gt;0,VLOOKUP($I2793&amp;RIGHT($A2806,1),Players!$A$2:$D$132,3),"")</f>
        <v/>
      </c>
      <c r="H2806" s="225"/>
      <c r="I2806" s="225"/>
      <c r="J2806" s="168" t="str">
        <f>IF(VLOOKUP($I2793&amp;RIGHT($A2806,1),Players!$A$2:$D$132,3)&lt;&gt;0,"("&amp;VLOOKUP($I2793&amp;RIGHT($A2806,1),Players!$A$2:$D$132,4)&amp;")","")</f>
        <v/>
      </c>
    </row>
    <row r="2807" spans="1:10" ht="25.5" customHeight="1" x14ac:dyDescent="0.4">
      <c r="A2807" s="37" t="str">
        <f>CONCATENATE($D2793,"8")</f>
        <v>K8</v>
      </c>
      <c r="B2807" s="222" t="str">
        <f>IF(VLOOKUP($A2807,Players!$A$2:$C$132,3)&lt;&gt;0,VLOOKUP($A2807,Players!$A$2:$C$132,3),"")</f>
        <v/>
      </c>
      <c r="C2807" s="222"/>
      <c r="D2807" s="222"/>
      <c r="E2807" s="222"/>
      <c r="F2807" s="222"/>
      <c r="G2807" s="225" t="str">
        <f>IF(VLOOKUP($I2793&amp;RIGHT($A2807,1),Players!$A$2:$D$132,3)&lt;&gt;0,VLOOKUP($I2793&amp;RIGHT($A2807,1),Players!$A$2:$D$132,3),"")</f>
        <v/>
      </c>
      <c r="H2807" s="225"/>
      <c r="I2807" s="225"/>
      <c r="J2807" s="168" t="str">
        <f>IF(VLOOKUP($I2793&amp;RIGHT($A2807,1),Players!$A$2:$D$132,3)&lt;&gt;0,"("&amp;VLOOKUP($I2793&amp;RIGHT($A2807,1),Players!$A$2:$D$132,4)&amp;")","")</f>
        <v/>
      </c>
    </row>
    <row r="2808" spans="1:10" ht="25.5" customHeight="1" x14ac:dyDescent="0.25">
      <c r="A2808" s="37"/>
      <c r="B2808" s="7"/>
      <c r="C2808" s="7"/>
      <c r="D2808" s="7"/>
      <c r="E2808" s="7"/>
    </row>
    <row r="2809" spans="1:10" x14ac:dyDescent="0.25">
      <c r="A2809" s="9" t="s">
        <v>157</v>
      </c>
    </row>
    <row r="2810" spans="1:10" x14ac:dyDescent="0.25">
      <c r="A2810" t="s">
        <v>179</v>
      </c>
    </row>
    <row r="2811" spans="1:10" x14ac:dyDescent="0.25">
      <c r="A2811" s="55" t="s">
        <v>918</v>
      </c>
    </row>
    <row r="2812" spans="1:10" x14ac:dyDescent="0.25">
      <c r="A2812" t="s">
        <v>919</v>
      </c>
    </row>
    <row r="2813" spans="1:10" ht="25.5" customHeight="1" thickBot="1" x14ac:dyDescent="0.3">
      <c r="A2813" s="37"/>
    </row>
    <row r="2814" spans="1:10" x14ac:dyDescent="0.25">
      <c r="B2814" s="213"/>
      <c r="C2814" s="214"/>
      <c r="D2814" s="214"/>
      <c r="E2814" s="214"/>
      <c r="F2814" s="215"/>
    </row>
    <row r="2815" spans="1:10" ht="13.8" thickBot="1" x14ac:dyDescent="0.3">
      <c r="B2815" s="216"/>
      <c r="C2815" s="217"/>
      <c r="D2815" s="217"/>
      <c r="E2815" s="217"/>
      <c r="F2815" s="218"/>
    </row>
    <row r="2819" spans="1:10" ht="25.5" customHeight="1" x14ac:dyDescent="0.25">
      <c r="A2819" s="36"/>
      <c r="B2819" s="36"/>
      <c r="C2819" s="36"/>
      <c r="D2819" s="36"/>
      <c r="E2819" s="36"/>
      <c r="G2819" s="38"/>
      <c r="H2819" s="227" t="s">
        <v>159</v>
      </c>
      <c r="I2819" s="228"/>
    </row>
    <row r="2820" spans="1:10" x14ac:dyDescent="0.25">
      <c r="A2820" t="s">
        <v>158</v>
      </c>
    </row>
    <row r="2822" spans="1:10" x14ac:dyDescent="0.25">
      <c r="E2822" s="219" t="str">
        <f>CONCATENATE("(",$D2793," vs ",$I2793,")")</f>
        <v>(K vs L)</v>
      </c>
      <c r="F2822" s="219"/>
    </row>
    <row r="2823" spans="1:10" ht="15.6" x14ac:dyDescent="0.3">
      <c r="A2823" s="33" t="s">
        <v>155</v>
      </c>
      <c r="J2823" s="82" t="s">
        <v>554</v>
      </c>
    </row>
    <row r="2824" spans="1:10" ht="12.75" customHeight="1" x14ac:dyDescent="0.3">
      <c r="A2824" s="33"/>
      <c r="G2824" t="str">
        <f ca="1">Team_Matches!$J$6</f>
        <v>[NCTTA Teams Template (v3.4).xlsx]</v>
      </c>
      <c r="J2824" s="55"/>
    </row>
    <row r="2825" spans="1:10" ht="12.75" customHeight="1" x14ac:dyDescent="0.3">
      <c r="A2825" s="33"/>
      <c r="G2825" s="229" t="str">
        <f>Team_Matches!$J2098</f>
        <v>Round 7, Match 6</v>
      </c>
      <c r="H2825" s="229"/>
      <c r="I2825" s="127" t="str">
        <f>Team_Matches!$M2098</f>
        <v/>
      </c>
      <c r="J2825" s="127"/>
    </row>
    <row r="2826" spans="1:10" ht="15.6" x14ac:dyDescent="0.3">
      <c r="A2826" s="33"/>
    </row>
    <row r="2827" spans="1:10" x14ac:dyDescent="0.25">
      <c r="C2827" s="7" t="s">
        <v>160</v>
      </c>
      <c r="D2827" s="39" t="str">
        <f>Team_Matches!$B2100</f>
        <v>K</v>
      </c>
      <c r="F2827" s="83" t="str">
        <f>CONCATENATE($D2827,"-",$I2827)</f>
        <v>K-L</v>
      </c>
      <c r="H2827" s="7" t="s">
        <v>160</v>
      </c>
      <c r="I2827" s="39" t="str">
        <f>Team_Matches!$K2100</f>
        <v>L</v>
      </c>
    </row>
    <row r="2828" spans="1:10" ht="25.5" customHeight="1" x14ac:dyDescent="0.25">
      <c r="A2828" s="34"/>
      <c r="B2828" s="223" t="str">
        <f>IF(VLOOKUP($D2827,Draw!$A$4:$B$27,2)&lt;&gt;0,VLOOKUP($D2827,Draw!$A$4:$B$27,2),"")</f>
        <v/>
      </c>
      <c r="C2828" s="223"/>
      <c r="D2828" s="223"/>
      <c r="E2828" s="224"/>
      <c r="F2828" s="35"/>
      <c r="G2828" s="220" t="str">
        <f>IF(VLOOKUP($I2827,Draw!$A$4:$B$27,2)&lt;&gt;0,VLOOKUP($I2827,Draw!$A$4:$B$27,2),"")</f>
        <v/>
      </c>
      <c r="H2828" s="220"/>
      <c r="I2828" s="220"/>
      <c r="J2828" s="221"/>
    </row>
    <row r="2829" spans="1:10" ht="25.5" customHeight="1" x14ac:dyDescent="0.25"/>
    <row r="2830" spans="1:10" ht="25.5" customHeight="1" x14ac:dyDescent="0.25"/>
    <row r="2831" spans="1:10" ht="24" customHeight="1" x14ac:dyDescent="0.25">
      <c r="A2831" s="9" t="s">
        <v>178</v>
      </c>
    </row>
    <row r="2832" spans="1:10" ht="24" customHeight="1" x14ac:dyDescent="0.25">
      <c r="A2832" s="9"/>
    </row>
    <row r="2833" spans="1:10" x14ac:dyDescent="0.25">
      <c r="A2833" s="9" t="s">
        <v>156</v>
      </c>
      <c r="G2833" s="226" t="s">
        <v>873</v>
      </c>
      <c r="H2833" s="226"/>
      <c r="I2833" s="226"/>
      <c r="J2833" s="226"/>
    </row>
    <row r="2834" spans="1:10" ht="24" customHeight="1" x14ac:dyDescent="0.4">
      <c r="A2834" s="37" t="str">
        <f>CONCATENATE($I2827,"1")</f>
        <v>L1</v>
      </c>
      <c r="B2834" s="222" t="str">
        <f>IF(VLOOKUP($A2834,Players!$A$2:$C$132,3)&lt;&gt;0,VLOOKUP($A2834,Players!$A$2:$C$132,3),"")</f>
        <v/>
      </c>
      <c r="C2834" s="222"/>
      <c r="D2834" s="222"/>
      <c r="E2834" s="222"/>
      <c r="F2834" s="222"/>
      <c r="G2834" s="225" t="str">
        <f>IF(VLOOKUP($D2827&amp;RIGHT($A2834,1),Players!$A$2:$D$132,3)&lt;&gt;0,VLOOKUP($D2827&amp;RIGHT($A2834,1),Players!$A$2:$D$132,3),"")</f>
        <v/>
      </c>
      <c r="H2834" s="225"/>
      <c r="I2834" s="225"/>
      <c r="J2834" s="168" t="str">
        <f>IF(VLOOKUP($D2827&amp;RIGHT($A2834,1),Players!$A$2:$D$132,3)&lt;&gt;0,"("&amp;VLOOKUP($D2827&amp;RIGHT($A2834,1),Players!$A$2:$D$132,4)&amp;")","")</f>
        <v/>
      </c>
    </row>
    <row r="2835" spans="1:10" ht="25.5" customHeight="1" x14ac:dyDescent="0.4">
      <c r="A2835" s="37" t="str">
        <f>CONCATENATE($I2827,"2")</f>
        <v>L2</v>
      </c>
      <c r="B2835" s="222" t="str">
        <f>IF(VLOOKUP($A2835,Players!$A$2:$C$132,3)&lt;&gt;0,VLOOKUP($A2835,Players!$A$2:$C$132,3),"")</f>
        <v/>
      </c>
      <c r="C2835" s="222"/>
      <c r="D2835" s="222"/>
      <c r="E2835" s="222"/>
      <c r="F2835" s="222"/>
      <c r="G2835" s="225" t="str">
        <f>IF(VLOOKUP($D2827&amp;RIGHT($A2835,1),Players!$A$2:$D$132,3)&lt;&gt;0,VLOOKUP($D2827&amp;RIGHT($A2835,1),Players!$A$2:$D$132,3),"")</f>
        <v/>
      </c>
      <c r="H2835" s="225"/>
      <c r="I2835" s="225"/>
      <c r="J2835" s="168" t="str">
        <f>IF(VLOOKUP($D2827&amp;RIGHT($A2835,1),Players!$A$2:$D$132,3)&lt;&gt;0,"("&amp;VLOOKUP($D2827&amp;RIGHT($A2835,1),Players!$A$2:$D$132,4)&amp;")","")</f>
        <v/>
      </c>
    </row>
    <row r="2836" spans="1:10" ht="25.5" customHeight="1" x14ac:dyDescent="0.4">
      <c r="A2836" s="37" t="str">
        <f>CONCATENATE($I2827,"3")</f>
        <v>L3</v>
      </c>
      <c r="B2836" s="222" t="str">
        <f>IF(VLOOKUP($A2836,Players!$A$2:$C$132,3)&lt;&gt;0,VLOOKUP($A2836,Players!$A$2:$C$132,3),"")</f>
        <v/>
      </c>
      <c r="C2836" s="222"/>
      <c r="D2836" s="222"/>
      <c r="E2836" s="222"/>
      <c r="F2836" s="222"/>
      <c r="G2836" s="225" t="str">
        <f>IF(VLOOKUP($D2827&amp;RIGHT($A2836,1),Players!$A$2:$D$132,3)&lt;&gt;0,VLOOKUP($D2827&amp;RIGHT($A2836,1),Players!$A$2:$D$132,3),"")</f>
        <v/>
      </c>
      <c r="H2836" s="225"/>
      <c r="I2836" s="225"/>
      <c r="J2836" s="168" t="str">
        <f>IF(VLOOKUP($D2827&amp;RIGHT($A2836,1),Players!$A$2:$D$132,3)&lt;&gt;0,"("&amp;VLOOKUP($D2827&amp;RIGHT($A2836,1),Players!$A$2:$D$132,4)&amp;")","")</f>
        <v/>
      </c>
    </row>
    <row r="2837" spans="1:10" ht="25.5" customHeight="1" x14ac:dyDescent="0.4">
      <c r="A2837" s="37" t="str">
        <f>CONCATENATE($I2827,"4")</f>
        <v>L4</v>
      </c>
      <c r="B2837" s="222" t="str">
        <f>IF(VLOOKUP($A2837,Players!$A$2:$C$132,3)&lt;&gt;0,VLOOKUP($A2837,Players!$A$2:$C$132,3),"")</f>
        <v/>
      </c>
      <c r="C2837" s="222"/>
      <c r="D2837" s="222"/>
      <c r="E2837" s="222"/>
      <c r="F2837" s="222"/>
      <c r="G2837" s="225" t="str">
        <f>IF(VLOOKUP($D2827&amp;RIGHT($A2837,1),Players!$A$2:$D$132,3)&lt;&gt;0,VLOOKUP($D2827&amp;RIGHT($A2837,1),Players!$A$2:$D$132,3),"")</f>
        <v/>
      </c>
      <c r="H2837" s="225"/>
      <c r="I2837" s="225"/>
      <c r="J2837" s="168" t="str">
        <f>IF(VLOOKUP($D2827&amp;RIGHT($A2837,1),Players!$A$2:$D$132,3)&lt;&gt;0,"("&amp;VLOOKUP($D2827&amp;RIGHT($A2837,1),Players!$A$2:$D$132,4)&amp;")","")</f>
        <v/>
      </c>
    </row>
    <row r="2838" spans="1:10" ht="25.5" customHeight="1" x14ac:dyDescent="0.4">
      <c r="A2838" s="37" t="str">
        <f>CONCATENATE($I2827,"5")</f>
        <v>L5</v>
      </c>
      <c r="B2838" s="222" t="str">
        <f>IF(VLOOKUP($A2838,Players!$A$2:$C$132,3)&lt;&gt;0,VLOOKUP($A2838,Players!$A$2:$C$132,3),"")</f>
        <v/>
      </c>
      <c r="C2838" s="222"/>
      <c r="D2838" s="222"/>
      <c r="E2838" s="222"/>
      <c r="F2838" s="222"/>
      <c r="G2838" s="225" t="str">
        <f>IF(VLOOKUP($D2827&amp;RIGHT($A2838,1),Players!$A$2:$D$132,3)&lt;&gt;0,VLOOKUP($D2827&amp;RIGHT($A2838,1),Players!$A$2:$D$132,3),"")</f>
        <v/>
      </c>
      <c r="H2838" s="225"/>
      <c r="I2838" s="225"/>
      <c r="J2838" s="168" t="str">
        <f>IF(VLOOKUP($D2827&amp;RIGHT($A2838,1),Players!$A$2:$D$132,3)&lt;&gt;0,"("&amp;VLOOKUP($D2827&amp;RIGHT($A2838,1),Players!$A$2:$D$132,4)&amp;")","")</f>
        <v/>
      </c>
    </row>
    <row r="2839" spans="1:10" ht="25.5" customHeight="1" x14ac:dyDescent="0.4">
      <c r="A2839" s="37" t="str">
        <f>CONCATENATE($I2827,"6")</f>
        <v>L6</v>
      </c>
      <c r="B2839" s="222" t="str">
        <f>IF(VLOOKUP($A2839,Players!$A$2:$C$132,3)&lt;&gt;0,VLOOKUP($A2839,Players!$A$2:$C$132,3),"")</f>
        <v/>
      </c>
      <c r="C2839" s="222"/>
      <c r="D2839" s="222"/>
      <c r="E2839" s="222"/>
      <c r="F2839" s="222"/>
      <c r="G2839" s="225" t="str">
        <f>IF(VLOOKUP($D2827&amp;RIGHT($A2839,1),Players!$A$2:$D$132,3)&lt;&gt;0,VLOOKUP($D2827&amp;RIGHT($A2839,1),Players!$A$2:$D$132,3),"")</f>
        <v/>
      </c>
      <c r="H2839" s="225"/>
      <c r="I2839" s="225"/>
      <c r="J2839" s="168" t="str">
        <f>IF(VLOOKUP($D2827&amp;RIGHT($A2839,1),Players!$A$2:$D$132,3)&lt;&gt;0,"("&amp;VLOOKUP($D2827&amp;RIGHT($A2839,1),Players!$A$2:$D$132,4)&amp;")","")</f>
        <v/>
      </c>
    </row>
    <row r="2840" spans="1:10" ht="25.5" customHeight="1" x14ac:dyDescent="0.4">
      <c r="A2840" s="37" t="str">
        <f>CONCATENATE($I2827,"7")</f>
        <v>L7</v>
      </c>
      <c r="B2840" s="222" t="str">
        <f>IF(VLOOKUP($A2840,Players!$A$2:$C$132,3)&lt;&gt;0,VLOOKUP($A2840,Players!$A$2:$C$132,3),"")</f>
        <v/>
      </c>
      <c r="C2840" s="222"/>
      <c r="D2840" s="222"/>
      <c r="E2840" s="222"/>
      <c r="F2840" s="222"/>
      <c r="G2840" s="225" t="str">
        <f>IF(VLOOKUP($D2827&amp;RIGHT($A2840,1),Players!$A$2:$D$132,3)&lt;&gt;0,VLOOKUP($D2827&amp;RIGHT($A2840,1),Players!$A$2:$D$132,3),"")</f>
        <v/>
      </c>
      <c r="H2840" s="225"/>
      <c r="I2840" s="225"/>
      <c r="J2840" s="168" t="str">
        <f>IF(VLOOKUP($D2827&amp;RIGHT($A2840,1),Players!$A$2:$D$132,3)&lt;&gt;0,"("&amp;VLOOKUP($D2827&amp;RIGHT($A2840,1),Players!$A$2:$D$132,4)&amp;")","")</f>
        <v/>
      </c>
    </row>
    <row r="2841" spans="1:10" ht="25.5" customHeight="1" x14ac:dyDescent="0.4">
      <c r="A2841" s="37" t="str">
        <f>CONCATENATE($I2827,"8")</f>
        <v>L8</v>
      </c>
      <c r="B2841" s="222" t="str">
        <f>IF(VLOOKUP($A2841,Players!$A$2:$C$132,3)&lt;&gt;0,VLOOKUP($A2841,Players!$A$2:$C$132,3),"")</f>
        <v/>
      </c>
      <c r="C2841" s="222"/>
      <c r="D2841" s="222"/>
      <c r="E2841" s="222"/>
      <c r="F2841" s="222"/>
      <c r="G2841" s="225" t="str">
        <f>IF(VLOOKUP($D2827&amp;RIGHT($A2841,1),Players!$A$2:$D$132,3)&lt;&gt;0,VLOOKUP($D2827&amp;RIGHT($A2841,1),Players!$A$2:$D$132,3),"")</f>
        <v/>
      </c>
      <c r="H2841" s="225"/>
      <c r="I2841" s="225"/>
      <c r="J2841" s="168" t="str">
        <f>IF(VLOOKUP($D2827&amp;RIGHT($A2841,1),Players!$A$2:$D$132,3)&lt;&gt;0,"("&amp;VLOOKUP($D2827&amp;RIGHT($A2841,1),Players!$A$2:$D$132,4)&amp;")","")</f>
        <v/>
      </c>
    </row>
    <row r="2842" spans="1:10" ht="25.5" customHeight="1" x14ac:dyDescent="0.25">
      <c r="A2842" s="37"/>
      <c r="B2842" s="7"/>
      <c r="C2842" s="7"/>
      <c r="D2842" s="7"/>
      <c r="E2842" s="7"/>
    </row>
    <row r="2843" spans="1:10" x14ac:dyDescent="0.25">
      <c r="A2843" s="9" t="s">
        <v>157</v>
      </c>
    </row>
    <row r="2844" spans="1:10" x14ac:dyDescent="0.25">
      <c r="A2844" t="s">
        <v>179</v>
      </c>
    </row>
    <row r="2845" spans="1:10" x14ac:dyDescent="0.25">
      <c r="A2845" s="55" t="s">
        <v>918</v>
      </c>
    </row>
    <row r="2846" spans="1:10" x14ac:dyDescent="0.25">
      <c r="A2846" t="s">
        <v>919</v>
      </c>
    </row>
    <row r="2847" spans="1:10" ht="25.5" customHeight="1" thickBot="1" x14ac:dyDescent="0.3">
      <c r="A2847" s="37"/>
    </row>
    <row r="2848" spans="1:10" x14ac:dyDescent="0.25">
      <c r="B2848" s="213"/>
      <c r="C2848" s="214"/>
      <c r="D2848" s="214"/>
      <c r="E2848" s="214"/>
      <c r="F2848" s="215"/>
    </row>
    <row r="2849" spans="1:10" ht="13.8" thickBot="1" x14ac:dyDescent="0.3">
      <c r="B2849" s="216"/>
      <c r="C2849" s="217"/>
      <c r="D2849" s="217"/>
      <c r="E2849" s="217"/>
      <c r="F2849" s="218"/>
    </row>
    <row r="2853" spans="1:10" ht="25.5" customHeight="1" x14ac:dyDescent="0.25">
      <c r="A2853" s="36"/>
      <c r="B2853" s="36"/>
      <c r="C2853" s="36"/>
      <c r="D2853" s="36"/>
      <c r="E2853" s="36"/>
      <c r="G2853" s="38"/>
      <c r="H2853" s="227" t="s">
        <v>159</v>
      </c>
      <c r="I2853" s="228"/>
    </row>
    <row r="2854" spans="1:10" x14ac:dyDescent="0.25">
      <c r="A2854" t="s">
        <v>158</v>
      </c>
    </row>
    <row r="2856" spans="1:10" x14ac:dyDescent="0.25">
      <c r="E2856" s="219" t="str">
        <f>CONCATENATE("(",$D2827," vs ",$I2827,")")</f>
        <v>(K vs L)</v>
      </c>
      <c r="F2856" s="219"/>
    </row>
    <row r="2857" spans="1:10" ht="15.6" x14ac:dyDescent="0.3">
      <c r="A2857" s="33" t="s">
        <v>155</v>
      </c>
      <c r="J2857" s="82" t="s">
        <v>555</v>
      </c>
    </row>
    <row r="2858" spans="1:10" ht="12.75" customHeight="1" x14ac:dyDescent="0.3">
      <c r="A2858" s="33"/>
      <c r="G2858" t="str">
        <f ca="1">Team_Matches!$J$6</f>
        <v>[NCTTA Teams Template (v3.4).xlsx]</v>
      </c>
      <c r="J2858" s="55"/>
    </row>
    <row r="2859" spans="1:10" ht="12.75" customHeight="1" x14ac:dyDescent="0.3">
      <c r="A2859" s="33"/>
      <c r="G2859" s="229" t="str">
        <f>Team_Matches!$J2149</f>
        <v>Round 8, Match 1</v>
      </c>
      <c r="H2859" s="229"/>
      <c r="I2859" s="127" t="str">
        <f>Team_Matches!$M2149</f>
        <v/>
      </c>
      <c r="J2859" s="127"/>
    </row>
    <row r="2860" spans="1:10" ht="15.6" x14ac:dyDescent="0.3">
      <c r="A2860" s="33"/>
    </row>
    <row r="2861" spans="1:10" x14ac:dyDescent="0.25">
      <c r="C2861" s="7" t="s">
        <v>160</v>
      </c>
      <c r="D2861" s="39" t="str">
        <f>Team_Matches!$B2151</f>
        <v>A</v>
      </c>
      <c r="F2861" s="83" t="str">
        <f>CONCATENATE($D2861,"-",$I2861)</f>
        <v>A-E</v>
      </c>
      <c r="H2861" s="7" t="s">
        <v>160</v>
      </c>
      <c r="I2861" s="3" t="str">
        <f>Team_Matches!$K2151</f>
        <v>E</v>
      </c>
    </row>
    <row r="2862" spans="1:10" ht="25.5" customHeight="1" x14ac:dyDescent="0.25">
      <c r="A2862" s="34"/>
      <c r="B2862" s="220" t="str">
        <f>IF(VLOOKUP($D2861,Draw!$A$4:$B$27,2)&lt;&gt;0,VLOOKUP($D2861,Draw!$A$4:$B$27,2),"")</f>
        <v/>
      </c>
      <c r="C2862" s="220"/>
      <c r="D2862" s="220"/>
      <c r="E2862" s="221"/>
      <c r="F2862" s="35"/>
      <c r="G2862" s="223" t="str">
        <f>IF(VLOOKUP($I2861,Draw!$A$4:$B$27,2)&lt;&gt;0,VLOOKUP($I2861,Draw!$A$4:$B$27,2),"")</f>
        <v/>
      </c>
      <c r="H2862" s="223"/>
      <c r="I2862" s="223"/>
      <c r="J2862" s="224"/>
    </row>
    <row r="2863" spans="1:10" ht="25.5" customHeight="1" x14ac:dyDescent="0.25"/>
    <row r="2864" spans="1:10" ht="25.5" customHeight="1" x14ac:dyDescent="0.25"/>
    <row r="2865" spans="1:10" ht="24" customHeight="1" x14ac:dyDescent="0.25">
      <c r="A2865" s="9" t="s">
        <v>178</v>
      </c>
    </row>
    <row r="2866" spans="1:10" ht="24" customHeight="1" x14ac:dyDescent="0.25">
      <c r="A2866" s="9"/>
    </row>
    <row r="2867" spans="1:10" x14ac:dyDescent="0.25">
      <c r="A2867" s="9" t="s">
        <v>156</v>
      </c>
      <c r="G2867" s="226" t="s">
        <v>873</v>
      </c>
      <c r="H2867" s="226"/>
      <c r="I2867" s="226"/>
      <c r="J2867" s="226"/>
    </row>
    <row r="2868" spans="1:10" ht="24" customHeight="1" x14ac:dyDescent="0.4">
      <c r="A2868" s="37" t="str">
        <f>CONCATENATE($D2861,"1")</f>
        <v>A1</v>
      </c>
      <c r="B2868" s="222" t="str">
        <f>IF(VLOOKUP($A2868,Players!$A$2:$C$132,3)&lt;&gt;0,VLOOKUP($A2868,Players!$A$2:$C$132,3),"")</f>
        <v/>
      </c>
      <c r="C2868" s="222"/>
      <c r="D2868" s="222"/>
      <c r="E2868" s="222"/>
      <c r="F2868" s="222"/>
      <c r="G2868" s="225" t="str">
        <f>IF(VLOOKUP($I2861&amp;RIGHT($A2868,1),Players!$A$2:$D$132,3)&lt;&gt;0,VLOOKUP($I2861&amp;RIGHT($A2868,1),Players!$A$2:$D$132,3),"")</f>
        <v/>
      </c>
      <c r="H2868" s="225"/>
      <c r="I2868" s="225"/>
      <c r="J2868" s="168" t="str">
        <f>IF(VLOOKUP($I2861&amp;RIGHT($A2868,1),Players!$A$2:$D$132,3)&lt;&gt;0,"("&amp;VLOOKUP($I2861&amp;RIGHT($A2868,1),Players!$A$2:$D$132,4)&amp;")","")</f>
        <v/>
      </c>
    </row>
    <row r="2869" spans="1:10" ht="25.5" customHeight="1" x14ac:dyDescent="0.4">
      <c r="A2869" s="37" t="str">
        <f>CONCATENATE($D2861,"2")</f>
        <v>A2</v>
      </c>
      <c r="B2869" s="222" t="str">
        <f>IF(VLOOKUP($A2869,Players!$A$2:$C$132,3)&lt;&gt;0,VLOOKUP($A2869,Players!$A$2:$C$132,3),"")</f>
        <v/>
      </c>
      <c r="C2869" s="222"/>
      <c r="D2869" s="222"/>
      <c r="E2869" s="222"/>
      <c r="F2869" s="222"/>
      <c r="G2869" s="225" t="str">
        <f>IF(VLOOKUP($I2861&amp;RIGHT($A2869,1),Players!$A$2:$D$132,3)&lt;&gt;0,VLOOKUP($I2861&amp;RIGHT($A2869,1),Players!$A$2:$D$132,3),"")</f>
        <v/>
      </c>
      <c r="H2869" s="225"/>
      <c r="I2869" s="225"/>
      <c r="J2869" s="168" t="str">
        <f>IF(VLOOKUP($I2861&amp;RIGHT($A2869,1),Players!$A$2:$D$132,3)&lt;&gt;0,"("&amp;VLOOKUP($I2861&amp;RIGHT($A2869,1),Players!$A$2:$D$132,4)&amp;")","")</f>
        <v/>
      </c>
    </row>
    <row r="2870" spans="1:10" ht="25.5" customHeight="1" x14ac:dyDescent="0.4">
      <c r="A2870" s="37" t="str">
        <f>CONCATENATE($D2861,"3")</f>
        <v>A3</v>
      </c>
      <c r="B2870" s="222" t="str">
        <f>IF(VLOOKUP($A2870,Players!$A$2:$C$132,3)&lt;&gt;0,VLOOKUP($A2870,Players!$A$2:$C$132,3),"")</f>
        <v/>
      </c>
      <c r="C2870" s="222"/>
      <c r="D2870" s="222"/>
      <c r="E2870" s="222"/>
      <c r="F2870" s="222"/>
      <c r="G2870" s="225" t="str">
        <f>IF(VLOOKUP($I2861&amp;RIGHT($A2870,1),Players!$A$2:$D$132,3)&lt;&gt;0,VLOOKUP($I2861&amp;RIGHT($A2870,1),Players!$A$2:$D$132,3),"")</f>
        <v/>
      </c>
      <c r="H2870" s="225"/>
      <c r="I2870" s="225"/>
      <c r="J2870" s="168" t="str">
        <f>IF(VLOOKUP($I2861&amp;RIGHT($A2870,1),Players!$A$2:$D$132,3)&lt;&gt;0,"("&amp;VLOOKUP($I2861&amp;RIGHT($A2870,1),Players!$A$2:$D$132,4)&amp;")","")</f>
        <v/>
      </c>
    </row>
    <row r="2871" spans="1:10" ht="25.5" customHeight="1" x14ac:dyDescent="0.4">
      <c r="A2871" s="37" t="str">
        <f>CONCATENATE($D2861,"4")</f>
        <v>A4</v>
      </c>
      <c r="B2871" s="222" t="str">
        <f>IF(VLOOKUP($A2871,Players!$A$2:$C$132,3)&lt;&gt;0,VLOOKUP($A2871,Players!$A$2:$C$132,3),"")</f>
        <v/>
      </c>
      <c r="C2871" s="222"/>
      <c r="D2871" s="222"/>
      <c r="E2871" s="222"/>
      <c r="F2871" s="222"/>
      <c r="G2871" s="225" t="str">
        <f>IF(VLOOKUP($I2861&amp;RIGHT($A2871,1),Players!$A$2:$D$132,3)&lt;&gt;0,VLOOKUP($I2861&amp;RIGHT($A2871,1),Players!$A$2:$D$132,3),"")</f>
        <v/>
      </c>
      <c r="H2871" s="225"/>
      <c r="I2871" s="225"/>
      <c r="J2871" s="168" t="str">
        <f>IF(VLOOKUP($I2861&amp;RIGHT($A2871,1),Players!$A$2:$D$132,3)&lt;&gt;0,"("&amp;VLOOKUP($I2861&amp;RIGHT($A2871,1),Players!$A$2:$D$132,4)&amp;")","")</f>
        <v/>
      </c>
    </row>
    <row r="2872" spans="1:10" ht="25.5" customHeight="1" x14ac:dyDescent="0.4">
      <c r="A2872" s="37" t="str">
        <f>CONCATENATE($D2861,"5")</f>
        <v>A5</v>
      </c>
      <c r="B2872" s="222" t="str">
        <f>IF(VLOOKUP($A2872,Players!$A$2:$C$132,3)&lt;&gt;0,VLOOKUP($A2872,Players!$A$2:$C$132,3),"")</f>
        <v/>
      </c>
      <c r="C2872" s="222"/>
      <c r="D2872" s="222"/>
      <c r="E2872" s="222"/>
      <c r="F2872" s="222"/>
      <c r="G2872" s="225" t="str">
        <f>IF(VLOOKUP($I2861&amp;RIGHT($A2872,1),Players!$A$2:$D$132,3)&lt;&gt;0,VLOOKUP($I2861&amp;RIGHT($A2872,1),Players!$A$2:$D$132,3),"")</f>
        <v/>
      </c>
      <c r="H2872" s="225"/>
      <c r="I2872" s="225"/>
      <c r="J2872" s="168" t="str">
        <f>IF(VLOOKUP($I2861&amp;RIGHT($A2872,1),Players!$A$2:$D$132,3)&lt;&gt;0,"("&amp;VLOOKUP($I2861&amp;RIGHT($A2872,1),Players!$A$2:$D$132,4)&amp;")","")</f>
        <v/>
      </c>
    </row>
    <row r="2873" spans="1:10" ht="25.5" customHeight="1" x14ac:dyDescent="0.4">
      <c r="A2873" s="37" t="str">
        <f>CONCATENATE($D2861,"6")</f>
        <v>A6</v>
      </c>
      <c r="B2873" s="222" t="str">
        <f>IF(VLOOKUP($A2873,Players!$A$2:$C$132,3)&lt;&gt;0,VLOOKUP($A2873,Players!$A$2:$C$132,3),"")</f>
        <v/>
      </c>
      <c r="C2873" s="222"/>
      <c r="D2873" s="222"/>
      <c r="E2873" s="222"/>
      <c r="F2873" s="222"/>
      <c r="G2873" s="225" t="str">
        <f>IF(VLOOKUP($I2861&amp;RIGHT($A2873,1),Players!$A$2:$D$132,3)&lt;&gt;0,VLOOKUP($I2861&amp;RIGHT($A2873,1),Players!$A$2:$D$132,3),"")</f>
        <v/>
      </c>
      <c r="H2873" s="225"/>
      <c r="I2873" s="225"/>
      <c r="J2873" s="168" t="str">
        <f>IF(VLOOKUP($I2861&amp;RIGHT($A2873,1),Players!$A$2:$D$132,3)&lt;&gt;0,"("&amp;VLOOKUP($I2861&amp;RIGHT($A2873,1),Players!$A$2:$D$132,4)&amp;")","")</f>
        <v/>
      </c>
    </row>
    <row r="2874" spans="1:10" ht="25.5" customHeight="1" x14ac:dyDescent="0.4">
      <c r="A2874" s="37" t="str">
        <f>CONCATENATE($D2861,"7")</f>
        <v>A7</v>
      </c>
      <c r="B2874" s="222" t="str">
        <f>IF(VLOOKUP($A2874,Players!$A$2:$C$132,3)&lt;&gt;0,VLOOKUP($A2874,Players!$A$2:$C$132,3),"")</f>
        <v/>
      </c>
      <c r="C2874" s="222"/>
      <c r="D2874" s="222"/>
      <c r="E2874" s="222"/>
      <c r="F2874" s="222"/>
      <c r="G2874" s="225" t="str">
        <f>IF(VLOOKUP($I2861&amp;RIGHT($A2874,1),Players!$A$2:$D$132,3)&lt;&gt;0,VLOOKUP($I2861&amp;RIGHT($A2874,1),Players!$A$2:$D$132,3),"")</f>
        <v/>
      </c>
      <c r="H2874" s="225"/>
      <c r="I2874" s="225"/>
      <c r="J2874" s="168" t="str">
        <f>IF(VLOOKUP($I2861&amp;RIGHT($A2874,1),Players!$A$2:$D$132,3)&lt;&gt;0,"("&amp;VLOOKUP($I2861&amp;RIGHT($A2874,1),Players!$A$2:$D$132,4)&amp;")","")</f>
        <v/>
      </c>
    </row>
    <row r="2875" spans="1:10" ht="25.5" customHeight="1" x14ac:dyDescent="0.4">
      <c r="A2875" s="37" t="str">
        <f>CONCATENATE($D2861,"8")</f>
        <v>A8</v>
      </c>
      <c r="B2875" s="222" t="str">
        <f>IF(VLOOKUP($A2875,Players!$A$2:$C$132,3)&lt;&gt;0,VLOOKUP($A2875,Players!$A$2:$C$132,3),"")</f>
        <v/>
      </c>
      <c r="C2875" s="222"/>
      <c r="D2875" s="222"/>
      <c r="E2875" s="222"/>
      <c r="F2875" s="222"/>
      <c r="G2875" s="225" t="str">
        <f>IF(VLOOKUP($I2861&amp;RIGHT($A2875,1),Players!$A$2:$D$132,3)&lt;&gt;0,VLOOKUP($I2861&amp;RIGHT($A2875,1),Players!$A$2:$D$132,3),"")</f>
        <v/>
      </c>
      <c r="H2875" s="225"/>
      <c r="I2875" s="225"/>
      <c r="J2875" s="168" t="str">
        <f>IF(VLOOKUP($I2861&amp;RIGHT($A2875,1),Players!$A$2:$D$132,3)&lt;&gt;0,"("&amp;VLOOKUP($I2861&amp;RIGHT($A2875,1),Players!$A$2:$D$132,4)&amp;")","")</f>
        <v/>
      </c>
    </row>
    <row r="2876" spans="1:10" ht="25.5" customHeight="1" x14ac:dyDescent="0.25">
      <c r="A2876" s="37"/>
      <c r="B2876" s="7"/>
      <c r="C2876" s="7"/>
      <c r="D2876" s="7"/>
      <c r="E2876" s="7"/>
    </row>
    <row r="2877" spans="1:10" x14ac:dyDescent="0.25">
      <c r="A2877" s="9" t="s">
        <v>157</v>
      </c>
    </row>
    <row r="2878" spans="1:10" x14ac:dyDescent="0.25">
      <c r="A2878" t="s">
        <v>179</v>
      </c>
    </row>
    <row r="2879" spans="1:10" x14ac:dyDescent="0.25">
      <c r="A2879" s="55" t="s">
        <v>918</v>
      </c>
    </row>
    <row r="2880" spans="1:10" x14ac:dyDescent="0.25">
      <c r="A2880" t="s">
        <v>919</v>
      </c>
    </row>
    <row r="2881" spans="1:10" ht="25.5" customHeight="1" thickBot="1" x14ac:dyDescent="0.3">
      <c r="A2881" s="37"/>
    </row>
    <row r="2882" spans="1:10" x14ac:dyDescent="0.25">
      <c r="B2882" s="213"/>
      <c r="C2882" s="214"/>
      <c r="D2882" s="214"/>
      <c r="E2882" s="214"/>
      <c r="F2882" s="215"/>
    </row>
    <row r="2883" spans="1:10" ht="13.8" thickBot="1" x14ac:dyDescent="0.3">
      <c r="B2883" s="216"/>
      <c r="C2883" s="217"/>
      <c r="D2883" s="217"/>
      <c r="E2883" s="217"/>
      <c r="F2883" s="218"/>
    </row>
    <row r="2887" spans="1:10" ht="25.5" customHeight="1" x14ac:dyDescent="0.25">
      <c r="A2887" s="36"/>
      <c r="B2887" s="36"/>
      <c r="C2887" s="36"/>
      <c r="D2887" s="36"/>
      <c r="E2887" s="36"/>
      <c r="G2887" s="38"/>
      <c r="H2887" s="227" t="s">
        <v>159</v>
      </c>
      <c r="I2887" s="228"/>
    </row>
    <row r="2888" spans="1:10" x14ac:dyDescent="0.25">
      <c r="A2888" t="s">
        <v>158</v>
      </c>
    </row>
    <row r="2890" spans="1:10" x14ac:dyDescent="0.25">
      <c r="E2890" s="219" t="str">
        <f>CONCATENATE("(",$D2861," vs ",$I2861,")")</f>
        <v>(A vs E)</v>
      </c>
      <c r="F2890" s="219"/>
    </row>
    <row r="2891" spans="1:10" ht="15.6" x14ac:dyDescent="0.3">
      <c r="A2891" s="33" t="s">
        <v>155</v>
      </c>
      <c r="J2891" s="82" t="s">
        <v>556</v>
      </c>
    </row>
    <row r="2892" spans="1:10" ht="12.75" customHeight="1" x14ac:dyDescent="0.3">
      <c r="A2892" s="33"/>
      <c r="G2892" t="str">
        <f ca="1">Team_Matches!$J$6</f>
        <v>[NCTTA Teams Template (v3.4).xlsx]</v>
      </c>
      <c r="J2892" s="55"/>
    </row>
    <row r="2893" spans="1:10" ht="12.75" customHeight="1" x14ac:dyDescent="0.3">
      <c r="A2893" s="33"/>
      <c r="G2893" s="229" t="str">
        <f>Team_Matches!$J2149</f>
        <v>Round 8, Match 1</v>
      </c>
      <c r="H2893" s="229"/>
      <c r="I2893" s="127" t="str">
        <f>Team_Matches!$M2149</f>
        <v/>
      </c>
      <c r="J2893" s="127"/>
    </row>
    <row r="2894" spans="1:10" ht="15.6" x14ac:dyDescent="0.3">
      <c r="A2894" s="33"/>
    </row>
    <row r="2895" spans="1:10" x14ac:dyDescent="0.25">
      <c r="C2895" s="7" t="s">
        <v>160</v>
      </c>
      <c r="D2895" s="39" t="str">
        <f>Team_Matches!$B2151</f>
        <v>A</v>
      </c>
      <c r="F2895" s="83" t="str">
        <f>CONCATENATE($D2895,"-",$I2895)</f>
        <v>A-E</v>
      </c>
      <c r="H2895" s="7" t="s">
        <v>160</v>
      </c>
      <c r="I2895" s="3" t="str">
        <f>Team_Matches!$K2151</f>
        <v>E</v>
      </c>
    </row>
    <row r="2896" spans="1:10" ht="25.5" customHeight="1" x14ac:dyDescent="0.25">
      <c r="A2896" s="34"/>
      <c r="B2896" s="223" t="str">
        <f>IF(VLOOKUP($D2895,Draw!$A$4:$B$27,2)&lt;&gt;0,VLOOKUP($D2895,Draw!$A$4:$B$27,2),"")</f>
        <v/>
      </c>
      <c r="C2896" s="223"/>
      <c r="D2896" s="223"/>
      <c r="E2896" s="224"/>
      <c r="F2896" s="35"/>
      <c r="G2896" s="220" t="str">
        <f>IF(VLOOKUP($I2895,Draw!$A$4:$B$27,2)&lt;&gt;0,VLOOKUP($I2895,Draw!$A$4:$B$27,2),"")</f>
        <v/>
      </c>
      <c r="H2896" s="220"/>
      <c r="I2896" s="220"/>
      <c r="J2896" s="221"/>
    </row>
    <row r="2897" spans="1:10" ht="25.5" customHeight="1" x14ac:dyDescent="0.25"/>
    <row r="2898" spans="1:10" ht="25.5" customHeight="1" x14ac:dyDescent="0.25"/>
    <row r="2899" spans="1:10" ht="24" customHeight="1" x14ac:dyDescent="0.25">
      <c r="A2899" s="9" t="s">
        <v>178</v>
      </c>
    </row>
    <row r="2900" spans="1:10" ht="24" customHeight="1" x14ac:dyDescent="0.25">
      <c r="A2900" s="9"/>
    </row>
    <row r="2901" spans="1:10" x14ac:dyDescent="0.25">
      <c r="A2901" s="9" t="s">
        <v>156</v>
      </c>
      <c r="G2901" s="226" t="s">
        <v>873</v>
      </c>
      <c r="H2901" s="226"/>
      <c r="I2901" s="226"/>
      <c r="J2901" s="226"/>
    </row>
    <row r="2902" spans="1:10" ht="24" customHeight="1" x14ac:dyDescent="0.4">
      <c r="A2902" s="37" t="str">
        <f>CONCATENATE($I2895,"1")</f>
        <v>E1</v>
      </c>
      <c r="B2902" s="222" t="str">
        <f>IF(VLOOKUP($A2902,Players!$A$2:$C$132,3)&lt;&gt;0,VLOOKUP($A2902,Players!$A$2:$C$132,3),"")</f>
        <v/>
      </c>
      <c r="C2902" s="222"/>
      <c r="D2902" s="222"/>
      <c r="E2902" s="222"/>
      <c r="F2902" s="222"/>
      <c r="G2902" s="225" t="str">
        <f>IF(VLOOKUP($D2895&amp;RIGHT($A2902,1),Players!$A$2:$D$132,3)&lt;&gt;0,VLOOKUP($D2895&amp;RIGHT($A2902,1),Players!$A$2:$D$132,3),"")</f>
        <v/>
      </c>
      <c r="H2902" s="225"/>
      <c r="I2902" s="225"/>
      <c r="J2902" s="168" t="str">
        <f>IF(VLOOKUP($D2895&amp;RIGHT($A2902,1),Players!$A$2:$D$132,3)&lt;&gt;0,"("&amp;VLOOKUP($D2895&amp;RIGHT($A2902,1),Players!$A$2:$D$132,4)&amp;")","")</f>
        <v/>
      </c>
    </row>
    <row r="2903" spans="1:10" ht="25.5" customHeight="1" x14ac:dyDescent="0.4">
      <c r="A2903" s="37" t="str">
        <f>CONCATENATE($I2895,"2")</f>
        <v>E2</v>
      </c>
      <c r="B2903" s="222" t="str">
        <f>IF(VLOOKUP($A2903,Players!$A$2:$C$132,3)&lt;&gt;0,VLOOKUP($A2903,Players!$A$2:$C$132,3),"")</f>
        <v/>
      </c>
      <c r="C2903" s="222"/>
      <c r="D2903" s="222"/>
      <c r="E2903" s="222"/>
      <c r="F2903" s="222"/>
      <c r="G2903" s="225" t="str">
        <f>IF(VLOOKUP($D2895&amp;RIGHT($A2903,1),Players!$A$2:$D$132,3)&lt;&gt;0,VLOOKUP($D2895&amp;RIGHT($A2903,1),Players!$A$2:$D$132,3),"")</f>
        <v/>
      </c>
      <c r="H2903" s="225"/>
      <c r="I2903" s="225"/>
      <c r="J2903" s="168" t="str">
        <f>IF(VLOOKUP($D2895&amp;RIGHT($A2903,1),Players!$A$2:$D$132,3)&lt;&gt;0,"("&amp;VLOOKUP($D2895&amp;RIGHT($A2903,1),Players!$A$2:$D$132,4)&amp;")","")</f>
        <v/>
      </c>
    </row>
    <row r="2904" spans="1:10" ht="25.5" customHeight="1" x14ac:dyDescent="0.4">
      <c r="A2904" s="37" t="str">
        <f>CONCATENATE($I2895,"3")</f>
        <v>E3</v>
      </c>
      <c r="B2904" s="222" t="str">
        <f>IF(VLOOKUP($A2904,Players!$A$2:$C$132,3)&lt;&gt;0,VLOOKUP($A2904,Players!$A$2:$C$132,3),"")</f>
        <v/>
      </c>
      <c r="C2904" s="222"/>
      <c r="D2904" s="222"/>
      <c r="E2904" s="222"/>
      <c r="F2904" s="222"/>
      <c r="G2904" s="225" t="str">
        <f>IF(VLOOKUP($D2895&amp;RIGHT($A2904,1),Players!$A$2:$D$132,3)&lt;&gt;0,VLOOKUP($D2895&amp;RIGHT($A2904,1),Players!$A$2:$D$132,3),"")</f>
        <v/>
      </c>
      <c r="H2904" s="225"/>
      <c r="I2904" s="225"/>
      <c r="J2904" s="168" t="str">
        <f>IF(VLOOKUP($D2895&amp;RIGHT($A2904,1),Players!$A$2:$D$132,3)&lt;&gt;0,"("&amp;VLOOKUP($D2895&amp;RIGHT($A2904,1),Players!$A$2:$D$132,4)&amp;")","")</f>
        <v/>
      </c>
    </row>
    <row r="2905" spans="1:10" ht="25.5" customHeight="1" x14ac:dyDescent="0.4">
      <c r="A2905" s="37" t="str">
        <f>CONCATENATE($I2895,"4")</f>
        <v>E4</v>
      </c>
      <c r="B2905" s="222" t="str">
        <f>IF(VLOOKUP($A2905,Players!$A$2:$C$132,3)&lt;&gt;0,VLOOKUP($A2905,Players!$A$2:$C$132,3),"")</f>
        <v/>
      </c>
      <c r="C2905" s="222"/>
      <c r="D2905" s="222"/>
      <c r="E2905" s="222"/>
      <c r="F2905" s="222"/>
      <c r="G2905" s="225" t="str">
        <f>IF(VLOOKUP($D2895&amp;RIGHT($A2905,1),Players!$A$2:$D$132,3)&lt;&gt;0,VLOOKUP($D2895&amp;RIGHT($A2905,1),Players!$A$2:$D$132,3),"")</f>
        <v/>
      </c>
      <c r="H2905" s="225"/>
      <c r="I2905" s="225"/>
      <c r="J2905" s="168" t="str">
        <f>IF(VLOOKUP($D2895&amp;RIGHT($A2905,1),Players!$A$2:$D$132,3)&lt;&gt;0,"("&amp;VLOOKUP($D2895&amp;RIGHT($A2905,1),Players!$A$2:$D$132,4)&amp;")","")</f>
        <v/>
      </c>
    </row>
    <row r="2906" spans="1:10" ht="25.5" customHeight="1" x14ac:dyDescent="0.4">
      <c r="A2906" s="37" t="str">
        <f>CONCATENATE($I2895,"5")</f>
        <v>E5</v>
      </c>
      <c r="B2906" s="222" t="str">
        <f>IF(VLOOKUP($A2906,Players!$A$2:$C$132,3)&lt;&gt;0,VLOOKUP($A2906,Players!$A$2:$C$132,3),"")</f>
        <v/>
      </c>
      <c r="C2906" s="222"/>
      <c r="D2906" s="222"/>
      <c r="E2906" s="222"/>
      <c r="F2906" s="222"/>
      <c r="G2906" s="225" t="str">
        <f>IF(VLOOKUP($D2895&amp;RIGHT($A2906,1),Players!$A$2:$D$132,3)&lt;&gt;0,VLOOKUP($D2895&amp;RIGHT($A2906,1),Players!$A$2:$D$132,3),"")</f>
        <v/>
      </c>
      <c r="H2906" s="225"/>
      <c r="I2906" s="225"/>
      <c r="J2906" s="168" t="str">
        <f>IF(VLOOKUP($D2895&amp;RIGHT($A2906,1),Players!$A$2:$D$132,3)&lt;&gt;0,"("&amp;VLOOKUP($D2895&amp;RIGHT($A2906,1),Players!$A$2:$D$132,4)&amp;")","")</f>
        <v/>
      </c>
    </row>
    <row r="2907" spans="1:10" ht="25.5" customHeight="1" x14ac:dyDescent="0.4">
      <c r="A2907" s="37" t="str">
        <f>CONCATENATE($I2895,"6")</f>
        <v>E6</v>
      </c>
      <c r="B2907" s="222" t="str">
        <f>IF(VLOOKUP($A2907,Players!$A$2:$C$132,3)&lt;&gt;0,VLOOKUP($A2907,Players!$A$2:$C$132,3),"")</f>
        <v/>
      </c>
      <c r="C2907" s="222"/>
      <c r="D2907" s="222"/>
      <c r="E2907" s="222"/>
      <c r="F2907" s="222"/>
      <c r="G2907" s="225" t="str">
        <f>IF(VLOOKUP($D2895&amp;RIGHT($A2907,1),Players!$A$2:$D$132,3)&lt;&gt;0,VLOOKUP($D2895&amp;RIGHT($A2907,1),Players!$A$2:$D$132,3),"")</f>
        <v/>
      </c>
      <c r="H2907" s="225"/>
      <c r="I2907" s="225"/>
      <c r="J2907" s="168" t="str">
        <f>IF(VLOOKUP($D2895&amp;RIGHT($A2907,1),Players!$A$2:$D$132,3)&lt;&gt;0,"("&amp;VLOOKUP($D2895&amp;RIGHT($A2907,1),Players!$A$2:$D$132,4)&amp;")","")</f>
        <v/>
      </c>
    </row>
    <row r="2908" spans="1:10" ht="25.5" customHeight="1" x14ac:dyDescent="0.4">
      <c r="A2908" s="37" t="str">
        <f>CONCATENATE($I2895,"7")</f>
        <v>E7</v>
      </c>
      <c r="B2908" s="222" t="str">
        <f>IF(VLOOKUP($A2908,Players!$A$2:$C$132,3)&lt;&gt;0,VLOOKUP($A2908,Players!$A$2:$C$132,3),"")</f>
        <v/>
      </c>
      <c r="C2908" s="222"/>
      <c r="D2908" s="222"/>
      <c r="E2908" s="222"/>
      <c r="F2908" s="222"/>
      <c r="G2908" s="225" t="str">
        <f>IF(VLOOKUP($D2895&amp;RIGHT($A2908,1),Players!$A$2:$D$132,3)&lt;&gt;0,VLOOKUP($D2895&amp;RIGHT($A2908,1),Players!$A$2:$D$132,3),"")</f>
        <v/>
      </c>
      <c r="H2908" s="225"/>
      <c r="I2908" s="225"/>
      <c r="J2908" s="168" t="str">
        <f>IF(VLOOKUP($D2895&amp;RIGHT($A2908,1),Players!$A$2:$D$132,3)&lt;&gt;0,"("&amp;VLOOKUP($D2895&amp;RIGHT($A2908,1),Players!$A$2:$D$132,4)&amp;")","")</f>
        <v/>
      </c>
    </row>
    <row r="2909" spans="1:10" ht="25.5" customHeight="1" x14ac:dyDescent="0.4">
      <c r="A2909" s="37" t="str">
        <f>CONCATENATE($I2895,"8")</f>
        <v>E8</v>
      </c>
      <c r="B2909" s="222" t="str">
        <f>IF(VLOOKUP($A2909,Players!$A$2:$C$132,3)&lt;&gt;0,VLOOKUP($A2909,Players!$A$2:$C$132,3),"")</f>
        <v/>
      </c>
      <c r="C2909" s="222"/>
      <c r="D2909" s="222"/>
      <c r="E2909" s="222"/>
      <c r="F2909" s="222"/>
      <c r="G2909" s="225" t="str">
        <f>IF(VLOOKUP($D2895&amp;RIGHT($A2909,1),Players!$A$2:$D$132,3)&lt;&gt;0,VLOOKUP($D2895&amp;RIGHT($A2909,1),Players!$A$2:$D$132,3),"")</f>
        <v/>
      </c>
      <c r="H2909" s="225"/>
      <c r="I2909" s="225"/>
      <c r="J2909" s="168" t="str">
        <f>IF(VLOOKUP($D2895&amp;RIGHT($A2909,1),Players!$A$2:$D$132,3)&lt;&gt;0,"("&amp;VLOOKUP($D2895&amp;RIGHT($A2909,1),Players!$A$2:$D$132,4)&amp;")","")</f>
        <v/>
      </c>
    </row>
    <row r="2910" spans="1:10" ht="25.5" customHeight="1" x14ac:dyDescent="0.25">
      <c r="A2910" s="37"/>
      <c r="B2910" s="7"/>
      <c r="C2910" s="7"/>
      <c r="D2910" s="7"/>
      <c r="E2910" s="7"/>
    </row>
    <row r="2911" spans="1:10" x14ac:dyDescent="0.25">
      <c r="A2911" s="9" t="s">
        <v>157</v>
      </c>
    </row>
    <row r="2912" spans="1:10" x14ac:dyDescent="0.25">
      <c r="A2912" t="s">
        <v>179</v>
      </c>
    </row>
    <row r="2913" spans="1:10" x14ac:dyDescent="0.25">
      <c r="A2913" s="55" t="s">
        <v>918</v>
      </c>
    </row>
    <row r="2914" spans="1:10" x14ac:dyDescent="0.25">
      <c r="A2914" t="s">
        <v>919</v>
      </c>
    </row>
    <row r="2915" spans="1:10" ht="25.5" customHeight="1" thickBot="1" x14ac:dyDescent="0.3">
      <c r="A2915" s="37"/>
    </row>
    <row r="2916" spans="1:10" x14ac:dyDescent="0.25">
      <c r="B2916" s="213"/>
      <c r="C2916" s="214"/>
      <c r="D2916" s="214"/>
      <c r="E2916" s="214"/>
      <c r="F2916" s="215"/>
    </row>
    <row r="2917" spans="1:10" ht="13.8" thickBot="1" x14ac:dyDescent="0.3">
      <c r="B2917" s="216"/>
      <c r="C2917" s="217"/>
      <c r="D2917" s="217"/>
      <c r="E2917" s="217"/>
      <c r="F2917" s="218"/>
    </row>
    <row r="2921" spans="1:10" ht="25.5" customHeight="1" x14ac:dyDescent="0.25">
      <c r="A2921" s="36"/>
      <c r="B2921" s="36"/>
      <c r="C2921" s="36"/>
      <c r="D2921" s="36"/>
      <c r="E2921" s="36"/>
      <c r="G2921" s="38"/>
      <c r="H2921" s="227" t="s">
        <v>159</v>
      </c>
      <c r="I2921" s="228"/>
    </row>
    <row r="2922" spans="1:10" x14ac:dyDescent="0.25">
      <c r="A2922" t="s">
        <v>158</v>
      </c>
    </row>
    <row r="2924" spans="1:10" x14ac:dyDescent="0.25">
      <c r="E2924" s="219" t="str">
        <f>CONCATENATE("(",$D2895," vs ",$I2895,")")</f>
        <v>(A vs E)</v>
      </c>
      <c r="F2924" s="219"/>
    </row>
    <row r="2925" spans="1:10" ht="15.6" x14ac:dyDescent="0.3">
      <c r="A2925" s="33" t="s">
        <v>155</v>
      </c>
      <c r="J2925" s="82" t="s">
        <v>557</v>
      </c>
    </row>
    <row r="2926" spans="1:10" ht="12.75" customHeight="1" x14ac:dyDescent="0.3">
      <c r="A2926" s="33"/>
      <c r="G2926" t="str">
        <f ca="1">Team_Matches!$J$6</f>
        <v>[NCTTA Teams Template (v3.4).xlsx]</v>
      </c>
      <c r="J2926" s="55"/>
    </row>
    <row r="2927" spans="1:10" ht="12.75" customHeight="1" x14ac:dyDescent="0.3">
      <c r="A2927" s="33"/>
      <c r="G2927" s="229" t="str">
        <f>Team_Matches!$J2200</f>
        <v>Round 8, Match 2</v>
      </c>
      <c r="H2927" s="229"/>
      <c r="I2927" s="127" t="str">
        <f>Team_Matches!$M2200</f>
        <v/>
      </c>
      <c r="J2927" s="127"/>
    </row>
    <row r="2928" spans="1:10" ht="15.6" x14ac:dyDescent="0.3">
      <c r="A2928" s="33"/>
    </row>
    <row r="2929" spans="1:10" x14ac:dyDescent="0.25">
      <c r="C2929" s="7" t="s">
        <v>160</v>
      </c>
      <c r="D2929" s="39" t="str">
        <f>Team_Matches!$B2202</f>
        <v>D</v>
      </c>
      <c r="F2929" s="83" t="str">
        <f>CONCATENATE($D2929,"-",$I2929)</f>
        <v>D-F</v>
      </c>
      <c r="H2929" s="7" t="s">
        <v>160</v>
      </c>
      <c r="I2929" s="39" t="str">
        <f>Team_Matches!$K2202</f>
        <v>F</v>
      </c>
    </row>
    <row r="2930" spans="1:10" ht="25.5" customHeight="1" x14ac:dyDescent="0.25">
      <c r="A2930" s="34"/>
      <c r="B2930" s="220" t="str">
        <f>IF(VLOOKUP($D2929,Draw!$A$4:$B$27,2)&lt;&gt;0,VLOOKUP($D2929,Draw!$A$4:$B$27,2),"")</f>
        <v/>
      </c>
      <c r="C2930" s="220"/>
      <c r="D2930" s="220"/>
      <c r="E2930" s="221"/>
      <c r="F2930" s="35"/>
      <c r="G2930" s="223" t="str">
        <f>IF(VLOOKUP($I2929,Draw!$A$4:$B$27,2)&lt;&gt;0,VLOOKUP($I2929,Draw!$A$4:$B$27,2),"")</f>
        <v/>
      </c>
      <c r="H2930" s="223"/>
      <c r="I2930" s="223"/>
      <c r="J2930" s="224"/>
    </row>
    <row r="2931" spans="1:10" ht="25.5" customHeight="1" x14ac:dyDescent="0.25"/>
    <row r="2932" spans="1:10" ht="25.5" customHeight="1" x14ac:dyDescent="0.25"/>
    <row r="2933" spans="1:10" ht="24" customHeight="1" x14ac:dyDescent="0.25">
      <c r="A2933" s="9" t="s">
        <v>178</v>
      </c>
    </row>
    <row r="2934" spans="1:10" ht="24" customHeight="1" x14ac:dyDescent="0.25">
      <c r="A2934" s="9"/>
    </row>
    <row r="2935" spans="1:10" x14ac:dyDescent="0.25">
      <c r="A2935" s="9" t="s">
        <v>156</v>
      </c>
      <c r="G2935" s="226" t="s">
        <v>873</v>
      </c>
      <c r="H2935" s="226"/>
      <c r="I2935" s="226"/>
      <c r="J2935" s="226"/>
    </row>
    <row r="2936" spans="1:10" ht="24" customHeight="1" x14ac:dyDescent="0.4">
      <c r="A2936" s="37" t="str">
        <f>CONCATENATE($D2929,"1")</f>
        <v>D1</v>
      </c>
      <c r="B2936" s="222" t="str">
        <f>IF(VLOOKUP($A2936,Players!$A$2:$C$132,3)&lt;&gt;0,VLOOKUP($A2936,Players!$A$2:$C$132,3),"")</f>
        <v/>
      </c>
      <c r="C2936" s="222"/>
      <c r="D2936" s="222"/>
      <c r="E2936" s="222"/>
      <c r="F2936" s="222"/>
      <c r="G2936" s="225" t="str">
        <f>IF(VLOOKUP($I2929&amp;RIGHT($A2936,1),Players!$A$2:$D$132,3)&lt;&gt;0,VLOOKUP($I2929&amp;RIGHT($A2936,1),Players!$A$2:$D$132,3),"")</f>
        <v/>
      </c>
      <c r="H2936" s="225"/>
      <c r="I2936" s="225"/>
      <c r="J2936" s="168" t="str">
        <f>IF(VLOOKUP($I2929&amp;RIGHT($A2936,1),Players!$A$2:$D$132,3)&lt;&gt;0,"("&amp;VLOOKUP($I2929&amp;RIGHT($A2936,1),Players!$A$2:$D$132,4)&amp;")","")</f>
        <v/>
      </c>
    </row>
    <row r="2937" spans="1:10" ht="25.5" customHeight="1" x14ac:dyDescent="0.4">
      <c r="A2937" s="37" t="str">
        <f>CONCATENATE($D2929,"2")</f>
        <v>D2</v>
      </c>
      <c r="B2937" s="222" t="str">
        <f>IF(VLOOKUP($A2937,Players!$A$2:$C$132,3)&lt;&gt;0,VLOOKUP($A2937,Players!$A$2:$C$132,3),"")</f>
        <v/>
      </c>
      <c r="C2937" s="222"/>
      <c r="D2937" s="222"/>
      <c r="E2937" s="222"/>
      <c r="F2937" s="222"/>
      <c r="G2937" s="225" t="str">
        <f>IF(VLOOKUP($I2929&amp;RIGHT($A2937,1),Players!$A$2:$D$132,3)&lt;&gt;0,VLOOKUP($I2929&amp;RIGHT($A2937,1),Players!$A$2:$D$132,3),"")</f>
        <v/>
      </c>
      <c r="H2937" s="225"/>
      <c r="I2937" s="225"/>
      <c r="J2937" s="168" t="str">
        <f>IF(VLOOKUP($I2929&amp;RIGHT($A2937,1),Players!$A$2:$D$132,3)&lt;&gt;0,"("&amp;VLOOKUP($I2929&amp;RIGHT($A2937,1),Players!$A$2:$D$132,4)&amp;")","")</f>
        <v/>
      </c>
    </row>
    <row r="2938" spans="1:10" ht="25.5" customHeight="1" x14ac:dyDescent="0.4">
      <c r="A2938" s="37" t="str">
        <f>CONCATENATE($D2929,"3")</f>
        <v>D3</v>
      </c>
      <c r="B2938" s="222" t="str">
        <f>IF(VLOOKUP($A2938,Players!$A$2:$C$132,3)&lt;&gt;0,VLOOKUP($A2938,Players!$A$2:$C$132,3),"")</f>
        <v/>
      </c>
      <c r="C2938" s="222"/>
      <c r="D2938" s="222"/>
      <c r="E2938" s="222"/>
      <c r="F2938" s="222"/>
      <c r="G2938" s="225" t="str">
        <f>IF(VLOOKUP($I2929&amp;RIGHT($A2938,1),Players!$A$2:$D$132,3)&lt;&gt;0,VLOOKUP($I2929&amp;RIGHT($A2938,1),Players!$A$2:$D$132,3),"")</f>
        <v/>
      </c>
      <c r="H2938" s="225"/>
      <c r="I2938" s="225"/>
      <c r="J2938" s="168" t="str">
        <f>IF(VLOOKUP($I2929&amp;RIGHT($A2938,1),Players!$A$2:$D$132,3)&lt;&gt;0,"("&amp;VLOOKUP($I2929&amp;RIGHT($A2938,1),Players!$A$2:$D$132,4)&amp;")","")</f>
        <v/>
      </c>
    </row>
    <row r="2939" spans="1:10" ht="25.5" customHeight="1" x14ac:dyDescent="0.4">
      <c r="A2939" s="37" t="str">
        <f>CONCATENATE($D2929,"4")</f>
        <v>D4</v>
      </c>
      <c r="B2939" s="222" t="str">
        <f>IF(VLOOKUP($A2939,Players!$A$2:$C$132,3)&lt;&gt;0,VLOOKUP($A2939,Players!$A$2:$C$132,3),"")</f>
        <v/>
      </c>
      <c r="C2939" s="222"/>
      <c r="D2939" s="222"/>
      <c r="E2939" s="222"/>
      <c r="F2939" s="222"/>
      <c r="G2939" s="225" t="str">
        <f>IF(VLOOKUP($I2929&amp;RIGHT($A2939,1),Players!$A$2:$D$132,3)&lt;&gt;0,VLOOKUP($I2929&amp;RIGHT($A2939,1),Players!$A$2:$D$132,3),"")</f>
        <v/>
      </c>
      <c r="H2939" s="225"/>
      <c r="I2939" s="225"/>
      <c r="J2939" s="168" t="str">
        <f>IF(VLOOKUP($I2929&amp;RIGHT($A2939,1),Players!$A$2:$D$132,3)&lt;&gt;0,"("&amp;VLOOKUP($I2929&amp;RIGHT($A2939,1),Players!$A$2:$D$132,4)&amp;")","")</f>
        <v/>
      </c>
    </row>
    <row r="2940" spans="1:10" ht="25.5" customHeight="1" x14ac:dyDescent="0.4">
      <c r="A2940" s="37" t="str">
        <f>CONCATENATE($D2929,"5")</f>
        <v>D5</v>
      </c>
      <c r="B2940" s="222" t="str">
        <f>IF(VLOOKUP($A2940,Players!$A$2:$C$132,3)&lt;&gt;0,VLOOKUP($A2940,Players!$A$2:$C$132,3),"")</f>
        <v/>
      </c>
      <c r="C2940" s="222"/>
      <c r="D2940" s="222"/>
      <c r="E2940" s="222"/>
      <c r="F2940" s="222"/>
      <c r="G2940" s="225" t="str">
        <f>IF(VLOOKUP($I2929&amp;RIGHT($A2940,1),Players!$A$2:$D$132,3)&lt;&gt;0,VLOOKUP($I2929&amp;RIGHT($A2940,1),Players!$A$2:$D$132,3),"")</f>
        <v/>
      </c>
      <c r="H2940" s="225"/>
      <c r="I2940" s="225"/>
      <c r="J2940" s="168" t="str">
        <f>IF(VLOOKUP($I2929&amp;RIGHT($A2940,1),Players!$A$2:$D$132,3)&lt;&gt;0,"("&amp;VLOOKUP($I2929&amp;RIGHT($A2940,1),Players!$A$2:$D$132,4)&amp;")","")</f>
        <v/>
      </c>
    </row>
    <row r="2941" spans="1:10" ht="25.5" customHeight="1" x14ac:dyDescent="0.4">
      <c r="A2941" s="37" t="str">
        <f>CONCATENATE($D2929,"6")</f>
        <v>D6</v>
      </c>
      <c r="B2941" s="222" t="str">
        <f>IF(VLOOKUP($A2941,Players!$A$2:$C$132,3)&lt;&gt;0,VLOOKUP($A2941,Players!$A$2:$C$132,3),"")</f>
        <v/>
      </c>
      <c r="C2941" s="222"/>
      <c r="D2941" s="222"/>
      <c r="E2941" s="222"/>
      <c r="F2941" s="222"/>
      <c r="G2941" s="225" t="str">
        <f>IF(VLOOKUP($I2929&amp;RIGHT($A2941,1),Players!$A$2:$D$132,3)&lt;&gt;0,VLOOKUP($I2929&amp;RIGHT($A2941,1),Players!$A$2:$D$132,3),"")</f>
        <v/>
      </c>
      <c r="H2941" s="225"/>
      <c r="I2941" s="225"/>
      <c r="J2941" s="168" t="str">
        <f>IF(VLOOKUP($I2929&amp;RIGHT($A2941,1),Players!$A$2:$D$132,3)&lt;&gt;0,"("&amp;VLOOKUP($I2929&amp;RIGHT($A2941,1),Players!$A$2:$D$132,4)&amp;")","")</f>
        <v/>
      </c>
    </row>
    <row r="2942" spans="1:10" ht="25.5" customHeight="1" x14ac:dyDescent="0.4">
      <c r="A2942" s="37" t="str">
        <f>CONCATENATE($D2929,"7")</f>
        <v>D7</v>
      </c>
      <c r="B2942" s="222" t="str">
        <f>IF(VLOOKUP($A2942,Players!$A$2:$C$132,3)&lt;&gt;0,VLOOKUP($A2942,Players!$A$2:$C$132,3),"")</f>
        <v/>
      </c>
      <c r="C2942" s="222"/>
      <c r="D2942" s="222"/>
      <c r="E2942" s="222"/>
      <c r="F2942" s="222"/>
      <c r="G2942" s="225" t="str">
        <f>IF(VLOOKUP($I2929&amp;RIGHT($A2942,1),Players!$A$2:$D$132,3)&lt;&gt;0,VLOOKUP($I2929&amp;RIGHT($A2942,1),Players!$A$2:$D$132,3),"")</f>
        <v/>
      </c>
      <c r="H2942" s="225"/>
      <c r="I2942" s="225"/>
      <c r="J2942" s="168" t="str">
        <f>IF(VLOOKUP($I2929&amp;RIGHT($A2942,1),Players!$A$2:$D$132,3)&lt;&gt;0,"("&amp;VLOOKUP($I2929&amp;RIGHT($A2942,1),Players!$A$2:$D$132,4)&amp;")","")</f>
        <v/>
      </c>
    </row>
    <row r="2943" spans="1:10" ht="25.5" customHeight="1" x14ac:dyDescent="0.4">
      <c r="A2943" s="37" t="str">
        <f>CONCATENATE($D2929,"8")</f>
        <v>D8</v>
      </c>
      <c r="B2943" s="222" t="str">
        <f>IF(VLOOKUP($A2943,Players!$A$2:$C$132,3)&lt;&gt;0,VLOOKUP($A2943,Players!$A$2:$C$132,3),"")</f>
        <v/>
      </c>
      <c r="C2943" s="222"/>
      <c r="D2943" s="222"/>
      <c r="E2943" s="222"/>
      <c r="F2943" s="222"/>
      <c r="G2943" s="225" t="str">
        <f>IF(VLOOKUP($I2929&amp;RIGHT($A2943,1),Players!$A$2:$D$132,3)&lt;&gt;0,VLOOKUP($I2929&amp;RIGHT($A2943,1),Players!$A$2:$D$132,3),"")</f>
        <v/>
      </c>
      <c r="H2943" s="225"/>
      <c r="I2943" s="225"/>
      <c r="J2943" s="168" t="str">
        <f>IF(VLOOKUP($I2929&amp;RIGHT($A2943,1),Players!$A$2:$D$132,3)&lt;&gt;0,"("&amp;VLOOKUP($I2929&amp;RIGHT($A2943,1),Players!$A$2:$D$132,4)&amp;")","")</f>
        <v/>
      </c>
    </row>
    <row r="2944" spans="1:10" ht="25.5" customHeight="1" x14ac:dyDescent="0.25">
      <c r="A2944" s="37"/>
      <c r="B2944" s="7"/>
      <c r="C2944" s="7"/>
      <c r="D2944" s="7"/>
      <c r="E2944" s="7"/>
    </row>
    <row r="2945" spans="1:10" x14ac:dyDescent="0.25">
      <c r="A2945" s="9" t="s">
        <v>157</v>
      </c>
    </row>
    <row r="2946" spans="1:10" x14ac:dyDescent="0.25">
      <c r="A2946" t="s">
        <v>179</v>
      </c>
    </row>
    <row r="2947" spans="1:10" x14ac:dyDescent="0.25">
      <c r="A2947" s="55" t="s">
        <v>918</v>
      </c>
    </row>
    <row r="2948" spans="1:10" x14ac:dyDescent="0.25">
      <c r="A2948" t="s">
        <v>919</v>
      </c>
    </row>
    <row r="2949" spans="1:10" ht="25.5" customHeight="1" thickBot="1" x14ac:dyDescent="0.3">
      <c r="A2949" s="37"/>
    </row>
    <row r="2950" spans="1:10" x14ac:dyDescent="0.25">
      <c r="B2950" s="213"/>
      <c r="C2950" s="214"/>
      <c r="D2950" s="214"/>
      <c r="E2950" s="214"/>
      <c r="F2950" s="215"/>
    </row>
    <row r="2951" spans="1:10" ht="13.8" thickBot="1" x14ac:dyDescent="0.3">
      <c r="B2951" s="216"/>
      <c r="C2951" s="217"/>
      <c r="D2951" s="217"/>
      <c r="E2951" s="217"/>
      <c r="F2951" s="218"/>
    </row>
    <row r="2955" spans="1:10" ht="25.5" customHeight="1" x14ac:dyDescent="0.25">
      <c r="A2955" s="36"/>
      <c r="B2955" s="36"/>
      <c r="C2955" s="36"/>
      <c r="D2955" s="36"/>
      <c r="E2955" s="36"/>
      <c r="G2955" s="38"/>
      <c r="H2955" s="227" t="s">
        <v>159</v>
      </c>
      <c r="I2955" s="228"/>
    </row>
    <row r="2956" spans="1:10" x14ac:dyDescent="0.25">
      <c r="A2956" t="s">
        <v>158</v>
      </c>
    </row>
    <row r="2958" spans="1:10" x14ac:dyDescent="0.25">
      <c r="E2958" s="219" t="str">
        <f>CONCATENATE("(",$D2929," vs ",$I2929,")")</f>
        <v>(D vs F)</v>
      </c>
      <c r="F2958" s="219"/>
    </row>
    <row r="2959" spans="1:10" ht="15.6" x14ac:dyDescent="0.3">
      <c r="A2959" s="33" t="s">
        <v>155</v>
      </c>
      <c r="J2959" s="82" t="s">
        <v>558</v>
      </c>
    </row>
    <row r="2960" spans="1:10" ht="12.75" customHeight="1" x14ac:dyDescent="0.3">
      <c r="A2960" s="33"/>
      <c r="G2960" t="str">
        <f ca="1">Team_Matches!$J$6</f>
        <v>[NCTTA Teams Template (v3.4).xlsx]</v>
      </c>
      <c r="J2960" s="55"/>
    </row>
    <row r="2961" spans="1:10" ht="12.75" customHeight="1" x14ac:dyDescent="0.3">
      <c r="A2961" s="33"/>
      <c r="G2961" s="229" t="str">
        <f>Team_Matches!$J2200</f>
        <v>Round 8, Match 2</v>
      </c>
      <c r="H2961" s="229"/>
      <c r="I2961" s="127" t="str">
        <f>Team_Matches!$M2200</f>
        <v/>
      </c>
      <c r="J2961" s="127"/>
    </row>
    <row r="2962" spans="1:10" ht="15.6" x14ac:dyDescent="0.3">
      <c r="A2962" s="33"/>
    </row>
    <row r="2963" spans="1:10" x14ac:dyDescent="0.25">
      <c r="C2963" s="7" t="s">
        <v>160</v>
      </c>
      <c r="D2963" s="39" t="str">
        <f>Team_Matches!$B2202</f>
        <v>D</v>
      </c>
      <c r="F2963" s="83" t="str">
        <f>CONCATENATE($D2963,"-",$I2963)</f>
        <v>D-F</v>
      </c>
      <c r="H2963" s="7" t="s">
        <v>160</v>
      </c>
      <c r="I2963" s="39" t="str">
        <f>Team_Matches!$K2202</f>
        <v>F</v>
      </c>
    </row>
    <row r="2964" spans="1:10" ht="25.5" customHeight="1" x14ac:dyDescent="0.25">
      <c r="A2964" s="34"/>
      <c r="B2964" s="223" t="str">
        <f>IF(VLOOKUP($D2963,Draw!$A$4:$B$27,2)&lt;&gt;0,VLOOKUP($D2963,Draw!$A$4:$B$27,2),"")</f>
        <v/>
      </c>
      <c r="C2964" s="223"/>
      <c r="D2964" s="223"/>
      <c r="E2964" s="224"/>
      <c r="F2964" s="35"/>
      <c r="G2964" s="220" t="str">
        <f>IF(VLOOKUP($I2963,Draw!$A$4:$B$27,2)&lt;&gt;0,VLOOKUP($I2963,Draw!$A$4:$B$27,2),"")</f>
        <v/>
      </c>
      <c r="H2964" s="220"/>
      <c r="I2964" s="220"/>
      <c r="J2964" s="221"/>
    </row>
    <row r="2965" spans="1:10" ht="25.5" customHeight="1" x14ac:dyDescent="0.25"/>
    <row r="2966" spans="1:10" ht="25.5" customHeight="1" x14ac:dyDescent="0.25"/>
    <row r="2967" spans="1:10" ht="24" customHeight="1" x14ac:dyDescent="0.25">
      <c r="A2967" s="9" t="s">
        <v>178</v>
      </c>
    </row>
    <row r="2968" spans="1:10" ht="24" customHeight="1" x14ac:dyDescent="0.25">
      <c r="A2968" s="9"/>
    </row>
    <row r="2969" spans="1:10" x14ac:dyDescent="0.25">
      <c r="A2969" s="9" t="s">
        <v>156</v>
      </c>
      <c r="G2969" s="226" t="s">
        <v>873</v>
      </c>
      <c r="H2969" s="226"/>
      <c r="I2969" s="226"/>
      <c r="J2969" s="226"/>
    </row>
    <row r="2970" spans="1:10" ht="24" customHeight="1" x14ac:dyDescent="0.4">
      <c r="A2970" s="37" t="str">
        <f>CONCATENATE($I2963,"1")</f>
        <v>F1</v>
      </c>
      <c r="B2970" s="222" t="str">
        <f>IF(VLOOKUP($A2970,Players!$A$2:$C$132,3)&lt;&gt;0,VLOOKUP($A2970,Players!$A$2:$C$132,3),"")</f>
        <v/>
      </c>
      <c r="C2970" s="222"/>
      <c r="D2970" s="222"/>
      <c r="E2970" s="222"/>
      <c r="F2970" s="222"/>
      <c r="G2970" s="225" t="str">
        <f>IF(VLOOKUP($D2963&amp;RIGHT($A2970,1),Players!$A$2:$D$132,3)&lt;&gt;0,VLOOKUP($D2963&amp;RIGHT($A2970,1),Players!$A$2:$D$132,3),"")</f>
        <v/>
      </c>
      <c r="H2970" s="225"/>
      <c r="I2970" s="225"/>
      <c r="J2970" s="168" t="str">
        <f>IF(VLOOKUP($D2963&amp;RIGHT($A2970,1),Players!$A$2:$D$132,3)&lt;&gt;0,"("&amp;VLOOKUP($D2963&amp;RIGHT($A2970,1),Players!$A$2:$D$132,4)&amp;")","")</f>
        <v/>
      </c>
    </row>
    <row r="2971" spans="1:10" ht="25.5" customHeight="1" x14ac:dyDescent="0.4">
      <c r="A2971" s="37" t="str">
        <f>CONCATENATE($I2963,"2")</f>
        <v>F2</v>
      </c>
      <c r="B2971" s="222" t="str">
        <f>IF(VLOOKUP($A2971,Players!$A$2:$C$132,3)&lt;&gt;0,VLOOKUP($A2971,Players!$A$2:$C$132,3),"")</f>
        <v/>
      </c>
      <c r="C2971" s="222"/>
      <c r="D2971" s="222"/>
      <c r="E2971" s="222"/>
      <c r="F2971" s="222"/>
      <c r="G2971" s="225" t="str">
        <f>IF(VLOOKUP($D2963&amp;RIGHT($A2971,1),Players!$A$2:$D$132,3)&lt;&gt;0,VLOOKUP($D2963&amp;RIGHT($A2971,1),Players!$A$2:$D$132,3),"")</f>
        <v/>
      </c>
      <c r="H2971" s="225"/>
      <c r="I2971" s="225"/>
      <c r="J2971" s="168" t="str">
        <f>IF(VLOOKUP($D2963&amp;RIGHT($A2971,1),Players!$A$2:$D$132,3)&lt;&gt;0,"("&amp;VLOOKUP($D2963&amp;RIGHT($A2971,1),Players!$A$2:$D$132,4)&amp;")","")</f>
        <v/>
      </c>
    </row>
    <row r="2972" spans="1:10" ht="25.5" customHeight="1" x14ac:dyDescent="0.4">
      <c r="A2972" s="37" t="str">
        <f>CONCATENATE($I2963,"3")</f>
        <v>F3</v>
      </c>
      <c r="B2972" s="222" t="str">
        <f>IF(VLOOKUP($A2972,Players!$A$2:$C$132,3)&lt;&gt;0,VLOOKUP($A2972,Players!$A$2:$C$132,3),"")</f>
        <v/>
      </c>
      <c r="C2972" s="222"/>
      <c r="D2972" s="222"/>
      <c r="E2972" s="222"/>
      <c r="F2972" s="222"/>
      <c r="G2972" s="225" t="str">
        <f>IF(VLOOKUP($D2963&amp;RIGHT($A2972,1),Players!$A$2:$D$132,3)&lt;&gt;0,VLOOKUP($D2963&amp;RIGHT($A2972,1),Players!$A$2:$D$132,3),"")</f>
        <v/>
      </c>
      <c r="H2972" s="225"/>
      <c r="I2972" s="225"/>
      <c r="J2972" s="168" t="str">
        <f>IF(VLOOKUP($D2963&amp;RIGHT($A2972,1),Players!$A$2:$D$132,3)&lt;&gt;0,"("&amp;VLOOKUP($D2963&amp;RIGHT($A2972,1),Players!$A$2:$D$132,4)&amp;")","")</f>
        <v/>
      </c>
    </row>
    <row r="2973" spans="1:10" ht="25.5" customHeight="1" x14ac:dyDescent="0.4">
      <c r="A2973" s="37" t="str">
        <f>CONCATENATE($I2963,"4")</f>
        <v>F4</v>
      </c>
      <c r="B2973" s="222" t="str">
        <f>IF(VLOOKUP($A2973,Players!$A$2:$C$132,3)&lt;&gt;0,VLOOKUP($A2973,Players!$A$2:$C$132,3),"")</f>
        <v/>
      </c>
      <c r="C2973" s="222"/>
      <c r="D2973" s="222"/>
      <c r="E2973" s="222"/>
      <c r="F2973" s="222"/>
      <c r="G2973" s="225" t="str">
        <f>IF(VLOOKUP($D2963&amp;RIGHT($A2973,1),Players!$A$2:$D$132,3)&lt;&gt;0,VLOOKUP($D2963&amp;RIGHT($A2973,1),Players!$A$2:$D$132,3),"")</f>
        <v/>
      </c>
      <c r="H2973" s="225"/>
      <c r="I2973" s="225"/>
      <c r="J2973" s="168" t="str">
        <f>IF(VLOOKUP($D2963&amp;RIGHT($A2973,1),Players!$A$2:$D$132,3)&lt;&gt;0,"("&amp;VLOOKUP($D2963&amp;RIGHT($A2973,1),Players!$A$2:$D$132,4)&amp;")","")</f>
        <v/>
      </c>
    </row>
    <row r="2974" spans="1:10" ht="25.5" customHeight="1" x14ac:dyDescent="0.4">
      <c r="A2974" s="37" t="str">
        <f>CONCATENATE($I2963,"5")</f>
        <v>F5</v>
      </c>
      <c r="B2974" s="222" t="str">
        <f>IF(VLOOKUP($A2974,Players!$A$2:$C$132,3)&lt;&gt;0,VLOOKUP($A2974,Players!$A$2:$C$132,3),"")</f>
        <v/>
      </c>
      <c r="C2974" s="222"/>
      <c r="D2974" s="222"/>
      <c r="E2974" s="222"/>
      <c r="F2974" s="222"/>
      <c r="G2974" s="225" t="str">
        <f>IF(VLOOKUP($D2963&amp;RIGHT($A2974,1),Players!$A$2:$D$132,3)&lt;&gt;0,VLOOKUP($D2963&amp;RIGHT($A2974,1),Players!$A$2:$D$132,3),"")</f>
        <v/>
      </c>
      <c r="H2974" s="225"/>
      <c r="I2974" s="225"/>
      <c r="J2974" s="168" t="str">
        <f>IF(VLOOKUP($D2963&amp;RIGHT($A2974,1),Players!$A$2:$D$132,3)&lt;&gt;0,"("&amp;VLOOKUP($D2963&amp;RIGHT($A2974,1),Players!$A$2:$D$132,4)&amp;")","")</f>
        <v/>
      </c>
    </row>
    <row r="2975" spans="1:10" ht="25.5" customHeight="1" x14ac:dyDescent="0.4">
      <c r="A2975" s="37" t="str">
        <f>CONCATENATE($I2963,"6")</f>
        <v>F6</v>
      </c>
      <c r="B2975" s="222" t="str">
        <f>IF(VLOOKUP($A2975,Players!$A$2:$C$132,3)&lt;&gt;0,VLOOKUP($A2975,Players!$A$2:$C$132,3),"")</f>
        <v/>
      </c>
      <c r="C2975" s="222"/>
      <c r="D2975" s="222"/>
      <c r="E2975" s="222"/>
      <c r="F2975" s="222"/>
      <c r="G2975" s="225" t="str">
        <f>IF(VLOOKUP($D2963&amp;RIGHT($A2975,1),Players!$A$2:$D$132,3)&lt;&gt;0,VLOOKUP($D2963&amp;RIGHT($A2975,1),Players!$A$2:$D$132,3),"")</f>
        <v/>
      </c>
      <c r="H2975" s="225"/>
      <c r="I2975" s="225"/>
      <c r="J2975" s="168" t="str">
        <f>IF(VLOOKUP($D2963&amp;RIGHT($A2975,1),Players!$A$2:$D$132,3)&lt;&gt;0,"("&amp;VLOOKUP($D2963&amp;RIGHT($A2975,1),Players!$A$2:$D$132,4)&amp;")","")</f>
        <v/>
      </c>
    </row>
    <row r="2976" spans="1:10" ht="25.5" customHeight="1" x14ac:dyDescent="0.4">
      <c r="A2976" s="37" t="str">
        <f>CONCATENATE($I2963,"7")</f>
        <v>F7</v>
      </c>
      <c r="B2976" s="222" t="str">
        <f>IF(VLOOKUP($A2976,Players!$A$2:$C$132,3)&lt;&gt;0,VLOOKUP($A2976,Players!$A$2:$C$132,3),"")</f>
        <v/>
      </c>
      <c r="C2976" s="222"/>
      <c r="D2976" s="222"/>
      <c r="E2976" s="222"/>
      <c r="F2976" s="222"/>
      <c r="G2976" s="225" t="str">
        <f>IF(VLOOKUP($D2963&amp;RIGHT($A2976,1),Players!$A$2:$D$132,3)&lt;&gt;0,VLOOKUP($D2963&amp;RIGHT($A2976,1),Players!$A$2:$D$132,3),"")</f>
        <v/>
      </c>
      <c r="H2976" s="225"/>
      <c r="I2976" s="225"/>
      <c r="J2976" s="168" t="str">
        <f>IF(VLOOKUP($D2963&amp;RIGHT($A2976,1),Players!$A$2:$D$132,3)&lt;&gt;0,"("&amp;VLOOKUP($D2963&amp;RIGHT($A2976,1),Players!$A$2:$D$132,4)&amp;")","")</f>
        <v/>
      </c>
    </row>
    <row r="2977" spans="1:10" ht="25.5" customHeight="1" x14ac:dyDescent="0.4">
      <c r="A2977" s="37" t="str">
        <f>CONCATENATE($I2963,"8")</f>
        <v>F8</v>
      </c>
      <c r="B2977" s="222" t="str">
        <f>IF(VLOOKUP($A2977,Players!$A$2:$C$132,3)&lt;&gt;0,VLOOKUP($A2977,Players!$A$2:$C$132,3),"")</f>
        <v/>
      </c>
      <c r="C2977" s="222"/>
      <c r="D2977" s="222"/>
      <c r="E2977" s="222"/>
      <c r="F2977" s="222"/>
      <c r="G2977" s="225" t="str">
        <f>IF(VLOOKUP($D2963&amp;RIGHT($A2977,1),Players!$A$2:$D$132,3)&lt;&gt;0,VLOOKUP($D2963&amp;RIGHT($A2977,1),Players!$A$2:$D$132,3),"")</f>
        <v/>
      </c>
      <c r="H2977" s="225"/>
      <c r="I2977" s="225"/>
      <c r="J2977" s="168" t="str">
        <f>IF(VLOOKUP($D2963&amp;RIGHT($A2977,1),Players!$A$2:$D$132,3)&lt;&gt;0,"("&amp;VLOOKUP($D2963&amp;RIGHT($A2977,1),Players!$A$2:$D$132,4)&amp;")","")</f>
        <v/>
      </c>
    </row>
    <row r="2978" spans="1:10" ht="25.5" customHeight="1" x14ac:dyDescent="0.25">
      <c r="A2978" s="37"/>
      <c r="B2978" s="7"/>
      <c r="C2978" s="7"/>
      <c r="D2978" s="7"/>
      <c r="E2978" s="7"/>
    </row>
    <row r="2979" spans="1:10" x14ac:dyDescent="0.25">
      <c r="A2979" s="9" t="s">
        <v>157</v>
      </c>
    </row>
    <row r="2980" spans="1:10" x14ac:dyDescent="0.25">
      <c r="A2980" t="s">
        <v>179</v>
      </c>
    </row>
    <row r="2981" spans="1:10" x14ac:dyDescent="0.25">
      <c r="A2981" s="55" t="s">
        <v>918</v>
      </c>
    </row>
    <row r="2982" spans="1:10" x14ac:dyDescent="0.25">
      <c r="A2982" t="s">
        <v>919</v>
      </c>
    </row>
    <row r="2983" spans="1:10" ht="25.5" customHeight="1" thickBot="1" x14ac:dyDescent="0.3">
      <c r="A2983" s="37"/>
    </row>
    <row r="2984" spans="1:10" x14ac:dyDescent="0.25">
      <c r="B2984" s="213"/>
      <c r="C2984" s="214"/>
      <c r="D2984" s="214"/>
      <c r="E2984" s="214"/>
      <c r="F2984" s="215"/>
    </row>
    <row r="2985" spans="1:10" ht="13.8" thickBot="1" x14ac:dyDescent="0.3">
      <c r="B2985" s="216"/>
      <c r="C2985" s="217"/>
      <c r="D2985" s="217"/>
      <c r="E2985" s="217"/>
      <c r="F2985" s="218"/>
    </row>
    <row r="2989" spans="1:10" ht="25.5" customHeight="1" x14ac:dyDescent="0.25">
      <c r="A2989" s="36"/>
      <c r="B2989" s="36"/>
      <c r="C2989" s="36"/>
      <c r="D2989" s="36"/>
      <c r="E2989" s="36"/>
      <c r="G2989" s="38"/>
      <c r="H2989" s="227" t="s">
        <v>159</v>
      </c>
      <c r="I2989" s="228"/>
    </row>
    <row r="2990" spans="1:10" x14ac:dyDescent="0.25">
      <c r="A2990" t="s">
        <v>158</v>
      </c>
    </row>
    <row r="2992" spans="1:10" x14ac:dyDescent="0.25">
      <c r="E2992" s="219" t="str">
        <f>CONCATENATE("(",$D2963," vs ",$I2963,")")</f>
        <v>(D vs F)</v>
      </c>
      <c r="F2992" s="219"/>
    </row>
    <row r="2993" spans="1:10" ht="15.6" x14ac:dyDescent="0.3">
      <c r="A2993" s="33" t="s">
        <v>155</v>
      </c>
      <c r="J2993" s="82" t="s">
        <v>559</v>
      </c>
    </row>
    <row r="2994" spans="1:10" ht="12.75" customHeight="1" x14ac:dyDescent="0.3">
      <c r="A2994" s="33"/>
      <c r="G2994" t="str">
        <f ca="1">Team_Matches!$J$6</f>
        <v>[NCTTA Teams Template (v3.4).xlsx]</v>
      </c>
      <c r="J2994" s="55"/>
    </row>
    <row r="2995" spans="1:10" ht="12.75" customHeight="1" x14ac:dyDescent="0.3">
      <c r="A2995" s="33"/>
      <c r="G2995" s="229" t="str">
        <f>Team_Matches!$J2251</f>
        <v>Round 8, Match 3</v>
      </c>
      <c r="H2995" s="229"/>
      <c r="I2995" s="127" t="str">
        <f>Team_Matches!$M2251</f>
        <v/>
      </c>
      <c r="J2995" s="127"/>
    </row>
    <row r="2996" spans="1:10" ht="15.6" x14ac:dyDescent="0.3">
      <c r="A2996" s="33"/>
    </row>
    <row r="2997" spans="1:10" x14ac:dyDescent="0.25">
      <c r="C2997" s="7" t="s">
        <v>160</v>
      </c>
      <c r="D2997" s="39" t="str">
        <f>Team_Matches!$B2253</f>
        <v>C</v>
      </c>
      <c r="F2997" s="83" t="str">
        <f>CONCATENATE($D2997,"-",$I2997)</f>
        <v>C-G</v>
      </c>
      <c r="H2997" s="7" t="s">
        <v>160</v>
      </c>
      <c r="I2997" s="39" t="str">
        <f>Team_Matches!$K2253</f>
        <v>G</v>
      </c>
    </row>
    <row r="2998" spans="1:10" ht="25.5" customHeight="1" x14ac:dyDescent="0.25">
      <c r="A2998" s="34"/>
      <c r="B2998" s="220" t="str">
        <f>IF(VLOOKUP($D2997,Draw!$A$4:$B$27,2)&lt;&gt;0,VLOOKUP($D2997,Draw!$A$4:$B$27,2),"")</f>
        <v/>
      </c>
      <c r="C2998" s="220"/>
      <c r="D2998" s="220"/>
      <c r="E2998" s="221"/>
      <c r="F2998" s="35"/>
      <c r="G2998" s="223" t="str">
        <f>IF(VLOOKUP($I2997,Draw!$A$4:$B$27,2)&lt;&gt;0,VLOOKUP($I2997,Draw!$A$4:$B$27,2),"")</f>
        <v/>
      </c>
      <c r="H2998" s="223"/>
      <c r="I2998" s="223"/>
      <c r="J2998" s="224"/>
    </row>
    <row r="2999" spans="1:10" ht="25.5" customHeight="1" x14ac:dyDescent="0.25"/>
    <row r="3000" spans="1:10" ht="25.5" customHeight="1" x14ac:dyDescent="0.25"/>
    <row r="3001" spans="1:10" ht="24" customHeight="1" x14ac:dyDescent="0.25">
      <c r="A3001" s="9" t="s">
        <v>178</v>
      </c>
    </row>
    <row r="3002" spans="1:10" ht="24" customHeight="1" x14ac:dyDescent="0.25">
      <c r="A3002" s="9"/>
    </row>
    <row r="3003" spans="1:10" x14ac:dyDescent="0.25">
      <c r="A3003" s="9" t="s">
        <v>156</v>
      </c>
      <c r="G3003" s="226" t="s">
        <v>873</v>
      </c>
      <c r="H3003" s="226"/>
      <c r="I3003" s="226"/>
      <c r="J3003" s="226"/>
    </row>
    <row r="3004" spans="1:10" ht="24" customHeight="1" x14ac:dyDescent="0.4">
      <c r="A3004" s="37" t="str">
        <f>CONCATENATE($D2997,"1")</f>
        <v>C1</v>
      </c>
      <c r="B3004" s="222" t="str">
        <f>IF(VLOOKUP($A3004,Players!$A$2:$C$132,3)&lt;&gt;0,VLOOKUP($A3004,Players!$A$2:$C$132,3),"")</f>
        <v/>
      </c>
      <c r="C3004" s="222"/>
      <c r="D3004" s="222"/>
      <c r="E3004" s="222"/>
      <c r="F3004" s="222"/>
      <c r="G3004" s="225" t="str">
        <f>IF(VLOOKUP($I2997&amp;RIGHT($A3004,1),Players!$A$2:$D$132,3)&lt;&gt;0,VLOOKUP($I2997&amp;RIGHT($A3004,1),Players!$A$2:$D$132,3),"")</f>
        <v/>
      </c>
      <c r="H3004" s="225"/>
      <c r="I3004" s="225"/>
      <c r="J3004" s="168" t="str">
        <f>IF(VLOOKUP($I2997&amp;RIGHT($A3004,1),Players!$A$2:$D$132,3)&lt;&gt;0,"("&amp;VLOOKUP($I2997&amp;RIGHT($A3004,1),Players!$A$2:$D$132,4)&amp;")","")</f>
        <v/>
      </c>
    </row>
    <row r="3005" spans="1:10" ht="25.5" customHeight="1" x14ac:dyDescent="0.4">
      <c r="A3005" s="37" t="str">
        <f>CONCATENATE($D2997,"2")</f>
        <v>C2</v>
      </c>
      <c r="B3005" s="222" t="str">
        <f>IF(VLOOKUP($A3005,Players!$A$2:$C$132,3)&lt;&gt;0,VLOOKUP($A3005,Players!$A$2:$C$132,3),"")</f>
        <v/>
      </c>
      <c r="C3005" s="222"/>
      <c r="D3005" s="222"/>
      <c r="E3005" s="222"/>
      <c r="F3005" s="222"/>
      <c r="G3005" s="225" t="str">
        <f>IF(VLOOKUP($I2997&amp;RIGHT($A3005,1),Players!$A$2:$D$132,3)&lt;&gt;0,VLOOKUP($I2997&amp;RIGHT($A3005,1),Players!$A$2:$D$132,3),"")</f>
        <v/>
      </c>
      <c r="H3005" s="225"/>
      <c r="I3005" s="225"/>
      <c r="J3005" s="168" t="str">
        <f>IF(VLOOKUP($I2997&amp;RIGHT($A3005,1),Players!$A$2:$D$132,3)&lt;&gt;0,"("&amp;VLOOKUP($I2997&amp;RIGHT($A3005,1),Players!$A$2:$D$132,4)&amp;")","")</f>
        <v/>
      </c>
    </row>
    <row r="3006" spans="1:10" ht="25.5" customHeight="1" x14ac:dyDescent="0.4">
      <c r="A3006" s="37" t="str">
        <f>CONCATENATE($D2997,"3")</f>
        <v>C3</v>
      </c>
      <c r="B3006" s="222" t="str">
        <f>IF(VLOOKUP($A3006,Players!$A$2:$C$132,3)&lt;&gt;0,VLOOKUP($A3006,Players!$A$2:$C$132,3),"")</f>
        <v/>
      </c>
      <c r="C3006" s="222"/>
      <c r="D3006" s="222"/>
      <c r="E3006" s="222"/>
      <c r="F3006" s="222"/>
      <c r="G3006" s="225" t="str">
        <f>IF(VLOOKUP($I2997&amp;RIGHT($A3006,1),Players!$A$2:$D$132,3)&lt;&gt;0,VLOOKUP($I2997&amp;RIGHT($A3006,1),Players!$A$2:$D$132,3),"")</f>
        <v/>
      </c>
      <c r="H3006" s="225"/>
      <c r="I3006" s="225"/>
      <c r="J3006" s="168" t="str">
        <f>IF(VLOOKUP($I2997&amp;RIGHT($A3006,1),Players!$A$2:$D$132,3)&lt;&gt;0,"("&amp;VLOOKUP($I2997&amp;RIGHT($A3006,1),Players!$A$2:$D$132,4)&amp;")","")</f>
        <v/>
      </c>
    </row>
    <row r="3007" spans="1:10" ht="25.5" customHeight="1" x14ac:dyDescent="0.4">
      <c r="A3007" s="37" t="str">
        <f>CONCATENATE($D2997,"4")</f>
        <v>C4</v>
      </c>
      <c r="B3007" s="222" t="str">
        <f>IF(VLOOKUP($A3007,Players!$A$2:$C$132,3)&lt;&gt;0,VLOOKUP($A3007,Players!$A$2:$C$132,3),"")</f>
        <v/>
      </c>
      <c r="C3007" s="222"/>
      <c r="D3007" s="222"/>
      <c r="E3007" s="222"/>
      <c r="F3007" s="222"/>
      <c r="G3007" s="225" t="str">
        <f>IF(VLOOKUP($I2997&amp;RIGHT($A3007,1),Players!$A$2:$D$132,3)&lt;&gt;0,VLOOKUP($I2997&amp;RIGHT($A3007,1),Players!$A$2:$D$132,3),"")</f>
        <v/>
      </c>
      <c r="H3007" s="225"/>
      <c r="I3007" s="225"/>
      <c r="J3007" s="168" t="str">
        <f>IF(VLOOKUP($I2997&amp;RIGHT($A3007,1),Players!$A$2:$D$132,3)&lt;&gt;0,"("&amp;VLOOKUP($I2997&amp;RIGHT($A3007,1),Players!$A$2:$D$132,4)&amp;")","")</f>
        <v/>
      </c>
    </row>
    <row r="3008" spans="1:10" ht="25.5" customHeight="1" x14ac:dyDescent="0.4">
      <c r="A3008" s="37" t="str">
        <f>CONCATENATE($D2997,"5")</f>
        <v>C5</v>
      </c>
      <c r="B3008" s="222" t="str">
        <f>IF(VLOOKUP($A3008,Players!$A$2:$C$132,3)&lt;&gt;0,VLOOKUP($A3008,Players!$A$2:$C$132,3),"")</f>
        <v/>
      </c>
      <c r="C3008" s="222"/>
      <c r="D3008" s="222"/>
      <c r="E3008" s="222"/>
      <c r="F3008" s="222"/>
      <c r="G3008" s="225" t="str">
        <f>IF(VLOOKUP($I2997&amp;RIGHT($A3008,1),Players!$A$2:$D$132,3)&lt;&gt;0,VLOOKUP($I2997&amp;RIGHT($A3008,1),Players!$A$2:$D$132,3),"")</f>
        <v/>
      </c>
      <c r="H3008" s="225"/>
      <c r="I3008" s="225"/>
      <c r="J3008" s="168" t="str">
        <f>IF(VLOOKUP($I2997&amp;RIGHT($A3008,1),Players!$A$2:$D$132,3)&lt;&gt;0,"("&amp;VLOOKUP($I2997&amp;RIGHT($A3008,1),Players!$A$2:$D$132,4)&amp;")","")</f>
        <v/>
      </c>
    </row>
    <row r="3009" spans="1:10" ht="25.5" customHeight="1" x14ac:dyDescent="0.4">
      <c r="A3009" s="37" t="str">
        <f>CONCATENATE($D2997,"6")</f>
        <v>C6</v>
      </c>
      <c r="B3009" s="222" t="str">
        <f>IF(VLOOKUP($A3009,Players!$A$2:$C$132,3)&lt;&gt;0,VLOOKUP($A3009,Players!$A$2:$C$132,3),"")</f>
        <v/>
      </c>
      <c r="C3009" s="222"/>
      <c r="D3009" s="222"/>
      <c r="E3009" s="222"/>
      <c r="F3009" s="222"/>
      <c r="G3009" s="225" t="str">
        <f>IF(VLOOKUP($I2997&amp;RIGHT($A3009,1),Players!$A$2:$D$132,3)&lt;&gt;0,VLOOKUP($I2997&amp;RIGHT($A3009,1),Players!$A$2:$D$132,3),"")</f>
        <v/>
      </c>
      <c r="H3009" s="225"/>
      <c r="I3009" s="225"/>
      <c r="J3009" s="168" t="str">
        <f>IF(VLOOKUP($I2997&amp;RIGHT($A3009,1),Players!$A$2:$D$132,3)&lt;&gt;0,"("&amp;VLOOKUP($I2997&amp;RIGHT($A3009,1),Players!$A$2:$D$132,4)&amp;")","")</f>
        <v/>
      </c>
    </row>
    <row r="3010" spans="1:10" ht="25.5" customHeight="1" x14ac:dyDescent="0.4">
      <c r="A3010" s="37" t="str">
        <f>CONCATENATE($D2997,"7")</f>
        <v>C7</v>
      </c>
      <c r="B3010" s="222" t="str">
        <f>IF(VLOOKUP($A3010,Players!$A$2:$C$132,3)&lt;&gt;0,VLOOKUP($A3010,Players!$A$2:$C$132,3),"")</f>
        <v/>
      </c>
      <c r="C3010" s="222"/>
      <c r="D3010" s="222"/>
      <c r="E3010" s="222"/>
      <c r="F3010" s="222"/>
      <c r="G3010" s="225" t="str">
        <f>IF(VLOOKUP($I2997&amp;RIGHT($A3010,1),Players!$A$2:$D$132,3)&lt;&gt;0,VLOOKUP($I2997&amp;RIGHT($A3010,1),Players!$A$2:$D$132,3),"")</f>
        <v/>
      </c>
      <c r="H3010" s="225"/>
      <c r="I3010" s="225"/>
      <c r="J3010" s="168" t="str">
        <f>IF(VLOOKUP($I2997&amp;RIGHT($A3010,1),Players!$A$2:$D$132,3)&lt;&gt;0,"("&amp;VLOOKUP($I2997&amp;RIGHT($A3010,1),Players!$A$2:$D$132,4)&amp;")","")</f>
        <v/>
      </c>
    </row>
    <row r="3011" spans="1:10" ht="25.5" customHeight="1" x14ac:dyDescent="0.4">
      <c r="A3011" s="37" t="str">
        <f>CONCATENATE($D2997,"8")</f>
        <v>C8</v>
      </c>
      <c r="B3011" s="222" t="str">
        <f>IF(VLOOKUP($A3011,Players!$A$2:$C$132,3)&lt;&gt;0,VLOOKUP($A3011,Players!$A$2:$C$132,3),"")</f>
        <v/>
      </c>
      <c r="C3011" s="222"/>
      <c r="D3011" s="222"/>
      <c r="E3011" s="222"/>
      <c r="F3011" s="222"/>
      <c r="G3011" s="225" t="str">
        <f>IF(VLOOKUP($I2997&amp;RIGHT($A3011,1),Players!$A$2:$D$132,3)&lt;&gt;0,VLOOKUP($I2997&amp;RIGHT($A3011,1),Players!$A$2:$D$132,3),"")</f>
        <v/>
      </c>
      <c r="H3011" s="225"/>
      <c r="I3011" s="225"/>
      <c r="J3011" s="168" t="str">
        <f>IF(VLOOKUP($I2997&amp;RIGHT($A3011,1),Players!$A$2:$D$132,3)&lt;&gt;0,"("&amp;VLOOKUP($I2997&amp;RIGHT($A3011,1),Players!$A$2:$D$132,4)&amp;")","")</f>
        <v/>
      </c>
    </row>
    <row r="3012" spans="1:10" ht="25.5" customHeight="1" x14ac:dyDescent="0.25">
      <c r="A3012" s="37"/>
      <c r="B3012" s="7"/>
      <c r="C3012" s="7"/>
      <c r="D3012" s="7"/>
      <c r="E3012" s="7"/>
    </row>
    <row r="3013" spans="1:10" x14ac:dyDescent="0.25">
      <c r="A3013" s="9" t="s">
        <v>157</v>
      </c>
    </row>
    <row r="3014" spans="1:10" x14ac:dyDescent="0.25">
      <c r="A3014" t="s">
        <v>179</v>
      </c>
    </row>
    <row r="3015" spans="1:10" x14ac:dyDescent="0.25">
      <c r="A3015" s="55" t="s">
        <v>918</v>
      </c>
    </row>
    <row r="3016" spans="1:10" x14ac:dyDescent="0.25">
      <c r="A3016" t="s">
        <v>919</v>
      </c>
    </row>
    <row r="3017" spans="1:10" ht="25.5" customHeight="1" thickBot="1" x14ac:dyDescent="0.3">
      <c r="A3017" s="37"/>
    </row>
    <row r="3018" spans="1:10" x14ac:dyDescent="0.25">
      <c r="B3018" s="213"/>
      <c r="C3018" s="214"/>
      <c r="D3018" s="214"/>
      <c r="E3018" s="214"/>
      <c r="F3018" s="215"/>
    </row>
    <row r="3019" spans="1:10" ht="13.8" thickBot="1" x14ac:dyDescent="0.3">
      <c r="B3019" s="216"/>
      <c r="C3019" s="217"/>
      <c r="D3019" s="217"/>
      <c r="E3019" s="217"/>
      <c r="F3019" s="218"/>
    </row>
    <row r="3023" spans="1:10" ht="25.5" customHeight="1" x14ac:dyDescent="0.25">
      <c r="A3023" s="36"/>
      <c r="B3023" s="36"/>
      <c r="C3023" s="36"/>
      <c r="D3023" s="36"/>
      <c r="E3023" s="36"/>
      <c r="G3023" s="38"/>
      <c r="H3023" s="227" t="s">
        <v>159</v>
      </c>
      <c r="I3023" s="228"/>
    </row>
    <row r="3024" spans="1:10" x14ac:dyDescent="0.25">
      <c r="A3024" t="s">
        <v>158</v>
      </c>
    </row>
    <row r="3026" spans="1:10" x14ac:dyDescent="0.25">
      <c r="E3026" s="219" t="str">
        <f>CONCATENATE("(",$D2997," vs ",$I2997,")")</f>
        <v>(C vs G)</v>
      </c>
      <c r="F3026" s="219"/>
    </row>
    <row r="3027" spans="1:10" ht="15.6" x14ac:dyDescent="0.3">
      <c r="A3027" s="33" t="s">
        <v>155</v>
      </c>
      <c r="J3027" s="82" t="s">
        <v>560</v>
      </c>
    </row>
    <row r="3028" spans="1:10" ht="12.75" customHeight="1" x14ac:dyDescent="0.3">
      <c r="A3028" s="33"/>
      <c r="G3028" t="str">
        <f ca="1">Team_Matches!$J$6</f>
        <v>[NCTTA Teams Template (v3.4).xlsx]</v>
      </c>
      <c r="J3028" s="55"/>
    </row>
    <row r="3029" spans="1:10" ht="12.75" customHeight="1" x14ac:dyDescent="0.3">
      <c r="A3029" s="33"/>
      <c r="G3029" s="229" t="str">
        <f>Team_Matches!$J2251</f>
        <v>Round 8, Match 3</v>
      </c>
      <c r="H3029" s="229"/>
      <c r="I3029" s="127" t="str">
        <f>Team_Matches!$M2251</f>
        <v/>
      </c>
      <c r="J3029" s="127"/>
    </row>
    <row r="3030" spans="1:10" ht="15.6" x14ac:dyDescent="0.3">
      <c r="A3030" s="33"/>
    </row>
    <row r="3031" spans="1:10" x14ac:dyDescent="0.25">
      <c r="C3031" s="7" t="s">
        <v>160</v>
      </c>
      <c r="D3031" s="39" t="str">
        <f>Team_Matches!$B2253</f>
        <v>C</v>
      </c>
      <c r="F3031" s="83" t="str">
        <f>CONCATENATE($D3031,"-",$I3031)</f>
        <v>C-G</v>
      </c>
      <c r="H3031" s="7" t="s">
        <v>160</v>
      </c>
      <c r="I3031" s="39" t="str">
        <f>Team_Matches!$K2253</f>
        <v>G</v>
      </c>
    </row>
    <row r="3032" spans="1:10" ht="25.5" customHeight="1" x14ac:dyDescent="0.25">
      <c r="A3032" s="34"/>
      <c r="B3032" s="223" t="str">
        <f>IF(VLOOKUP($D3031,Draw!$A$4:$B$27,2)&lt;&gt;0,VLOOKUP($D3031,Draw!$A$4:$B$27,2),"")</f>
        <v/>
      </c>
      <c r="C3032" s="223"/>
      <c r="D3032" s="223"/>
      <c r="E3032" s="224"/>
      <c r="F3032" s="35"/>
      <c r="G3032" s="220" t="str">
        <f>IF(VLOOKUP($I3031,Draw!$A$4:$B$27,2)&lt;&gt;0,VLOOKUP($I3031,Draw!$A$4:$B$27,2),"")</f>
        <v/>
      </c>
      <c r="H3032" s="220"/>
      <c r="I3032" s="220"/>
      <c r="J3032" s="221"/>
    </row>
    <row r="3033" spans="1:10" ht="25.5" customHeight="1" x14ac:dyDescent="0.25"/>
    <row r="3034" spans="1:10" ht="25.5" customHeight="1" x14ac:dyDescent="0.25"/>
    <row r="3035" spans="1:10" ht="24" customHeight="1" x14ac:dyDescent="0.25">
      <c r="A3035" s="9" t="s">
        <v>178</v>
      </c>
    </row>
    <row r="3036" spans="1:10" ht="24" customHeight="1" x14ac:dyDescent="0.25">
      <c r="A3036" s="9"/>
    </row>
    <row r="3037" spans="1:10" x14ac:dyDescent="0.25">
      <c r="A3037" s="9" t="s">
        <v>156</v>
      </c>
      <c r="G3037" s="226" t="s">
        <v>873</v>
      </c>
      <c r="H3037" s="226"/>
      <c r="I3037" s="226"/>
      <c r="J3037" s="226"/>
    </row>
    <row r="3038" spans="1:10" ht="24" customHeight="1" x14ac:dyDescent="0.4">
      <c r="A3038" s="37" t="str">
        <f>CONCATENATE($I3031,"1")</f>
        <v>G1</v>
      </c>
      <c r="B3038" s="222" t="str">
        <f>IF(VLOOKUP($A3038,Players!$A$2:$C$132,3)&lt;&gt;0,VLOOKUP($A3038,Players!$A$2:$C$132,3),"")</f>
        <v/>
      </c>
      <c r="C3038" s="222"/>
      <c r="D3038" s="222"/>
      <c r="E3038" s="222"/>
      <c r="F3038" s="222"/>
      <c r="G3038" s="225" t="str">
        <f>IF(VLOOKUP($D3031&amp;RIGHT($A3038,1),Players!$A$2:$D$132,3)&lt;&gt;0,VLOOKUP($D3031&amp;RIGHT($A3038,1),Players!$A$2:$D$132,3),"")</f>
        <v/>
      </c>
      <c r="H3038" s="225"/>
      <c r="I3038" s="225"/>
      <c r="J3038" s="168" t="str">
        <f>IF(VLOOKUP($D3031&amp;RIGHT($A3038,1),Players!$A$2:$D$132,3)&lt;&gt;0,"("&amp;VLOOKUP($D3031&amp;RIGHT($A3038,1),Players!$A$2:$D$132,4)&amp;")","")</f>
        <v/>
      </c>
    </row>
    <row r="3039" spans="1:10" ht="25.5" customHeight="1" x14ac:dyDescent="0.4">
      <c r="A3039" s="37" t="str">
        <f>CONCATENATE($I3031,"2")</f>
        <v>G2</v>
      </c>
      <c r="B3039" s="222" t="str">
        <f>IF(VLOOKUP($A3039,Players!$A$2:$C$132,3)&lt;&gt;0,VLOOKUP($A3039,Players!$A$2:$C$132,3),"")</f>
        <v/>
      </c>
      <c r="C3039" s="222"/>
      <c r="D3039" s="222"/>
      <c r="E3039" s="222"/>
      <c r="F3039" s="222"/>
      <c r="G3039" s="225" t="str">
        <f>IF(VLOOKUP($D3031&amp;RIGHT($A3039,1),Players!$A$2:$D$132,3)&lt;&gt;0,VLOOKUP($D3031&amp;RIGHT($A3039,1),Players!$A$2:$D$132,3),"")</f>
        <v/>
      </c>
      <c r="H3039" s="225"/>
      <c r="I3039" s="225"/>
      <c r="J3039" s="168" t="str">
        <f>IF(VLOOKUP($D3031&amp;RIGHT($A3039,1),Players!$A$2:$D$132,3)&lt;&gt;0,"("&amp;VLOOKUP($D3031&amp;RIGHT($A3039,1),Players!$A$2:$D$132,4)&amp;")","")</f>
        <v/>
      </c>
    </row>
    <row r="3040" spans="1:10" ht="25.5" customHeight="1" x14ac:dyDescent="0.4">
      <c r="A3040" s="37" t="str">
        <f>CONCATENATE($I3031,"3")</f>
        <v>G3</v>
      </c>
      <c r="B3040" s="222" t="str">
        <f>IF(VLOOKUP($A3040,Players!$A$2:$C$132,3)&lt;&gt;0,VLOOKUP($A3040,Players!$A$2:$C$132,3),"")</f>
        <v/>
      </c>
      <c r="C3040" s="222"/>
      <c r="D3040" s="222"/>
      <c r="E3040" s="222"/>
      <c r="F3040" s="222"/>
      <c r="G3040" s="225" t="str">
        <f>IF(VLOOKUP($D3031&amp;RIGHT($A3040,1),Players!$A$2:$D$132,3)&lt;&gt;0,VLOOKUP($D3031&amp;RIGHT($A3040,1),Players!$A$2:$D$132,3),"")</f>
        <v/>
      </c>
      <c r="H3040" s="225"/>
      <c r="I3040" s="225"/>
      <c r="J3040" s="168" t="str">
        <f>IF(VLOOKUP($D3031&amp;RIGHT($A3040,1),Players!$A$2:$D$132,3)&lt;&gt;0,"("&amp;VLOOKUP($D3031&amp;RIGHT($A3040,1),Players!$A$2:$D$132,4)&amp;")","")</f>
        <v/>
      </c>
    </row>
    <row r="3041" spans="1:10" ht="25.5" customHeight="1" x14ac:dyDescent="0.4">
      <c r="A3041" s="37" t="str">
        <f>CONCATENATE($I3031,"4")</f>
        <v>G4</v>
      </c>
      <c r="B3041" s="222" t="str">
        <f>IF(VLOOKUP($A3041,Players!$A$2:$C$132,3)&lt;&gt;0,VLOOKUP($A3041,Players!$A$2:$C$132,3),"")</f>
        <v/>
      </c>
      <c r="C3041" s="222"/>
      <c r="D3041" s="222"/>
      <c r="E3041" s="222"/>
      <c r="F3041" s="222"/>
      <c r="G3041" s="225" t="str">
        <f>IF(VLOOKUP($D3031&amp;RIGHT($A3041,1),Players!$A$2:$D$132,3)&lt;&gt;0,VLOOKUP($D3031&amp;RIGHT($A3041,1),Players!$A$2:$D$132,3),"")</f>
        <v/>
      </c>
      <c r="H3041" s="225"/>
      <c r="I3041" s="225"/>
      <c r="J3041" s="168" t="str">
        <f>IF(VLOOKUP($D3031&amp;RIGHT($A3041,1),Players!$A$2:$D$132,3)&lt;&gt;0,"("&amp;VLOOKUP($D3031&amp;RIGHT($A3041,1),Players!$A$2:$D$132,4)&amp;")","")</f>
        <v/>
      </c>
    </row>
    <row r="3042" spans="1:10" ht="25.5" customHeight="1" x14ac:dyDescent="0.4">
      <c r="A3042" s="37" t="str">
        <f>CONCATENATE($I3031,"5")</f>
        <v>G5</v>
      </c>
      <c r="B3042" s="222" t="str">
        <f>IF(VLOOKUP($A3042,Players!$A$2:$C$132,3)&lt;&gt;0,VLOOKUP($A3042,Players!$A$2:$C$132,3),"")</f>
        <v/>
      </c>
      <c r="C3042" s="222"/>
      <c r="D3042" s="222"/>
      <c r="E3042" s="222"/>
      <c r="F3042" s="222"/>
      <c r="G3042" s="225" t="str">
        <f>IF(VLOOKUP($D3031&amp;RIGHT($A3042,1),Players!$A$2:$D$132,3)&lt;&gt;0,VLOOKUP($D3031&amp;RIGHT($A3042,1),Players!$A$2:$D$132,3),"")</f>
        <v/>
      </c>
      <c r="H3042" s="225"/>
      <c r="I3042" s="225"/>
      <c r="J3042" s="168" t="str">
        <f>IF(VLOOKUP($D3031&amp;RIGHT($A3042,1),Players!$A$2:$D$132,3)&lt;&gt;0,"("&amp;VLOOKUP($D3031&amp;RIGHT($A3042,1),Players!$A$2:$D$132,4)&amp;")","")</f>
        <v/>
      </c>
    </row>
    <row r="3043" spans="1:10" ht="25.5" customHeight="1" x14ac:dyDescent="0.4">
      <c r="A3043" s="37" t="str">
        <f>CONCATENATE($I3031,"6")</f>
        <v>G6</v>
      </c>
      <c r="B3043" s="222" t="str">
        <f>IF(VLOOKUP($A3043,Players!$A$2:$C$132,3)&lt;&gt;0,VLOOKUP($A3043,Players!$A$2:$C$132,3),"")</f>
        <v/>
      </c>
      <c r="C3043" s="222"/>
      <c r="D3043" s="222"/>
      <c r="E3043" s="222"/>
      <c r="F3043" s="222"/>
      <c r="G3043" s="225" t="str">
        <f>IF(VLOOKUP($D3031&amp;RIGHT($A3043,1),Players!$A$2:$D$132,3)&lt;&gt;0,VLOOKUP($D3031&amp;RIGHT($A3043,1),Players!$A$2:$D$132,3),"")</f>
        <v/>
      </c>
      <c r="H3043" s="225"/>
      <c r="I3043" s="225"/>
      <c r="J3043" s="168" t="str">
        <f>IF(VLOOKUP($D3031&amp;RIGHT($A3043,1),Players!$A$2:$D$132,3)&lt;&gt;0,"("&amp;VLOOKUP($D3031&amp;RIGHT($A3043,1),Players!$A$2:$D$132,4)&amp;")","")</f>
        <v/>
      </c>
    </row>
    <row r="3044" spans="1:10" ht="25.5" customHeight="1" x14ac:dyDescent="0.4">
      <c r="A3044" s="37" t="str">
        <f>CONCATENATE($I3031,"7")</f>
        <v>G7</v>
      </c>
      <c r="B3044" s="222" t="str">
        <f>IF(VLOOKUP($A3044,Players!$A$2:$C$132,3)&lt;&gt;0,VLOOKUP($A3044,Players!$A$2:$C$132,3),"")</f>
        <v/>
      </c>
      <c r="C3044" s="222"/>
      <c r="D3044" s="222"/>
      <c r="E3044" s="222"/>
      <c r="F3044" s="222"/>
      <c r="G3044" s="225" t="str">
        <f>IF(VLOOKUP($D3031&amp;RIGHT($A3044,1),Players!$A$2:$D$132,3)&lt;&gt;0,VLOOKUP($D3031&amp;RIGHT($A3044,1),Players!$A$2:$D$132,3),"")</f>
        <v/>
      </c>
      <c r="H3044" s="225"/>
      <c r="I3044" s="225"/>
      <c r="J3044" s="168" t="str">
        <f>IF(VLOOKUP($D3031&amp;RIGHT($A3044,1),Players!$A$2:$D$132,3)&lt;&gt;0,"("&amp;VLOOKUP($D3031&amp;RIGHT($A3044,1),Players!$A$2:$D$132,4)&amp;")","")</f>
        <v/>
      </c>
    </row>
    <row r="3045" spans="1:10" ht="25.5" customHeight="1" x14ac:dyDescent="0.4">
      <c r="A3045" s="37" t="str">
        <f>CONCATENATE($I3031,"8")</f>
        <v>G8</v>
      </c>
      <c r="B3045" s="222" t="str">
        <f>IF(VLOOKUP($A3045,Players!$A$2:$C$132,3)&lt;&gt;0,VLOOKUP($A3045,Players!$A$2:$C$132,3),"")</f>
        <v/>
      </c>
      <c r="C3045" s="222"/>
      <c r="D3045" s="222"/>
      <c r="E3045" s="222"/>
      <c r="F3045" s="222"/>
      <c r="G3045" s="225" t="str">
        <f>IF(VLOOKUP($D3031&amp;RIGHT($A3045,1),Players!$A$2:$D$132,3)&lt;&gt;0,VLOOKUP($D3031&amp;RIGHT($A3045,1),Players!$A$2:$D$132,3),"")</f>
        <v/>
      </c>
      <c r="H3045" s="225"/>
      <c r="I3045" s="225"/>
      <c r="J3045" s="168" t="str">
        <f>IF(VLOOKUP($D3031&amp;RIGHT($A3045,1),Players!$A$2:$D$132,3)&lt;&gt;0,"("&amp;VLOOKUP($D3031&amp;RIGHT($A3045,1),Players!$A$2:$D$132,4)&amp;")","")</f>
        <v/>
      </c>
    </row>
    <row r="3046" spans="1:10" ht="25.5" customHeight="1" x14ac:dyDescent="0.25">
      <c r="A3046" s="37"/>
      <c r="B3046" s="7"/>
      <c r="C3046" s="7"/>
      <c r="D3046" s="7"/>
      <c r="E3046" s="7"/>
    </row>
    <row r="3047" spans="1:10" x14ac:dyDescent="0.25">
      <c r="A3047" s="9" t="s">
        <v>157</v>
      </c>
    </row>
    <row r="3048" spans="1:10" x14ac:dyDescent="0.25">
      <c r="A3048" t="s">
        <v>179</v>
      </c>
    </row>
    <row r="3049" spans="1:10" x14ac:dyDescent="0.25">
      <c r="A3049" s="55" t="s">
        <v>918</v>
      </c>
    </row>
    <row r="3050" spans="1:10" x14ac:dyDescent="0.25">
      <c r="A3050" t="s">
        <v>919</v>
      </c>
    </row>
    <row r="3051" spans="1:10" ht="25.5" customHeight="1" thickBot="1" x14ac:dyDescent="0.3">
      <c r="A3051" s="37"/>
    </row>
    <row r="3052" spans="1:10" x14ac:dyDescent="0.25">
      <c r="B3052" s="213"/>
      <c r="C3052" s="214"/>
      <c r="D3052" s="214"/>
      <c r="E3052" s="214"/>
      <c r="F3052" s="215"/>
    </row>
    <row r="3053" spans="1:10" ht="13.8" thickBot="1" x14ac:dyDescent="0.3">
      <c r="B3053" s="216"/>
      <c r="C3053" s="217"/>
      <c r="D3053" s="217"/>
      <c r="E3053" s="217"/>
      <c r="F3053" s="218"/>
    </row>
    <row r="3057" spans="1:10" ht="25.5" customHeight="1" x14ac:dyDescent="0.25">
      <c r="A3057" s="36"/>
      <c r="B3057" s="36"/>
      <c r="C3057" s="36"/>
      <c r="D3057" s="36"/>
      <c r="E3057" s="36"/>
      <c r="G3057" s="38"/>
      <c r="H3057" s="227" t="s">
        <v>159</v>
      </c>
      <c r="I3057" s="228"/>
    </row>
    <row r="3058" spans="1:10" x14ac:dyDescent="0.25">
      <c r="A3058" t="s">
        <v>158</v>
      </c>
    </row>
    <row r="3060" spans="1:10" x14ac:dyDescent="0.25">
      <c r="E3060" s="219" t="str">
        <f>CONCATENATE("(",$D3031," vs ",$I3031,")")</f>
        <v>(C vs G)</v>
      </c>
      <c r="F3060" s="219"/>
    </row>
    <row r="3061" spans="1:10" ht="15.6" x14ac:dyDescent="0.3">
      <c r="A3061" s="33" t="s">
        <v>155</v>
      </c>
      <c r="J3061" s="82" t="s">
        <v>561</v>
      </c>
    </row>
    <row r="3062" spans="1:10" ht="12.75" customHeight="1" x14ac:dyDescent="0.3">
      <c r="A3062" s="33"/>
      <c r="G3062" t="str">
        <f ca="1">Team_Matches!$J$6</f>
        <v>[NCTTA Teams Template (v3.4).xlsx]</v>
      </c>
      <c r="J3062" s="55"/>
    </row>
    <row r="3063" spans="1:10" ht="12.75" customHeight="1" x14ac:dyDescent="0.3">
      <c r="A3063" s="33"/>
      <c r="G3063" s="229" t="str">
        <f>Team_Matches!$J2302</f>
        <v>Round 8, Match 4</v>
      </c>
      <c r="H3063" s="229"/>
      <c r="I3063" s="127" t="str">
        <f>Team_Matches!$M2302</f>
        <v/>
      </c>
      <c r="J3063" s="127"/>
    </row>
    <row r="3064" spans="1:10" ht="15.6" x14ac:dyDescent="0.3">
      <c r="A3064" s="33"/>
    </row>
    <row r="3065" spans="1:10" x14ac:dyDescent="0.25">
      <c r="C3065" s="7" t="s">
        <v>160</v>
      </c>
      <c r="D3065" s="39" t="str">
        <f>Team_Matches!$B2304</f>
        <v>B</v>
      </c>
      <c r="F3065" s="83" t="str">
        <f>CONCATENATE($D3065,"-",$I3065)</f>
        <v>B-H</v>
      </c>
      <c r="H3065" s="7" t="s">
        <v>160</v>
      </c>
      <c r="I3065" s="39" t="str">
        <f>Team_Matches!$K2304</f>
        <v>H</v>
      </c>
    </row>
    <row r="3066" spans="1:10" ht="25.5" customHeight="1" x14ac:dyDescent="0.25">
      <c r="A3066" s="34"/>
      <c r="B3066" s="220" t="str">
        <f>IF(VLOOKUP($D3065,Draw!$A$4:$B$27,2)&lt;&gt;0,VLOOKUP($D3065,Draw!$A$4:$B$27,2),"")</f>
        <v/>
      </c>
      <c r="C3066" s="220"/>
      <c r="D3066" s="220"/>
      <c r="E3066" s="221"/>
      <c r="F3066" s="35"/>
      <c r="G3066" s="223" t="str">
        <f>IF(VLOOKUP($I3065,Draw!$A$4:$B$27,2)&lt;&gt;0,VLOOKUP($I3065,Draw!$A$4:$B$27,2),"")</f>
        <v/>
      </c>
      <c r="H3066" s="223"/>
      <c r="I3066" s="223"/>
      <c r="J3066" s="224"/>
    </row>
    <row r="3067" spans="1:10" ht="25.5" customHeight="1" x14ac:dyDescent="0.25"/>
    <row r="3068" spans="1:10" ht="25.5" customHeight="1" x14ac:dyDescent="0.25"/>
    <row r="3069" spans="1:10" ht="24" customHeight="1" x14ac:dyDescent="0.25">
      <c r="A3069" s="9" t="s">
        <v>178</v>
      </c>
    </row>
    <row r="3070" spans="1:10" ht="24" customHeight="1" x14ac:dyDescent="0.25">
      <c r="A3070" s="9"/>
    </row>
    <row r="3071" spans="1:10" x14ac:dyDescent="0.25">
      <c r="A3071" s="9" t="s">
        <v>156</v>
      </c>
      <c r="G3071" s="226" t="s">
        <v>873</v>
      </c>
      <c r="H3071" s="226"/>
      <c r="I3071" s="226"/>
      <c r="J3071" s="226"/>
    </row>
    <row r="3072" spans="1:10" ht="24" customHeight="1" x14ac:dyDescent="0.4">
      <c r="A3072" s="37" t="str">
        <f>CONCATENATE($D3065,"1")</f>
        <v>B1</v>
      </c>
      <c r="B3072" s="222" t="str">
        <f>IF(VLOOKUP($A3072,Players!$A$2:$C$132,3)&lt;&gt;0,VLOOKUP($A3072,Players!$A$2:$C$132,3),"")</f>
        <v/>
      </c>
      <c r="C3072" s="222"/>
      <c r="D3072" s="222"/>
      <c r="E3072" s="222"/>
      <c r="F3072" s="222"/>
      <c r="G3072" s="225" t="str">
        <f>IF(VLOOKUP($I3065&amp;RIGHT($A3072,1),Players!$A$2:$D$132,3)&lt;&gt;0,VLOOKUP($I3065&amp;RIGHT($A3072,1),Players!$A$2:$D$132,3),"")</f>
        <v/>
      </c>
      <c r="H3072" s="225"/>
      <c r="I3072" s="225"/>
      <c r="J3072" s="168" t="str">
        <f>IF(VLOOKUP($I3065&amp;RIGHT($A3072,1),Players!$A$2:$D$132,3)&lt;&gt;0,"("&amp;VLOOKUP($I3065&amp;RIGHT($A3072,1),Players!$A$2:$D$132,4)&amp;")","")</f>
        <v/>
      </c>
    </row>
    <row r="3073" spans="1:10" ht="25.5" customHeight="1" x14ac:dyDescent="0.4">
      <c r="A3073" s="37" t="str">
        <f>CONCATENATE($D3065,"2")</f>
        <v>B2</v>
      </c>
      <c r="B3073" s="222" t="str">
        <f>IF(VLOOKUP($A3073,Players!$A$2:$C$132,3)&lt;&gt;0,VLOOKUP($A3073,Players!$A$2:$C$132,3),"")</f>
        <v/>
      </c>
      <c r="C3073" s="222"/>
      <c r="D3073" s="222"/>
      <c r="E3073" s="222"/>
      <c r="F3073" s="222"/>
      <c r="G3073" s="225" t="str">
        <f>IF(VLOOKUP($I3065&amp;RIGHT($A3073,1),Players!$A$2:$D$132,3)&lt;&gt;0,VLOOKUP($I3065&amp;RIGHT($A3073,1),Players!$A$2:$D$132,3),"")</f>
        <v/>
      </c>
      <c r="H3073" s="225"/>
      <c r="I3073" s="225"/>
      <c r="J3073" s="168" t="str">
        <f>IF(VLOOKUP($I3065&amp;RIGHT($A3073,1),Players!$A$2:$D$132,3)&lt;&gt;0,"("&amp;VLOOKUP($I3065&amp;RIGHT($A3073,1),Players!$A$2:$D$132,4)&amp;")","")</f>
        <v/>
      </c>
    </row>
    <row r="3074" spans="1:10" ht="25.5" customHeight="1" x14ac:dyDescent="0.4">
      <c r="A3074" s="37" t="str">
        <f>CONCATENATE($D3065,"3")</f>
        <v>B3</v>
      </c>
      <c r="B3074" s="222" t="str">
        <f>IF(VLOOKUP($A3074,Players!$A$2:$C$132,3)&lt;&gt;0,VLOOKUP($A3074,Players!$A$2:$C$132,3),"")</f>
        <v/>
      </c>
      <c r="C3074" s="222"/>
      <c r="D3074" s="222"/>
      <c r="E3074" s="222"/>
      <c r="F3074" s="222"/>
      <c r="G3074" s="225" t="str">
        <f>IF(VLOOKUP($I3065&amp;RIGHT($A3074,1),Players!$A$2:$D$132,3)&lt;&gt;0,VLOOKUP($I3065&amp;RIGHT($A3074,1),Players!$A$2:$D$132,3),"")</f>
        <v/>
      </c>
      <c r="H3074" s="225"/>
      <c r="I3074" s="225"/>
      <c r="J3074" s="168" t="str">
        <f>IF(VLOOKUP($I3065&amp;RIGHT($A3074,1),Players!$A$2:$D$132,3)&lt;&gt;0,"("&amp;VLOOKUP($I3065&amp;RIGHT($A3074,1),Players!$A$2:$D$132,4)&amp;")","")</f>
        <v/>
      </c>
    </row>
    <row r="3075" spans="1:10" ht="25.5" customHeight="1" x14ac:dyDescent="0.4">
      <c r="A3075" s="37" t="str">
        <f>CONCATENATE($D3065,"4")</f>
        <v>B4</v>
      </c>
      <c r="B3075" s="222" t="str">
        <f>IF(VLOOKUP($A3075,Players!$A$2:$C$132,3)&lt;&gt;0,VLOOKUP($A3075,Players!$A$2:$C$132,3),"")</f>
        <v/>
      </c>
      <c r="C3075" s="222"/>
      <c r="D3075" s="222"/>
      <c r="E3075" s="222"/>
      <c r="F3075" s="222"/>
      <c r="G3075" s="225" t="str">
        <f>IF(VLOOKUP($I3065&amp;RIGHT($A3075,1),Players!$A$2:$D$132,3)&lt;&gt;0,VLOOKUP($I3065&amp;RIGHT($A3075,1),Players!$A$2:$D$132,3),"")</f>
        <v/>
      </c>
      <c r="H3075" s="225"/>
      <c r="I3075" s="225"/>
      <c r="J3075" s="168" t="str">
        <f>IF(VLOOKUP($I3065&amp;RIGHT($A3075,1),Players!$A$2:$D$132,3)&lt;&gt;0,"("&amp;VLOOKUP($I3065&amp;RIGHT($A3075,1),Players!$A$2:$D$132,4)&amp;")","")</f>
        <v/>
      </c>
    </row>
    <row r="3076" spans="1:10" ht="25.5" customHeight="1" x14ac:dyDescent="0.4">
      <c r="A3076" s="37" t="str">
        <f>CONCATENATE($D3065,"5")</f>
        <v>B5</v>
      </c>
      <c r="B3076" s="222" t="str">
        <f>IF(VLOOKUP($A3076,Players!$A$2:$C$132,3)&lt;&gt;0,VLOOKUP($A3076,Players!$A$2:$C$132,3),"")</f>
        <v/>
      </c>
      <c r="C3076" s="222"/>
      <c r="D3076" s="222"/>
      <c r="E3076" s="222"/>
      <c r="F3076" s="222"/>
      <c r="G3076" s="225" t="str">
        <f>IF(VLOOKUP($I3065&amp;RIGHT($A3076,1),Players!$A$2:$D$132,3)&lt;&gt;0,VLOOKUP($I3065&amp;RIGHT($A3076,1),Players!$A$2:$D$132,3),"")</f>
        <v/>
      </c>
      <c r="H3076" s="225"/>
      <c r="I3076" s="225"/>
      <c r="J3076" s="168" t="str">
        <f>IF(VLOOKUP($I3065&amp;RIGHT($A3076,1),Players!$A$2:$D$132,3)&lt;&gt;0,"("&amp;VLOOKUP($I3065&amp;RIGHT($A3076,1),Players!$A$2:$D$132,4)&amp;")","")</f>
        <v/>
      </c>
    </row>
    <row r="3077" spans="1:10" ht="25.5" customHeight="1" x14ac:dyDescent="0.4">
      <c r="A3077" s="37" t="str">
        <f>CONCATENATE($D3065,"6")</f>
        <v>B6</v>
      </c>
      <c r="B3077" s="222" t="str">
        <f>IF(VLOOKUP($A3077,Players!$A$2:$C$132,3)&lt;&gt;0,VLOOKUP($A3077,Players!$A$2:$C$132,3),"")</f>
        <v/>
      </c>
      <c r="C3077" s="222"/>
      <c r="D3077" s="222"/>
      <c r="E3077" s="222"/>
      <c r="F3077" s="222"/>
      <c r="G3077" s="225" t="str">
        <f>IF(VLOOKUP($I3065&amp;RIGHT($A3077,1),Players!$A$2:$D$132,3)&lt;&gt;0,VLOOKUP($I3065&amp;RIGHT($A3077,1),Players!$A$2:$D$132,3),"")</f>
        <v/>
      </c>
      <c r="H3077" s="225"/>
      <c r="I3077" s="225"/>
      <c r="J3077" s="168" t="str">
        <f>IF(VLOOKUP($I3065&amp;RIGHT($A3077,1),Players!$A$2:$D$132,3)&lt;&gt;0,"("&amp;VLOOKUP($I3065&amp;RIGHT($A3077,1),Players!$A$2:$D$132,4)&amp;")","")</f>
        <v/>
      </c>
    </row>
    <row r="3078" spans="1:10" ht="25.5" customHeight="1" x14ac:dyDescent="0.4">
      <c r="A3078" s="37" t="str">
        <f>CONCATENATE($D3065,"7")</f>
        <v>B7</v>
      </c>
      <c r="B3078" s="222" t="str">
        <f>IF(VLOOKUP($A3078,Players!$A$2:$C$132,3)&lt;&gt;0,VLOOKUP($A3078,Players!$A$2:$C$132,3),"")</f>
        <v/>
      </c>
      <c r="C3078" s="222"/>
      <c r="D3078" s="222"/>
      <c r="E3078" s="222"/>
      <c r="F3078" s="222"/>
      <c r="G3078" s="225" t="str">
        <f>IF(VLOOKUP($I3065&amp;RIGHT($A3078,1),Players!$A$2:$D$132,3)&lt;&gt;0,VLOOKUP($I3065&amp;RIGHT($A3078,1),Players!$A$2:$D$132,3),"")</f>
        <v/>
      </c>
      <c r="H3078" s="225"/>
      <c r="I3078" s="225"/>
      <c r="J3078" s="168" t="str">
        <f>IF(VLOOKUP($I3065&amp;RIGHT($A3078,1),Players!$A$2:$D$132,3)&lt;&gt;0,"("&amp;VLOOKUP($I3065&amp;RIGHT($A3078,1),Players!$A$2:$D$132,4)&amp;")","")</f>
        <v/>
      </c>
    </row>
    <row r="3079" spans="1:10" ht="25.5" customHeight="1" x14ac:dyDescent="0.4">
      <c r="A3079" s="37" t="str">
        <f>CONCATENATE($D3065,"8")</f>
        <v>B8</v>
      </c>
      <c r="B3079" s="222" t="str">
        <f>IF(VLOOKUP($A3079,Players!$A$2:$C$132,3)&lt;&gt;0,VLOOKUP($A3079,Players!$A$2:$C$132,3),"")</f>
        <v/>
      </c>
      <c r="C3079" s="222"/>
      <c r="D3079" s="222"/>
      <c r="E3079" s="222"/>
      <c r="F3079" s="222"/>
      <c r="G3079" s="225" t="str">
        <f>IF(VLOOKUP($I3065&amp;RIGHT($A3079,1),Players!$A$2:$D$132,3)&lt;&gt;0,VLOOKUP($I3065&amp;RIGHT($A3079,1),Players!$A$2:$D$132,3),"")</f>
        <v/>
      </c>
      <c r="H3079" s="225"/>
      <c r="I3079" s="225"/>
      <c r="J3079" s="168" t="str">
        <f>IF(VLOOKUP($I3065&amp;RIGHT($A3079,1),Players!$A$2:$D$132,3)&lt;&gt;0,"("&amp;VLOOKUP($I3065&amp;RIGHT($A3079,1),Players!$A$2:$D$132,4)&amp;")","")</f>
        <v/>
      </c>
    </row>
    <row r="3080" spans="1:10" ht="25.5" customHeight="1" x14ac:dyDescent="0.25">
      <c r="A3080" s="37"/>
      <c r="B3080" s="7"/>
      <c r="C3080" s="7"/>
      <c r="D3080" s="7"/>
      <c r="E3080" s="7"/>
    </row>
    <row r="3081" spans="1:10" x14ac:dyDescent="0.25">
      <c r="A3081" s="9" t="s">
        <v>157</v>
      </c>
    </row>
    <row r="3082" spans="1:10" x14ac:dyDescent="0.25">
      <c r="A3082" t="s">
        <v>179</v>
      </c>
    </row>
    <row r="3083" spans="1:10" x14ac:dyDescent="0.25">
      <c r="A3083" s="55" t="s">
        <v>918</v>
      </c>
    </row>
    <row r="3084" spans="1:10" x14ac:dyDescent="0.25">
      <c r="A3084" t="s">
        <v>919</v>
      </c>
    </row>
    <row r="3085" spans="1:10" ht="25.5" customHeight="1" thickBot="1" x14ac:dyDescent="0.3">
      <c r="A3085" s="37"/>
    </row>
    <row r="3086" spans="1:10" x14ac:dyDescent="0.25">
      <c r="B3086" s="213"/>
      <c r="C3086" s="214"/>
      <c r="D3086" s="214"/>
      <c r="E3086" s="214"/>
      <c r="F3086" s="215"/>
    </row>
    <row r="3087" spans="1:10" ht="13.8" thickBot="1" x14ac:dyDescent="0.3">
      <c r="B3087" s="216"/>
      <c r="C3087" s="217"/>
      <c r="D3087" s="217"/>
      <c r="E3087" s="217"/>
      <c r="F3087" s="218"/>
    </row>
    <row r="3091" spans="1:10" ht="25.5" customHeight="1" x14ac:dyDescent="0.25">
      <c r="A3091" s="36"/>
      <c r="B3091" s="36"/>
      <c r="C3091" s="36"/>
      <c r="D3091" s="36"/>
      <c r="E3091" s="36"/>
      <c r="G3091" s="38"/>
      <c r="H3091" s="227" t="s">
        <v>159</v>
      </c>
      <c r="I3091" s="228"/>
    </row>
    <row r="3092" spans="1:10" x14ac:dyDescent="0.25">
      <c r="A3092" t="s">
        <v>158</v>
      </c>
    </row>
    <row r="3094" spans="1:10" x14ac:dyDescent="0.25">
      <c r="E3094" s="219" t="str">
        <f>CONCATENATE("(",$D3065," vs ",$I3065,")")</f>
        <v>(B vs H)</v>
      </c>
      <c r="F3094" s="219"/>
    </row>
    <row r="3095" spans="1:10" ht="15.6" x14ac:dyDescent="0.3">
      <c r="A3095" s="33" t="s">
        <v>155</v>
      </c>
      <c r="J3095" s="82" t="s">
        <v>562</v>
      </c>
    </row>
    <row r="3096" spans="1:10" ht="12.75" customHeight="1" x14ac:dyDescent="0.3">
      <c r="A3096" s="33"/>
      <c r="G3096" t="str">
        <f ca="1">Team_Matches!$J$6</f>
        <v>[NCTTA Teams Template (v3.4).xlsx]</v>
      </c>
      <c r="J3096" s="55"/>
    </row>
    <row r="3097" spans="1:10" ht="12.75" customHeight="1" x14ac:dyDescent="0.3">
      <c r="A3097" s="33"/>
      <c r="G3097" s="229" t="str">
        <f>Team_Matches!$J2302</f>
        <v>Round 8, Match 4</v>
      </c>
      <c r="H3097" s="229"/>
      <c r="I3097" s="127" t="str">
        <f>Team_Matches!$M2302</f>
        <v/>
      </c>
      <c r="J3097" s="127"/>
    </row>
    <row r="3098" spans="1:10" ht="15.6" x14ac:dyDescent="0.3">
      <c r="A3098" s="33"/>
    </row>
    <row r="3099" spans="1:10" x14ac:dyDescent="0.25">
      <c r="C3099" s="7" t="s">
        <v>160</v>
      </c>
      <c r="D3099" s="39" t="str">
        <f>Team_Matches!$B2304</f>
        <v>B</v>
      </c>
      <c r="F3099" s="83" t="str">
        <f>CONCATENATE($D3099,"-",$I3099)</f>
        <v>B-H</v>
      </c>
      <c r="H3099" s="7" t="s">
        <v>160</v>
      </c>
      <c r="I3099" s="39" t="str">
        <f>Team_Matches!$K2304</f>
        <v>H</v>
      </c>
    </row>
    <row r="3100" spans="1:10" ht="25.5" customHeight="1" x14ac:dyDescent="0.25">
      <c r="A3100" s="34"/>
      <c r="B3100" s="223" t="str">
        <f>IF(VLOOKUP($D3099,Draw!$A$4:$B$27,2)&lt;&gt;0,VLOOKUP($D3099,Draw!$A$4:$B$27,2),"")</f>
        <v/>
      </c>
      <c r="C3100" s="223"/>
      <c r="D3100" s="223"/>
      <c r="E3100" s="224"/>
      <c r="F3100" s="35"/>
      <c r="G3100" s="220" t="str">
        <f>IF(VLOOKUP($I3099,Draw!$A$4:$B$27,2)&lt;&gt;0,VLOOKUP($I3099,Draw!$A$4:$B$27,2),"")</f>
        <v/>
      </c>
      <c r="H3100" s="220"/>
      <c r="I3100" s="220"/>
      <c r="J3100" s="221"/>
    </row>
    <row r="3101" spans="1:10" ht="25.5" customHeight="1" x14ac:dyDescent="0.25"/>
    <row r="3102" spans="1:10" ht="25.5" customHeight="1" x14ac:dyDescent="0.25"/>
    <row r="3103" spans="1:10" ht="24" customHeight="1" x14ac:dyDescent="0.25">
      <c r="A3103" s="9" t="s">
        <v>178</v>
      </c>
    </row>
    <row r="3104" spans="1:10" ht="24" customHeight="1" x14ac:dyDescent="0.25">
      <c r="A3104" s="9"/>
    </row>
    <row r="3105" spans="1:10" x14ac:dyDescent="0.25">
      <c r="A3105" s="9" t="s">
        <v>156</v>
      </c>
      <c r="G3105" s="226" t="s">
        <v>873</v>
      </c>
      <c r="H3105" s="226"/>
      <c r="I3105" s="226"/>
      <c r="J3105" s="226"/>
    </row>
    <row r="3106" spans="1:10" ht="24" customHeight="1" x14ac:dyDescent="0.4">
      <c r="A3106" s="37" t="str">
        <f>CONCATENATE($I3099,"1")</f>
        <v>H1</v>
      </c>
      <c r="B3106" s="222" t="str">
        <f>IF(VLOOKUP($A3106,Players!$A$2:$C$132,3)&lt;&gt;0,VLOOKUP($A3106,Players!$A$2:$C$132,3),"")</f>
        <v/>
      </c>
      <c r="C3106" s="222"/>
      <c r="D3106" s="222"/>
      <c r="E3106" s="222"/>
      <c r="F3106" s="222"/>
      <c r="G3106" s="225" t="str">
        <f>IF(VLOOKUP($D3099&amp;RIGHT($A3106,1),Players!$A$2:$D$132,3)&lt;&gt;0,VLOOKUP($D3099&amp;RIGHT($A3106,1),Players!$A$2:$D$132,3),"")</f>
        <v/>
      </c>
      <c r="H3106" s="225"/>
      <c r="I3106" s="225"/>
      <c r="J3106" s="168" t="str">
        <f>IF(VLOOKUP($D3099&amp;RIGHT($A3106,1),Players!$A$2:$D$132,3)&lt;&gt;0,"("&amp;VLOOKUP($D3099&amp;RIGHT($A3106,1),Players!$A$2:$D$132,4)&amp;")","")</f>
        <v/>
      </c>
    </row>
    <row r="3107" spans="1:10" ht="25.5" customHeight="1" x14ac:dyDescent="0.4">
      <c r="A3107" s="37" t="str">
        <f>CONCATENATE($I3099,"2")</f>
        <v>H2</v>
      </c>
      <c r="B3107" s="222" t="str">
        <f>IF(VLOOKUP($A3107,Players!$A$2:$C$132,3)&lt;&gt;0,VLOOKUP($A3107,Players!$A$2:$C$132,3),"")</f>
        <v/>
      </c>
      <c r="C3107" s="222"/>
      <c r="D3107" s="222"/>
      <c r="E3107" s="222"/>
      <c r="F3107" s="222"/>
      <c r="G3107" s="225" t="str">
        <f>IF(VLOOKUP($D3099&amp;RIGHT($A3107,1),Players!$A$2:$D$132,3)&lt;&gt;0,VLOOKUP($D3099&amp;RIGHT($A3107,1),Players!$A$2:$D$132,3),"")</f>
        <v/>
      </c>
      <c r="H3107" s="225"/>
      <c r="I3107" s="225"/>
      <c r="J3107" s="168" t="str">
        <f>IF(VLOOKUP($D3099&amp;RIGHT($A3107,1),Players!$A$2:$D$132,3)&lt;&gt;0,"("&amp;VLOOKUP($D3099&amp;RIGHT($A3107,1),Players!$A$2:$D$132,4)&amp;")","")</f>
        <v/>
      </c>
    </row>
    <row r="3108" spans="1:10" ht="25.5" customHeight="1" x14ac:dyDescent="0.4">
      <c r="A3108" s="37" t="str">
        <f>CONCATENATE($I3099,"3")</f>
        <v>H3</v>
      </c>
      <c r="B3108" s="222" t="str">
        <f>IF(VLOOKUP($A3108,Players!$A$2:$C$132,3)&lt;&gt;0,VLOOKUP($A3108,Players!$A$2:$C$132,3),"")</f>
        <v/>
      </c>
      <c r="C3108" s="222"/>
      <c r="D3108" s="222"/>
      <c r="E3108" s="222"/>
      <c r="F3108" s="222"/>
      <c r="G3108" s="225" t="str">
        <f>IF(VLOOKUP($D3099&amp;RIGHT($A3108,1),Players!$A$2:$D$132,3)&lt;&gt;0,VLOOKUP($D3099&amp;RIGHT($A3108,1),Players!$A$2:$D$132,3),"")</f>
        <v/>
      </c>
      <c r="H3108" s="225"/>
      <c r="I3108" s="225"/>
      <c r="J3108" s="168" t="str">
        <f>IF(VLOOKUP($D3099&amp;RIGHT($A3108,1),Players!$A$2:$D$132,3)&lt;&gt;0,"("&amp;VLOOKUP($D3099&amp;RIGHT($A3108,1),Players!$A$2:$D$132,4)&amp;")","")</f>
        <v/>
      </c>
    </row>
    <row r="3109" spans="1:10" ht="25.5" customHeight="1" x14ac:dyDescent="0.4">
      <c r="A3109" s="37" t="str">
        <f>CONCATENATE($I3099,"4")</f>
        <v>H4</v>
      </c>
      <c r="B3109" s="222" t="str">
        <f>IF(VLOOKUP($A3109,Players!$A$2:$C$132,3)&lt;&gt;0,VLOOKUP($A3109,Players!$A$2:$C$132,3),"")</f>
        <v/>
      </c>
      <c r="C3109" s="222"/>
      <c r="D3109" s="222"/>
      <c r="E3109" s="222"/>
      <c r="F3109" s="222"/>
      <c r="G3109" s="225" t="str">
        <f>IF(VLOOKUP($D3099&amp;RIGHT($A3109,1),Players!$A$2:$D$132,3)&lt;&gt;0,VLOOKUP($D3099&amp;RIGHT($A3109,1),Players!$A$2:$D$132,3),"")</f>
        <v/>
      </c>
      <c r="H3109" s="225"/>
      <c r="I3109" s="225"/>
      <c r="J3109" s="168" t="str">
        <f>IF(VLOOKUP($D3099&amp;RIGHT($A3109,1),Players!$A$2:$D$132,3)&lt;&gt;0,"("&amp;VLOOKUP($D3099&amp;RIGHT($A3109,1),Players!$A$2:$D$132,4)&amp;")","")</f>
        <v/>
      </c>
    </row>
    <row r="3110" spans="1:10" ht="25.5" customHeight="1" x14ac:dyDescent="0.4">
      <c r="A3110" s="37" t="str">
        <f>CONCATENATE($I3099,"5")</f>
        <v>H5</v>
      </c>
      <c r="B3110" s="222" t="str">
        <f>IF(VLOOKUP($A3110,Players!$A$2:$C$132,3)&lt;&gt;0,VLOOKUP($A3110,Players!$A$2:$C$132,3),"")</f>
        <v/>
      </c>
      <c r="C3110" s="222"/>
      <c r="D3110" s="222"/>
      <c r="E3110" s="222"/>
      <c r="F3110" s="222"/>
      <c r="G3110" s="225" t="str">
        <f>IF(VLOOKUP($D3099&amp;RIGHT($A3110,1),Players!$A$2:$D$132,3)&lt;&gt;0,VLOOKUP($D3099&amp;RIGHT($A3110,1),Players!$A$2:$D$132,3),"")</f>
        <v/>
      </c>
      <c r="H3110" s="225"/>
      <c r="I3110" s="225"/>
      <c r="J3110" s="168" t="str">
        <f>IF(VLOOKUP($D3099&amp;RIGHT($A3110,1),Players!$A$2:$D$132,3)&lt;&gt;0,"("&amp;VLOOKUP($D3099&amp;RIGHT($A3110,1),Players!$A$2:$D$132,4)&amp;")","")</f>
        <v/>
      </c>
    </row>
    <row r="3111" spans="1:10" ht="25.5" customHeight="1" x14ac:dyDescent="0.4">
      <c r="A3111" s="37" t="str">
        <f>CONCATENATE($I3099,"6")</f>
        <v>H6</v>
      </c>
      <c r="B3111" s="222" t="str">
        <f>IF(VLOOKUP($A3111,Players!$A$2:$C$132,3)&lt;&gt;0,VLOOKUP($A3111,Players!$A$2:$C$132,3),"")</f>
        <v/>
      </c>
      <c r="C3111" s="222"/>
      <c r="D3111" s="222"/>
      <c r="E3111" s="222"/>
      <c r="F3111" s="222"/>
      <c r="G3111" s="225" t="str">
        <f>IF(VLOOKUP($D3099&amp;RIGHT($A3111,1),Players!$A$2:$D$132,3)&lt;&gt;0,VLOOKUP($D3099&amp;RIGHT($A3111,1),Players!$A$2:$D$132,3),"")</f>
        <v/>
      </c>
      <c r="H3111" s="225"/>
      <c r="I3111" s="225"/>
      <c r="J3111" s="168" t="str">
        <f>IF(VLOOKUP($D3099&amp;RIGHT($A3111,1),Players!$A$2:$D$132,3)&lt;&gt;0,"("&amp;VLOOKUP($D3099&amp;RIGHT($A3111,1),Players!$A$2:$D$132,4)&amp;")","")</f>
        <v/>
      </c>
    </row>
    <row r="3112" spans="1:10" ht="25.5" customHeight="1" x14ac:dyDescent="0.4">
      <c r="A3112" s="37" t="str">
        <f>CONCATENATE($I3099,"7")</f>
        <v>H7</v>
      </c>
      <c r="B3112" s="222" t="str">
        <f>IF(VLOOKUP($A3112,Players!$A$2:$C$132,3)&lt;&gt;0,VLOOKUP($A3112,Players!$A$2:$C$132,3),"")</f>
        <v/>
      </c>
      <c r="C3112" s="222"/>
      <c r="D3112" s="222"/>
      <c r="E3112" s="222"/>
      <c r="F3112" s="222"/>
      <c r="G3112" s="225" t="str">
        <f>IF(VLOOKUP($D3099&amp;RIGHT($A3112,1),Players!$A$2:$D$132,3)&lt;&gt;0,VLOOKUP($D3099&amp;RIGHT($A3112,1),Players!$A$2:$D$132,3),"")</f>
        <v/>
      </c>
      <c r="H3112" s="225"/>
      <c r="I3112" s="225"/>
      <c r="J3112" s="168" t="str">
        <f>IF(VLOOKUP($D3099&amp;RIGHT($A3112,1),Players!$A$2:$D$132,3)&lt;&gt;0,"("&amp;VLOOKUP($D3099&amp;RIGHT($A3112,1),Players!$A$2:$D$132,4)&amp;")","")</f>
        <v/>
      </c>
    </row>
    <row r="3113" spans="1:10" ht="25.5" customHeight="1" x14ac:dyDescent="0.4">
      <c r="A3113" s="37" t="str">
        <f>CONCATENATE($I3099,"8")</f>
        <v>H8</v>
      </c>
      <c r="B3113" s="222" t="str">
        <f>IF(VLOOKUP($A3113,Players!$A$2:$C$132,3)&lt;&gt;0,VLOOKUP($A3113,Players!$A$2:$C$132,3),"")</f>
        <v/>
      </c>
      <c r="C3113" s="222"/>
      <c r="D3113" s="222"/>
      <c r="E3113" s="222"/>
      <c r="F3113" s="222"/>
      <c r="G3113" s="225" t="str">
        <f>IF(VLOOKUP($D3099&amp;RIGHT($A3113,1),Players!$A$2:$D$132,3)&lt;&gt;0,VLOOKUP($D3099&amp;RIGHT($A3113,1),Players!$A$2:$D$132,3),"")</f>
        <v/>
      </c>
      <c r="H3113" s="225"/>
      <c r="I3113" s="225"/>
      <c r="J3113" s="168" t="str">
        <f>IF(VLOOKUP($D3099&amp;RIGHT($A3113,1),Players!$A$2:$D$132,3)&lt;&gt;0,"("&amp;VLOOKUP($D3099&amp;RIGHT($A3113,1),Players!$A$2:$D$132,4)&amp;")","")</f>
        <v/>
      </c>
    </row>
    <row r="3114" spans="1:10" ht="25.5" customHeight="1" x14ac:dyDescent="0.25">
      <c r="A3114" s="37"/>
      <c r="B3114" s="7"/>
      <c r="C3114" s="7"/>
      <c r="D3114" s="7"/>
      <c r="E3114" s="7"/>
    </row>
    <row r="3115" spans="1:10" x14ac:dyDescent="0.25">
      <c r="A3115" s="9" t="s">
        <v>157</v>
      </c>
    </row>
    <row r="3116" spans="1:10" x14ac:dyDescent="0.25">
      <c r="A3116" t="s">
        <v>179</v>
      </c>
    </row>
    <row r="3117" spans="1:10" x14ac:dyDescent="0.25">
      <c r="A3117" s="55" t="s">
        <v>918</v>
      </c>
    </row>
    <row r="3118" spans="1:10" x14ac:dyDescent="0.25">
      <c r="A3118" t="s">
        <v>919</v>
      </c>
    </row>
    <row r="3119" spans="1:10" ht="25.5" customHeight="1" thickBot="1" x14ac:dyDescent="0.3">
      <c r="A3119" s="37"/>
    </row>
    <row r="3120" spans="1:10" x14ac:dyDescent="0.25">
      <c r="B3120" s="213"/>
      <c r="C3120" s="214"/>
      <c r="D3120" s="214"/>
      <c r="E3120" s="214"/>
      <c r="F3120" s="215"/>
    </row>
    <row r="3121" spans="1:10" ht="13.8" thickBot="1" x14ac:dyDescent="0.3">
      <c r="B3121" s="216"/>
      <c r="C3121" s="217"/>
      <c r="D3121" s="217"/>
      <c r="E3121" s="217"/>
      <c r="F3121" s="218"/>
    </row>
    <row r="3125" spans="1:10" ht="25.5" customHeight="1" x14ac:dyDescent="0.25">
      <c r="A3125" s="36"/>
      <c r="B3125" s="36"/>
      <c r="C3125" s="36"/>
      <c r="D3125" s="36"/>
      <c r="E3125" s="36"/>
      <c r="G3125" s="38"/>
      <c r="H3125" s="227" t="s">
        <v>159</v>
      </c>
      <c r="I3125" s="228"/>
    </row>
    <row r="3126" spans="1:10" x14ac:dyDescent="0.25">
      <c r="A3126" t="s">
        <v>158</v>
      </c>
    </row>
    <row r="3128" spans="1:10" x14ac:dyDescent="0.25">
      <c r="E3128" s="219" t="str">
        <f>CONCATENATE("(",$D3099," vs ",$I3099,")")</f>
        <v>(B vs H)</v>
      </c>
      <c r="F3128" s="219"/>
    </row>
    <row r="3129" spans="1:10" ht="15.6" x14ac:dyDescent="0.3">
      <c r="A3129" s="33" t="s">
        <v>155</v>
      </c>
      <c r="J3129" s="82" t="s">
        <v>563</v>
      </c>
    </row>
    <row r="3130" spans="1:10" ht="12.75" customHeight="1" x14ac:dyDescent="0.3">
      <c r="A3130" s="33"/>
      <c r="G3130" t="str">
        <f ca="1">Team_Matches!$J$6</f>
        <v>[NCTTA Teams Template (v3.4).xlsx]</v>
      </c>
      <c r="J3130" s="55"/>
    </row>
    <row r="3131" spans="1:10" ht="12.75" customHeight="1" x14ac:dyDescent="0.3">
      <c r="A3131" s="33"/>
      <c r="G3131" s="229" t="str">
        <f>Team_Matches!$J2353</f>
        <v>Round 8, Match 5</v>
      </c>
      <c r="H3131" s="229"/>
      <c r="I3131" s="127" t="str">
        <f>Team_Matches!$M2353</f>
        <v/>
      </c>
      <c r="J3131" s="127"/>
    </row>
    <row r="3132" spans="1:10" ht="15.6" x14ac:dyDescent="0.3">
      <c r="A3132" s="33"/>
    </row>
    <row r="3133" spans="1:10" x14ac:dyDescent="0.25">
      <c r="C3133" s="7" t="s">
        <v>160</v>
      </c>
      <c r="D3133" s="39" t="str">
        <f>Team_Matches!$B2355</f>
        <v>I</v>
      </c>
      <c r="F3133" s="83" t="str">
        <f>CONCATENATE($D3133,"-",$I3133)</f>
        <v>I-L</v>
      </c>
      <c r="H3133" s="7" t="s">
        <v>160</v>
      </c>
      <c r="I3133" s="39" t="str">
        <f>Team_Matches!$K2355</f>
        <v>L</v>
      </c>
    </row>
    <row r="3134" spans="1:10" ht="25.5" customHeight="1" x14ac:dyDescent="0.25">
      <c r="A3134" s="34"/>
      <c r="B3134" s="220" t="str">
        <f>IF(VLOOKUP($D3133,Draw!$A$4:$B$27,2)&lt;&gt;0,VLOOKUP($D3133,Draw!$A$4:$B$27,2),"")</f>
        <v/>
      </c>
      <c r="C3134" s="220"/>
      <c r="D3134" s="220"/>
      <c r="E3134" s="221"/>
      <c r="F3134" s="35"/>
      <c r="G3134" s="223" t="str">
        <f>IF(VLOOKUP($I3133,Draw!$A$4:$B$27,2)&lt;&gt;0,VLOOKUP($I3133,Draw!$A$4:$B$27,2),"")</f>
        <v/>
      </c>
      <c r="H3134" s="223"/>
      <c r="I3134" s="223"/>
      <c r="J3134" s="224"/>
    </row>
    <row r="3135" spans="1:10" ht="25.5" customHeight="1" x14ac:dyDescent="0.25"/>
    <row r="3136" spans="1:10" ht="25.5" customHeight="1" x14ac:dyDescent="0.25"/>
    <row r="3137" spans="1:10" ht="24" customHeight="1" x14ac:dyDescent="0.25">
      <c r="A3137" s="9" t="s">
        <v>178</v>
      </c>
    </row>
    <row r="3138" spans="1:10" ht="24" customHeight="1" x14ac:dyDescent="0.25">
      <c r="A3138" s="9"/>
    </row>
    <row r="3139" spans="1:10" x14ac:dyDescent="0.25">
      <c r="A3139" s="9" t="s">
        <v>156</v>
      </c>
      <c r="G3139" s="226" t="s">
        <v>873</v>
      </c>
      <c r="H3139" s="226"/>
      <c r="I3139" s="226"/>
      <c r="J3139" s="226"/>
    </row>
    <row r="3140" spans="1:10" ht="24" customHeight="1" x14ac:dyDescent="0.4">
      <c r="A3140" s="37" t="str">
        <f>CONCATENATE($D3133,"1")</f>
        <v>I1</v>
      </c>
      <c r="B3140" s="222" t="str">
        <f>IF(VLOOKUP($A3140,Players!$A$2:$C$132,3)&lt;&gt;0,VLOOKUP($A3140,Players!$A$2:$C$132,3),"")</f>
        <v/>
      </c>
      <c r="C3140" s="222"/>
      <c r="D3140" s="222"/>
      <c r="E3140" s="222"/>
      <c r="F3140" s="222"/>
      <c r="G3140" s="225" t="str">
        <f>IF(VLOOKUP($I3133&amp;RIGHT($A3140,1),Players!$A$2:$D$132,3)&lt;&gt;0,VLOOKUP($I3133&amp;RIGHT($A3140,1),Players!$A$2:$D$132,3),"")</f>
        <v/>
      </c>
      <c r="H3140" s="225"/>
      <c r="I3140" s="225"/>
      <c r="J3140" s="168" t="str">
        <f>IF(VLOOKUP($I3133&amp;RIGHT($A3140,1),Players!$A$2:$D$132,3)&lt;&gt;0,"("&amp;VLOOKUP($I3133&amp;RIGHT($A3140,1),Players!$A$2:$D$132,4)&amp;")","")</f>
        <v/>
      </c>
    </row>
    <row r="3141" spans="1:10" ht="25.5" customHeight="1" x14ac:dyDescent="0.4">
      <c r="A3141" s="37" t="str">
        <f>CONCATENATE($D3133,"2")</f>
        <v>I2</v>
      </c>
      <c r="B3141" s="222" t="str">
        <f>IF(VLOOKUP($A3141,Players!$A$2:$C$132,3)&lt;&gt;0,VLOOKUP($A3141,Players!$A$2:$C$132,3),"")</f>
        <v/>
      </c>
      <c r="C3141" s="222"/>
      <c r="D3141" s="222"/>
      <c r="E3141" s="222"/>
      <c r="F3141" s="222"/>
      <c r="G3141" s="225" t="str">
        <f>IF(VLOOKUP($I3133&amp;RIGHT($A3141,1),Players!$A$2:$D$132,3)&lt;&gt;0,VLOOKUP($I3133&amp;RIGHT($A3141,1),Players!$A$2:$D$132,3),"")</f>
        <v/>
      </c>
      <c r="H3141" s="225"/>
      <c r="I3141" s="225"/>
      <c r="J3141" s="168" t="str">
        <f>IF(VLOOKUP($I3133&amp;RIGHT($A3141,1),Players!$A$2:$D$132,3)&lt;&gt;0,"("&amp;VLOOKUP($I3133&amp;RIGHT($A3141,1),Players!$A$2:$D$132,4)&amp;")","")</f>
        <v/>
      </c>
    </row>
    <row r="3142" spans="1:10" ht="25.5" customHeight="1" x14ac:dyDescent="0.4">
      <c r="A3142" s="37" t="str">
        <f>CONCATENATE($D3133,"3")</f>
        <v>I3</v>
      </c>
      <c r="B3142" s="222" t="str">
        <f>IF(VLOOKUP($A3142,Players!$A$2:$C$132,3)&lt;&gt;0,VLOOKUP($A3142,Players!$A$2:$C$132,3),"")</f>
        <v/>
      </c>
      <c r="C3142" s="222"/>
      <c r="D3142" s="222"/>
      <c r="E3142" s="222"/>
      <c r="F3142" s="222"/>
      <c r="G3142" s="225" t="str">
        <f>IF(VLOOKUP($I3133&amp;RIGHT($A3142,1),Players!$A$2:$D$132,3)&lt;&gt;0,VLOOKUP($I3133&amp;RIGHT($A3142,1),Players!$A$2:$D$132,3),"")</f>
        <v/>
      </c>
      <c r="H3142" s="225"/>
      <c r="I3142" s="225"/>
      <c r="J3142" s="168" t="str">
        <f>IF(VLOOKUP($I3133&amp;RIGHT($A3142,1),Players!$A$2:$D$132,3)&lt;&gt;0,"("&amp;VLOOKUP($I3133&amp;RIGHT($A3142,1),Players!$A$2:$D$132,4)&amp;")","")</f>
        <v/>
      </c>
    </row>
    <row r="3143" spans="1:10" ht="25.5" customHeight="1" x14ac:dyDescent="0.4">
      <c r="A3143" s="37" t="str">
        <f>CONCATENATE($D3133,"4")</f>
        <v>I4</v>
      </c>
      <c r="B3143" s="222" t="str">
        <f>IF(VLOOKUP($A3143,Players!$A$2:$C$132,3)&lt;&gt;0,VLOOKUP($A3143,Players!$A$2:$C$132,3),"")</f>
        <v/>
      </c>
      <c r="C3143" s="222"/>
      <c r="D3143" s="222"/>
      <c r="E3143" s="222"/>
      <c r="F3143" s="222"/>
      <c r="G3143" s="225" t="str">
        <f>IF(VLOOKUP($I3133&amp;RIGHT($A3143,1),Players!$A$2:$D$132,3)&lt;&gt;0,VLOOKUP($I3133&amp;RIGHT($A3143,1),Players!$A$2:$D$132,3),"")</f>
        <v/>
      </c>
      <c r="H3143" s="225"/>
      <c r="I3143" s="225"/>
      <c r="J3143" s="168" t="str">
        <f>IF(VLOOKUP($I3133&amp;RIGHT($A3143,1),Players!$A$2:$D$132,3)&lt;&gt;0,"("&amp;VLOOKUP($I3133&amp;RIGHT($A3143,1),Players!$A$2:$D$132,4)&amp;")","")</f>
        <v/>
      </c>
    </row>
    <row r="3144" spans="1:10" ht="25.5" customHeight="1" x14ac:dyDescent="0.4">
      <c r="A3144" s="37" t="str">
        <f>CONCATENATE($D3133,"5")</f>
        <v>I5</v>
      </c>
      <c r="B3144" s="222" t="str">
        <f>IF(VLOOKUP($A3144,Players!$A$2:$C$132,3)&lt;&gt;0,VLOOKUP($A3144,Players!$A$2:$C$132,3),"")</f>
        <v/>
      </c>
      <c r="C3144" s="222"/>
      <c r="D3144" s="222"/>
      <c r="E3144" s="222"/>
      <c r="F3144" s="222"/>
      <c r="G3144" s="225" t="str">
        <f>IF(VLOOKUP($I3133&amp;RIGHT($A3144,1),Players!$A$2:$D$132,3)&lt;&gt;0,VLOOKUP($I3133&amp;RIGHT($A3144,1),Players!$A$2:$D$132,3),"")</f>
        <v/>
      </c>
      <c r="H3144" s="225"/>
      <c r="I3144" s="225"/>
      <c r="J3144" s="168" t="str">
        <f>IF(VLOOKUP($I3133&amp;RIGHT($A3144,1),Players!$A$2:$D$132,3)&lt;&gt;0,"("&amp;VLOOKUP($I3133&amp;RIGHT($A3144,1),Players!$A$2:$D$132,4)&amp;")","")</f>
        <v/>
      </c>
    </row>
    <row r="3145" spans="1:10" ht="25.5" customHeight="1" x14ac:dyDescent="0.4">
      <c r="A3145" s="37" t="str">
        <f>CONCATENATE($D3133,"6")</f>
        <v>I6</v>
      </c>
      <c r="B3145" s="222" t="str">
        <f>IF(VLOOKUP($A3145,Players!$A$2:$C$132,3)&lt;&gt;0,VLOOKUP($A3145,Players!$A$2:$C$132,3),"")</f>
        <v/>
      </c>
      <c r="C3145" s="222"/>
      <c r="D3145" s="222"/>
      <c r="E3145" s="222"/>
      <c r="F3145" s="222"/>
      <c r="G3145" s="225" t="str">
        <f>IF(VLOOKUP($I3133&amp;RIGHT($A3145,1),Players!$A$2:$D$132,3)&lt;&gt;0,VLOOKUP($I3133&amp;RIGHT($A3145,1),Players!$A$2:$D$132,3),"")</f>
        <v/>
      </c>
      <c r="H3145" s="225"/>
      <c r="I3145" s="225"/>
      <c r="J3145" s="168" t="str">
        <f>IF(VLOOKUP($I3133&amp;RIGHT($A3145,1),Players!$A$2:$D$132,3)&lt;&gt;0,"("&amp;VLOOKUP($I3133&amp;RIGHT($A3145,1),Players!$A$2:$D$132,4)&amp;")","")</f>
        <v/>
      </c>
    </row>
    <row r="3146" spans="1:10" ht="25.5" customHeight="1" x14ac:dyDescent="0.4">
      <c r="A3146" s="37" t="str">
        <f>CONCATENATE($D3133,"7")</f>
        <v>I7</v>
      </c>
      <c r="B3146" s="222" t="str">
        <f>IF(VLOOKUP($A3146,Players!$A$2:$C$132,3)&lt;&gt;0,VLOOKUP($A3146,Players!$A$2:$C$132,3),"")</f>
        <v/>
      </c>
      <c r="C3146" s="222"/>
      <c r="D3146" s="222"/>
      <c r="E3146" s="222"/>
      <c r="F3146" s="222"/>
      <c r="G3146" s="225" t="str">
        <f>IF(VLOOKUP($I3133&amp;RIGHT($A3146,1),Players!$A$2:$D$132,3)&lt;&gt;0,VLOOKUP($I3133&amp;RIGHT($A3146,1),Players!$A$2:$D$132,3),"")</f>
        <v/>
      </c>
      <c r="H3146" s="225"/>
      <c r="I3146" s="225"/>
      <c r="J3146" s="168" t="str">
        <f>IF(VLOOKUP($I3133&amp;RIGHT($A3146,1),Players!$A$2:$D$132,3)&lt;&gt;0,"("&amp;VLOOKUP($I3133&amp;RIGHT($A3146,1),Players!$A$2:$D$132,4)&amp;")","")</f>
        <v/>
      </c>
    </row>
    <row r="3147" spans="1:10" ht="25.5" customHeight="1" x14ac:dyDescent="0.4">
      <c r="A3147" s="37" t="str">
        <f>CONCATENATE($D3133,"8")</f>
        <v>I8</v>
      </c>
      <c r="B3147" s="222" t="str">
        <f>IF(VLOOKUP($A3147,Players!$A$2:$C$132,3)&lt;&gt;0,VLOOKUP($A3147,Players!$A$2:$C$132,3),"")</f>
        <v/>
      </c>
      <c r="C3147" s="222"/>
      <c r="D3147" s="222"/>
      <c r="E3147" s="222"/>
      <c r="F3147" s="222"/>
      <c r="G3147" s="225" t="str">
        <f>IF(VLOOKUP($I3133&amp;RIGHT($A3147,1),Players!$A$2:$D$132,3)&lt;&gt;0,VLOOKUP($I3133&amp;RIGHT($A3147,1),Players!$A$2:$D$132,3),"")</f>
        <v/>
      </c>
      <c r="H3147" s="225"/>
      <c r="I3147" s="225"/>
      <c r="J3147" s="168" t="str">
        <f>IF(VLOOKUP($I3133&amp;RIGHT($A3147,1),Players!$A$2:$D$132,3)&lt;&gt;0,"("&amp;VLOOKUP($I3133&amp;RIGHT($A3147,1),Players!$A$2:$D$132,4)&amp;")","")</f>
        <v/>
      </c>
    </row>
    <row r="3148" spans="1:10" ht="25.5" customHeight="1" x14ac:dyDescent="0.25">
      <c r="A3148" s="37"/>
      <c r="B3148" s="7"/>
      <c r="C3148" s="7"/>
      <c r="D3148" s="7"/>
      <c r="E3148" s="7"/>
    </row>
    <row r="3149" spans="1:10" x14ac:dyDescent="0.25">
      <c r="A3149" s="9" t="s">
        <v>157</v>
      </c>
    </row>
    <row r="3150" spans="1:10" x14ac:dyDescent="0.25">
      <c r="A3150" t="s">
        <v>179</v>
      </c>
    </row>
    <row r="3151" spans="1:10" x14ac:dyDescent="0.25">
      <c r="A3151" s="55" t="s">
        <v>918</v>
      </c>
    </row>
    <row r="3152" spans="1:10" x14ac:dyDescent="0.25">
      <c r="A3152" t="s">
        <v>919</v>
      </c>
    </row>
    <row r="3153" spans="1:10" ht="25.5" customHeight="1" thickBot="1" x14ac:dyDescent="0.3">
      <c r="A3153" s="37"/>
    </row>
    <row r="3154" spans="1:10" x14ac:dyDescent="0.25">
      <c r="B3154" s="213"/>
      <c r="C3154" s="214"/>
      <c r="D3154" s="214"/>
      <c r="E3154" s="214"/>
      <c r="F3154" s="215"/>
    </row>
    <row r="3155" spans="1:10" ht="13.8" thickBot="1" x14ac:dyDescent="0.3">
      <c r="B3155" s="216"/>
      <c r="C3155" s="217"/>
      <c r="D3155" s="217"/>
      <c r="E3155" s="217"/>
      <c r="F3155" s="218"/>
    </row>
    <row r="3159" spans="1:10" ht="25.5" customHeight="1" x14ac:dyDescent="0.25">
      <c r="A3159" s="36"/>
      <c r="B3159" s="36"/>
      <c r="C3159" s="36"/>
      <c r="D3159" s="36"/>
      <c r="E3159" s="36"/>
      <c r="G3159" s="38"/>
      <c r="H3159" s="227" t="s">
        <v>159</v>
      </c>
      <c r="I3159" s="228"/>
    </row>
    <row r="3160" spans="1:10" x14ac:dyDescent="0.25">
      <c r="A3160" t="s">
        <v>158</v>
      </c>
    </row>
    <row r="3162" spans="1:10" x14ac:dyDescent="0.25">
      <c r="E3162" s="219" t="str">
        <f>CONCATENATE("(",$D3133," vs ",$I3133,")")</f>
        <v>(I vs L)</v>
      </c>
      <c r="F3162" s="219"/>
    </row>
    <row r="3163" spans="1:10" ht="15.6" x14ac:dyDescent="0.3">
      <c r="A3163" s="33" t="s">
        <v>155</v>
      </c>
      <c r="J3163" s="82" t="s">
        <v>564</v>
      </c>
    </row>
    <row r="3164" spans="1:10" ht="12.75" customHeight="1" x14ac:dyDescent="0.3">
      <c r="A3164" s="33"/>
      <c r="G3164" t="str">
        <f ca="1">Team_Matches!$J$6</f>
        <v>[NCTTA Teams Template (v3.4).xlsx]</v>
      </c>
      <c r="J3164" s="55"/>
    </row>
    <row r="3165" spans="1:10" ht="12.75" customHeight="1" x14ac:dyDescent="0.3">
      <c r="A3165" s="33"/>
      <c r="G3165" s="229" t="str">
        <f>Team_Matches!$J2353</f>
        <v>Round 8, Match 5</v>
      </c>
      <c r="H3165" s="229"/>
      <c r="I3165" s="127" t="str">
        <f>Team_Matches!$M2353</f>
        <v/>
      </c>
      <c r="J3165" s="127"/>
    </row>
    <row r="3166" spans="1:10" ht="15.6" x14ac:dyDescent="0.3">
      <c r="A3166" s="33"/>
    </row>
    <row r="3167" spans="1:10" x14ac:dyDescent="0.25">
      <c r="C3167" s="7" t="s">
        <v>160</v>
      </c>
      <c r="D3167" s="39" t="str">
        <f>Team_Matches!$B2355</f>
        <v>I</v>
      </c>
      <c r="F3167" s="83" t="str">
        <f>CONCATENATE($D3167,"-",$I3167)</f>
        <v>I-L</v>
      </c>
      <c r="H3167" s="7" t="s">
        <v>160</v>
      </c>
      <c r="I3167" s="39" t="str">
        <f>Team_Matches!$K2355</f>
        <v>L</v>
      </c>
    </row>
    <row r="3168" spans="1:10" ht="25.5" customHeight="1" x14ac:dyDescent="0.25">
      <c r="A3168" s="34"/>
      <c r="B3168" s="223" t="str">
        <f>IF(VLOOKUP($D3167,Draw!$A$4:$B$27,2)&lt;&gt;0,VLOOKUP($D3167,Draw!$A$4:$B$27,2),"")</f>
        <v/>
      </c>
      <c r="C3168" s="223"/>
      <c r="D3168" s="223"/>
      <c r="E3168" s="224"/>
      <c r="F3168" s="35"/>
      <c r="G3168" s="220" t="str">
        <f>IF(VLOOKUP($I3167,Draw!$A$4:$B$27,2)&lt;&gt;0,VLOOKUP($I3167,Draw!$A$4:$B$27,2),"")</f>
        <v/>
      </c>
      <c r="H3168" s="220"/>
      <c r="I3168" s="220"/>
      <c r="J3168" s="221"/>
    </row>
    <row r="3169" spans="1:10" ht="25.5" customHeight="1" x14ac:dyDescent="0.25"/>
    <row r="3170" spans="1:10" ht="25.5" customHeight="1" x14ac:dyDescent="0.25"/>
    <row r="3171" spans="1:10" ht="24" customHeight="1" x14ac:dyDescent="0.25">
      <c r="A3171" s="9" t="s">
        <v>178</v>
      </c>
    </row>
    <row r="3172" spans="1:10" ht="24" customHeight="1" x14ac:dyDescent="0.25">
      <c r="A3172" s="9"/>
    </row>
    <row r="3173" spans="1:10" x14ac:dyDescent="0.25">
      <c r="A3173" s="9" t="s">
        <v>156</v>
      </c>
      <c r="G3173" s="226" t="s">
        <v>873</v>
      </c>
      <c r="H3173" s="226"/>
      <c r="I3173" s="226"/>
      <c r="J3173" s="226"/>
    </row>
    <row r="3174" spans="1:10" ht="24" customHeight="1" x14ac:dyDescent="0.4">
      <c r="A3174" s="37" t="str">
        <f>CONCATENATE($I3167,"1")</f>
        <v>L1</v>
      </c>
      <c r="B3174" s="222" t="str">
        <f>IF(VLOOKUP($A3174,Players!$A$2:$C$132,3)&lt;&gt;0,VLOOKUP($A3174,Players!$A$2:$C$132,3),"")</f>
        <v/>
      </c>
      <c r="C3174" s="222"/>
      <c r="D3174" s="222"/>
      <c r="E3174" s="222"/>
      <c r="F3174" s="222"/>
      <c r="G3174" s="225" t="str">
        <f>IF(VLOOKUP($D3167&amp;RIGHT($A3174,1),Players!$A$2:$D$132,3)&lt;&gt;0,VLOOKUP($D3167&amp;RIGHT($A3174,1),Players!$A$2:$D$132,3),"")</f>
        <v/>
      </c>
      <c r="H3174" s="225"/>
      <c r="I3174" s="225"/>
      <c r="J3174" s="168" t="str">
        <f>IF(VLOOKUP($D3167&amp;RIGHT($A3174,1),Players!$A$2:$D$132,3)&lt;&gt;0,"("&amp;VLOOKUP($D3167&amp;RIGHT($A3174,1),Players!$A$2:$D$132,4)&amp;")","")</f>
        <v/>
      </c>
    </row>
    <row r="3175" spans="1:10" ht="25.5" customHeight="1" x14ac:dyDescent="0.4">
      <c r="A3175" s="37" t="str">
        <f>CONCATENATE($I3167,"2")</f>
        <v>L2</v>
      </c>
      <c r="B3175" s="222" t="str">
        <f>IF(VLOOKUP($A3175,Players!$A$2:$C$132,3)&lt;&gt;0,VLOOKUP($A3175,Players!$A$2:$C$132,3),"")</f>
        <v/>
      </c>
      <c r="C3175" s="222"/>
      <c r="D3175" s="222"/>
      <c r="E3175" s="222"/>
      <c r="F3175" s="222"/>
      <c r="G3175" s="225" t="str">
        <f>IF(VLOOKUP($D3167&amp;RIGHT($A3175,1),Players!$A$2:$D$132,3)&lt;&gt;0,VLOOKUP($D3167&amp;RIGHT($A3175,1),Players!$A$2:$D$132,3),"")</f>
        <v/>
      </c>
      <c r="H3175" s="225"/>
      <c r="I3175" s="225"/>
      <c r="J3175" s="168" t="str">
        <f>IF(VLOOKUP($D3167&amp;RIGHT($A3175,1),Players!$A$2:$D$132,3)&lt;&gt;0,"("&amp;VLOOKUP($D3167&amp;RIGHT($A3175,1),Players!$A$2:$D$132,4)&amp;")","")</f>
        <v/>
      </c>
    </row>
    <row r="3176" spans="1:10" ht="25.5" customHeight="1" x14ac:dyDescent="0.4">
      <c r="A3176" s="37" t="str">
        <f>CONCATENATE($I3167,"3")</f>
        <v>L3</v>
      </c>
      <c r="B3176" s="222" t="str">
        <f>IF(VLOOKUP($A3176,Players!$A$2:$C$132,3)&lt;&gt;0,VLOOKUP($A3176,Players!$A$2:$C$132,3),"")</f>
        <v/>
      </c>
      <c r="C3176" s="222"/>
      <c r="D3176" s="222"/>
      <c r="E3176" s="222"/>
      <c r="F3176" s="222"/>
      <c r="G3176" s="225" t="str">
        <f>IF(VLOOKUP($D3167&amp;RIGHT($A3176,1),Players!$A$2:$D$132,3)&lt;&gt;0,VLOOKUP($D3167&amp;RIGHT($A3176,1),Players!$A$2:$D$132,3),"")</f>
        <v/>
      </c>
      <c r="H3176" s="225"/>
      <c r="I3176" s="225"/>
      <c r="J3176" s="168" t="str">
        <f>IF(VLOOKUP($D3167&amp;RIGHT($A3176,1),Players!$A$2:$D$132,3)&lt;&gt;0,"("&amp;VLOOKUP($D3167&amp;RIGHT($A3176,1),Players!$A$2:$D$132,4)&amp;")","")</f>
        <v/>
      </c>
    </row>
    <row r="3177" spans="1:10" ht="25.5" customHeight="1" x14ac:dyDescent="0.4">
      <c r="A3177" s="37" t="str">
        <f>CONCATENATE($I3167,"4")</f>
        <v>L4</v>
      </c>
      <c r="B3177" s="222" t="str">
        <f>IF(VLOOKUP($A3177,Players!$A$2:$C$132,3)&lt;&gt;0,VLOOKUP($A3177,Players!$A$2:$C$132,3),"")</f>
        <v/>
      </c>
      <c r="C3177" s="222"/>
      <c r="D3177" s="222"/>
      <c r="E3177" s="222"/>
      <c r="F3177" s="222"/>
      <c r="G3177" s="225" t="str">
        <f>IF(VLOOKUP($D3167&amp;RIGHT($A3177,1),Players!$A$2:$D$132,3)&lt;&gt;0,VLOOKUP($D3167&amp;RIGHT($A3177,1),Players!$A$2:$D$132,3),"")</f>
        <v/>
      </c>
      <c r="H3177" s="225"/>
      <c r="I3177" s="225"/>
      <c r="J3177" s="168" t="str">
        <f>IF(VLOOKUP($D3167&amp;RIGHT($A3177,1),Players!$A$2:$D$132,3)&lt;&gt;0,"("&amp;VLOOKUP($D3167&amp;RIGHT($A3177,1),Players!$A$2:$D$132,4)&amp;")","")</f>
        <v/>
      </c>
    </row>
    <row r="3178" spans="1:10" ht="25.5" customHeight="1" x14ac:dyDescent="0.4">
      <c r="A3178" s="37" t="str">
        <f>CONCATENATE($I3167,"5")</f>
        <v>L5</v>
      </c>
      <c r="B3178" s="222" t="str">
        <f>IF(VLOOKUP($A3178,Players!$A$2:$C$132,3)&lt;&gt;0,VLOOKUP($A3178,Players!$A$2:$C$132,3),"")</f>
        <v/>
      </c>
      <c r="C3178" s="222"/>
      <c r="D3178" s="222"/>
      <c r="E3178" s="222"/>
      <c r="F3178" s="222"/>
      <c r="G3178" s="225" t="str">
        <f>IF(VLOOKUP($D3167&amp;RIGHT($A3178,1),Players!$A$2:$D$132,3)&lt;&gt;0,VLOOKUP($D3167&amp;RIGHT($A3178,1),Players!$A$2:$D$132,3),"")</f>
        <v/>
      </c>
      <c r="H3178" s="225"/>
      <c r="I3178" s="225"/>
      <c r="J3178" s="168" t="str">
        <f>IF(VLOOKUP($D3167&amp;RIGHT($A3178,1),Players!$A$2:$D$132,3)&lt;&gt;0,"("&amp;VLOOKUP($D3167&amp;RIGHT($A3178,1),Players!$A$2:$D$132,4)&amp;")","")</f>
        <v/>
      </c>
    </row>
    <row r="3179" spans="1:10" ht="25.5" customHeight="1" x14ac:dyDescent="0.4">
      <c r="A3179" s="37" t="str">
        <f>CONCATENATE($I3167,"6")</f>
        <v>L6</v>
      </c>
      <c r="B3179" s="222" t="str">
        <f>IF(VLOOKUP($A3179,Players!$A$2:$C$132,3)&lt;&gt;0,VLOOKUP($A3179,Players!$A$2:$C$132,3),"")</f>
        <v/>
      </c>
      <c r="C3179" s="222"/>
      <c r="D3179" s="222"/>
      <c r="E3179" s="222"/>
      <c r="F3179" s="222"/>
      <c r="G3179" s="225" t="str">
        <f>IF(VLOOKUP($D3167&amp;RIGHT($A3179,1),Players!$A$2:$D$132,3)&lt;&gt;0,VLOOKUP($D3167&amp;RIGHT($A3179,1),Players!$A$2:$D$132,3),"")</f>
        <v/>
      </c>
      <c r="H3179" s="225"/>
      <c r="I3179" s="225"/>
      <c r="J3179" s="168" t="str">
        <f>IF(VLOOKUP($D3167&amp;RIGHT($A3179,1),Players!$A$2:$D$132,3)&lt;&gt;0,"("&amp;VLOOKUP($D3167&amp;RIGHT($A3179,1),Players!$A$2:$D$132,4)&amp;")","")</f>
        <v/>
      </c>
    </row>
    <row r="3180" spans="1:10" ht="25.5" customHeight="1" x14ac:dyDescent="0.4">
      <c r="A3180" s="37" t="str">
        <f>CONCATENATE($I3167,"7")</f>
        <v>L7</v>
      </c>
      <c r="B3180" s="222" t="str">
        <f>IF(VLOOKUP($A3180,Players!$A$2:$C$132,3)&lt;&gt;0,VLOOKUP($A3180,Players!$A$2:$C$132,3),"")</f>
        <v/>
      </c>
      <c r="C3180" s="222"/>
      <c r="D3180" s="222"/>
      <c r="E3180" s="222"/>
      <c r="F3180" s="222"/>
      <c r="G3180" s="225" t="str">
        <f>IF(VLOOKUP($D3167&amp;RIGHT($A3180,1),Players!$A$2:$D$132,3)&lt;&gt;0,VLOOKUP($D3167&amp;RIGHT($A3180,1),Players!$A$2:$D$132,3),"")</f>
        <v/>
      </c>
      <c r="H3180" s="225"/>
      <c r="I3180" s="225"/>
      <c r="J3180" s="168" t="str">
        <f>IF(VLOOKUP($D3167&amp;RIGHT($A3180,1),Players!$A$2:$D$132,3)&lt;&gt;0,"("&amp;VLOOKUP($D3167&amp;RIGHT($A3180,1),Players!$A$2:$D$132,4)&amp;")","")</f>
        <v/>
      </c>
    </row>
    <row r="3181" spans="1:10" ht="25.5" customHeight="1" x14ac:dyDescent="0.4">
      <c r="A3181" s="37" t="str">
        <f>CONCATENATE($I3167,"8")</f>
        <v>L8</v>
      </c>
      <c r="B3181" s="222" t="str">
        <f>IF(VLOOKUP($A3181,Players!$A$2:$C$132,3)&lt;&gt;0,VLOOKUP($A3181,Players!$A$2:$C$132,3),"")</f>
        <v/>
      </c>
      <c r="C3181" s="222"/>
      <c r="D3181" s="222"/>
      <c r="E3181" s="222"/>
      <c r="F3181" s="222"/>
      <c r="G3181" s="225" t="str">
        <f>IF(VLOOKUP($D3167&amp;RIGHT($A3181,1),Players!$A$2:$D$132,3)&lt;&gt;0,VLOOKUP($D3167&amp;RIGHT($A3181,1),Players!$A$2:$D$132,3),"")</f>
        <v/>
      </c>
      <c r="H3181" s="225"/>
      <c r="I3181" s="225"/>
      <c r="J3181" s="168" t="str">
        <f>IF(VLOOKUP($D3167&amp;RIGHT($A3181,1),Players!$A$2:$D$132,3)&lt;&gt;0,"("&amp;VLOOKUP($D3167&amp;RIGHT($A3181,1),Players!$A$2:$D$132,4)&amp;")","")</f>
        <v/>
      </c>
    </row>
    <row r="3182" spans="1:10" ht="25.5" customHeight="1" x14ac:dyDescent="0.25">
      <c r="A3182" s="37"/>
      <c r="B3182" s="7"/>
      <c r="C3182" s="7"/>
      <c r="D3182" s="7"/>
      <c r="E3182" s="7"/>
    </row>
    <row r="3183" spans="1:10" x14ac:dyDescent="0.25">
      <c r="A3183" s="9" t="s">
        <v>157</v>
      </c>
    </row>
    <row r="3184" spans="1:10" x14ac:dyDescent="0.25">
      <c r="A3184" t="s">
        <v>179</v>
      </c>
    </row>
    <row r="3185" spans="1:10" x14ac:dyDescent="0.25">
      <c r="A3185" s="55" t="s">
        <v>918</v>
      </c>
    </row>
    <row r="3186" spans="1:10" x14ac:dyDescent="0.25">
      <c r="A3186" t="s">
        <v>919</v>
      </c>
    </row>
    <row r="3187" spans="1:10" ht="25.5" customHeight="1" thickBot="1" x14ac:dyDescent="0.3">
      <c r="A3187" s="37"/>
    </row>
    <row r="3188" spans="1:10" x14ac:dyDescent="0.25">
      <c r="B3188" s="213"/>
      <c r="C3188" s="214"/>
      <c r="D3188" s="214"/>
      <c r="E3188" s="214"/>
      <c r="F3188" s="215"/>
    </row>
    <row r="3189" spans="1:10" ht="13.8" thickBot="1" x14ac:dyDescent="0.3">
      <c r="B3189" s="216"/>
      <c r="C3189" s="217"/>
      <c r="D3189" s="217"/>
      <c r="E3189" s="217"/>
      <c r="F3189" s="218"/>
    </row>
    <row r="3193" spans="1:10" ht="25.5" customHeight="1" x14ac:dyDescent="0.25">
      <c r="A3193" s="36"/>
      <c r="B3193" s="36"/>
      <c r="C3193" s="36"/>
      <c r="D3193" s="36"/>
      <c r="E3193" s="36"/>
      <c r="G3193" s="38"/>
      <c r="H3193" s="227" t="s">
        <v>159</v>
      </c>
      <c r="I3193" s="228"/>
    </row>
    <row r="3194" spans="1:10" x14ac:dyDescent="0.25">
      <c r="A3194" t="s">
        <v>158</v>
      </c>
    </row>
    <row r="3196" spans="1:10" x14ac:dyDescent="0.25">
      <c r="E3196" s="219" t="str">
        <f>CONCATENATE("(",$D3167," vs ",$I3167,")")</f>
        <v>(I vs L)</v>
      </c>
      <c r="F3196" s="219"/>
    </row>
    <row r="3197" spans="1:10" ht="15.6" x14ac:dyDescent="0.3">
      <c r="A3197" s="33" t="s">
        <v>155</v>
      </c>
      <c r="J3197" s="82" t="s">
        <v>565</v>
      </c>
    </row>
    <row r="3198" spans="1:10" ht="12.75" customHeight="1" x14ac:dyDescent="0.3">
      <c r="A3198" s="33"/>
      <c r="G3198" t="str">
        <f ca="1">Team_Matches!$J$6</f>
        <v>[NCTTA Teams Template (v3.4).xlsx]</v>
      </c>
      <c r="J3198" s="55"/>
    </row>
    <row r="3199" spans="1:10" ht="12.75" customHeight="1" x14ac:dyDescent="0.3">
      <c r="A3199" s="33"/>
      <c r="G3199" s="229" t="str">
        <f>Team_Matches!$J2404</f>
        <v>Round 8, Match 6</v>
      </c>
      <c r="H3199" s="229"/>
      <c r="I3199" s="127" t="str">
        <f>Team_Matches!$M2404</f>
        <v/>
      </c>
      <c r="J3199" s="127"/>
    </row>
    <row r="3200" spans="1:10" ht="15.6" x14ac:dyDescent="0.3">
      <c r="A3200" s="33"/>
    </row>
    <row r="3201" spans="1:10" x14ac:dyDescent="0.25">
      <c r="C3201" s="7" t="s">
        <v>160</v>
      </c>
      <c r="D3201" s="39" t="str">
        <f>Team_Matches!$B2406</f>
        <v>J</v>
      </c>
      <c r="F3201" s="83" t="str">
        <f>CONCATENATE($D3201,"-",$I3201)</f>
        <v>J-K</v>
      </c>
      <c r="H3201" s="7" t="s">
        <v>160</v>
      </c>
      <c r="I3201" s="39" t="str">
        <f>Team_Matches!$K2406</f>
        <v>K</v>
      </c>
    </row>
    <row r="3202" spans="1:10" ht="25.5" customHeight="1" x14ac:dyDescent="0.25">
      <c r="A3202" s="34"/>
      <c r="B3202" s="220" t="str">
        <f>IF(VLOOKUP($D3201,Draw!$A$4:$B$27,2)&lt;&gt;0,VLOOKUP($D3201,Draw!$A$4:$B$27,2),"")</f>
        <v/>
      </c>
      <c r="C3202" s="220"/>
      <c r="D3202" s="220"/>
      <c r="E3202" s="221"/>
      <c r="F3202" s="35"/>
      <c r="G3202" s="223" t="str">
        <f>IF(VLOOKUP($I3201,Draw!$A$4:$B$27,2)&lt;&gt;0,VLOOKUP($I3201,Draw!$A$4:$B$27,2),"")</f>
        <v/>
      </c>
      <c r="H3202" s="223"/>
      <c r="I3202" s="223"/>
      <c r="J3202" s="224"/>
    </row>
    <row r="3203" spans="1:10" ht="25.5" customHeight="1" x14ac:dyDescent="0.25"/>
    <row r="3204" spans="1:10" ht="25.5" customHeight="1" x14ac:dyDescent="0.25"/>
    <row r="3205" spans="1:10" ht="24" customHeight="1" x14ac:dyDescent="0.25">
      <c r="A3205" s="9" t="s">
        <v>178</v>
      </c>
    </row>
    <row r="3206" spans="1:10" ht="24" customHeight="1" x14ac:dyDescent="0.25">
      <c r="A3206" s="9"/>
    </row>
    <row r="3207" spans="1:10" x14ac:dyDescent="0.25">
      <c r="A3207" s="9" t="s">
        <v>156</v>
      </c>
      <c r="G3207" s="226" t="s">
        <v>873</v>
      </c>
      <c r="H3207" s="226"/>
      <c r="I3207" s="226"/>
      <c r="J3207" s="226"/>
    </row>
    <row r="3208" spans="1:10" ht="24" customHeight="1" x14ac:dyDescent="0.4">
      <c r="A3208" s="37" t="str">
        <f>CONCATENATE($D3201,"1")</f>
        <v>J1</v>
      </c>
      <c r="B3208" s="222" t="str">
        <f>IF(VLOOKUP($A3208,Players!$A$2:$C$132,3)&lt;&gt;0,VLOOKUP($A3208,Players!$A$2:$C$132,3),"")</f>
        <v/>
      </c>
      <c r="C3208" s="222"/>
      <c r="D3208" s="222"/>
      <c r="E3208" s="222"/>
      <c r="F3208" s="222"/>
      <c r="G3208" s="225" t="str">
        <f>IF(VLOOKUP($I3201&amp;RIGHT($A3208,1),Players!$A$2:$D$132,3)&lt;&gt;0,VLOOKUP($I3201&amp;RIGHT($A3208,1),Players!$A$2:$D$132,3),"")</f>
        <v/>
      </c>
      <c r="H3208" s="225"/>
      <c r="I3208" s="225"/>
      <c r="J3208" s="168" t="str">
        <f>IF(VLOOKUP($I3201&amp;RIGHT($A3208,1),Players!$A$2:$D$132,3)&lt;&gt;0,"("&amp;VLOOKUP($I3201&amp;RIGHT($A3208,1),Players!$A$2:$D$132,4)&amp;")","")</f>
        <v/>
      </c>
    </row>
    <row r="3209" spans="1:10" ht="25.5" customHeight="1" x14ac:dyDescent="0.4">
      <c r="A3209" s="37" t="str">
        <f>CONCATENATE($D3201,"2")</f>
        <v>J2</v>
      </c>
      <c r="B3209" s="222" t="str">
        <f>IF(VLOOKUP($A3209,Players!$A$2:$C$132,3)&lt;&gt;0,VLOOKUP($A3209,Players!$A$2:$C$132,3),"")</f>
        <v/>
      </c>
      <c r="C3209" s="222"/>
      <c r="D3209" s="222"/>
      <c r="E3209" s="222"/>
      <c r="F3209" s="222"/>
      <c r="G3209" s="225" t="str">
        <f>IF(VLOOKUP($I3201&amp;RIGHT($A3209,1),Players!$A$2:$D$132,3)&lt;&gt;0,VLOOKUP($I3201&amp;RIGHT($A3209,1),Players!$A$2:$D$132,3),"")</f>
        <v/>
      </c>
      <c r="H3209" s="225"/>
      <c r="I3209" s="225"/>
      <c r="J3209" s="168" t="str">
        <f>IF(VLOOKUP($I3201&amp;RIGHT($A3209,1),Players!$A$2:$D$132,3)&lt;&gt;0,"("&amp;VLOOKUP($I3201&amp;RIGHT($A3209,1),Players!$A$2:$D$132,4)&amp;")","")</f>
        <v/>
      </c>
    </row>
    <row r="3210" spans="1:10" ht="25.5" customHeight="1" x14ac:dyDescent="0.4">
      <c r="A3210" s="37" t="str">
        <f>CONCATENATE($D3201,"3")</f>
        <v>J3</v>
      </c>
      <c r="B3210" s="222" t="str">
        <f>IF(VLOOKUP($A3210,Players!$A$2:$C$132,3)&lt;&gt;0,VLOOKUP($A3210,Players!$A$2:$C$132,3),"")</f>
        <v/>
      </c>
      <c r="C3210" s="222"/>
      <c r="D3210" s="222"/>
      <c r="E3210" s="222"/>
      <c r="F3210" s="222"/>
      <c r="G3210" s="225" t="str">
        <f>IF(VLOOKUP($I3201&amp;RIGHT($A3210,1),Players!$A$2:$D$132,3)&lt;&gt;0,VLOOKUP($I3201&amp;RIGHT($A3210,1),Players!$A$2:$D$132,3),"")</f>
        <v/>
      </c>
      <c r="H3210" s="225"/>
      <c r="I3210" s="225"/>
      <c r="J3210" s="168" t="str">
        <f>IF(VLOOKUP($I3201&amp;RIGHT($A3210,1),Players!$A$2:$D$132,3)&lt;&gt;0,"("&amp;VLOOKUP($I3201&amp;RIGHT($A3210,1),Players!$A$2:$D$132,4)&amp;")","")</f>
        <v/>
      </c>
    </row>
    <row r="3211" spans="1:10" ht="25.5" customHeight="1" x14ac:dyDescent="0.4">
      <c r="A3211" s="37" t="str">
        <f>CONCATENATE($D3201,"4")</f>
        <v>J4</v>
      </c>
      <c r="B3211" s="222" t="str">
        <f>IF(VLOOKUP($A3211,Players!$A$2:$C$132,3)&lt;&gt;0,VLOOKUP($A3211,Players!$A$2:$C$132,3),"")</f>
        <v/>
      </c>
      <c r="C3211" s="222"/>
      <c r="D3211" s="222"/>
      <c r="E3211" s="222"/>
      <c r="F3211" s="222"/>
      <c r="G3211" s="225" t="str">
        <f>IF(VLOOKUP($I3201&amp;RIGHT($A3211,1),Players!$A$2:$D$132,3)&lt;&gt;0,VLOOKUP($I3201&amp;RIGHT($A3211,1),Players!$A$2:$D$132,3),"")</f>
        <v/>
      </c>
      <c r="H3211" s="225"/>
      <c r="I3211" s="225"/>
      <c r="J3211" s="168" t="str">
        <f>IF(VLOOKUP($I3201&amp;RIGHT($A3211,1),Players!$A$2:$D$132,3)&lt;&gt;0,"("&amp;VLOOKUP($I3201&amp;RIGHT($A3211,1),Players!$A$2:$D$132,4)&amp;")","")</f>
        <v/>
      </c>
    </row>
    <row r="3212" spans="1:10" ht="25.5" customHeight="1" x14ac:dyDescent="0.4">
      <c r="A3212" s="37" t="str">
        <f>CONCATENATE($D3201,"5")</f>
        <v>J5</v>
      </c>
      <c r="B3212" s="222" t="str">
        <f>IF(VLOOKUP($A3212,Players!$A$2:$C$132,3)&lt;&gt;0,VLOOKUP($A3212,Players!$A$2:$C$132,3),"")</f>
        <v/>
      </c>
      <c r="C3212" s="222"/>
      <c r="D3212" s="222"/>
      <c r="E3212" s="222"/>
      <c r="F3212" s="222"/>
      <c r="G3212" s="225" t="str">
        <f>IF(VLOOKUP($I3201&amp;RIGHT($A3212,1),Players!$A$2:$D$132,3)&lt;&gt;0,VLOOKUP($I3201&amp;RIGHT($A3212,1),Players!$A$2:$D$132,3),"")</f>
        <v/>
      </c>
      <c r="H3212" s="225"/>
      <c r="I3212" s="225"/>
      <c r="J3212" s="168" t="str">
        <f>IF(VLOOKUP($I3201&amp;RIGHT($A3212,1),Players!$A$2:$D$132,3)&lt;&gt;0,"("&amp;VLOOKUP($I3201&amp;RIGHT($A3212,1),Players!$A$2:$D$132,4)&amp;")","")</f>
        <v/>
      </c>
    </row>
    <row r="3213" spans="1:10" ht="25.5" customHeight="1" x14ac:dyDescent="0.4">
      <c r="A3213" s="37" t="str">
        <f>CONCATENATE($D3201,"6")</f>
        <v>J6</v>
      </c>
      <c r="B3213" s="222" t="str">
        <f>IF(VLOOKUP($A3213,Players!$A$2:$C$132,3)&lt;&gt;0,VLOOKUP($A3213,Players!$A$2:$C$132,3),"")</f>
        <v/>
      </c>
      <c r="C3213" s="222"/>
      <c r="D3213" s="222"/>
      <c r="E3213" s="222"/>
      <c r="F3213" s="222"/>
      <c r="G3213" s="225" t="str">
        <f>IF(VLOOKUP($I3201&amp;RIGHT($A3213,1),Players!$A$2:$D$132,3)&lt;&gt;0,VLOOKUP($I3201&amp;RIGHT($A3213,1),Players!$A$2:$D$132,3),"")</f>
        <v/>
      </c>
      <c r="H3213" s="225"/>
      <c r="I3213" s="225"/>
      <c r="J3213" s="168" t="str">
        <f>IF(VLOOKUP($I3201&amp;RIGHT($A3213,1),Players!$A$2:$D$132,3)&lt;&gt;0,"("&amp;VLOOKUP($I3201&amp;RIGHT($A3213,1),Players!$A$2:$D$132,4)&amp;")","")</f>
        <v/>
      </c>
    </row>
    <row r="3214" spans="1:10" ht="25.5" customHeight="1" x14ac:dyDescent="0.4">
      <c r="A3214" s="37" t="str">
        <f>CONCATENATE($D3201,"7")</f>
        <v>J7</v>
      </c>
      <c r="B3214" s="222" t="str">
        <f>IF(VLOOKUP($A3214,Players!$A$2:$C$132,3)&lt;&gt;0,VLOOKUP($A3214,Players!$A$2:$C$132,3),"")</f>
        <v/>
      </c>
      <c r="C3214" s="222"/>
      <c r="D3214" s="222"/>
      <c r="E3214" s="222"/>
      <c r="F3214" s="222"/>
      <c r="G3214" s="225" t="str">
        <f>IF(VLOOKUP($I3201&amp;RIGHT($A3214,1),Players!$A$2:$D$132,3)&lt;&gt;0,VLOOKUP($I3201&amp;RIGHT($A3214,1),Players!$A$2:$D$132,3),"")</f>
        <v/>
      </c>
      <c r="H3214" s="225"/>
      <c r="I3214" s="225"/>
      <c r="J3214" s="168" t="str">
        <f>IF(VLOOKUP($I3201&amp;RIGHT($A3214,1),Players!$A$2:$D$132,3)&lt;&gt;0,"("&amp;VLOOKUP($I3201&amp;RIGHT($A3214,1),Players!$A$2:$D$132,4)&amp;")","")</f>
        <v/>
      </c>
    </row>
    <row r="3215" spans="1:10" ht="25.5" customHeight="1" x14ac:dyDescent="0.4">
      <c r="A3215" s="37" t="str">
        <f>CONCATENATE($D3201,"8")</f>
        <v>J8</v>
      </c>
      <c r="B3215" s="222" t="str">
        <f>IF(VLOOKUP($A3215,Players!$A$2:$C$132,3)&lt;&gt;0,VLOOKUP($A3215,Players!$A$2:$C$132,3),"")</f>
        <v/>
      </c>
      <c r="C3215" s="222"/>
      <c r="D3215" s="222"/>
      <c r="E3215" s="222"/>
      <c r="F3215" s="222"/>
      <c r="G3215" s="225" t="str">
        <f>IF(VLOOKUP($I3201&amp;RIGHT($A3215,1),Players!$A$2:$D$132,3)&lt;&gt;0,VLOOKUP($I3201&amp;RIGHT($A3215,1),Players!$A$2:$D$132,3),"")</f>
        <v/>
      </c>
      <c r="H3215" s="225"/>
      <c r="I3215" s="225"/>
      <c r="J3215" s="168" t="str">
        <f>IF(VLOOKUP($I3201&amp;RIGHT($A3215,1),Players!$A$2:$D$132,3)&lt;&gt;0,"("&amp;VLOOKUP($I3201&amp;RIGHT($A3215,1),Players!$A$2:$D$132,4)&amp;")","")</f>
        <v/>
      </c>
    </row>
    <row r="3216" spans="1:10" ht="25.5" customHeight="1" x14ac:dyDescent="0.25">
      <c r="A3216" s="37"/>
      <c r="B3216" s="7"/>
      <c r="C3216" s="7"/>
      <c r="D3216" s="7"/>
      <c r="E3216" s="7"/>
    </row>
    <row r="3217" spans="1:10" x14ac:dyDescent="0.25">
      <c r="A3217" s="9" t="s">
        <v>157</v>
      </c>
    </row>
    <row r="3218" spans="1:10" x14ac:dyDescent="0.25">
      <c r="A3218" t="s">
        <v>179</v>
      </c>
    </row>
    <row r="3219" spans="1:10" x14ac:dyDescent="0.25">
      <c r="A3219" s="55" t="s">
        <v>918</v>
      </c>
    </row>
    <row r="3220" spans="1:10" x14ac:dyDescent="0.25">
      <c r="A3220" t="s">
        <v>919</v>
      </c>
    </row>
    <row r="3221" spans="1:10" ht="25.5" customHeight="1" thickBot="1" x14ac:dyDescent="0.3">
      <c r="A3221" s="37"/>
    </row>
    <row r="3222" spans="1:10" x14ac:dyDescent="0.25">
      <c r="B3222" s="213"/>
      <c r="C3222" s="214"/>
      <c r="D3222" s="214"/>
      <c r="E3222" s="214"/>
      <c r="F3222" s="215"/>
    </row>
    <row r="3223" spans="1:10" ht="13.8" thickBot="1" x14ac:dyDescent="0.3">
      <c r="B3223" s="216"/>
      <c r="C3223" s="217"/>
      <c r="D3223" s="217"/>
      <c r="E3223" s="217"/>
      <c r="F3223" s="218"/>
    </row>
    <row r="3227" spans="1:10" ht="25.5" customHeight="1" x14ac:dyDescent="0.25">
      <c r="A3227" s="36"/>
      <c r="B3227" s="36"/>
      <c r="C3227" s="36"/>
      <c r="D3227" s="36"/>
      <c r="E3227" s="36"/>
      <c r="G3227" s="38"/>
      <c r="H3227" s="227" t="s">
        <v>159</v>
      </c>
      <c r="I3227" s="228"/>
    </row>
    <row r="3228" spans="1:10" x14ac:dyDescent="0.25">
      <c r="A3228" t="s">
        <v>158</v>
      </c>
    </row>
    <row r="3230" spans="1:10" x14ac:dyDescent="0.25">
      <c r="E3230" s="219" t="str">
        <f>CONCATENATE("(",$D3201," vs ",$I3201,")")</f>
        <v>(J vs K)</v>
      </c>
      <c r="F3230" s="219"/>
    </row>
    <row r="3231" spans="1:10" ht="15.6" x14ac:dyDescent="0.3">
      <c r="A3231" s="33" t="s">
        <v>155</v>
      </c>
      <c r="J3231" s="82" t="s">
        <v>566</v>
      </c>
    </row>
    <row r="3232" spans="1:10" ht="12.75" customHeight="1" x14ac:dyDescent="0.3">
      <c r="A3232" s="33"/>
      <c r="G3232" t="str">
        <f ca="1">Team_Matches!$J$6</f>
        <v>[NCTTA Teams Template (v3.4).xlsx]</v>
      </c>
      <c r="J3232" s="55"/>
    </row>
    <row r="3233" spans="1:10" ht="12.75" customHeight="1" x14ac:dyDescent="0.3">
      <c r="A3233" s="33"/>
      <c r="G3233" s="229" t="str">
        <f>Team_Matches!$J2404</f>
        <v>Round 8, Match 6</v>
      </c>
      <c r="H3233" s="229"/>
      <c r="I3233" s="127" t="str">
        <f>Team_Matches!$M2404</f>
        <v/>
      </c>
      <c r="J3233" s="127"/>
    </row>
    <row r="3234" spans="1:10" ht="15.6" x14ac:dyDescent="0.3">
      <c r="A3234" s="33"/>
    </row>
    <row r="3235" spans="1:10" x14ac:dyDescent="0.25">
      <c r="C3235" s="7" t="s">
        <v>160</v>
      </c>
      <c r="D3235" s="39" t="str">
        <f>Team_Matches!$B2406</f>
        <v>J</v>
      </c>
      <c r="F3235" s="83" t="str">
        <f>CONCATENATE($D3235,"-",$I3235)</f>
        <v>J-K</v>
      </c>
      <c r="H3235" s="7" t="s">
        <v>160</v>
      </c>
      <c r="I3235" s="39" t="str">
        <f>Team_Matches!$K2406</f>
        <v>K</v>
      </c>
    </row>
    <row r="3236" spans="1:10" ht="25.5" customHeight="1" x14ac:dyDescent="0.25">
      <c r="A3236" s="34"/>
      <c r="B3236" s="223" t="str">
        <f>IF(VLOOKUP($D3235,Draw!$A$4:$B$27,2)&lt;&gt;0,VLOOKUP($D3235,Draw!$A$4:$B$27,2),"")</f>
        <v/>
      </c>
      <c r="C3236" s="223"/>
      <c r="D3236" s="223"/>
      <c r="E3236" s="224"/>
      <c r="F3236" s="35"/>
      <c r="G3236" s="220" t="str">
        <f>IF(VLOOKUP($I3235,Draw!$A$4:$B$27,2)&lt;&gt;0,VLOOKUP($I3235,Draw!$A$4:$B$27,2),"")</f>
        <v/>
      </c>
      <c r="H3236" s="220"/>
      <c r="I3236" s="220"/>
      <c r="J3236" s="221"/>
    </row>
    <row r="3237" spans="1:10" ht="25.5" customHeight="1" x14ac:dyDescent="0.25"/>
    <row r="3238" spans="1:10" ht="25.5" customHeight="1" x14ac:dyDescent="0.25"/>
    <row r="3239" spans="1:10" ht="24" customHeight="1" x14ac:dyDescent="0.25">
      <c r="A3239" s="9" t="s">
        <v>178</v>
      </c>
    </row>
    <row r="3240" spans="1:10" ht="24" customHeight="1" x14ac:dyDescent="0.25">
      <c r="A3240" s="9"/>
    </row>
    <row r="3241" spans="1:10" x14ac:dyDescent="0.25">
      <c r="A3241" s="9" t="s">
        <v>156</v>
      </c>
      <c r="G3241" s="226" t="s">
        <v>873</v>
      </c>
      <c r="H3241" s="226"/>
      <c r="I3241" s="226"/>
      <c r="J3241" s="226"/>
    </row>
    <row r="3242" spans="1:10" ht="24" customHeight="1" x14ac:dyDescent="0.4">
      <c r="A3242" s="37" t="str">
        <f>CONCATENATE($I3235,"1")</f>
        <v>K1</v>
      </c>
      <c r="B3242" s="222" t="str">
        <f>IF(VLOOKUP($A3242,Players!$A$2:$C$132,3)&lt;&gt;0,VLOOKUP($A3242,Players!$A$2:$C$132,3),"")</f>
        <v/>
      </c>
      <c r="C3242" s="222"/>
      <c r="D3242" s="222"/>
      <c r="E3242" s="222"/>
      <c r="F3242" s="222"/>
      <c r="G3242" s="225" t="str">
        <f>IF(VLOOKUP($D3235&amp;RIGHT($A3242,1),Players!$A$2:$D$132,3)&lt;&gt;0,VLOOKUP($D3235&amp;RIGHT($A3242,1),Players!$A$2:$D$132,3),"")</f>
        <v/>
      </c>
      <c r="H3242" s="225"/>
      <c r="I3242" s="225"/>
      <c r="J3242" s="168" t="str">
        <f>IF(VLOOKUP($D3235&amp;RIGHT($A3242,1),Players!$A$2:$D$132,3)&lt;&gt;0,"("&amp;VLOOKUP($D3235&amp;RIGHT($A3242,1),Players!$A$2:$D$132,4)&amp;")","")</f>
        <v/>
      </c>
    </row>
    <row r="3243" spans="1:10" ht="25.5" customHeight="1" x14ac:dyDescent="0.4">
      <c r="A3243" s="37" t="str">
        <f>CONCATENATE($I3235,"2")</f>
        <v>K2</v>
      </c>
      <c r="B3243" s="222" t="str">
        <f>IF(VLOOKUP($A3243,Players!$A$2:$C$132,3)&lt;&gt;0,VLOOKUP($A3243,Players!$A$2:$C$132,3),"")</f>
        <v/>
      </c>
      <c r="C3243" s="222"/>
      <c r="D3243" s="222"/>
      <c r="E3243" s="222"/>
      <c r="F3243" s="222"/>
      <c r="G3243" s="225" t="str">
        <f>IF(VLOOKUP($D3235&amp;RIGHT($A3243,1),Players!$A$2:$D$132,3)&lt;&gt;0,VLOOKUP($D3235&amp;RIGHT($A3243,1),Players!$A$2:$D$132,3),"")</f>
        <v/>
      </c>
      <c r="H3243" s="225"/>
      <c r="I3243" s="225"/>
      <c r="J3243" s="168" t="str">
        <f>IF(VLOOKUP($D3235&amp;RIGHT($A3243,1),Players!$A$2:$D$132,3)&lt;&gt;0,"("&amp;VLOOKUP($D3235&amp;RIGHT($A3243,1),Players!$A$2:$D$132,4)&amp;")","")</f>
        <v/>
      </c>
    </row>
    <row r="3244" spans="1:10" ht="25.5" customHeight="1" x14ac:dyDescent="0.4">
      <c r="A3244" s="37" t="str">
        <f>CONCATENATE($I3235,"3")</f>
        <v>K3</v>
      </c>
      <c r="B3244" s="222" t="str">
        <f>IF(VLOOKUP($A3244,Players!$A$2:$C$132,3)&lt;&gt;0,VLOOKUP($A3244,Players!$A$2:$C$132,3),"")</f>
        <v/>
      </c>
      <c r="C3244" s="222"/>
      <c r="D3244" s="222"/>
      <c r="E3244" s="222"/>
      <c r="F3244" s="222"/>
      <c r="G3244" s="225" t="str">
        <f>IF(VLOOKUP($D3235&amp;RIGHT($A3244,1),Players!$A$2:$D$132,3)&lt;&gt;0,VLOOKUP($D3235&amp;RIGHT($A3244,1),Players!$A$2:$D$132,3),"")</f>
        <v/>
      </c>
      <c r="H3244" s="225"/>
      <c r="I3244" s="225"/>
      <c r="J3244" s="168" t="str">
        <f>IF(VLOOKUP($D3235&amp;RIGHT($A3244,1),Players!$A$2:$D$132,3)&lt;&gt;0,"("&amp;VLOOKUP($D3235&amp;RIGHT($A3244,1),Players!$A$2:$D$132,4)&amp;")","")</f>
        <v/>
      </c>
    </row>
    <row r="3245" spans="1:10" ht="25.5" customHeight="1" x14ac:dyDescent="0.4">
      <c r="A3245" s="37" t="str">
        <f>CONCATENATE($I3235,"4")</f>
        <v>K4</v>
      </c>
      <c r="B3245" s="222" t="str">
        <f>IF(VLOOKUP($A3245,Players!$A$2:$C$132,3)&lt;&gt;0,VLOOKUP($A3245,Players!$A$2:$C$132,3),"")</f>
        <v/>
      </c>
      <c r="C3245" s="222"/>
      <c r="D3245" s="222"/>
      <c r="E3245" s="222"/>
      <c r="F3245" s="222"/>
      <c r="G3245" s="225" t="str">
        <f>IF(VLOOKUP($D3235&amp;RIGHT($A3245,1),Players!$A$2:$D$132,3)&lt;&gt;0,VLOOKUP($D3235&amp;RIGHT($A3245,1),Players!$A$2:$D$132,3),"")</f>
        <v/>
      </c>
      <c r="H3245" s="225"/>
      <c r="I3245" s="225"/>
      <c r="J3245" s="168" t="str">
        <f>IF(VLOOKUP($D3235&amp;RIGHT($A3245,1),Players!$A$2:$D$132,3)&lt;&gt;0,"("&amp;VLOOKUP($D3235&amp;RIGHT($A3245,1),Players!$A$2:$D$132,4)&amp;")","")</f>
        <v/>
      </c>
    </row>
    <row r="3246" spans="1:10" ht="25.5" customHeight="1" x14ac:dyDescent="0.4">
      <c r="A3246" s="37" t="str">
        <f>CONCATENATE($I3235,"5")</f>
        <v>K5</v>
      </c>
      <c r="B3246" s="222" t="str">
        <f>IF(VLOOKUP($A3246,Players!$A$2:$C$132,3)&lt;&gt;0,VLOOKUP($A3246,Players!$A$2:$C$132,3),"")</f>
        <v/>
      </c>
      <c r="C3246" s="222"/>
      <c r="D3246" s="222"/>
      <c r="E3246" s="222"/>
      <c r="F3246" s="222"/>
      <c r="G3246" s="225" t="str">
        <f>IF(VLOOKUP($D3235&amp;RIGHT($A3246,1),Players!$A$2:$D$132,3)&lt;&gt;0,VLOOKUP($D3235&amp;RIGHT($A3246,1),Players!$A$2:$D$132,3),"")</f>
        <v/>
      </c>
      <c r="H3246" s="225"/>
      <c r="I3246" s="225"/>
      <c r="J3246" s="168" t="str">
        <f>IF(VLOOKUP($D3235&amp;RIGHT($A3246,1),Players!$A$2:$D$132,3)&lt;&gt;0,"("&amp;VLOOKUP($D3235&amp;RIGHT($A3246,1),Players!$A$2:$D$132,4)&amp;")","")</f>
        <v/>
      </c>
    </row>
    <row r="3247" spans="1:10" ht="25.5" customHeight="1" x14ac:dyDescent="0.4">
      <c r="A3247" s="37" t="str">
        <f>CONCATENATE($I3235,"6")</f>
        <v>K6</v>
      </c>
      <c r="B3247" s="222" t="str">
        <f>IF(VLOOKUP($A3247,Players!$A$2:$C$132,3)&lt;&gt;0,VLOOKUP($A3247,Players!$A$2:$C$132,3),"")</f>
        <v/>
      </c>
      <c r="C3247" s="222"/>
      <c r="D3247" s="222"/>
      <c r="E3247" s="222"/>
      <c r="F3247" s="222"/>
      <c r="G3247" s="225" t="str">
        <f>IF(VLOOKUP($D3235&amp;RIGHT($A3247,1),Players!$A$2:$D$132,3)&lt;&gt;0,VLOOKUP($D3235&amp;RIGHT($A3247,1),Players!$A$2:$D$132,3),"")</f>
        <v/>
      </c>
      <c r="H3247" s="225"/>
      <c r="I3247" s="225"/>
      <c r="J3247" s="168" t="str">
        <f>IF(VLOOKUP($D3235&amp;RIGHT($A3247,1),Players!$A$2:$D$132,3)&lt;&gt;0,"("&amp;VLOOKUP($D3235&amp;RIGHT($A3247,1),Players!$A$2:$D$132,4)&amp;")","")</f>
        <v/>
      </c>
    </row>
    <row r="3248" spans="1:10" ht="25.5" customHeight="1" x14ac:dyDescent="0.4">
      <c r="A3248" s="37" t="str">
        <f>CONCATENATE($I3235,"7")</f>
        <v>K7</v>
      </c>
      <c r="B3248" s="222" t="str">
        <f>IF(VLOOKUP($A3248,Players!$A$2:$C$132,3)&lt;&gt;0,VLOOKUP($A3248,Players!$A$2:$C$132,3),"")</f>
        <v/>
      </c>
      <c r="C3248" s="222"/>
      <c r="D3248" s="222"/>
      <c r="E3248" s="222"/>
      <c r="F3248" s="222"/>
      <c r="G3248" s="225" t="str">
        <f>IF(VLOOKUP($D3235&amp;RIGHT($A3248,1),Players!$A$2:$D$132,3)&lt;&gt;0,VLOOKUP($D3235&amp;RIGHT($A3248,1),Players!$A$2:$D$132,3),"")</f>
        <v/>
      </c>
      <c r="H3248" s="225"/>
      <c r="I3248" s="225"/>
      <c r="J3248" s="168" t="str">
        <f>IF(VLOOKUP($D3235&amp;RIGHT($A3248,1),Players!$A$2:$D$132,3)&lt;&gt;0,"("&amp;VLOOKUP($D3235&amp;RIGHT($A3248,1),Players!$A$2:$D$132,4)&amp;")","")</f>
        <v/>
      </c>
    </row>
    <row r="3249" spans="1:10" ht="25.5" customHeight="1" x14ac:dyDescent="0.4">
      <c r="A3249" s="37" t="str">
        <f>CONCATENATE($I3235,"8")</f>
        <v>K8</v>
      </c>
      <c r="B3249" s="222" t="str">
        <f>IF(VLOOKUP($A3249,Players!$A$2:$C$132,3)&lt;&gt;0,VLOOKUP($A3249,Players!$A$2:$C$132,3),"")</f>
        <v/>
      </c>
      <c r="C3249" s="222"/>
      <c r="D3249" s="222"/>
      <c r="E3249" s="222"/>
      <c r="F3249" s="222"/>
      <c r="G3249" s="225" t="str">
        <f>IF(VLOOKUP($D3235&amp;RIGHT($A3249,1),Players!$A$2:$D$132,3)&lt;&gt;0,VLOOKUP($D3235&amp;RIGHT($A3249,1),Players!$A$2:$D$132,3),"")</f>
        <v/>
      </c>
      <c r="H3249" s="225"/>
      <c r="I3249" s="225"/>
      <c r="J3249" s="168" t="str">
        <f>IF(VLOOKUP($D3235&amp;RIGHT($A3249,1),Players!$A$2:$D$132,3)&lt;&gt;0,"("&amp;VLOOKUP($D3235&amp;RIGHT($A3249,1),Players!$A$2:$D$132,4)&amp;")","")</f>
        <v/>
      </c>
    </row>
    <row r="3250" spans="1:10" ht="25.5" customHeight="1" x14ac:dyDescent="0.25">
      <c r="A3250" s="37"/>
      <c r="B3250" s="7"/>
      <c r="C3250" s="7"/>
      <c r="D3250" s="7"/>
      <c r="E3250" s="7"/>
    </row>
    <row r="3251" spans="1:10" x14ac:dyDescent="0.25">
      <c r="A3251" s="9" t="s">
        <v>157</v>
      </c>
    </row>
    <row r="3252" spans="1:10" x14ac:dyDescent="0.25">
      <c r="A3252" t="s">
        <v>179</v>
      </c>
    </row>
    <row r="3253" spans="1:10" x14ac:dyDescent="0.25">
      <c r="A3253" s="55" t="s">
        <v>918</v>
      </c>
    </row>
    <row r="3254" spans="1:10" x14ac:dyDescent="0.25">
      <c r="A3254" t="s">
        <v>919</v>
      </c>
    </row>
    <row r="3255" spans="1:10" ht="25.5" customHeight="1" thickBot="1" x14ac:dyDescent="0.3">
      <c r="A3255" s="37"/>
    </row>
    <row r="3256" spans="1:10" x14ac:dyDescent="0.25">
      <c r="B3256" s="213"/>
      <c r="C3256" s="214"/>
      <c r="D3256" s="214"/>
      <c r="E3256" s="214"/>
      <c r="F3256" s="215"/>
    </row>
    <row r="3257" spans="1:10" ht="13.8" thickBot="1" x14ac:dyDescent="0.3">
      <c r="B3257" s="216"/>
      <c r="C3257" s="217"/>
      <c r="D3257" s="217"/>
      <c r="E3257" s="217"/>
      <c r="F3257" s="218"/>
    </row>
    <row r="3261" spans="1:10" ht="25.5" customHeight="1" x14ac:dyDescent="0.25">
      <c r="A3261" s="36"/>
      <c r="B3261" s="36"/>
      <c r="C3261" s="36"/>
      <c r="D3261" s="36"/>
      <c r="E3261" s="36"/>
      <c r="G3261" s="38"/>
      <c r="H3261" s="227" t="s">
        <v>159</v>
      </c>
      <c r="I3261" s="228"/>
    </row>
    <row r="3262" spans="1:10" x14ac:dyDescent="0.25">
      <c r="A3262" t="s">
        <v>158</v>
      </c>
    </row>
    <row r="3264" spans="1:10" x14ac:dyDescent="0.25">
      <c r="E3264" s="219" t="str">
        <f>CONCATENATE("(",$D3235," vs ",$I3235,")")</f>
        <v>(J vs K)</v>
      </c>
      <c r="F3264" s="219"/>
    </row>
    <row r="3265" spans="1:10" ht="15.6" x14ac:dyDescent="0.3">
      <c r="A3265" s="33" t="s">
        <v>155</v>
      </c>
      <c r="J3265" s="82" t="s">
        <v>567</v>
      </c>
    </row>
    <row r="3266" spans="1:10" ht="12.75" customHeight="1" x14ac:dyDescent="0.3">
      <c r="A3266" s="33"/>
      <c r="G3266" t="str">
        <f ca="1">Team_Matches!$J$6</f>
        <v>[NCTTA Teams Template (v3.4).xlsx]</v>
      </c>
      <c r="J3266" s="55"/>
    </row>
    <row r="3267" spans="1:10" ht="12.75" customHeight="1" x14ac:dyDescent="0.3">
      <c r="A3267" s="33"/>
      <c r="G3267" s="229" t="str">
        <f>Team_Matches!$J2455</f>
        <v>Round 9, Match 1</v>
      </c>
      <c r="H3267" s="229"/>
      <c r="I3267" s="127" t="str">
        <f>Team_Matches!$M2455</f>
        <v/>
      </c>
      <c r="J3267" s="127"/>
    </row>
    <row r="3268" spans="1:10" ht="15.6" x14ac:dyDescent="0.3">
      <c r="A3268" s="33"/>
    </row>
    <row r="3269" spans="1:10" x14ac:dyDescent="0.25">
      <c r="C3269" s="7" t="s">
        <v>160</v>
      </c>
      <c r="D3269" s="39" t="str">
        <f>Team_Matches!$B2457</f>
        <v>A</v>
      </c>
      <c r="F3269" s="83" t="str">
        <f>CONCATENATE($D3269,"-",$I3269)</f>
        <v>A-D</v>
      </c>
      <c r="H3269" s="7" t="s">
        <v>160</v>
      </c>
      <c r="I3269" s="39" t="str">
        <f>Team_Matches!$K2457</f>
        <v>D</v>
      </c>
    </row>
    <row r="3270" spans="1:10" ht="25.5" customHeight="1" x14ac:dyDescent="0.25">
      <c r="A3270" s="34"/>
      <c r="B3270" s="220" t="str">
        <f>IF(VLOOKUP($D3269,Draw!$A$4:$B$27,2)&lt;&gt;0,VLOOKUP($D3269,Draw!$A$4:$B$27,2),"")</f>
        <v/>
      </c>
      <c r="C3270" s="220"/>
      <c r="D3270" s="220"/>
      <c r="E3270" s="221"/>
      <c r="F3270" s="35"/>
      <c r="G3270" s="223" t="str">
        <f>IF(VLOOKUP($I3269,Draw!$A$4:$B$27,2)&lt;&gt;0,VLOOKUP($I3269,Draw!$A$4:$B$27,2),"")</f>
        <v/>
      </c>
      <c r="H3270" s="223"/>
      <c r="I3270" s="223"/>
      <c r="J3270" s="224"/>
    </row>
    <row r="3271" spans="1:10" ht="25.5" customHeight="1" x14ac:dyDescent="0.25"/>
    <row r="3272" spans="1:10" ht="25.5" customHeight="1" x14ac:dyDescent="0.25"/>
    <row r="3273" spans="1:10" ht="24" customHeight="1" x14ac:dyDescent="0.25">
      <c r="A3273" s="9" t="s">
        <v>178</v>
      </c>
    </row>
    <row r="3274" spans="1:10" ht="24" customHeight="1" x14ac:dyDescent="0.25">
      <c r="A3274" s="9"/>
    </row>
    <row r="3275" spans="1:10" x14ac:dyDescent="0.25">
      <c r="A3275" s="9" t="s">
        <v>156</v>
      </c>
      <c r="G3275" s="226" t="s">
        <v>873</v>
      </c>
      <c r="H3275" s="226"/>
      <c r="I3275" s="226"/>
      <c r="J3275" s="226"/>
    </row>
    <row r="3276" spans="1:10" ht="24" customHeight="1" x14ac:dyDescent="0.4">
      <c r="A3276" s="37" t="str">
        <f>CONCATENATE($D3269,"1")</f>
        <v>A1</v>
      </c>
      <c r="B3276" s="222" t="str">
        <f>IF(VLOOKUP($A3276,Players!$A$2:$C$132,3)&lt;&gt;0,VLOOKUP($A3276,Players!$A$2:$C$132,3),"")</f>
        <v/>
      </c>
      <c r="C3276" s="222"/>
      <c r="D3276" s="222"/>
      <c r="E3276" s="222"/>
      <c r="F3276" s="222"/>
      <c r="G3276" s="225" t="str">
        <f>IF(VLOOKUP($I3269&amp;RIGHT($A3276,1),Players!$A$2:$D$132,3)&lt;&gt;0,VLOOKUP($I3269&amp;RIGHT($A3276,1),Players!$A$2:$D$132,3),"")</f>
        <v/>
      </c>
      <c r="H3276" s="225"/>
      <c r="I3276" s="225"/>
      <c r="J3276" s="168" t="str">
        <f>IF(VLOOKUP($I3269&amp;RIGHT($A3276,1),Players!$A$2:$D$132,3)&lt;&gt;0,"("&amp;VLOOKUP($I3269&amp;RIGHT($A3276,1),Players!$A$2:$D$132,4)&amp;")","")</f>
        <v/>
      </c>
    </row>
    <row r="3277" spans="1:10" ht="25.5" customHeight="1" x14ac:dyDescent="0.4">
      <c r="A3277" s="37" t="str">
        <f>CONCATENATE($D3269,"2")</f>
        <v>A2</v>
      </c>
      <c r="B3277" s="222" t="str">
        <f>IF(VLOOKUP($A3277,Players!$A$2:$C$132,3)&lt;&gt;0,VLOOKUP($A3277,Players!$A$2:$C$132,3),"")</f>
        <v/>
      </c>
      <c r="C3277" s="222"/>
      <c r="D3277" s="222"/>
      <c r="E3277" s="222"/>
      <c r="F3277" s="222"/>
      <c r="G3277" s="225" t="str">
        <f>IF(VLOOKUP($I3269&amp;RIGHT($A3277,1),Players!$A$2:$D$132,3)&lt;&gt;0,VLOOKUP($I3269&amp;RIGHT($A3277,1),Players!$A$2:$D$132,3),"")</f>
        <v/>
      </c>
      <c r="H3277" s="225"/>
      <c r="I3277" s="225"/>
      <c r="J3277" s="168" t="str">
        <f>IF(VLOOKUP($I3269&amp;RIGHT($A3277,1),Players!$A$2:$D$132,3)&lt;&gt;0,"("&amp;VLOOKUP($I3269&amp;RIGHT($A3277,1),Players!$A$2:$D$132,4)&amp;")","")</f>
        <v/>
      </c>
    </row>
    <row r="3278" spans="1:10" ht="25.5" customHeight="1" x14ac:dyDescent="0.4">
      <c r="A3278" s="37" t="str">
        <f>CONCATENATE($D3269,"3")</f>
        <v>A3</v>
      </c>
      <c r="B3278" s="222" t="str">
        <f>IF(VLOOKUP($A3278,Players!$A$2:$C$132,3)&lt;&gt;0,VLOOKUP($A3278,Players!$A$2:$C$132,3),"")</f>
        <v/>
      </c>
      <c r="C3278" s="222"/>
      <c r="D3278" s="222"/>
      <c r="E3278" s="222"/>
      <c r="F3278" s="222"/>
      <c r="G3278" s="225" t="str">
        <f>IF(VLOOKUP($I3269&amp;RIGHT($A3278,1),Players!$A$2:$D$132,3)&lt;&gt;0,VLOOKUP($I3269&amp;RIGHT($A3278,1),Players!$A$2:$D$132,3),"")</f>
        <v/>
      </c>
      <c r="H3278" s="225"/>
      <c r="I3278" s="225"/>
      <c r="J3278" s="168" t="str">
        <f>IF(VLOOKUP($I3269&amp;RIGHT($A3278,1),Players!$A$2:$D$132,3)&lt;&gt;0,"("&amp;VLOOKUP($I3269&amp;RIGHT($A3278,1),Players!$A$2:$D$132,4)&amp;")","")</f>
        <v/>
      </c>
    </row>
    <row r="3279" spans="1:10" ht="25.5" customHeight="1" x14ac:dyDescent="0.4">
      <c r="A3279" s="37" t="str">
        <f>CONCATENATE($D3269,"4")</f>
        <v>A4</v>
      </c>
      <c r="B3279" s="222" t="str">
        <f>IF(VLOOKUP($A3279,Players!$A$2:$C$132,3)&lt;&gt;0,VLOOKUP($A3279,Players!$A$2:$C$132,3),"")</f>
        <v/>
      </c>
      <c r="C3279" s="222"/>
      <c r="D3279" s="222"/>
      <c r="E3279" s="222"/>
      <c r="F3279" s="222"/>
      <c r="G3279" s="225" t="str">
        <f>IF(VLOOKUP($I3269&amp;RIGHT($A3279,1),Players!$A$2:$D$132,3)&lt;&gt;0,VLOOKUP($I3269&amp;RIGHT($A3279,1),Players!$A$2:$D$132,3),"")</f>
        <v/>
      </c>
      <c r="H3279" s="225"/>
      <c r="I3279" s="225"/>
      <c r="J3279" s="168" t="str">
        <f>IF(VLOOKUP($I3269&amp;RIGHT($A3279,1),Players!$A$2:$D$132,3)&lt;&gt;0,"("&amp;VLOOKUP($I3269&amp;RIGHT($A3279,1),Players!$A$2:$D$132,4)&amp;")","")</f>
        <v/>
      </c>
    </row>
    <row r="3280" spans="1:10" ht="25.5" customHeight="1" x14ac:dyDescent="0.4">
      <c r="A3280" s="37" t="str">
        <f>CONCATENATE($D3269,"5")</f>
        <v>A5</v>
      </c>
      <c r="B3280" s="222" t="str">
        <f>IF(VLOOKUP($A3280,Players!$A$2:$C$132,3)&lt;&gt;0,VLOOKUP($A3280,Players!$A$2:$C$132,3),"")</f>
        <v/>
      </c>
      <c r="C3280" s="222"/>
      <c r="D3280" s="222"/>
      <c r="E3280" s="222"/>
      <c r="F3280" s="222"/>
      <c r="G3280" s="225" t="str">
        <f>IF(VLOOKUP($I3269&amp;RIGHT($A3280,1),Players!$A$2:$D$132,3)&lt;&gt;0,VLOOKUP($I3269&amp;RIGHT($A3280,1),Players!$A$2:$D$132,3),"")</f>
        <v/>
      </c>
      <c r="H3280" s="225"/>
      <c r="I3280" s="225"/>
      <c r="J3280" s="168" t="str">
        <f>IF(VLOOKUP($I3269&amp;RIGHT($A3280,1),Players!$A$2:$D$132,3)&lt;&gt;0,"("&amp;VLOOKUP($I3269&amp;RIGHT($A3280,1),Players!$A$2:$D$132,4)&amp;")","")</f>
        <v/>
      </c>
    </row>
    <row r="3281" spans="1:10" ht="25.5" customHeight="1" x14ac:dyDescent="0.4">
      <c r="A3281" s="37" t="str">
        <f>CONCATENATE($D3269,"6")</f>
        <v>A6</v>
      </c>
      <c r="B3281" s="222" t="str">
        <f>IF(VLOOKUP($A3281,Players!$A$2:$C$132,3)&lt;&gt;0,VLOOKUP($A3281,Players!$A$2:$C$132,3),"")</f>
        <v/>
      </c>
      <c r="C3281" s="222"/>
      <c r="D3281" s="222"/>
      <c r="E3281" s="222"/>
      <c r="F3281" s="222"/>
      <c r="G3281" s="225" t="str">
        <f>IF(VLOOKUP($I3269&amp;RIGHT($A3281,1),Players!$A$2:$D$132,3)&lt;&gt;0,VLOOKUP($I3269&amp;RIGHT($A3281,1),Players!$A$2:$D$132,3),"")</f>
        <v/>
      </c>
      <c r="H3281" s="225"/>
      <c r="I3281" s="225"/>
      <c r="J3281" s="168" t="str">
        <f>IF(VLOOKUP($I3269&amp;RIGHT($A3281,1),Players!$A$2:$D$132,3)&lt;&gt;0,"("&amp;VLOOKUP($I3269&amp;RIGHT($A3281,1),Players!$A$2:$D$132,4)&amp;")","")</f>
        <v/>
      </c>
    </row>
    <row r="3282" spans="1:10" ht="25.5" customHeight="1" x14ac:dyDescent="0.4">
      <c r="A3282" s="37" t="str">
        <f>CONCATENATE($D3269,"7")</f>
        <v>A7</v>
      </c>
      <c r="B3282" s="222" t="str">
        <f>IF(VLOOKUP($A3282,Players!$A$2:$C$132,3)&lt;&gt;0,VLOOKUP($A3282,Players!$A$2:$C$132,3),"")</f>
        <v/>
      </c>
      <c r="C3282" s="222"/>
      <c r="D3282" s="222"/>
      <c r="E3282" s="222"/>
      <c r="F3282" s="222"/>
      <c r="G3282" s="225" t="str">
        <f>IF(VLOOKUP($I3269&amp;RIGHT($A3282,1),Players!$A$2:$D$132,3)&lt;&gt;0,VLOOKUP($I3269&amp;RIGHT($A3282,1),Players!$A$2:$D$132,3),"")</f>
        <v/>
      </c>
      <c r="H3282" s="225"/>
      <c r="I3282" s="225"/>
      <c r="J3282" s="168" t="str">
        <f>IF(VLOOKUP($I3269&amp;RIGHT($A3282,1),Players!$A$2:$D$132,3)&lt;&gt;0,"("&amp;VLOOKUP($I3269&amp;RIGHT($A3282,1),Players!$A$2:$D$132,4)&amp;")","")</f>
        <v/>
      </c>
    </row>
    <row r="3283" spans="1:10" ht="25.5" customHeight="1" x14ac:dyDescent="0.4">
      <c r="A3283" s="37" t="str">
        <f>CONCATENATE($D3269,"8")</f>
        <v>A8</v>
      </c>
      <c r="B3283" s="222" t="str">
        <f>IF(VLOOKUP($A3283,Players!$A$2:$C$132,3)&lt;&gt;0,VLOOKUP($A3283,Players!$A$2:$C$132,3),"")</f>
        <v/>
      </c>
      <c r="C3283" s="222"/>
      <c r="D3283" s="222"/>
      <c r="E3283" s="222"/>
      <c r="F3283" s="222"/>
      <c r="G3283" s="225" t="str">
        <f>IF(VLOOKUP($I3269&amp;RIGHT($A3283,1),Players!$A$2:$D$132,3)&lt;&gt;0,VLOOKUP($I3269&amp;RIGHT($A3283,1),Players!$A$2:$D$132,3),"")</f>
        <v/>
      </c>
      <c r="H3283" s="225"/>
      <c r="I3283" s="225"/>
      <c r="J3283" s="168" t="str">
        <f>IF(VLOOKUP($I3269&amp;RIGHT($A3283,1),Players!$A$2:$D$132,3)&lt;&gt;0,"("&amp;VLOOKUP($I3269&amp;RIGHT($A3283,1),Players!$A$2:$D$132,4)&amp;")","")</f>
        <v/>
      </c>
    </row>
    <row r="3284" spans="1:10" ht="25.5" customHeight="1" x14ac:dyDescent="0.25">
      <c r="A3284" s="37"/>
      <c r="B3284" s="7"/>
      <c r="C3284" s="7"/>
      <c r="D3284" s="7"/>
      <c r="E3284" s="7"/>
    </row>
    <row r="3285" spans="1:10" x14ac:dyDescent="0.25">
      <c r="A3285" s="9" t="s">
        <v>157</v>
      </c>
    </row>
    <row r="3286" spans="1:10" x14ac:dyDescent="0.25">
      <c r="A3286" t="s">
        <v>179</v>
      </c>
    </row>
    <row r="3287" spans="1:10" x14ac:dyDescent="0.25">
      <c r="A3287" s="55" t="s">
        <v>918</v>
      </c>
    </row>
    <row r="3288" spans="1:10" x14ac:dyDescent="0.25">
      <c r="A3288" t="s">
        <v>919</v>
      </c>
    </row>
    <row r="3289" spans="1:10" ht="25.5" customHeight="1" thickBot="1" x14ac:dyDescent="0.3">
      <c r="A3289" s="37"/>
    </row>
    <row r="3290" spans="1:10" x14ac:dyDescent="0.25">
      <c r="B3290" s="213"/>
      <c r="C3290" s="214"/>
      <c r="D3290" s="214"/>
      <c r="E3290" s="214"/>
      <c r="F3290" s="215"/>
    </row>
    <row r="3291" spans="1:10" ht="13.8" thickBot="1" x14ac:dyDescent="0.3">
      <c r="B3291" s="216"/>
      <c r="C3291" s="217"/>
      <c r="D3291" s="217"/>
      <c r="E3291" s="217"/>
      <c r="F3291" s="218"/>
    </row>
    <row r="3295" spans="1:10" ht="25.5" customHeight="1" x14ac:dyDescent="0.25">
      <c r="A3295" s="36"/>
      <c r="B3295" s="36"/>
      <c r="C3295" s="36"/>
      <c r="D3295" s="36"/>
      <c r="E3295" s="36"/>
      <c r="G3295" s="38"/>
      <c r="H3295" s="227" t="s">
        <v>159</v>
      </c>
      <c r="I3295" s="228"/>
    </row>
    <row r="3296" spans="1:10" x14ac:dyDescent="0.25">
      <c r="A3296" t="s">
        <v>158</v>
      </c>
    </row>
    <row r="3298" spans="1:10" x14ac:dyDescent="0.25">
      <c r="E3298" s="219" t="str">
        <f>CONCATENATE("(",$D3269," vs ",$I3269,")")</f>
        <v>(A vs D)</v>
      </c>
      <c r="F3298" s="219"/>
    </row>
    <row r="3299" spans="1:10" ht="15.6" x14ac:dyDescent="0.3">
      <c r="A3299" s="33" t="s">
        <v>155</v>
      </c>
      <c r="J3299" s="82" t="s">
        <v>568</v>
      </c>
    </row>
    <row r="3300" spans="1:10" ht="12.75" customHeight="1" x14ac:dyDescent="0.3">
      <c r="A3300" s="33"/>
      <c r="G3300" t="str">
        <f ca="1">Team_Matches!$J$6</f>
        <v>[NCTTA Teams Template (v3.4).xlsx]</v>
      </c>
      <c r="J3300" s="55"/>
    </row>
    <row r="3301" spans="1:10" ht="12.75" customHeight="1" x14ac:dyDescent="0.3">
      <c r="A3301" s="33"/>
      <c r="G3301" s="229" t="str">
        <f>Team_Matches!$J2455</f>
        <v>Round 9, Match 1</v>
      </c>
      <c r="H3301" s="229"/>
      <c r="I3301" s="127" t="str">
        <f>Team_Matches!$M2455</f>
        <v/>
      </c>
      <c r="J3301" s="127"/>
    </row>
    <row r="3302" spans="1:10" ht="15.6" x14ac:dyDescent="0.3">
      <c r="A3302" s="33"/>
    </row>
    <row r="3303" spans="1:10" x14ac:dyDescent="0.25">
      <c r="C3303" s="7" t="s">
        <v>160</v>
      </c>
      <c r="D3303" s="39" t="str">
        <f>Team_Matches!$B2457</f>
        <v>A</v>
      </c>
      <c r="F3303" s="83" t="str">
        <f>CONCATENATE($D3303,"-",$I3303)</f>
        <v>A-D</v>
      </c>
      <c r="H3303" s="7" t="s">
        <v>160</v>
      </c>
      <c r="I3303" s="39" t="str">
        <f>Team_Matches!$K2457</f>
        <v>D</v>
      </c>
    </row>
    <row r="3304" spans="1:10" ht="25.5" customHeight="1" x14ac:dyDescent="0.25">
      <c r="A3304" s="34"/>
      <c r="B3304" s="223" t="str">
        <f>IF(VLOOKUP($D3303,Draw!$A$4:$B$27,2)&lt;&gt;0,VLOOKUP($D3303,Draw!$A$4:$B$27,2),"")</f>
        <v/>
      </c>
      <c r="C3304" s="223"/>
      <c r="D3304" s="223"/>
      <c r="E3304" s="224"/>
      <c r="F3304" s="35"/>
      <c r="G3304" s="220" t="str">
        <f>IF(VLOOKUP($I3303,Draw!$A$4:$B$27,2)&lt;&gt;0,VLOOKUP($I3303,Draw!$A$4:$B$27,2),"")</f>
        <v/>
      </c>
      <c r="H3304" s="220"/>
      <c r="I3304" s="220"/>
      <c r="J3304" s="221"/>
    </row>
    <row r="3305" spans="1:10" ht="25.5" customHeight="1" x14ac:dyDescent="0.25"/>
    <row r="3306" spans="1:10" ht="25.5" customHeight="1" x14ac:dyDescent="0.25"/>
    <row r="3307" spans="1:10" ht="24" customHeight="1" x14ac:dyDescent="0.25">
      <c r="A3307" s="9" t="s">
        <v>178</v>
      </c>
    </row>
    <row r="3308" spans="1:10" ht="24" customHeight="1" x14ac:dyDescent="0.25">
      <c r="A3308" s="9"/>
    </row>
    <row r="3309" spans="1:10" x14ac:dyDescent="0.25">
      <c r="A3309" s="9" t="s">
        <v>156</v>
      </c>
      <c r="G3309" s="226" t="s">
        <v>873</v>
      </c>
      <c r="H3309" s="226"/>
      <c r="I3309" s="226"/>
      <c r="J3309" s="226"/>
    </row>
    <row r="3310" spans="1:10" ht="24" customHeight="1" x14ac:dyDescent="0.4">
      <c r="A3310" s="37" t="str">
        <f>CONCATENATE($I3303,"1")</f>
        <v>D1</v>
      </c>
      <c r="B3310" s="222" t="str">
        <f>IF(VLOOKUP($A3310,Players!$A$2:$C$132,3)&lt;&gt;0,VLOOKUP($A3310,Players!$A$2:$C$132,3),"")</f>
        <v/>
      </c>
      <c r="C3310" s="222"/>
      <c r="D3310" s="222"/>
      <c r="E3310" s="222"/>
      <c r="F3310" s="222"/>
      <c r="G3310" s="225" t="str">
        <f>IF(VLOOKUP($D3303&amp;RIGHT($A3310,1),Players!$A$2:$D$132,3)&lt;&gt;0,VLOOKUP($D3303&amp;RIGHT($A3310,1),Players!$A$2:$D$132,3),"")</f>
        <v/>
      </c>
      <c r="H3310" s="225"/>
      <c r="I3310" s="225"/>
      <c r="J3310" s="168" t="str">
        <f>IF(VLOOKUP($D3303&amp;RIGHT($A3310,1),Players!$A$2:$D$132,3)&lt;&gt;0,"("&amp;VLOOKUP($D3303&amp;RIGHT($A3310,1),Players!$A$2:$D$132,4)&amp;")","")</f>
        <v/>
      </c>
    </row>
    <row r="3311" spans="1:10" ht="25.5" customHeight="1" x14ac:dyDescent="0.4">
      <c r="A3311" s="37" t="str">
        <f>CONCATENATE($I3303,"2")</f>
        <v>D2</v>
      </c>
      <c r="B3311" s="222" t="str">
        <f>IF(VLOOKUP($A3311,Players!$A$2:$C$132,3)&lt;&gt;0,VLOOKUP($A3311,Players!$A$2:$C$132,3),"")</f>
        <v/>
      </c>
      <c r="C3311" s="222"/>
      <c r="D3311" s="222"/>
      <c r="E3311" s="222"/>
      <c r="F3311" s="222"/>
      <c r="G3311" s="225" t="str">
        <f>IF(VLOOKUP($D3303&amp;RIGHT($A3311,1),Players!$A$2:$D$132,3)&lt;&gt;0,VLOOKUP($D3303&amp;RIGHT($A3311,1),Players!$A$2:$D$132,3),"")</f>
        <v/>
      </c>
      <c r="H3311" s="225"/>
      <c r="I3311" s="225"/>
      <c r="J3311" s="168" t="str">
        <f>IF(VLOOKUP($D3303&amp;RIGHT($A3311,1),Players!$A$2:$D$132,3)&lt;&gt;0,"("&amp;VLOOKUP($D3303&amp;RIGHT($A3311,1),Players!$A$2:$D$132,4)&amp;")","")</f>
        <v/>
      </c>
    </row>
    <row r="3312" spans="1:10" ht="25.5" customHeight="1" x14ac:dyDescent="0.4">
      <c r="A3312" s="37" t="str">
        <f>CONCATENATE($I3303,"3")</f>
        <v>D3</v>
      </c>
      <c r="B3312" s="222" t="str">
        <f>IF(VLOOKUP($A3312,Players!$A$2:$C$132,3)&lt;&gt;0,VLOOKUP($A3312,Players!$A$2:$C$132,3),"")</f>
        <v/>
      </c>
      <c r="C3312" s="222"/>
      <c r="D3312" s="222"/>
      <c r="E3312" s="222"/>
      <c r="F3312" s="222"/>
      <c r="G3312" s="225" t="str">
        <f>IF(VLOOKUP($D3303&amp;RIGHT($A3312,1),Players!$A$2:$D$132,3)&lt;&gt;0,VLOOKUP($D3303&amp;RIGHT($A3312,1),Players!$A$2:$D$132,3),"")</f>
        <v/>
      </c>
      <c r="H3312" s="225"/>
      <c r="I3312" s="225"/>
      <c r="J3312" s="168" t="str">
        <f>IF(VLOOKUP($D3303&amp;RIGHT($A3312,1),Players!$A$2:$D$132,3)&lt;&gt;0,"("&amp;VLOOKUP($D3303&amp;RIGHT($A3312,1),Players!$A$2:$D$132,4)&amp;")","")</f>
        <v/>
      </c>
    </row>
    <row r="3313" spans="1:10" ht="25.5" customHeight="1" x14ac:dyDescent="0.4">
      <c r="A3313" s="37" t="str">
        <f>CONCATENATE($I3303,"4")</f>
        <v>D4</v>
      </c>
      <c r="B3313" s="222" t="str">
        <f>IF(VLOOKUP($A3313,Players!$A$2:$C$132,3)&lt;&gt;0,VLOOKUP($A3313,Players!$A$2:$C$132,3),"")</f>
        <v/>
      </c>
      <c r="C3313" s="222"/>
      <c r="D3313" s="222"/>
      <c r="E3313" s="222"/>
      <c r="F3313" s="222"/>
      <c r="G3313" s="225" t="str">
        <f>IF(VLOOKUP($D3303&amp;RIGHT($A3313,1),Players!$A$2:$D$132,3)&lt;&gt;0,VLOOKUP($D3303&amp;RIGHT($A3313,1),Players!$A$2:$D$132,3),"")</f>
        <v/>
      </c>
      <c r="H3313" s="225"/>
      <c r="I3313" s="225"/>
      <c r="J3313" s="168" t="str">
        <f>IF(VLOOKUP($D3303&amp;RIGHT($A3313,1),Players!$A$2:$D$132,3)&lt;&gt;0,"("&amp;VLOOKUP($D3303&amp;RIGHT($A3313,1),Players!$A$2:$D$132,4)&amp;")","")</f>
        <v/>
      </c>
    </row>
    <row r="3314" spans="1:10" ht="25.5" customHeight="1" x14ac:dyDescent="0.4">
      <c r="A3314" s="37" t="str">
        <f>CONCATENATE($I3303,"5")</f>
        <v>D5</v>
      </c>
      <c r="B3314" s="222" t="str">
        <f>IF(VLOOKUP($A3314,Players!$A$2:$C$132,3)&lt;&gt;0,VLOOKUP($A3314,Players!$A$2:$C$132,3),"")</f>
        <v/>
      </c>
      <c r="C3314" s="222"/>
      <c r="D3314" s="222"/>
      <c r="E3314" s="222"/>
      <c r="F3314" s="222"/>
      <c r="G3314" s="225" t="str">
        <f>IF(VLOOKUP($D3303&amp;RIGHT($A3314,1),Players!$A$2:$D$132,3)&lt;&gt;0,VLOOKUP($D3303&amp;RIGHT($A3314,1),Players!$A$2:$D$132,3),"")</f>
        <v/>
      </c>
      <c r="H3314" s="225"/>
      <c r="I3314" s="225"/>
      <c r="J3314" s="168" t="str">
        <f>IF(VLOOKUP($D3303&amp;RIGHT($A3314,1),Players!$A$2:$D$132,3)&lt;&gt;0,"("&amp;VLOOKUP($D3303&amp;RIGHT($A3314,1),Players!$A$2:$D$132,4)&amp;")","")</f>
        <v/>
      </c>
    </row>
    <row r="3315" spans="1:10" ht="25.5" customHeight="1" x14ac:dyDescent="0.4">
      <c r="A3315" s="37" t="str">
        <f>CONCATENATE($I3303,"6")</f>
        <v>D6</v>
      </c>
      <c r="B3315" s="222" t="str">
        <f>IF(VLOOKUP($A3315,Players!$A$2:$C$132,3)&lt;&gt;0,VLOOKUP($A3315,Players!$A$2:$C$132,3),"")</f>
        <v/>
      </c>
      <c r="C3315" s="222"/>
      <c r="D3315" s="222"/>
      <c r="E3315" s="222"/>
      <c r="F3315" s="222"/>
      <c r="G3315" s="225" t="str">
        <f>IF(VLOOKUP($D3303&amp;RIGHT($A3315,1),Players!$A$2:$D$132,3)&lt;&gt;0,VLOOKUP($D3303&amp;RIGHT($A3315,1),Players!$A$2:$D$132,3),"")</f>
        <v/>
      </c>
      <c r="H3315" s="225"/>
      <c r="I3315" s="225"/>
      <c r="J3315" s="168" t="str">
        <f>IF(VLOOKUP($D3303&amp;RIGHT($A3315,1),Players!$A$2:$D$132,3)&lt;&gt;0,"("&amp;VLOOKUP($D3303&amp;RIGHT($A3315,1),Players!$A$2:$D$132,4)&amp;")","")</f>
        <v/>
      </c>
    </row>
    <row r="3316" spans="1:10" ht="25.5" customHeight="1" x14ac:dyDescent="0.4">
      <c r="A3316" s="37" t="str">
        <f>CONCATENATE($I3303,"7")</f>
        <v>D7</v>
      </c>
      <c r="B3316" s="222" t="str">
        <f>IF(VLOOKUP($A3316,Players!$A$2:$C$132,3)&lt;&gt;0,VLOOKUP($A3316,Players!$A$2:$C$132,3),"")</f>
        <v/>
      </c>
      <c r="C3316" s="222"/>
      <c r="D3316" s="222"/>
      <c r="E3316" s="222"/>
      <c r="F3316" s="222"/>
      <c r="G3316" s="225" t="str">
        <f>IF(VLOOKUP($D3303&amp;RIGHT($A3316,1),Players!$A$2:$D$132,3)&lt;&gt;0,VLOOKUP($D3303&amp;RIGHT($A3316,1),Players!$A$2:$D$132,3),"")</f>
        <v/>
      </c>
      <c r="H3316" s="225"/>
      <c r="I3316" s="225"/>
      <c r="J3316" s="168" t="str">
        <f>IF(VLOOKUP($D3303&amp;RIGHT($A3316,1),Players!$A$2:$D$132,3)&lt;&gt;0,"("&amp;VLOOKUP($D3303&amp;RIGHT($A3316,1),Players!$A$2:$D$132,4)&amp;")","")</f>
        <v/>
      </c>
    </row>
    <row r="3317" spans="1:10" ht="25.5" customHeight="1" x14ac:dyDescent="0.4">
      <c r="A3317" s="37" t="str">
        <f>CONCATENATE($I3303,"8")</f>
        <v>D8</v>
      </c>
      <c r="B3317" s="222" t="str">
        <f>IF(VLOOKUP($A3317,Players!$A$2:$C$132,3)&lt;&gt;0,VLOOKUP($A3317,Players!$A$2:$C$132,3),"")</f>
        <v/>
      </c>
      <c r="C3317" s="222"/>
      <c r="D3317" s="222"/>
      <c r="E3317" s="222"/>
      <c r="F3317" s="222"/>
      <c r="G3317" s="225" t="str">
        <f>IF(VLOOKUP($D3303&amp;RIGHT($A3317,1),Players!$A$2:$D$132,3)&lt;&gt;0,VLOOKUP($D3303&amp;RIGHT($A3317,1),Players!$A$2:$D$132,3),"")</f>
        <v/>
      </c>
      <c r="H3317" s="225"/>
      <c r="I3317" s="225"/>
      <c r="J3317" s="168" t="str">
        <f>IF(VLOOKUP($D3303&amp;RIGHT($A3317,1),Players!$A$2:$D$132,3)&lt;&gt;0,"("&amp;VLOOKUP($D3303&amp;RIGHT($A3317,1),Players!$A$2:$D$132,4)&amp;")","")</f>
        <v/>
      </c>
    </row>
    <row r="3318" spans="1:10" ht="25.5" customHeight="1" x14ac:dyDescent="0.25">
      <c r="A3318" s="37"/>
      <c r="B3318" s="7"/>
      <c r="C3318" s="7"/>
      <c r="D3318" s="7"/>
      <c r="E3318" s="7"/>
    </row>
    <row r="3319" spans="1:10" x14ac:dyDescent="0.25">
      <c r="A3319" s="9" t="s">
        <v>157</v>
      </c>
    </row>
    <row r="3320" spans="1:10" x14ac:dyDescent="0.25">
      <c r="A3320" t="s">
        <v>179</v>
      </c>
    </row>
    <row r="3321" spans="1:10" x14ac:dyDescent="0.25">
      <c r="A3321" s="55" t="s">
        <v>918</v>
      </c>
    </row>
    <row r="3322" spans="1:10" x14ac:dyDescent="0.25">
      <c r="A3322" t="s">
        <v>919</v>
      </c>
    </row>
    <row r="3323" spans="1:10" ht="25.5" customHeight="1" thickBot="1" x14ac:dyDescent="0.3">
      <c r="A3323" s="37"/>
    </row>
    <row r="3324" spans="1:10" x14ac:dyDescent="0.25">
      <c r="B3324" s="213"/>
      <c r="C3324" s="214"/>
      <c r="D3324" s="214"/>
      <c r="E3324" s="214"/>
      <c r="F3324" s="215"/>
    </row>
    <row r="3325" spans="1:10" ht="13.8" thickBot="1" x14ac:dyDescent="0.3">
      <c r="B3325" s="216"/>
      <c r="C3325" s="217"/>
      <c r="D3325" s="217"/>
      <c r="E3325" s="217"/>
      <c r="F3325" s="218"/>
    </row>
    <row r="3329" spans="1:10" ht="25.5" customHeight="1" x14ac:dyDescent="0.25">
      <c r="A3329" s="36"/>
      <c r="B3329" s="36"/>
      <c r="C3329" s="36"/>
      <c r="D3329" s="36"/>
      <c r="E3329" s="36"/>
      <c r="G3329" s="38"/>
      <c r="H3329" s="227" t="s">
        <v>159</v>
      </c>
      <c r="I3329" s="228"/>
    </row>
    <row r="3330" spans="1:10" x14ac:dyDescent="0.25">
      <c r="A3330" t="s">
        <v>158</v>
      </c>
    </row>
    <row r="3332" spans="1:10" x14ac:dyDescent="0.25">
      <c r="E3332" s="219" t="str">
        <f>CONCATENATE("(",$D3303," vs ",$I3303,")")</f>
        <v>(A vs D)</v>
      </c>
      <c r="F3332" s="219"/>
    </row>
    <row r="3333" spans="1:10" ht="15.6" x14ac:dyDescent="0.3">
      <c r="A3333" s="33" t="s">
        <v>155</v>
      </c>
      <c r="J3333" s="82" t="s">
        <v>569</v>
      </c>
    </row>
    <row r="3334" spans="1:10" ht="12.75" customHeight="1" x14ac:dyDescent="0.3">
      <c r="A3334" s="33"/>
      <c r="G3334" t="str">
        <f ca="1">Team_Matches!$J$6</f>
        <v>[NCTTA Teams Template (v3.4).xlsx]</v>
      </c>
      <c r="J3334" s="55"/>
    </row>
    <row r="3335" spans="1:10" ht="12.75" customHeight="1" x14ac:dyDescent="0.3">
      <c r="A3335" s="33"/>
      <c r="G3335" s="229" t="str">
        <f>Team_Matches!$J2506</f>
        <v>Round 9, Match 2</v>
      </c>
      <c r="H3335" s="229"/>
      <c r="I3335" s="127" t="str">
        <f>Team_Matches!$M2506</f>
        <v/>
      </c>
      <c r="J3335" s="127"/>
    </row>
    <row r="3336" spans="1:10" ht="15.6" x14ac:dyDescent="0.3">
      <c r="A3336" s="33"/>
    </row>
    <row r="3337" spans="1:10" x14ac:dyDescent="0.25">
      <c r="C3337" s="7" t="s">
        <v>160</v>
      </c>
      <c r="D3337" s="39" t="str">
        <f>Team_Matches!$B2508</f>
        <v>C</v>
      </c>
      <c r="F3337" s="83" t="str">
        <f>CONCATENATE($D3337,"-",$I3337)</f>
        <v>C-E</v>
      </c>
      <c r="H3337" s="7" t="s">
        <v>160</v>
      </c>
      <c r="I3337" s="3" t="str">
        <f>Team_Matches!$K2508</f>
        <v>E</v>
      </c>
    </row>
    <row r="3338" spans="1:10" ht="25.5" customHeight="1" x14ac:dyDescent="0.25">
      <c r="A3338" s="34"/>
      <c r="B3338" s="220" t="str">
        <f>IF(VLOOKUP($D3337,Draw!$A$4:$B$27,2)&lt;&gt;0,VLOOKUP($D3337,Draw!$A$4:$B$27,2),"")</f>
        <v/>
      </c>
      <c r="C3338" s="220"/>
      <c r="D3338" s="220"/>
      <c r="E3338" s="221"/>
      <c r="F3338" s="35"/>
      <c r="G3338" s="223" t="str">
        <f>IF(VLOOKUP($I3337,Draw!$A$4:$B$27,2)&lt;&gt;0,VLOOKUP($I3337,Draw!$A$4:$B$27,2),"")</f>
        <v/>
      </c>
      <c r="H3338" s="223"/>
      <c r="I3338" s="223"/>
      <c r="J3338" s="224"/>
    </row>
    <row r="3339" spans="1:10" ht="25.5" customHeight="1" x14ac:dyDescent="0.25"/>
    <row r="3340" spans="1:10" ht="25.5" customHeight="1" x14ac:dyDescent="0.25"/>
    <row r="3341" spans="1:10" ht="24" customHeight="1" x14ac:dyDescent="0.25">
      <c r="A3341" s="9" t="s">
        <v>178</v>
      </c>
    </row>
    <row r="3342" spans="1:10" ht="24" customHeight="1" x14ac:dyDescent="0.25">
      <c r="A3342" s="9"/>
    </row>
    <row r="3343" spans="1:10" x14ac:dyDescent="0.25">
      <c r="A3343" s="9" t="s">
        <v>156</v>
      </c>
      <c r="G3343" s="226" t="s">
        <v>873</v>
      </c>
      <c r="H3343" s="226"/>
      <c r="I3343" s="226"/>
      <c r="J3343" s="226"/>
    </row>
    <row r="3344" spans="1:10" ht="24" customHeight="1" x14ac:dyDescent="0.4">
      <c r="A3344" s="37" t="str">
        <f>CONCATENATE($D3337,"1")</f>
        <v>C1</v>
      </c>
      <c r="B3344" s="222" t="str">
        <f>IF(VLOOKUP($A3344,Players!$A$2:$C$132,3)&lt;&gt;0,VLOOKUP($A3344,Players!$A$2:$C$132,3),"")</f>
        <v/>
      </c>
      <c r="C3344" s="222"/>
      <c r="D3344" s="222"/>
      <c r="E3344" s="222"/>
      <c r="F3344" s="222"/>
      <c r="G3344" s="225" t="str">
        <f>IF(VLOOKUP($I3337&amp;RIGHT($A3344,1),Players!$A$2:$D$132,3)&lt;&gt;0,VLOOKUP($I3337&amp;RIGHT($A3344,1),Players!$A$2:$D$132,3),"")</f>
        <v/>
      </c>
      <c r="H3344" s="225"/>
      <c r="I3344" s="225"/>
      <c r="J3344" s="168" t="str">
        <f>IF(VLOOKUP($I3337&amp;RIGHT($A3344,1),Players!$A$2:$D$132,3)&lt;&gt;0,"("&amp;VLOOKUP($I3337&amp;RIGHT($A3344,1),Players!$A$2:$D$132,4)&amp;")","")</f>
        <v/>
      </c>
    </row>
    <row r="3345" spans="1:10" ht="25.5" customHeight="1" x14ac:dyDescent="0.4">
      <c r="A3345" s="37" t="str">
        <f>CONCATENATE($D3337,"2")</f>
        <v>C2</v>
      </c>
      <c r="B3345" s="222" t="str">
        <f>IF(VLOOKUP($A3345,Players!$A$2:$C$132,3)&lt;&gt;0,VLOOKUP($A3345,Players!$A$2:$C$132,3),"")</f>
        <v/>
      </c>
      <c r="C3345" s="222"/>
      <c r="D3345" s="222"/>
      <c r="E3345" s="222"/>
      <c r="F3345" s="222"/>
      <c r="G3345" s="225" t="str">
        <f>IF(VLOOKUP($I3337&amp;RIGHT($A3345,1),Players!$A$2:$D$132,3)&lt;&gt;0,VLOOKUP($I3337&amp;RIGHT($A3345,1),Players!$A$2:$D$132,3),"")</f>
        <v/>
      </c>
      <c r="H3345" s="225"/>
      <c r="I3345" s="225"/>
      <c r="J3345" s="168" t="str">
        <f>IF(VLOOKUP($I3337&amp;RIGHT($A3345,1),Players!$A$2:$D$132,3)&lt;&gt;0,"("&amp;VLOOKUP($I3337&amp;RIGHT($A3345,1),Players!$A$2:$D$132,4)&amp;")","")</f>
        <v/>
      </c>
    </row>
    <row r="3346" spans="1:10" ht="25.5" customHeight="1" x14ac:dyDescent="0.4">
      <c r="A3346" s="37" t="str">
        <f>CONCATENATE($D3337,"3")</f>
        <v>C3</v>
      </c>
      <c r="B3346" s="222" t="str">
        <f>IF(VLOOKUP($A3346,Players!$A$2:$C$132,3)&lt;&gt;0,VLOOKUP($A3346,Players!$A$2:$C$132,3),"")</f>
        <v/>
      </c>
      <c r="C3346" s="222"/>
      <c r="D3346" s="222"/>
      <c r="E3346" s="222"/>
      <c r="F3346" s="222"/>
      <c r="G3346" s="225" t="str">
        <f>IF(VLOOKUP($I3337&amp;RIGHT($A3346,1),Players!$A$2:$D$132,3)&lt;&gt;0,VLOOKUP($I3337&amp;RIGHT($A3346,1),Players!$A$2:$D$132,3),"")</f>
        <v/>
      </c>
      <c r="H3346" s="225"/>
      <c r="I3346" s="225"/>
      <c r="J3346" s="168" t="str">
        <f>IF(VLOOKUP($I3337&amp;RIGHT($A3346,1),Players!$A$2:$D$132,3)&lt;&gt;0,"("&amp;VLOOKUP($I3337&amp;RIGHT($A3346,1),Players!$A$2:$D$132,4)&amp;")","")</f>
        <v/>
      </c>
    </row>
    <row r="3347" spans="1:10" ht="25.5" customHeight="1" x14ac:dyDescent="0.4">
      <c r="A3347" s="37" t="str">
        <f>CONCATENATE($D3337,"4")</f>
        <v>C4</v>
      </c>
      <c r="B3347" s="222" t="str">
        <f>IF(VLOOKUP($A3347,Players!$A$2:$C$132,3)&lt;&gt;0,VLOOKUP($A3347,Players!$A$2:$C$132,3),"")</f>
        <v/>
      </c>
      <c r="C3347" s="222"/>
      <c r="D3347" s="222"/>
      <c r="E3347" s="222"/>
      <c r="F3347" s="222"/>
      <c r="G3347" s="225" t="str">
        <f>IF(VLOOKUP($I3337&amp;RIGHT($A3347,1),Players!$A$2:$D$132,3)&lt;&gt;0,VLOOKUP($I3337&amp;RIGHT($A3347,1),Players!$A$2:$D$132,3),"")</f>
        <v/>
      </c>
      <c r="H3347" s="225"/>
      <c r="I3347" s="225"/>
      <c r="J3347" s="168" t="str">
        <f>IF(VLOOKUP($I3337&amp;RIGHT($A3347,1),Players!$A$2:$D$132,3)&lt;&gt;0,"("&amp;VLOOKUP($I3337&amp;RIGHT($A3347,1),Players!$A$2:$D$132,4)&amp;")","")</f>
        <v/>
      </c>
    </row>
    <row r="3348" spans="1:10" ht="25.5" customHeight="1" x14ac:dyDescent="0.4">
      <c r="A3348" s="37" t="str">
        <f>CONCATENATE($D3337,"5")</f>
        <v>C5</v>
      </c>
      <c r="B3348" s="222" t="str">
        <f>IF(VLOOKUP($A3348,Players!$A$2:$C$132,3)&lt;&gt;0,VLOOKUP($A3348,Players!$A$2:$C$132,3),"")</f>
        <v/>
      </c>
      <c r="C3348" s="222"/>
      <c r="D3348" s="222"/>
      <c r="E3348" s="222"/>
      <c r="F3348" s="222"/>
      <c r="G3348" s="225" t="str">
        <f>IF(VLOOKUP($I3337&amp;RIGHT($A3348,1),Players!$A$2:$D$132,3)&lt;&gt;0,VLOOKUP($I3337&amp;RIGHT($A3348,1),Players!$A$2:$D$132,3),"")</f>
        <v/>
      </c>
      <c r="H3348" s="225"/>
      <c r="I3348" s="225"/>
      <c r="J3348" s="168" t="str">
        <f>IF(VLOOKUP($I3337&amp;RIGHT($A3348,1),Players!$A$2:$D$132,3)&lt;&gt;0,"("&amp;VLOOKUP($I3337&amp;RIGHT($A3348,1),Players!$A$2:$D$132,4)&amp;")","")</f>
        <v/>
      </c>
    </row>
    <row r="3349" spans="1:10" ht="25.5" customHeight="1" x14ac:dyDescent="0.4">
      <c r="A3349" s="37" t="str">
        <f>CONCATENATE($D3337,"6")</f>
        <v>C6</v>
      </c>
      <c r="B3349" s="222" t="str">
        <f>IF(VLOOKUP($A3349,Players!$A$2:$C$132,3)&lt;&gt;0,VLOOKUP($A3349,Players!$A$2:$C$132,3),"")</f>
        <v/>
      </c>
      <c r="C3349" s="222"/>
      <c r="D3349" s="222"/>
      <c r="E3349" s="222"/>
      <c r="F3349" s="222"/>
      <c r="G3349" s="225" t="str">
        <f>IF(VLOOKUP($I3337&amp;RIGHT($A3349,1),Players!$A$2:$D$132,3)&lt;&gt;0,VLOOKUP($I3337&amp;RIGHT($A3349,1),Players!$A$2:$D$132,3),"")</f>
        <v/>
      </c>
      <c r="H3349" s="225"/>
      <c r="I3349" s="225"/>
      <c r="J3349" s="168" t="str">
        <f>IF(VLOOKUP($I3337&amp;RIGHT($A3349,1),Players!$A$2:$D$132,3)&lt;&gt;0,"("&amp;VLOOKUP($I3337&amp;RIGHT($A3349,1),Players!$A$2:$D$132,4)&amp;")","")</f>
        <v/>
      </c>
    </row>
    <row r="3350" spans="1:10" ht="25.5" customHeight="1" x14ac:dyDescent="0.4">
      <c r="A3350" s="37" t="str">
        <f>CONCATENATE($D3337,"7")</f>
        <v>C7</v>
      </c>
      <c r="B3350" s="222" t="str">
        <f>IF(VLOOKUP($A3350,Players!$A$2:$C$132,3)&lt;&gt;0,VLOOKUP($A3350,Players!$A$2:$C$132,3),"")</f>
        <v/>
      </c>
      <c r="C3350" s="222"/>
      <c r="D3350" s="222"/>
      <c r="E3350" s="222"/>
      <c r="F3350" s="222"/>
      <c r="G3350" s="225" t="str">
        <f>IF(VLOOKUP($I3337&amp;RIGHT($A3350,1),Players!$A$2:$D$132,3)&lt;&gt;0,VLOOKUP($I3337&amp;RIGHT($A3350,1),Players!$A$2:$D$132,3),"")</f>
        <v/>
      </c>
      <c r="H3350" s="225"/>
      <c r="I3350" s="225"/>
      <c r="J3350" s="168" t="str">
        <f>IF(VLOOKUP($I3337&amp;RIGHT($A3350,1),Players!$A$2:$D$132,3)&lt;&gt;0,"("&amp;VLOOKUP($I3337&amp;RIGHT($A3350,1),Players!$A$2:$D$132,4)&amp;")","")</f>
        <v/>
      </c>
    </row>
    <row r="3351" spans="1:10" ht="25.5" customHeight="1" x14ac:dyDescent="0.4">
      <c r="A3351" s="37" t="str">
        <f>CONCATENATE($D3337,"8")</f>
        <v>C8</v>
      </c>
      <c r="B3351" s="222" t="str">
        <f>IF(VLOOKUP($A3351,Players!$A$2:$C$132,3)&lt;&gt;0,VLOOKUP($A3351,Players!$A$2:$C$132,3),"")</f>
        <v/>
      </c>
      <c r="C3351" s="222"/>
      <c r="D3351" s="222"/>
      <c r="E3351" s="222"/>
      <c r="F3351" s="222"/>
      <c r="G3351" s="225" t="str">
        <f>IF(VLOOKUP($I3337&amp;RIGHT($A3351,1),Players!$A$2:$D$132,3)&lt;&gt;0,VLOOKUP($I3337&amp;RIGHT($A3351,1),Players!$A$2:$D$132,3),"")</f>
        <v/>
      </c>
      <c r="H3351" s="225"/>
      <c r="I3351" s="225"/>
      <c r="J3351" s="168" t="str">
        <f>IF(VLOOKUP($I3337&amp;RIGHT($A3351,1),Players!$A$2:$D$132,3)&lt;&gt;0,"("&amp;VLOOKUP($I3337&amp;RIGHT($A3351,1),Players!$A$2:$D$132,4)&amp;")","")</f>
        <v/>
      </c>
    </row>
    <row r="3352" spans="1:10" ht="25.5" customHeight="1" x14ac:dyDescent="0.25">
      <c r="A3352" s="37"/>
      <c r="B3352" s="7"/>
      <c r="C3352" s="7"/>
      <c r="D3352" s="7"/>
      <c r="E3352" s="7"/>
    </row>
    <row r="3353" spans="1:10" x14ac:dyDescent="0.25">
      <c r="A3353" s="9" t="s">
        <v>157</v>
      </c>
    </row>
    <row r="3354" spans="1:10" x14ac:dyDescent="0.25">
      <c r="A3354" t="s">
        <v>179</v>
      </c>
    </row>
    <row r="3355" spans="1:10" x14ac:dyDescent="0.25">
      <c r="A3355" s="55" t="s">
        <v>918</v>
      </c>
    </row>
    <row r="3356" spans="1:10" x14ac:dyDescent="0.25">
      <c r="A3356" t="s">
        <v>919</v>
      </c>
    </row>
    <row r="3357" spans="1:10" ht="25.5" customHeight="1" thickBot="1" x14ac:dyDescent="0.3">
      <c r="A3357" s="37"/>
    </row>
    <row r="3358" spans="1:10" x14ac:dyDescent="0.25">
      <c r="B3358" s="213"/>
      <c r="C3358" s="214"/>
      <c r="D3358" s="214"/>
      <c r="E3358" s="214"/>
      <c r="F3358" s="215"/>
    </row>
    <row r="3359" spans="1:10" ht="13.8" thickBot="1" x14ac:dyDescent="0.3">
      <c r="B3359" s="216"/>
      <c r="C3359" s="217"/>
      <c r="D3359" s="217"/>
      <c r="E3359" s="217"/>
      <c r="F3359" s="218"/>
    </row>
    <row r="3363" spans="1:10" ht="25.5" customHeight="1" x14ac:dyDescent="0.25">
      <c r="A3363" s="36"/>
      <c r="B3363" s="36"/>
      <c r="C3363" s="36"/>
      <c r="D3363" s="36"/>
      <c r="E3363" s="36"/>
      <c r="G3363" s="38"/>
      <c r="H3363" s="227" t="s">
        <v>159</v>
      </c>
      <c r="I3363" s="228"/>
    </row>
    <row r="3364" spans="1:10" x14ac:dyDescent="0.25">
      <c r="A3364" t="s">
        <v>158</v>
      </c>
    </row>
    <row r="3366" spans="1:10" x14ac:dyDescent="0.25">
      <c r="E3366" s="219" t="str">
        <f>CONCATENATE("(",$D3337," vs ",$I3337,")")</f>
        <v>(C vs E)</v>
      </c>
      <c r="F3366" s="219"/>
    </row>
    <row r="3367" spans="1:10" ht="15.6" x14ac:dyDescent="0.3">
      <c r="A3367" s="33" t="s">
        <v>155</v>
      </c>
      <c r="J3367" s="82" t="s">
        <v>570</v>
      </c>
    </row>
    <row r="3368" spans="1:10" ht="12.75" customHeight="1" x14ac:dyDescent="0.3">
      <c r="A3368" s="33"/>
      <c r="G3368" t="str">
        <f ca="1">Team_Matches!$J$6</f>
        <v>[NCTTA Teams Template (v3.4).xlsx]</v>
      </c>
      <c r="J3368" s="55"/>
    </row>
    <row r="3369" spans="1:10" ht="12.75" customHeight="1" x14ac:dyDescent="0.3">
      <c r="A3369" s="33"/>
      <c r="G3369" s="229" t="str">
        <f>Team_Matches!$J2506</f>
        <v>Round 9, Match 2</v>
      </c>
      <c r="H3369" s="229"/>
      <c r="I3369" s="127" t="str">
        <f>Team_Matches!$M2506</f>
        <v/>
      </c>
      <c r="J3369" s="127"/>
    </row>
    <row r="3370" spans="1:10" ht="15.6" x14ac:dyDescent="0.3">
      <c r="A3370" s="33"/>
    </row>
    <row r="3371" spans="1:10" x14ac:dyDescent="0.25">
      <c r="C3371" s="7" t="s">
        <v>160</v>
      </c>
      <c r="D3371" s="39" t="str">
        <f>Team_Matches!$B2508</f>
        <v>C</v>
      </c>
      <c r="F3371" s="83" t="str">
        <f>CONCATENATE($D3371,"-",$I3371)</f>
        <v>C-E</v>
      </c>
      <c r="H3371" s="7" t="s">
        <v>160</v>
      </c>
      <c r="I3371" s="3" t="str">
        <f>Team_Matches!$K2508</f>
        <v>E</v>
      </c>
    </row>
    <row r="3372" spans="1:10" ht="25.5" customHeight="1" x14ac:dyDescent="0.25">
      <c r="A3372" s="34"/>
      <c r="B3372" s="223" t="str">
        <f>IF(VLOOKUP($D3371,Draw!$A$4:$B$27,2)&lt;&gt;0,VLOOKUP($D3371,Draw!$A$4:$B$27,2),"")</f>
        <v/>
      </c>
      <c r="C3372" s="223"/>
      <c r="D3372" s="223"/>
      <c r="E3372" s="224"/>
      <c r="F3372" s="35"/>
      <c r="G3372" s="220" t="str">
        <f>IF(VLOOKUP($I3371,Draw!$A$4:$B$27,2)&lt;&gt;0,VLOOKUP($I3371,Draw!$A$4:$B$27,2),"")</f>
        <v/>
      </c>
      <c r="H3372" s="220"/>
      <c r="I3372" s="220"/>
      <c r="J3372" s="221"/>
    </row>
    <row r="3373" spans="1:10" ht="25.5" customHeight="1" x14ac:dyDescent="0.25"/>
    <row r="3374" spans="1:10" ht="25.5" customHeight="1" x14ac:dyDescent="0.25"/>
    <row r="3375" spans="1:10" ht="24" customHeight="1" x14ac:dyDescent="0.25">
      <c r="A3375" s="9" t="s">
        <v>178</v>
      </c>
    </row>
    <row r="3376" spans="1:10" ht="24" customHeight="1" x14ac:dyDescent="0.25">
      <c r="A3376" s="9"/>
    </row>
    <row r="3377" spans="1:10" x14ac:dyDescent="0.25">
      <c r="A3377" s="9" t="s">
        <v>156</v>
      </c>
      <c r="G3377" s="226" t="s">
        <v>873</v>
      </c>
      <c r="H3377" s="226"/>
      <c r="I3377" s="226"/>
      <c r="J3377" s="226"/>
    </row>
    <row r="3378" spans="1:10" ht="24" customHeight="1" x14ac:dyDescent="0.4">
      <c r="A3378" s="37" t="str">
        <f>CONCATENATE($I3371,"1")</f>
        <v>E1</v>
      </c>
      <c r="B3378" s="222" t="str">
        <f>IF(VLOOKUP($A3378,Players!$A$2:$C$132,3)&lt;&gt;0,VLOOKUP($A3378,Players!$A$2:$C$132,3),"")</f>
        <v/>
      </c>
      <c r="C3378" s="222"/>
      <c r="D3378" s="222"/>
      <c r="E3378" s="222"/>
      <c r="F3378" s="222"/>
      <c r="G3378" s="225" t="str">
        <f>IF(VLOOKUP($D3371&amp;RIGHT($A3378,1),Players!$A$2:$D$132,3)&lt;&gt;0,VLOOKUP($D3371&amp;RIGHT($A3378,1),Players!$A$2:$D$132,3),"")</f>
        <v/>
      </c>
      <c r="H3378" s="225"/>
      <c r="I3378" s="225"/>
      <c r="J3378" s="168" t="str">
        <f>IF(VLOOKUP($D3371&amp;RIGHT($A3378,1),Players!$A$2:$D$132,3)&lt;&gt;0,"("&amp;VLOOKUP($D3371&amp;RIGHT($A3378,1),Players!$A$2:$D$132,4)&amp;")","")</f>
        <v/>
      </c>
    </row>
    <row r="3379" spans="1:10" ht="25.5" customHeight="1" x14ac:dyDescent="0.4">
      <c r="A3379" s="37" t="str">
        <f>CONCATENATE($I3371,"2")</f>
        <v>E2</v>
      </c>
      <c r="B3379" s="222" t="str">
        <f>IF(VLOOKUP($A3379,Players!$A$2:$C$132,3)&lt;&gt;0,VLOOKUP($A3379,Players!$A$2:$C$132,3),"")</f>
        <v/>
      </c>
      <c r="C3379" s="222"/>
      <c r="D3379" s="222"/>
      <c r="E3379" s="222"/>
      <c r="F3379" s="222"/>
      <c r="G3379" s="225" t="str">
        <f>IF(VLOOKUP($D3371&amp;RIGHT($A3379,1),Players!$A$2:$D$132,3)&lt;&gt;0,VLOOKUP($D3371&amp;RIGHT($A3379,1),Players!$A$2:$D$132,3),"")</f>
        <v/>
      </c>
      <c r="H3379" s="225"/>
      <c r="I3379" s="225"/>
      <c r="J3379" s="168" t="str">
        <f>IF(VLOOKUP($D3371&amp;RIGHT($A3379,1),Players!$A$2:$D$132,3)&lt;&gt;0,"("&amp;VLOOKUP($D3371&amp;RIGHT($A3379,1),Players!$A$2:$D$132,4)&amp;")","")</f>
        <v/>
      </c>
    </row>
    <row r="3380" spans="1:10" ht="25.5" customHeight="1" x14ac:dyDescent="0.4">
      <c r="A3380" s="37" t="str">
        <f>CONCATENATE($I3371,"3")</f>
        <v>E3</v>
      </c>
      <c r="B3380" s="222" t="str">
        <f>IF(VLOOKUP($A3380,Players!$A$2:$C$132,3)&lt;&gt;0,VLOOKUP($A3380,Players!$A$2:$C$132,3),"")</f>
        <v/>
      </c>
      <c r="C3380" s="222"/>
      <c r="D3380" s="222"/>
      <c r="E3380" s="222"/>
      <c r="F3380" s="222"/>
      <c r="G3380" s="225" t="str">
        <f>IF(VLOOKUP($D3371&amp;RIGHT($A3380,1),Players!$A$2:$D$132,3)&lt;&gt;0,VLOOKUP($D3371&amp;RIGHT($A3380,1),Players!$A$2:$D$132,3),"")</f>
        <v/>
      </c>
      <c r="H3380" s="225"/>
      <c r="I3380" s="225"/>
      <c r="J3380" s="168" t="str">
        <f>IF(VLOOKUP($D3371&amp;RIGHT($A3380,1),Players!$A$2:$D$132,3)&lt;&gt;0,"("&amp;VLOOKUP($D3371&amp;RIGHT($A3380,1),Players!$A$2:$D$132,4)&amp;")","")</f>
        <v/>
      </c>
    </row>
    <row r="3381" spans="1:10" ht="25.5" customHeight="1" x14ac:dyDescent="0.4">
      <c r="A3381" s="37" t="str">
        <f>CONCATENATE($I3371,"4")</f>
        <v>E4</v>
      </c>
      <c r="B3381" s="222" t="str">
        <f>IF(VLOOKUP($A3381,Players!$A$2:$C$132,3)&lt;&gt;0,VLOOKUP($A3381,Players!$A$2:$C$132,3),"")</f>
        <v/>
      </c>
      <c r="C3381" s="222"/>
      <c r="D3381" s="222"/>
      <c r="E3381" s="222"/>
      <c r="F3381" s="222"/>
      <c r="G3381" s="225" t="str">
        <f>IF(VLOOKUP($D3371&amp;RIGHT($A3381,1),Players!$A$2:$D$132,3)&lt;&gt;0,VLOOKUP($D3371&amp;RIGHT($A3381,1),Players!$A$2:$D$132,3),"")</f>
        <v/>
      </c>
      <c r="H3381" s="225"/>
      <c r="I3381" s="225"/>
      <c r="J3381" s="168" t="str">
        <f>IF(VLOOKUP($D3371&amp;RIGHT($A3381,1),Players!$A$2:$D$132,3)&lt;&gt;0,"("&amp;VLOOKUP($D3371&amp;RIGHT($A3381,1),Players!$A$2:$D$132,4)&amp;")","")</f>
        <v/>
      </c>
    </row>
    <row r="3382" spans="1:10" ht="25.5" customHeight="1" x14ac:dyDescent="0.4">
      <c r="A3382" s="37" t="str">
        <f>CONCATENATE($I3371,"5")</f>
        <v>E5</v>
      </c>
      <c r="B3382" s="222" t="str">
        <f>IF(VLOOKUP($A3382,Players!$A$2:$C$132,3)&lt;&gt;0,VLOOKUP($A3382,Players!$A$2:$C$132,3),"")</f>
        <v/>
      </c>
      <c r="C3382" s="222"/>
      <c r="D3382" s="222"/>
      <c r="E3382" s="222"/>
      <c r="F3382" s="222"/>
      <c r="G3382" s="225" t="str">
        <f>IF(VLOOKUP($D3371&amp;RIGHT($A3382,1),Players!$A$2:$D$132,3)&lt;&gt;0,VLOOKUP($D3371&amp;RIGHT($A3382,1),Players!$A$2:$D$132,3),"")</f>
        <v/>
      </c>
      <c r="H3382" s="225"/>
      <c r="I3382" s="225"/>
      <c r="J3382" s="168" t="str">
        <f>IF(VLOOKUP($D3371&amp;RIGHT($A3382,1),Players!$A$2:$D$132,3)&lt;&gt;0,"("&amp;VLOOKUP($D3371&amp;RIGHT($A3382,1),Players!$A$2:$D$132,4)&amp;")","")</f>
        <v/>
      </c>
    </row>
    <row r="3383" spans="1:10" ht="25.5" customHeight="1" x14ac:dyDescent="0.4">
      <c r="A3383" s="37" t="str">
        <f>CONCATENATE($I3371,"6")</f>
        <v>E6</v>
      </c>
      <c r="B3383" s="222" t="str">
        <f>IF(VLOOKUP($A3383,Players!$A$2:$C$132,3)&lt;&gt;0,VLOOKUP($A3383,Players!$A$2:$C$132,3),"")</f>
        <v/>
      </c>
      <c r="C3383" s="222"/>
      <c r="D3383" s="222"/>
      <c r="E3383" s="222"/>
      <c r="F3383" s="222"/>
      <c r="G3383" s="225" t="str">
        <f>IF(VLOOKUP($D3371&amp;RIGHT($A3383,1),Players!$A$2:$D$132,3)&lt;&gt;0,VLOOKUP($D3371&amp;RIGHT($A3383,1),Players!$A$2:$D$132,3),"")</f>
        <v/>
      </c>
      <c r="H3383" s="225"/>
      <c r="I3383" s="225"/>
      <c r="J3383" s="168" t="str">
        <f>IF(VLOOKUP($D3371&amp;RIGHT($A3383,1),Players!$A$2:$D$132,3)&lt;&gt;0,"("&amp;VLOOKUP($D3371&amp;RIGHT($A3383,1),Players!$A$2:$D$132,4)&amp;")","")</f>
        <v/>
      </c>
    </row>
    <row r="3384" spans="1:10" ht="25.5" customHeight="1" x14ac:dyDescent="0.4">
      <c r="A3384" s="37" t="str">
        <f>CONCATENATE($I3371,"7")</f>
        <v>E7</v>
      </c>
      <c r="B3384" s="222" t="str">
        <f>IF(VLOOKUP($A3384,Players!$A$2:$C$132,3)&lt;&gt;0,VLOOKUP($A3384,Players!$A$2:$C$132,3),"")</f>
        <v/>
      </c>
      <c r="C3384" s="222"/>
      <c r="D3384" s="222"/>
      <c r="E3384" s="222"/>
      <c r="F3384" s="222"/>
      <c r="G3384" s="225" t="str">
        <f>IF(VLOOKUP($D3371&amp;RIGHT($A3384,1),Players!$A$2:$D$132,3)&lt;&gt;0,VLOOKUP($D3371&amp;RIGHT($A3384,1),Players!$A$2:$D$132,3),"")</f>
        <v/>
      </c>
      <c r="H3384" s="225"/>
      <c r="I3384" s="225"/>
      <c r="J3384" s="168" t="str">
        <f>IF(VLOOKUP($D3371&amp;RIGHT($A3384,1),Players!$A$2:$D$132,3)&lt;&gt;0,"("&amp;VLOOKUP($D3371&amp;RIGHT($A3384,1),Players!$A$2:$D$132,4)&amp;")","")</f>
        <v/>
      </c>
    </row>
    <row r="3385" spans="1:10" ht="25.5" customHeight="1" x14ac:dyDescent="0.4">
      <c r="A3385" s="37" t="str">
        <f>CONCATENATE($I3371,"8")</f>
        <v>E8</v>
      </c>
      <c r="B3385" s="222" t="str">
        <f>IF(VLOOKUP($A3385,Players!$A$2:$C$132,3)&lt;&gt;0,VLOOKUP($A3385,Players!$A$2:$C$132,3),"")</f>
        <v/>
      </c>
      <c r="C3385" s="222"/>
      <c r="D3385" s="222"/>
      <c r="E3385" s="222"/>
      <c r="F3385" s="222"/>
      <c r="G3385" s="225" t="str">
        <f>IF(VLOOKUP($D3371&amp;RIGHT($A3385,1),Players!$A$2:$D$132,3)&lt;&gt;0,VLOOKUP($D3371&amp;RIGHT($A3385,1),Players!$A$2:$D$132,3),"")</f>
        <v/>
      </c>
      <c r="H3385" s="225"/>
      <c r="I3385" s="225"/>
      <c r="J3385" s="168" t="str">
        <f>IF(VLOOKUP($D3371&amp;RIGHT($A3385,1),Players!$A$2:$D$132,3)&lt;&gt;0,"("&amp;VLOOKUP($D3371&amp;RIGHT($A3385,1),Players!$A$2:$D$132,4)&amp;")","")</f>
        <v/>
      </c>
    </row>
    <row r="3386" spans="1:10" ht="25.5" customHeight="1" x14ac:dyDescent="0.25">
      <c r="A3386" s="37"/>
      <c r="B3386" s="7"/>
      <c r="C3386" s="7"/>
      <c r="D3386" s="7"/>
      <c r="E3386" s="7"/>
    </row>
    <row r="3387" spans="1:10" x14ac:dyDescent="0.25">
      <c r="A3387" s="9" t="s">
        <v>157</v>
      </c>
    </row>
    <row r="3388" spans="1:10" x14ac:dyDescent="0.25">
      <c r="A3388" t="s">
        <v>179</v>
      </c>
    </row>
    <row r="3389" spans="1:10" x14ac:dyDescent="0.25">
      <c r="A3389" s="55" t="s">
        <v>918</v>
      </c>
    </row>
    <row r="3390" spans="1:10" x14ac:dyDescent="0.25">
      <c r="A3390" t="s">
        <v>919</v>
      </c>
    </row>
    <row r="3391" spans="1:10" ht="25.5" customHeight="1" thickBot="1" x14ac:dyDescent="0.3">
      <c r="A3391" s="37"/>
    </row>
    <row r="3392" spans="1:10" x14ac:dyDescent="0.25">
      <c r="B3392" s="213"/>
      <c r="C3392" s="214"/>
      <c r="D3392" s="214"/>
      <c r="E3392" s="214"/>
      <c r="F3392" s="215"/>
    </row>
    <row r="3393" spans="1:10" ht="13.8" thickBot="1" x14ac:dyDescent="0.3">
      <c r="B3393" s="216"/>
      <c r="C3393" s="217"/>
      <c r="D3393" s="217"/>
      <c r="E3393" s="217"/>
      <c r="F3393" s="218"/>
    </row>
    <row r="3397" spans="1:10" ht="25.5" customHeight="1" x14ac:dyDescent="0.25">
      <c r="A3397" s="36"/>
      <c r="B3397" s="36"/>
      <c r="C3397" s="36"/>
      <c r="D3397" s="36"/>
      <c r="E3397" s="36"/>
      <c r="G3397" s="38"/>
      <c r="H3397" s="227" t="s">
        <v>159</v>
      </c>
      <c r="I3397" s="228"/>
    </row>
    <row r="3398" spans="1:10" x14ac:dyDescent="0.25">
      <c r="A3398" t="s">
        <v>158</v>
      </c>
    </row>
    <row r="3400" spans="1:10" x14ac:dyDescent="0.25">
      <c r="E3400" s="219" t="str">
        <f>CONCATENATE("(",$D3371," vs ",$I3371,")")</f>
        <v>(C vs E)</v>
      </c>
      <c r="F3400" s="219"/>
    </row>
    <row r="3401" spans="1:10" ht="15.6" x14ac:dyDescent="0.3">
      <c r="A3401" s="33" t="s">
        <v>155</v>
      </c>
      <c r="J3401" s="82" t="s">
        <v>571</v>
      </c>
    </row>
    <row r="3402" spans="1:10" ht="12.75" customHeight="1" x14ac:dyDescent="0.3">
      <c r="A3402" s="33"/>
      <c r="G3402" t="str">
        <f ca="1">Team_Matches!$J$6</f>
        <v>[NCTTA Teams Template (v3.4).xlsx]</v>
      </c>
      <c r="J3402" s="55"/>
    </row>
    <row r="3403" spans="1:10" ht="12.75" customHeight="1" x14ac:dyDescent="0.3">
      <c r="A3403" s="33"/>
      <c r="G3403" s="229" t="str">
        <f>Team_Matches!$J2557</f>
        <v>Round 9, Match 3</v>
      </c>
      <c r="H3403" s="229"/>
      <c r="I3403" s="127" t="str">
        <f>Team_Matches!$M2557</f>
        <v/>
      </c>
      <c r="J3403" s="127"/>
    </row>
    <row r="3404" spans="1:10" ht="15.6" x14ac:dyDescent="0.3">
      <c r="A3404" s="33"/>
    </row>
    <row r="3405" spans="1:10" x14ac:dyDescent="0.25">
      <c r="C3405" s="7" t="s">
        <v>160</v>
      </c>
      <c r="D3405" s="3" t="str">
        <f>Team_Matches!$B2559</f>
        <v>B</v>
      </c>
      <c r="F3405" s="83" t="str">
        <f>CONCATENATE($D3405,"-",$I3405)</f>
        <v>B-F</v>
      </c>
      <c r="H3405" s="7" t="s">
        <v>160</v>
      </c>
      <c r="I3405" s="39" t="str">
        <f>Team_Matches!$K2559</f>
        <v>F</v>
      </c>
    </row>
    <row r="3406" spans="1:10" ht="25.5" customHeight="1" x14ac:dyDescent="0.25">
      <c r="A3406" s="34"/>
      <c r="B3406" s="220" t="str">
        <f>IF(VLOOKUP($D3405,Draw!$A$4:$B$27,2)&lt;&gt;0,VLOOKUP($D3405,Draw!$A$4:$B$27,2),"")</f>
        <v/>
      </c>
      <c r="C3406" s="220"/>
      <c r="D3406" s="220"/>
      <c r="E3406" s="221"/>
      <c r="F3406" s="35"/>
      <c r="G3406" s="223" t="str">
        <f>IF(VLOOKUP($I3405,Draw!$A$4:$B$27,2)&lt;&gt;0,VLOOKUP($I3405,Draw!$A$4:$B$27,2),"")</f>
        <v/>
      </c>
      <c r="H3406" s="223"/>
      <c r="I3406" s="223"/>
      <c r="J3406" s="224"/>
    </row>
    <row r="3407" spans="1:10" ht="25.5" customHeight="1" x14ac:dyDescent="0.25"/>
    <row r="3408" spans="1:10" ht="25.5" customHeight="1" x14ac:dyDescent="0.25"/>
    <row r="3409" spans="1:10" ht="24" customHeight="1" x14ac:dyDescent="0.25">
      <c r="A3409" s="9" t="s">
        <v>178</v>
      </c>
    </row>
    <row r="3410" spans="1:10" ht="24" customHeight="1" x14ac:dyDescent="0.25">
      <c r="A3410" s="9"/>
    </row>
    <row r="3411" spans="1:10" x14ac:dyDescent="0.25">
      <c r="A3411" s="9" t="s">
        <v>156</v>
      </c>
      <c r="G3411" s="226" t="s">
        <v>873</v>
      </c>
      <c r="H3411" s="226"/>
      <c r="I3411" s="226"/>
      <c r="J3411" s="226"/>
    </row>
    <row r="3412" spans="1:10" ht="24" customHeight="1" x14ac:dyDescent="0.4">
      <c r="A3412" s="37" t="str">
        <f>CONCATENATE($D3405,"1")</f>
        <v>B1</v>
      </c>
      <c r="B3412" s="222" t="str">
        <f>IF(VLOOKUP($A3412,Players!$A$2:$C$132,3)&lt;&gt;0,VLOOKUP($A3412,Players!$A$2:$C$132,3),"")</f>
        <v/>
      </c>
      <c r="C3412" s="222"/>
      <c r="D3412" s="222"/>
      <c r="E3412" s="222"/>
      <c r="F3412" s="222"/>
      <c r="G3412" s="225" t="str">
        <f>IF(VLOOKUP($I3405&amp;RIGHT($A3412,1),Players!$A$2:$D$132,3)&lt;&gt;0,VLOOKUP($I3405&amp;RIGHT($A3412,1),Players!$A$2:$D$132,3),"")</f>
        <v/>
      </c>
      <c r="H3412" s="225"/>
      <c r="I3412" s="225"/>
      <c r="J3412" s="168" t="str">
        <f>IF(VLOOKUP($I3405&amp;RIGHT($A3412,1),Players!$A$2:$D$132,3)&lt;&gt;0,"("&amp;VLOOKUP($I3405&amp;RIGHT($A3412,1),Players!$A$2:$D$132,4)&amp;")","")</f>
        <v/>
      </c>
    </row>
    <row r="3413" spans="1:10" ht="25.5" customHeight="1" x14ac:dyDescent="0.4">
      <c r="A3413" s="37" t="str">
        <f>CONCATENATE($D3405,"2")</f>
        <v>B2</v>
      </c>
      <c r="B3413" s="222" t="str">
        <f>IF(VLOOKUP($A3413,Players!$A$2:$C$132,3)&lt;&gt;0,VLOOKUP($A3413,Players!$A$2:$C$132,3),"")</f>
        <v/>
      </c>
      <c r="C3413" s="222"/>
      <c r="D3413" s="222"/>
      <c r="E3413" s="222"/>
      <c r="F3413" s="222"/>
      <c r="G3413" s="225" t="str">
        <f>IF(VLOOKUP($I3405&amp;RIGHT($A3413,1),Players!$A$2:$D$132,3)&lt;&gt;0,VLOOKUP($I3405&amp;RIGHT($A3413,1),Players!$A$2:$D$132,3),"")</f>
        <v/>
      </c>
      <c r="H3413" s="225"/>
      <c r="I3413" s="225"/>
      <c r="J3413" s="168" t="str">
        <f>IF(VLOOKUP($I3405&amp;RIGHT($A3413,1),Players!$A$2:$D$132,3)&lt;&gt;0,"("&amp;VLOOKUP($I3405&amp;RIGHT($A3413,1),Players!$A$2:$D$132,4)&amp;")","")</f>
        <v/>
      </c>
    </row>
    <row r="3414" spans="1:10" ht="25.5" customHeight="1" x14ac:dyDescent="0.4">
      <c r="A3414" s="37" t="str">
        <f>CONCATENATE($D3405,"3")</f>
        <v>B3</v>
      </c>
      <c r="B3414" s="222" t="str">
        <f>IF(VLOOKUP($A3414,Players!$A$2:$C$132,3)&lt;&gt;0,VLOOKUP($A3414,Players!$A$2:$C$132,3),"")</f>
        <v/>
      </c>
      <c r="C3414" s="222"/>
      <c r="D3414" s="222"/>
      <c r="E3414" s="222"/>
      <c r="F3414" s="222"/>
      <c r="G3414" s="225" t="str">
        <f>IF(VLOOKUP($I3405&amp;RIGHT($A3414,1),Players!$A$2:$D$132,3)&lt;&gt;0,VLOOKUP($I3405&amp;RIGHT($A3414,1),Players!$A$2:$D$132,3),"")</f>
        <v/>
      </c>
      <c r="H3414" s="225"/>
      <c r="I3414" s="225"/>
      <c r="J3414" s="168" t="str">
        <f>IF(VLOOKUP($I3405&amp;RIGHT($A3414,1),Players!$A$2:$D$132,3)&lt;&gt;0,"("&amp;VLOOKUP($I3405&amp;RIGHT($A3414,1),Players!$A$2:$D$132,4)&amp;")","")</f>
        <v/>
      </c>
    </row>
    <row r="3415" spans="1:10" ht="25.5" customHeight="1" x14ac:dyDescent="0.4">
      <c r="A3415" s="37" t="str">
        <f>CONCATENATE($D3405,"4")</f>
        <v>B4</v>
      </c>
      <c r="B3415" s="222" t="str">
        <f>IF(VLOOKUP($A3415,Players!$A$2:$C$132,3)&lt;&gt;0,VLOOKUP($A3415,Players!$A$2:$C$132,3),"")</f>
        <v/>
      </c>
      <c r="C3415" s="222"/>
      <c r="D3415" s="222"/>
      <c r="E3415" s="222"/>
      <c r="F3415" s="222"/>
      <c r="G3415" s="225" t="str">
        <f>IF(VLOOKUP($I3405&amp;RIGHT($A3415,1),Players!$A$2:$D$132,3)&lt;&gt;0,VLOOKUP($I3405&amp;RIGHT($A3415,1),Players!$A$2:$D$132,3),"")</f>
        <v/>
      </c>
      <c r="H3415" s="225"/>
      <c r="I3415" s="225"/>
      <c r="J3415" s="168" t="str">
        <f>IF(VLOOKUP($I3405&amp;RIGHT($A3415,1),Players!$A$2:$D$132,3)&lt;&gt;0,"("&amp;VLOOKUP($I3405&amp;RIGHT($A3415,1),Players!$A$2:$D$132,4)&amp;")","")</f>
        <v/>
      </c>
    </row>
    <row r="3416" spans="1:10" ht="25.5" customHeight="1" x14ac:dyDescent="0.4">
      <c r="A3416" s="37" t="str">
        <f>CONCATENATE($D3405,"5")</f>
        <v>B5</v>
      </c>
      <c r="B3416" s="222" t="str">
        <f>IF(VLOOKUP($A3416,Players!$A$2:$C$132,3)&lt;&gt;0,VLOOKUP($A3416,Players!$A$2:$C$132,3),"")</f>
        <v/>
      </c>
      <c r="C3416" s="222"/>
      <c r="D3416" s="222"/>
      <c r="E3416" s="222"/>
      <c r="F3416" s="222"/>
      <c r="G3416" s="225" t="str">
        <f>IF(VLOOKUP($I3405&amp;RIGHT($A3416,1),Players!$A$2:$D$132,3)&lt;&gt;0,VLOOKUP($I3405&amp;RIGHT($A3416,1),Players!$A$2:$D$132,3),"")</f>
        <v/>
      </c>
      <c r="H3416" s="225"/>
      <c r="I3416" s="225"/>
      <c r="J3416" s="168" t="str">
        <f>IF(VLOOKUP($I3405&amp;RIGHT($A3416,1),Players!$A$2:$D$132,3)&lt;&gt;0,"("&amp;VLOOKUP($I3405&amp;RIGHT($A3416,1),Players!$A$2:$D$132,4)&amp;")","")</f>
        <v/>
      </c>
    </row>
    <row r="3417" spans="1:10" ht="25.5" customHeight="1" x14ac:dyDescent="0.4">
      <c r="A3417" s="37" t="str">
        <f>CONCATENATE($D3405,"6")</f>
        <v>B6</v>
      </c>
      <c r="B3417" s="222" t="str">
        <f>IF(VLOOKUP($A3417,Players!$A$2:$C$132,3)&lt;&gt;0,VLOOKUP($A3417,Players!$A$2:$C$132,3),"")</f>
        <v/>
      </c>
      <c r="C3417" s="222"/>
      <c r="D3417" s="222"/>
      <c r="E3417" s="222"/>
      <c r="F3417" s="222"/>
      <c r="G3417" s="225" t="str">
        <f>IF(VLOOKUP($I3405&amp;RIGHT($A3417,1),Players!$A$2:$D$132,3)&lt;&gt;0,VLOOKUP($I3405&amp;RIGHT($A3417,1),Players!$A$2:$D$132,3),"")</f>
        <v/>
      </c>
      <c r="H3417" s="225"/>
      <c r="I3417" s="225"/>
      <c r="J3417" s="168" t="str">
        <f>IF(VLOOKUP($I3405&amp;RIGHT($A3417,1),Players!$A$2:$D$132,3)&lt;&gt;0,"("&amp;VLOOKUP($I3405&amp;RIGHT($A3417,1),Players!$A$2:$D$132,4)&amp;")","")</f>
        <v/>
      </c>
    </row>
    <row r="3418" spans="1:10" ht="25.5" customHeight="1" x14ac:dyDescent="0.4">
      <c r="A3418" s="37" t="str">
        <f>CONCATENATE($D3405,"7")</f>
        <v>B7</v>
      </c>
      <c r="B3418" s="222" t="str">
        <f>IF(VLOOKUP($A3418,Players!$A$2:$C$132,3)&lt;&gt;0,VLOOKUP($A3418,Players!$A$2:$C$132,3),"")</f>
        <v/>
      </c>
      <c r="C3418" s="222"/>
      <c r="D3418" s="222"/>
      <c r="E3418" s="222"/>
      <c r="F3418" s="222"/>
      <c r="G3418" s="225" t="str">
        <f>IF(VLOOKUP($I3405&amp;RIGHT($A3418,1),Players!$A$2:$D$132,3)&lt;&gt;0,VLOOKUP($I3405&amp;RIGHT($A3418,1),Players!$A$2:$D$132,3),"")</f>
        <v/>
      </c>
      <c r="H3418" s="225"/>
      <c r="I3418" s="225"/>
      <c r="J3418" s="168" t="str">
        <f>IF(VLOOKUP($I3405&amp;RIGHT($A3418,1),Players!$A$2:$D$132,3)&lt;&gt;0,"("&amp;VLOOKUP($I3405&amp;RIGHT($A3418,1),Players!$A$2:$D$132,4)&amp;")","")</f>
        <v/>
      </c>
    </row>
    <row r="3419" spans="1:10" ht="25.5" customHeight="1" x14ac:dyDescent="0.4">
      <c r="A3419" s="37" t="str">
        <f>CONCATENATE($D3405,"8")</f>
        <v>B8</v>
      </c>
      <c r="B3419" s="222" t="str">
        <f>IF(VLOOKUP($A3419,Players!$A$2:$C$132,3)&lt;&gt;0,VLOOKUP($A3419,Players!$A$2:$C$132,3),"")</f>
        <v/>
      </c>
      <c r="C3419" s="222"/>
      <c r="D3419" s="222"/>
      <c r="E3419" s="222"/>
      <c r="F3419" s="222"/>
      <c r="G3419" s="225" t="str">
        <f>IF(VLOOKUP($I3405&amp;RIGHT($A3419,1),Players!$A$2:$D$132,3)&lt;&gt;0,VLOOKUP($I3405&amp;RIGHT($A3419,1),Players!$A$2:$D$132,3),"")</f>
        <v/>
      </c>
      <c r="H3419" s="225"/>
      <c r="I3419" s="225"/>
      <c r="J3419" s="168" t="str">
        <f>IF(VLOOKUP($I3405&amp;RIGHT($A3419,1),Players!$A$2:$D$132,3)&lt;&gt;0,"("&amp;VLOOKUP($I3405&amp;RIGHT($A3419,1),Players!$A$2:$D$132,4)&amp;")","")</f>
        <v/>
      </c>
    </row>
    <row r="3420" spans="1:10" ht="25.5" customHeight="1" x14ac:dyDescent="0.25">
      <c r="A3420" s="37"/>
      <c r="B3420" s="7"/>
      <c r="C3420" s="7"/>
      <c r="D3420" s="7"/>
      <c r="E3420" s="7"/>
    </row>
    <row r="3421" spans="1:10" x14ac:dyDescent="0.25">
      <c r="A3421" s="9" t="s">
        <v>157</v>
      </c>
    </row>
    <row r="3422" spans="1:10" x14ac:dyDescent="0.25">
      <c r="A3422" t="s">
        <v>179</v>
      </c>
    </row>
    <row r="3423" spans="1:10" x14ac:dyDescent="0.25">
      <c r="A3423" s="55" t="s">
        <v>918</v>
      </c>
    </row>
    <row r="3424" spans="1:10" x14ac:dyDescent="0.25">
      <c r="A3424" t="s">
        <v>919</v>
      </c>
    </row>
    <row r="3425" spans="1:10" ht="25.5" customHeight="1" thickBot="1" x14ac:dyDescent="0.3">
      <c r="A3425" s="37"/>
    </row>
    <row r="3426" spans="1:10" x14ac:dyDescent="0.25">
      <c r="B3426" s="213"/>
      <c r="C3426" s="214"/>
      <c r="D3426" s="214"/>
      <c r="E3426" s="214"/>
      <c r="F3426" s="215"/>
    </row>
    <row r="3427" spans="1:10" ht="13.8" thickBot="1" x14ac:dyDescent="0.3">
      <c r="B3427" s="216"/>
      <c r="C3427" s="217"/>
      <c r="D3427" s="217"/>
      <c r="E3427" s="217"/>
      <c r="F3427" s="218"/>
    </row>
    <row r="3431" spans="1:10" ht="25.5" customHeight="1" x14ac:dyDescent="0.25">
      <c r="A3431" s="36"/>
      <c r="B3431" s="36"/>
      <c r="C3431" s="36"/>
      <c r="D3431" s="36"/>
      <c r="E3431" s="36"/>
      <c r="G3431" s="38"/>
      <c r="H3431" s="227" t="s">
        <v>159</v>
      </c>
      <c r="I3431" s="228"/>
    </row>
    <row r="3432" spans="1:10" x14ac:dyDescent="0.25">
      <c r="A3432" t="s">
        <v>158</v>
      </c>
    </row>
    <row r="3434" spans="1:10" x14ac:dyDescent="0.25">
      <c r="E3434" s="219" t="str">
        <f>CONCATENATE("(",$D3405," vs ",$I3405,")")</f>
        <v>(B vs F)</v>
      </c>
      <c r="F3434" s="219"/>
    </row>
    <row r="3435" spans="1:10" ht="15.6" x14ac:dyDescent="0.3">
      <c r="A3435" s="33" t="s">
        <v>155</v>
      </c>
      <c r="J3435" s="82" t="s">
        <v>572</v>
      </c>
    </row>
    <row r="3436" spans="1:10" ht="12.75" customHeight="1" x14ac:dyDescent="0.3">
      <c r="A3436" s="33"/>
      <c r="G3436" t="str">
        <f ca="1">Team_Matches!$J$6</f>
        <v>[NCTTA Teams Template (v3.4).xlsx]</v>
      </c>
      <c r="J3436" s="55"/>
    </row>
    <row r="3437" spans="1:10" ht="12.75" customHeight="1" x14ac:dyDescent="0.3">
      <c r="A3437" s="33"/>
      <c r="G3437" s="229" t="str">
        <f>Team_Matches!$J2557</f>
        <v>Round 9, Match 3</v>
      </c>
      <c r="H3437" s="229"/>
      <c r="I3437" s="127" t="str">
        <f>Team_Matches!$M2557</f>
        <v/>
      </c>
      <c r="J3437" s="127"/>
    </row>
    <row r="3438" spans="1:10" ht="15.6" x14ac:dyDescent="0.3">
      <c r="A3438" s="33"/>
    </row>
    <row r="3439" spans="1:10" x14ac:dyDescent="0.25">
      <c r="C3439" s="7" t="s">
        <v>160</v>
      </c>
      <c r="D3439" s="3" t="str">
        <f>Team_Matches!$B2559</f>
        <v>B</v>
      </c>
      <c r="F3439" s="83" t="str">
        <f>CONCATENATE($D3439,"-",$I3439)</f>
        <v>B-F</v>
      </c>
      <c r="H3439" s="7" t="s">
        <v>160</v>
      </c>
      <c r="I3439" s="39" t="str">
        <f>Team_Matches!$K2559</f>
        <v>F</v>
      </c>
    </row>
    <row r="3440" spans="1:10" ht="25.5" customHeight="1" x14ac:dyDescent="0.25">
      <c r="A3440" s="34"/>
      <c r="B3440" s="223" t="str">
        <f>IF(VLOOKUP($D3439,Draw!$A$4:$B$27,2)&lt;&gt;0,VLOOKUP($D3439,Draw!$A$4:$B$27,2),"")</f>
        <v/>
      </c>
      <c r="C3440" s="223"/>
      <c r="D3440" s="223"/>
      <c r="E3440" s="224"/>
      <c r="F3440" s="35"/>
      <c r="G3440" s="220" t="str">
        <f>IF(VLOOKUP($I3439,Draw!$A$4:$B$27,2)&lt;&gt;0,VLOOKUP($I3439,Draw!$A$4:$B$27,2),"")</f>
        <v/>
      </c>
      <c r="H3440" s="220"/>
      <c r="I3440" s="220"/>
      <c r="J3440" s="221"/>
    </row>
    <row r="3441" spans="1:10" ht="25.5" customHeight="1" x14ac:dyDescent="0.25"/>
    <row r="3442" spans="1:10" ht="25.5" customHeight="1" x14ac:dyDescent="0.25"/>
    <row r="3443" spans="1:10" ht="24" customHeight="1" x14ac:dyDescent="0.25">
      <c r="A3443" s="9" t="s">
        <v>178</v>
      </c>
    </row>
    <row r="3444" spans="1:10" ht="24" customHeight="1" x14ac:dyDescent="0.25">
      <c r="A3444" s="9"/>
    </row>
    <row r="3445" spans="1:10" x14ac:dyDescent="0.25">
      <c r="A3445" s="9" t="s">
        <v>156</v>
      </c>
      <c r="G3445" s="226" t="s">
        <v>873</v>
      </c>
      <c r="H3445" s="226"/>
      <c r="I3445" s="226"/>
      <c r="J3445" s="226"/>
    </row>
    <row r="3446" spans="1:10" ht="24" customHeight="1" x14ac:dyDescent="0.4">
      <c r="A3446" s="37" t="str">
        <f>CONCATENATE($I3439,"1")</f>
        <v>F1</v>
      </c>
      <c r="B3446" s="222" t="str">
        <f>IF(VLOOKUP($A3446,Players!$A$2:$C$132,3)&lt;&gt;0,VLOOKUP($A3446,Players!$A$2:$C$132,3),"")</f>
        <v/>
      </c>
      <c r="C3446" s="222"/>
      <c r="D3446" s="222"/>
      <c r="E3446" s="222"/>
      <c r="F3446" s="222"/>
      <c r="G3446" s="225" t="str">
        <f>IF(VLOOKUP($D3439&amp;RIGHT($A3446,1),Players!$A$2:$D$132,3)&lt;&gt;0,VLOOKUP($D3439&amp;RIGHT($A3446,1),Players!$A$2:$D$132,3),"")</f>
        <v/>
      </c>
      <c r="H3446" s="225"/>
      <c r="I3446" s="225"/>
      <c r="J3446" s="168" t="str">
        <f>IF(VLOOKUP($D3439&amp;RIGHT($A3446,1),Players!$A$2:$D$132,3)&lt;&gt;0,"("&amp;VLOOKUP($D3439&amp;RIGHT($A3446,1),Players!$A$2:$D$132,4)&amp;")","")</f>
        <v/>
      </c>
    </row>
    <row r="3447" spans="1:10" ht="25.5" customHeight="1" x14ac:dyDescent="0.4">
      <c r="A3447" s="37" t="str">
        <f>CONCATENATE($I3439,"2")</f>
        <v>F2</v>
      </c>
      <c r="B3447" s="222" t="str">
        <f>IF(VLOOKUP($A3447,Players!$A$2:$C$132,3)&lt;&gt;0,VLOOKUP($A3447,Players!$A$2:$C$132,3),"")</f>
        <v/>
      </c>
      <c r="C3447" s="222"/>
      <c r="D3447" s="222"/>
      <c r="E3447" s="222"/>
      <c r="F3447" s="222"/>
      <c r="G3447" s="225" t="str">
        <f>IF(VLOOKUP($D3439&amp;RIGHT($A3447,1),Players!$A$2:$D$132,3)&lt;&gt;0,VLOOKUP($D3439&amp;RIGHT($A3447,1),Players!$A$2:$D$132,3),"")</f>
        <v/>
      </c>
      <c r="H3447" s="225"/>
      <c r="I3447" s="225"/>
      <c r="J3447" s="168" t="str">
        <f>IF(VLOOKUP($D3439&amp;RIGHT($A3447,1),Players!$A$2:$D$132,3)&lt;&gt;0,"("&amp;VLOOKUP($D3439&amp;RIGHT($A3447,1),Players!$A$2:$D$132,4)&amp;")","")</f>
        <v/>
      </c>
    </row>
    <row r="3448" spans="1:10" ht="25.5" customHeight="1" x14ac:dyDescent="0.4">
      <c r="A3448" s="37" t="str">
        <f>CONCATENATE($I3439,"3")</f>
        <v>F3</v>
      </c>
      <c r="B3448" s="222" t="str">
        <f>IF(VLOOKUP($A3448,Players!$A$2:$C$132,3)&lt;&gt;0,VLOOKUP($A3448,Players!$A$2:$C$132,3),"")</f>
        <v/>
      </c>
      <c r="C3448" s="222"/>
      <c r="D3448" s="222"/>
      <c r="E3448" s="222"/>
      <c r="F3448" s="222"/>
      <c r="G3448" s="225" t="str">
        <f>IF(VLOOKUP($D3439&amp;RIGHT($A3448,1),Players!$A$2:$D$132,3)&lt;&gt;0,VLOOKUP($D3439&amp;RIGHT($A3448,1),Players!$A$2:$D$132,3),"")</f>
        <v/>
      </c>
      <c r="H3448" s="225"/>
      <c r="I3448" s="225"/>
      <c r="J3448" s="168" t="str">
        <f>IF(VLOOKUP($D3439&amp;RIGHT($A3448,1),Players!$A$2:$D$132,3)&lt;&gt;0,"("&amp;VLOOKUP($D3439&amp;RIGHT($A3448,1),Players!$A$2:$D$132,4)&amp;")","")</f>
        <v/>
      </c>
    </row>
    <row r="3449" spans="1:10" ht="25.5" customHeight="1" x14ac:dyDescent="0.4">
      <c r="A3449" s="37" t="str">
        <f>CONCATENATE($I3439,"4")</f>
        <v>F4</v>
      </c>
      <c r="B3449" s="222" t="str">
        <f>IF(VLOOKUP($A3449,Players!$A$2:$C$132,3)&lt;&gt;0,VLOOKUP($A3449,Players!$A$2:$C$132,3),"")</f>
        <v/>
      </c>
      <c r="C3449" s="222"/>
      <c r="D3449" s="222"/>
      <c r="E3449" s="222"/>
      <c r="F3449" s="222"/>
      <c r="G3449" s="225" t="str">
        <f>IF(VLOOKUP($D3439&amp;RIGHT($A3449,1),Players!$A$2:$D$132,3)&lt;&gt;0,VLOOKUP($D3439&amp;RIGHT($A3449,1),Players!$A$2:$D$132,3),"")</f>
        <v/>
      </c>
      <c r="H3449" s="225"/>
      <c r="I3449" s="225"/>
      <c r="J3449" s="168" t="str">
        <f>IF(VLOOKUP($D3439&amp;RIGHT($A3449,1),Players!$A$2:$D$132,3)&lt;&gt;0,"("&amp;VLOOKUP($D3439&amp;RIGHT($A3449,1),Players!$A$2:$D$132,4)&amp;")","")</f>
        <v/>
      </c>
    </row>
    <row r="3450" spans="1:10" ht="25.5" customHeight="1" x14ac:dyDescent="0.4">
      <c r="A3450" s="37" t="str">
        <f>CONCATENATE($I3439,"5")</f>
        <v>F5</v>
      </c>
      <c r="B3450" s="222" t="str">
        <f>IF(VLOOKUP($A3450,Players!$A$2:$C$132,3)&lt;&gt;0,VLOOKUP($A3450,Players!$A$2:$C$132,3),"")</f>
        <v/>
      </c>
      <c r="C3450" s="222"/>
      <c r="D3450" s="222"/>
      <c r="E3450" s="222"/>
      <c r="F3450" s="222"/>
      <c r="G3450" s="225" t="str">
        <f>IF(VLOOKUP($D3439&amp;RIGHT($A3450,1),Players!$A$2:$D$132,3)&lt;&gt;0,VLOOKUP($D3439&amp;RIGHT($A3450,1),Players!$A$2:$D$132,3),"")</f>
        <v/>
      </c>
      <c r="H3450" s="225"/>
      <c r="I3450" s="225"/>
      <c r="J3450" s="168" t="str">
        <f>IF(VLOOKUP($D3439&amp;RIGHT($A3450,1),Players!$A$2:$D$132,3)&lt;&gt;0,"("&amp;VLOOKUP($D3439&amp;RIGHT($A3450,1),Players!$A$2:$D$132,4)&amp;")","")</f>
        <v/>
      </c>
    </row>
    <row r="3451" spans="1:10" ht="25.5" customHeight="1" x14ac:dyDescent="0.4">
      <c r="A3451" s="37" t="str">
        <f>CONCATENATE($I3439,"6")</f>
        <v>F6</v>
      </c>
      <c r="B3451" s="222" t="str">
        <f>IF(VLOOKUP($A3451,Players!$A$2:$C$132,3)&lt;&gt;0,VLOOKUP($A3451,Players!$A$2:$C$132,3),"")</f>
        <v/>
      </c>
      <c r="C3451" s="222"/>
      <c r="D3451" s="222"/>
      <c r="E3451" s="222"/>
      <c r="F3451" s="222"/>
      <c r="G3451" s="225" t="str">
        <f>IF(VLOOKUP($D3439&amp;RIGHT($A3451,1),Players!$A$2:$D$132,3)&lt;&gt;0,VLOOKUP($D3439&amp;RIGHT($A3451,1),Players!$A$2:$D$132,3),"")</f>
        <v/>
      </c>
      <c r="H3451" s="225"/>
      <c r="I3451" s="225"/>
      <c r="J3451" s="168" t="str">
        <f>IF(VLOOKUP($D3439&amp;RIGHT($A3451,1),Players!$A$2:$D$132,3)&lt;&gt;0,"("&amp;VLOOKUP($D3439&amp;RIGHT($A3451,1),Players!$A$2:$D$132,4)&amp;")","")</f>
        <v/>
      </c>
    </row>
    <row r="3452" spans="1:10" ht="25.5" customHeight="1" x14ac:dyDescent="0.4">
      <c r="A3452" s="37" t="str">
        <f>CONCATENATE($I3439,"7")</f>
        <v>F7</v>
      </c>
      <c r="B3452" s="222" t="str">
        <f>IF(VLOOKUP($A3452,Players!$A$2:$C$132,3)&lt;&gt;0,VLOOKUP($A3452,Players!$A$2:$C$132,3),"")</f>
        <v/>
      </c>
      <c r="C3452" s="222"/>
      <c r="D3452" s="222"/>
      <c r="E3452" s="222"/>
      <c r="F3452" s="222"/>
      <c r="G3452" s="225" t="str">
        <f>IF(VLOOKUP($D3439&amp;RIGHT($A3452,1),Players!$A$2:$D$132,3)&lt;&gt;0,VLOOKUP($D3439&amp;RIGHT($A3452,1),Players!$A$2:$D$132,3),"")</f>
        <v/>
      </c>
      <c r="H3452" s="225"/>
      <c r="I3452" s="225"/>
      <c r="J3452" s="168" t="str">
        <f>IF(VLOOKUP($D3439&amp;RIGHT($A3452,1),Players!$A$2:$D$132,3)&lt;&gt;0,"("&amp;VLOOKUP($D3439&amp;RIGHT($A3452,1),Players!$A$2:$D$132,4)&amp;")","")</f>
        <v/>
      </c>
    </row>
    <row r="3453" spans="1:10" ht="25.5" customHeight="1" x14ac:dyDescent="0.4">
      <c r="A3453" s="37" t="str">
        <f>CONCATENATE($I3439,"8")</f>
        <v>F8</v>
      </c>
      <c r="B3453" s="222" t="str">
        <f>IF(VLOOKUP($A3453,Players!$A$2:$C$132,3)&lt;&gt;0,VLOOKUP($A3453,Players!$A$2:$C$132,3),"")</f>
        <v/>
      </c>
      <c r="C3453" s="222"/>
      <c r="D3453" s="222"/>
      <c r="E3453" s="222"/>
      <c r="F3453" s="222"/>
      <c r="G3453" s="225" t="str">
        <f>IF(VLOOKUP($D3439&amp;RIGHT($A3453,1),Players!$A$2:$D$132,3)&lt;&gt;0,VLOOKUP($D3439&amp;RIGHT($A3453,1),Players!$A$2:$D$132,3),"")</f>
        <v/>
      </c>
      <c r="H3453" s="225"/>
      <c r="I3453" s="225"/>
      <c r="J3453" s="168" t="str">
        <f>IF(VLOOKUP($D3439&amp;RIGHT($A3453,1),Players!$A$2:$D$132,3)&lt;&gt;0,"("&amp;VLOOKUP($D3439&amp;RIGHT($A3453,1),Players!$A$2:$D$132,4)&amp;")","")</f>
        <v/>
      </c>
    </row>
    <row r="3454" spans="1:10" ht="25.5" customHeight="1" x14ac:dyDescent="0.25">
      <c r="A3454" s="37"/>
      <c r="B3454" s="7"/>
      <c r="C3454" s="7"/>
      <c r="D3454" s="7"/>
      <c r="E3454" s="7"/>
    </row>
    <row r="3455" spans="1:10" x14ac:dyDescent="0.25">
      <c r="A3455" s="9" t="s">
        <v>157</v>
      </c>
    </row>
    <row r="3456" spans="1:10" x14ac:dyDescent="0.25">
      <c r="A3456" t="s">
        <v>179</v>
      </c>
    </row>
    <row r="3457" spans="1:10" x14ac:dyDescent="0.25">
      <c r="A3457" s="55" t="s">
        <v>918</v>
      </c>
    </row>
    <row r="3458" spans="1:10" x14ac:dyDescent="0.25">
      <c r="A3458" t="s">
        <v>919</v>
      </c>
    </row>
    <row r="3459" spans="1:10" ht="25.5" customHeight="1" thickBot="1" x14ac:dyDescent="0.3">
      <c r="A3459" s="37"/>
    </row>
    <row r="3460" spans="1:10" x14ac:dyDescent="0.25">
      <c r="B3460" s="213"/>
      <c r="C3460" s="214"/>
      <c r="D3460" s="214"/>
      <c r="E3460" s="214"/>
      <c r="F3460" s="215"/>
    </row>
    <row r="3461" spans="1:10" ht="13.8" thickBot="1" x14ac:dyDescent="0.3">
      <c r="B3461" s="216"/>
      <c r="C3461" s="217"/>
      <c r="D3461" s="217"/>
      <c r="E3461" s="217"/>
      <c r="F3461" s="218"/>
    </row>
    <row r="3465" spans="1:10" ht="25.5" customHeight="1" x14ac:dyDescent="0.25">
      <c r="A3465" s="36"/>
      <c r="B3465" s="36"/>
      <c r="C3465" s="36"/>
      <c r="D3465" s="36"/>
      <c r="E3465" s="36"/>
      <c r="G3465" s="38"/>
      <c r="H3465" s="227" t="s">
        <v>159</v>
      </c>
      <c r="I3465" s="228"/>
    </row>
    <row r="3466" spans="1:10" x14ac:dyDescent="0.25">
      <c r="A3466" t="s">
        <v>158</v>
      </c>
    </row>
    <row r="3468" spans="1:10" x14ac:dyDescent="0.25">
      <c r="E3468" s="219" t="str">
        <f>CONCATENATE("(",$D3439," vs ",$I3439,")")</f>
        <v>(B vs F)</v>
      </c>
      <c r="F3468" s="219"/>
    </row>
    <row r="3469" spans="1:10" ht="15.6" x14ac:dyDescent="0.3">
      <c r="A3469" s="33" t="s">
        <v>155</v>
      </c>
      <c r="J3469" s="82" t="s">
        <v>573</v>
      </c>
    </row>
    <row r="3470" spans="1:10" ht="12.75" customHeight="1" x14ac:dyDescent="0.3">
      <c r="A3470" s="33"/>
      <c r="G3470" t="str">
        <f ca="1">Team_Matches!$J$6</f>
        <v>[NCTTA Teams Template (v3.4).xlsx]</v>
      </c>
      <c r="J3470" s="55"/>
    </row>
    <row r="3471" spans="1:10" ht="12.75" customHeight="1" x14ac:dyDescent="0.3">
      <c r="A3471" s="33"/>
      <c r="G3471" s="229" t="str">
        <f>Team_Matches!$J2608</f>
        <v>Round 9, Match 4</v>
      </c>
      <c r="H3471" s="229"/>
      <c r="I3471" s="127" t="str">
        <f>Team_Matches!$M2608</f>
        <v/>
      </c>
      <c r="J3471" s="127"/>
    </row>
    <row r="3472" spans="1:10" ht="15.6" x14ac:dyDescent="0.3">
      <c r="A3472" s="33"/>
    </row>
    <row r="3473" spans="1:10" x14ac:dyDescent="0.25">
      <c r="C3473" s="7" t="s">
        <v>160</v>
      </c>
      <c r="D3473" s="3" t="str">
        <f>Team_Matches!$B2610</f>
        <v>G</v>
      </c>
      <c r="F3473" s="83" t="str">
        <f>CONCATENATE($D3473,"-",$I3473)</f>
        <v>G-L</v>
      </c>
      <c r="H3473" s="7" t="s">
        <v>160</v>
      </c>
      <c r="I3473" s="39" t="str">
        <f>Team_Matches!$K2610</f>
        <v>L</v>
      </c>
    </row>
    <row r="3474" spans="1:10" ht="25.5" customHeight="1" x14ac:dyDescent="0.25">
      <c r="A3474" s="34"/>
      <c r="B3474" s="220" t="str">
        <f>IF(VLOOKUP($D3473,Draw!$A$4:$B$27,2)&lt;&gt;0,VLOOKUP($D3473,Draw!$A$4:$B$27,2),"")</f>
        <v/>
      </c>
      <c r="C3474" s="220"/>
      <c r="D3474" s="220"/>
      <c r="E3474" s="221"/>
      <c r="F3474" s="35"/>
      <c r="G3474" s="223" t="str">
        <f>IF(VLOOKUP($I3473,Draw!$A$4:$B$27,2)&lt;&gt;0,VLOOKUP($I3473,Draw!$A$4:$B$27,2),"")</f>
        <v/>
      </c>
      <c r="H3474" s="223"/>
      <c r="I3474" s="223"/>
      <c r="J3474" s="224"/>
    </row>
    <row r="3475" spans="1:10" ht="25.5" customHeight="1" x14ac:dyDescent="0.25"/>
    <row r="3476" spans="1:10" ht="25.5" customHeight="1" x14ac:dyDescent="0.25"/>
    <row r="3477" spans="1:10" ht="24" customHeight="1" x14ac:dyDescent="0.25">
      <c r="A3477" s="9" t="s">
        <v>178</v>
      </c>
    </row>
    <row r="3478" spans="1:10" ht="24" customHeight="1" x14ac:dyDescent="0.25">
      <c r="A3478" s="9"/>
    </row>
    <row r="3479" spans="1:10" x14ac:dyDescent="0.25">
      <c r="A3479" s="9" t="s">
        <v>156</v>
      </c>
      <c r="G3479" s="226" t="s">
        <v>873</v>
      </c>
      <c r="H3479" s="226"/>
      <c r="I3479" s="226"/>
      <c r="J3479" s="226"/>
    </row>
    <row r="3480" spans="1:10" ht="24" customHeight="1" x14ac:dyDescent="0.4">
      <c r="A3480" s="37" t="str">
        <f>CONCATENATE($D3473,"1")</f>
        <v>G1</v>
      </c>
      <c r="B3480" s="222" t="str">
        <f>IF(VLOOKUP($A3480,Players!$A$2:$C$132,3)&lt;&gt;0,VLOOKUP($A3480,Players!$A$2:$C$132,3),"")</f>
        <v/>
      </c>
      <c r="C3480" s="222"/>
      <c r="D3480" s="222"/>
      <c r="E3480" s="222"/>
      <c r="F3480" s="222"/>
      <c r="G3480" s="225" t="str">
        <f>IF(VLOOKUP($I3473&amp;RIGHT($A3480,1),Players!$A$2:$D$132,3)&lt;&gt;0,VLOOKUP($I3473&amp;RIGHT($A3480,1),Players!$A$2:$D$132,3),"")</f>
        <v/>
      </c>
      <c r="H3480" s="225"/>
      <c r="I3480" s="225"/>
      <c r="J3480" s="168" t="str">
        <f>IF(VLOOKUP($I3473&amp;RIGHT($A3480,1),Players!$A$2:$D$132,3)&lt;&gt;0,"("&amp;VLOOKUP($I3473&amp;RIGHT($A3480,1),Players!$A$2:$D$132,4)&amp;")","")</f>
        <v/>
      </c>
    </row>
    <row r="3481" spans="1:10" ht="25.5" customHeight="1" x14ac:dyDescent="0.4">
      <c r="A3481" s="37" t="str">
        <f>CONCATENATE($D3473,"2")</f>
        <v>G2</v>
      </c>
      <c r="B3481" s="222" t="str">
        <f>IF(VLOOKUP($A3481,Players!$A$2:$C$132,3)&lt;&gt;0,VLOOKUP($A3481,Players!$A$2:$C$132,3),"")</f>
        <v/>
      </c>
      <c r="C3481" s="222"/>
      <c r="D3481" s="222"/>
      <c r="E3481" s="222"/>
      <c r="F3481" s="222"/>
      <c r="G3481" s="225" t="str">
        <f>IF(VLOOKUP($I3473&amp;RIGHT($A3481,1),Players!$A$2:$D$132,3)&lt;&gt;0,VLOOKUP($I3473&amp;RIGHT($A3481,1),Players!$A$2:$D$132,3),"")</f>
        <v/>
      </c>
      <c r="H3481" s="225"/>
      <c r="I3481" s="225"/>
      <c r="J3481" s="168" t="str">
        <f>IF(VLOOKUP($I3473&amp;RIGHT($A3481,1),Players!$A$2:$D$132,3)&lt;&gt;0,"("&amp;VLOOKUP($I3473&amp;RIGHT($A3481,1),Players!$A$2:$D$132,4)&amp;")","")</f>
        <v/>
      </c>
    </row>
    <row r="3482" spans="1:10" ht="25.5" customHeight="1" x14ac:dyDescent="0.4">
      <c r="A3482" s="37" t="str">
        <f>CONCATENATE($D3473,"3")</f>
        <v>G3</v>
      </c>
      <c r="B3482" s="222" t="str">
        <f>IF(VLOOKUP($A3482,Players!$A$2:$C$132,3)&lt;&gt;0,VLOOKUP($A3482,Players!$A$2:$C$132,3),"")</f>
        <v/>
      </c>
      <c r="C3482" s="222"/>
      <c r="D3482" s="222"/>
      <c r="E3482" s="222"/>
      <c r="F3482" s="222"/>
      <c r="G3482" s="225" t="str">
        <f>IF(VLOOKUP($I3473&amp;RIGHT($A3482,1),Players!$A$2:$D$132,3)&lt;&gt;0,VLOOKUP($I3473&amp;RIGHT($A3482,1),Players!$A$2:$D$132,3),"")</f>
        <v/>
      </c>
      <c r="H3482" s="225"/>
      <c r="I3482" s="225"/>
      <c r="J3482" s="168" t="str">
        <f>IF(VLOOKUP($I3473&amp;RIGHT($A3482,1),Players!$A$2:$D$132,3)&lt;&gt;0,"("&amp;VLOOKUP($I3473&amp;RIGHT($A3482,1),Players!$A$2:$D$132,4)&amp;")","")</f>
        <v/>
      </c>
    </row>
    <row r="3483" spans="1:10" ht="25.5" customHeight="1" x14ac:dyDescent="0.4">
      <c r="A3483" s="37" t="str">
        <f>CONCATENATE($D3473,"4")</f>
        <v>G4</v>
      </c>
      <c r="B3483" s="222" t="str">
        <f>IF(VLOOKUP($A3483,Players!$A$2:$C$132,3)&lt;&gt;0,VLOOKUP($A3483,Players!$A$2:$C$132,3),"")</f>
        <v/>
      </c>
      <c r="C3483" s="222"/>
      <c r="D3483" s="222"/>
      <c r="E3483" s="222"/>
      <c r="F3483" s="222"/>
      <c r="G3483" s="225" t="str">
        <f>IF(VLOOKUP($I3473&amp;RIGHT($A3483,1),Players!$A$2:$D$132,3)&lt;&gt;0,VLOOKUP($I3473&amp;RIGHT($A3483,1),Players!$A$2:$D$132,3),"")</f>
        <v/>
      </c>
      <c r="H3483" s="225"/>
      <c r="I3483" s="225"/>
      <c r="J3483" s="168" t="str">
        <f>IF(VLOOKUP($I3473&amp;RIGHT($A3483,1),Players!$A$2:$D$132,3)&lt;&gt;0,"("&amp;VLOOKUP($I3473&amp;RIGHT($A3483,1),Players!$A$2:$D$132,4)&amp;")","")</f>
        <v/>
      </c>
    </row>
    <row r="3484" spans="1:10" ht="25.5" customHeight="1" x14ac:dyDescent="0.4">
      <c r="A3484" s="37" t="str">
        <f>CONCATENATE($D3473,"5")</f>
        <v>G5</v>
      </c>
      <c r="B3484" s="222" t="str">
        <f>IF(VLOOKUP($A3484,Players!$A$2:$C$132,3)&lt;&gt;0,VLOOKUP($A3484,Players!$A$2:$C$132,3),"")</f>
        <v/>
      </c>
      <c r="C3484" s="222"/>
      <c r="D3484" s="222"/>
      <c r="E3484" s="222"/>
      <c r="F3484" s="222"/>
      <c r="G3484" s="225" t="str">
        <f>IF(VLOOKUP($I3473&amp;RIGHT($A3484,1),Players!$A$2:$D$132,3)&lt;&gt;0,VLOOKUP($I3473&amp;RIGHT($A3484,1),Players!$A$2:$D$132,3),"")</f>
        <v/>
      </c>
      <c r="H3484" s="225"/>
      <c r="I3484" s="225"/>
      <c r="J3484" s="168" t="str">
        <f>IF(VLOOKUP($I3473&amp;RIGHT($A3484,1),Players!$A$2:$D$132,3)&lt;&gt;0,"("&amp;VLOOKUP($I3473&amp;RIGHT($A3484,1),Players!$A$2:$D$132,4)&amp;")","")</f>
        <v/>
      </c>
    </row>
    <row r="3485" spans="1:10" ht="25.5" customHeight="1" x14ac:dyDescent="0.4">
      <c r="A3485" s="37" t="str">
        <f>CONCATENATE($D3473,"6")</f>
        <v>G6</v>
      </c>
      <c r="B3485" s="222" t="str">
        <f>IF(VLOOKUP($A3485,Players!$A$2:$C$132,3)&lt;&gt;0,VLOOKUP($A3485,Players!$A$2:$C$132,3),"")</f>
        <v/>
      </c>
      <c r="C3485" s="222"/>
      <c r="D3485" s="222"/>
      <c r="E3485" s="222"/>
      <c r="F3485" s="222"/>
      <c r="G3485" s="225" t="str">
        <f>IF(VLOOKUP($I3473&amp;RIGHT($A3485,1),Players!$A$2:$D$132,3)&lt;&gt;0,VLOOKUP($I3473&amp;RIGHT($A3485,1),Players!$A$2:$D$132,3),"")</f>
        <v/>
      </c>
      <c r="H3485" s="225"/>
      <c r="I3485" s="225"/>
      <c r="J3485" s="168" t="str">
        <f>IF(VLOOKUP($I3473&amp;RIGHT($A3485,1),Players!$A$2:$D$132,3)&lt;&gt;0,"("&amp;VLOOKUP($I3473&amp;RIGHT($A3485,1),Players!$A$2:$D$132,4)&amp;")","")</f>
        <v/>
      </c>
    </row>
    <row r="3486" spans="1:10" ht="25.5" customHeight="1" x14ac:dyDescent="0.4">
      <c r="A3486" s="37" t="str">
        <f>CONCATENATE($D3473,"7")</f>
        <v>G7</v>
      </c>
      <c r="B3486" s="222" t="str">
        <f>IF(VLOOKUP($A3486,Players!$A$2:$C$132,3)&lt;&gt;0,VLOOKUP($A3486,Players!$A$2:$C$132,3),"")</f>
        <v/>
      </c>
      <c r="C3486" s="222"/>
      <c r="D3486" s="222"/>
      <c r="E3486" s="222"/>
      <c r="F3486" s="222"/>
      <c r="G3486" s="225" t="str">
        <f>IF(VLOOKUP($I3473&amp;RIGHT($A3486,1),Players!$A$2:$D$132,3)&lt;&gt;0,VLOOKUP($I3473&amp;RIGHT($A3486,1),Players!$A$2:$D$132,3),"")</f>
        <v/>
      </c>
      <c r="H3486" s="225"/>
      <c r="I3486" s="225"/>
      <c r="J3486" s="168" t="str">
        <f>IF(VLOOKUP($I3473&amp;RIGHT($A3486,1),Players!$A$2:$D$132,3)&lt;&gt;0,"("&amp;VLOOKUP($I3473&amp;RIGHT($A3486,1),Players!$A$2:$D$132,4)&amp;")","")</f>
        <v/>
      </c>
    </row>
    <row r="3487" spans="1:10" ht="25.5" customHeight="1" x14ac:dyDescent="0.4">
      <c r="A3487" s="37" t="str">
        <f>CONCATENATE($D3473,"8")</f>
        <v>G8</v>
      </c>
      <c r="B3487" s="222" t="str">
        <f>IF(VLOOKUP($A3487,Players!$A$2:$C$132,3)&lt;&gt;0,VLOOKUP($A3487,Players!$A$2:$C$132,3),"")</f>
        <v/>
      </c>
      <c r="C3487" s="222"/>
      <c r="D3487" s="222"/>
      <c r="E3487" s="222"/>
      <c r="F3487" s="222"/>
      <c r="G3487" s="225" t="str">
        <f>IF(VLOOKUP($I3473&amp;RIGHT($A3487,1),Players!$A$2:$D$132,3)&lt;&gt;0,VLOOKUP($I3473&amp;RIGHT($A3487,1),Players!$A$2:$D$132,3),"")</f>
        <v/>
      </c>
      <c r="H3487" s="225"/>
      <c r="I3487" s="225"/>
      <c r="J3487" s="168" t="str">
        <f>IF(VLOOKUP($I3473&amp;RIGHT($A3487,1),Players!$A$2:$D$132,3)&lt;&gt;0,"("&amp;VLOOKUP($I3473&amp;RIGHT($A3487,1),Players!$A$2:$D$132,4)&amp;")","")</f>
        <v/>
      </c>
    </row>
    <row r="3488" spans="1:10" ht="25.5" customHeight="1" x14ac:dyDescent="0.25">
      <c r="A3488" s="37"/>
      <c r="B3488" s="7"/>
      <c r="C3488" s="7"/>
      <c r="D3488" s="7"/>
      <c r="E3488" s="7"/>
    </row>
    <row r="3489" spans="1:10" x14ac:dyDescent="0.25">
      <c r="A3489" s="9" t="s">
        <v>157</v>
      </c>
    </row>
    <row r="3490" spans="1:10" x14ac:dyDescent="0.25">
      <c r="A3490" t="s">
        <v>179</v>
      </c>
    </row>
    <row r="3491" spans="1:10" x14ac:dyDescent="0.25">
      <c r="A3491" s="55" t="s">
        <v>918</v>
      </c>
    </row>
    <row r="3492" spans="1:10" x14ac:dyDescent="0.25">
      <c r="A3492" t="s">
        <v>919</v>
      </c>
    </row>
    <row r="3493" spans="1:10" ht="25.5" customHeight="1" thickBot="1" x14ac:dyDescent="0.3">
      <c r="A3493" s="37"/>
    </row>
    <row r="3494" spans="1:10" x14ac:dyDescent="0.25">
      <c r="B3494" s="213"/>
      <c r="C3494" s="214"/>
      <c r="D3494" s="214"/>
      <c r="E3494" s="214"/>
      <c r="F3494" s="215"/>
    </row>
    <row r="3495" spans="1:10" ht="13.8" thickBot="1" x14ac:dyDescent="0.3">
      <c r="B3495" s="216"/>
      <c r="C3495" s="217"/>
      <c r="D3495" s="217"/>
      <c r="E3495" s="217"/>
      <c r="F3495" s="218"/>
    </row>
    <row r="3499" spans="1:10" ht="25.5" customHeight="1" x14ac:dyDescent="0.25">
      <c r="A3499" s="36"/>
      <c r="B3499" s="36"/>
      <c r="C3499" s="36"/>
      <c r="D3499" s="36"/>
      <c r="E3499" s="36"/>
      <c r="G3499" s="38"/>
      <c r="H3499" s="227" t="s">
        <v>159</v>
      </c>
      <c r="I3499" s="228"/>
    </row>
    <row r="3500" spans="1:10" x14ac:dyDescent="0.25">
      <c r="A3500" t="s">
        <v>158</v>
      </c>
    </row>
    <row r="3502" spans="1:10" x14ac:dyDescent="0.25">
      <c r="E3502" s="219" t="str">
        <f>CONCATENATE("(",$D3473," vs ",$I3473,")")</f>
        <v>(G vs L)</v>
      </c>
      <c r="F3502" s="219"/>
    </row>
    <row r="3503" spans="1:10" ht="15.6" x14ac:dyDescent="0.3">
      <c r="A3503" s="33" t="s">
        <v>155</v>
      </c>
      <c r="J3503" s="82" t="s">
        <v>574</v>
      </c>
    </row>
    <row r="3504" spans="1:10" ht="12.75" customHeight="1" x14ac:dyDescent="0.3">
      <c r="A3504" s="33"/>
      <c r="G3504" t="str">
        <f ca="1">Team_Matches!$J$6</f>
        <v>[NCTTA Teams Template (v3.4).xlsx]</v>
      </c>
      <c r="J3504" s="55"/>
    </row>
    <row r="3505" spans="1:10" ht="12.75" customHeight="1" x14ac:dyDescent="0.3">
      <c r="A3505" s="33"/>
      <c r="G3505" s="229" t="str">
        <f>Team_Matches!$J2608</f>
        <v>Round 9, Match 4</v>
      </c>
      <c r="H3505" s="229"/>
      <c r="I3505" s="127" t="str">
        <f>Team_Matches!$M2608</f>
        <v/>
      </c>
      <c r="J3505" s="127"/>
    </row>
    <row r="3506" spans="1:10" ht="15.6" x14ac:dyDescent="0.3">
      <c r="A3506" s="33"/>
    </row>
    <row r="3507" spans="1:10" x14ac:dyDescent="0.25">
      <c r="C3507" s="7" t="s">
        <v>160</v>
      </c>
      <c r="D3507" s="3" t="str">
        <f>Team_Matches!$B2610</f>
        <v>G</v>
      </c>
      <c r="F3507" s="83" t="str">
        <f>CONCATENATE($D3507,"-",$I3507)</f>
        <v>G-L</v>
      </c>
      <c r="H3507" s="7" t="s">
        <v>160</v>
      </c>
      <c r="I3507" s="39" t="str">
        <f>Team_Matches!$K2610</f>
        <v>L</v>
      </c>
    </row>
    <row r="3508" spans="1:10" ht="25.5" customHeight="1" x14ac:dyDescent="0.25">
      <c r="A3508" s="34"/>
      <c r="B3508" s="223" t="str">
        <f>IF(VLOOKUP($D3507,Draw!$A$4:$B$27,2)&lt;&gt;0,VLOOKUP($D3507,Draw!$A$4:$B$27,2),"")</f>
        <v/>
      </c>
      <c r="C3508" s="223"/>
      <c r="D3508" s="223"/>
      <c r="E3508" s="224"/>
      <c r="F3508" s="35"/>
      <c r="G3508" s="220" t="str">
        <f>IF(VLOOKUP($I3507,Draw!$A$4:$B$27,2)&lt;&gt;0,VLOOKUP($I3507,Draw!$A$4:$B$27,2),"")</f>
        <v/>
      </c>
      <c r="H3508" s="220"/>
      <c r="I3508" s="220"/>
      <c r="J3508" s="221"/>
    </row>
    <row r="3509" spans="1:10" ht="25.5" customHeight="1" x14ac:dyDescent="0.25"/>
    <row r="3510" spans="1:10" ht="25.5" customHeight="1" x14ac:dyDescent="0.25"/>
    <row r="3511" spans="1:10" ht="24" customHeight="1" x14ac:dyDescent="0.25">
      <c r="A3511" s="9" t="s">
        <v>178</v>
      </c>
    </row>
    <row r="3512" spans="1:10" ht="24" customHeight="1" x14ac:dyDescent="0.25">
      <c r="A3512" s="9"/>
    </row>
    <row r="3513" spans="1:10" x14ac:dyDescent="0.25">
      <c r="A3513" s="9" t="s">
        <v>156</v>
      </c>
      <c r="G3513" s="226" t="s">
        <v>873</v>
      </c>
      <c r="H3513" s="226"/>
      <c r="I3513" s="226"/>
      <c r="J3513" s="226"/>
    </row>
    <row r="3514" spans="1:10" ht="24" customHeight="1" x14ac:dyDescent="0.4">
      <c r="A3514" s="37" t="str">
        <f>CONCATENATE($I3507,"1")</f>
        <v>L1</v>
      </c>
      <c r="B3514" s="222" t="str">
        <f>IF(VLOOKUP($A3514,Players!$A$2:$C$132,3)&lt;&gt;0,VLOOKUP($A3514,Players!$A$2:$C$132,3),"")</f>
        <v/>
      </c>
      <c r="C3514" s="222"/>
      <c r="D3514" s="222"/>
      <c r="E3514" s="222"/>
      <c r="F3514" s="222"/>
      <c r="G3514" s="225" t="str">
        <f>IF(VLOOKUP($D3507&amp;RIGHT($A3514,1),Players!$A$2:$D$132,3)&lt;&gt;0,VLOOKUP($D3507&amp;RIGHT($A3514,1),Players!$A$2:$D$132,3),"")</f>
        <v/>
      </c>
      <c r="H3514" s="225"/>
      <c r="I3514" s="225"/>
      <c r="J3514" s="168" t="str">
        <f>IF(VLOOKUP($D3507&amp;RIGHT($A3514,1),Players!$A$2:$D$132,3)&lt;&gt;0,"("&amp;VLOOKUP($D3507&amp;RIGHT($A3514,1),Players!$A$2:$D$132,4)&amp;")","")</f>
        <v/>
      </c>
    </row>
    <row r="3515" spans="1:10" ht="25.5" customHeight="1" x14ac:dyDescent="0.4">
      <c r="A3515" s="37" t="str">
        <f>CONCATENATE($I3507,"2")</f>
        <v>L2</v>
      </c>
      <c r="B3515" s="222" t="str">
        <f>IF(VLOOKUP($A3515,Players!$A$2:$C$132,3)&lt;&gt;0,VLOOKUP($A3515,Players!$A$2:$C$132,3),"")</f>
        <v/>
      </c>
      <c r="C3515" s="222"/>
      <c r="D3515" s="222"/>
      <c r="E3515" s="222"/>
      <c r="F3515" s="222"/>
      <c r="G3515" s="225" t="str">
        <f>IF(VLOOKUP($D3507&amp;RIGHT($A3515,1),Players!$A$2:$D$132,3)&lt;&gt;0,VLOOKUP($D3507&amp;RIGHT($A3515,1),Players!$A$2:$D$132,3),"")</f>
        <v/>
      </c>
      <c r="H3515" s="225"/>
      <c r="I3515" s="225"/>
      <c r="J3515" s="168" t="str">
        <f>IF(VLOOKUP($D3507&amp;RIGHT($A3515,1),Players!$A$2:$D$132,3)&lt;&gt;0,"("&amp;VLOOKUP($D3507&amp;RIGHT($A3515,1),Players!$A$2:$D$132,4)&amp;")","")</f>
        <v/>
      </c>
    </row>
    <row r="3516" spans="1:10" ht="25.5" customHeight="1" x14ac:dyDescent="0.4">
      <c r="A3516" s="37" t="str">
        <f>CONCATENATE($I3507,"3")</f>
        <v>L3</v>
      </c>
      <c r="B3516" s="222" t="str">
        <f>IF(VLOOKUP($A3516,Players!$A$2:$C$132,3)&lt;&gt;0,VLOOKUP($A3516,Players!$A$2:$C$132,3),"")</f>
        <v/>
      </c>
      <c r="C3516" s="222"/>
      <c r="D3516" s="222"/>
      <c r="E3516" s="222"/>
      <c r="F3516" s="222"/>
      <c r="G3516" s="225" t="str">
        <f>IF(VLOOKUP($D3507&amp;RIGHT($A3516,1),Players!$A$2:$D$132,3)&lt;&gt;0,VLOOKUP($D3507&amp;RIGHT($A3516,1),Players!$A$2:$D$132,3),"")</f>
        <v/>
      </c>
      <c r="H3516" s="225"/>
      <c r="I3516" s="225"/>
      <c r="J3516" s="168" t="str">
        <f>IF(VLOOKUP($D3507&amp;RIGHT($A3516,1),Players!$A$2:$D$132,3)&lt;&gt;0,"("&amp;VLOOKUP($D3507&amp;RIGHT($A3516,1),Players!$A$2:$D$132,4)&amp;")","")</f>
        <v/>
      </c>
    </row>
    <row r="3517" spans="1:10" ht="25.5" customHeight="1" x14ac:dyDescent="0.4">
      <c r="A3517" s="37" t="str">
        <f>CONCATENATE($I3507,"4")</f>
        <v>L4</v>
      </c>
      <c r="B3517" s="222" t="str">
        <f>IF(VLOOKUP($A3517,Players!$A$2:$C$132,3)&lt;&gt;0,VLOOKUP($A3517,Players!$A$2:$C$132,3),"")</f>
        <v/>
      </c>
      <c r="C3517" s="222"/>
      <c r="D3517" s="222"/>
      <c r="E3517" s="222"/>
      <c r="F3517" s="222"/>
      <c r="G3517" s="225" t="str">
        <f>IF(VLOOKUP($D3507&amp;RIGHT($A3517,1),Players!$A$2:$D$132,3)&lt;&gt;0,VLOOKUP($D3507&amp;RIGHT($A3517,1),Players!$A$2:$D$132,3),"")</f>
        <v/>
      </c>
      <c r="H3517" s="225"/>
      <c r="I3517" s="225"/>
      <c r="J3517" s="168" t="str">
        <f>IF(VLOOKUP($D3507&amp;RIGHT($A3517,1),Players!$A$2:$D$132,3)&lt;&gt;0,"("&amp;VLOOKUP($D3507&amp;RIGHT($A3517,1),Players!$A$2:$D$132,4)&amp;")","")</f>
        <v/>
      </c>
    </row>
    <row r="3518" spans="1:10" ht="25.5" customHeight="1" x14ac:dyDescent="0.4">
      <c r="A3518" s="37" t="str">
        <f>CONCATENATE($I3507,"5")</f>
        <v>L5</v>
      </c>
      <c r="B3518" s="222" t="str">
        <f>IF(VLOOKUP($A3518,Players!$A$2:$C$132,3)&lt;&gt;0,VLOOKUP($A3518,Players!$A$2:$C$132,3),"")</f>
        <v/>
      </c>
      <c r="C3518" s="222"/>
      <c r="D3518" s="222"/>
      <c r="E3518" s="222"/>
      <c r="F3518" s="222"/>
      <c r="G3518" s="225" t="str">
        <f>IF(VLOOKUP($D3507&amp;RIGHT($A3518,1),Players!$A$2:$D$132,3)&lt;&gt;0,VLOOKUP($D3507&amp;RIGHT($A3518,1),Players!$A$2:$D$132,3),"")</f>
        <v/>
      </c>
      <c r="H3518" s="225"/>
      <c r="I3518" s="225"/>
      <c r="J3518" s="168" t="str">
        <f>IF(VLOOKUP($D3507&amp;RIGHT($A3518,1),Players!$A$2:$D$132,3)&lt;&gt;0,"("&amp;VLOOKUP($D3507&amp;RIGHT($A3518,1),Players!$A$2:$D$132,4)&amp;")","")</f>
        <v/>
      </c>
    </row>
    <row r="3519" spans="1:10" ht="25.5" customHeight="1" x14ac:dyDescent="0.4">
      <c r="A3519" s="37" t="str">
        <f>CONCATENATE($I3507,"6")</f>
        <v>L6</v>
      </c>
      <c r="B3519" s="222" t="str">
        <f>IF(VLOOKUP($A3519,Players!$A$2:$C$132,3)&lt;&gt;0,VLOOKUP($A3519,Players!$A$2:$C$132,3),"")</f>
        <v/>
      </c>
      <c r="C3519" s="222"/>
      <c r="D3519" s="222"/>
      <c r="E3519" s="222"/>
      <c r="F3519" s="222"/>
      <c r="G3519" s="225" t="str">
        <f>IF(VLOOKUP($D3507&amp;RIGHT($A3519,1),Players!$A$2:$D$132,3)&lt;&gt;0,VLOOKUP($D3507&amp;RIGHT($A3519,1),Players!$A$2:$D$132,3),"")</f>
        <v/>
      </c>
      <c r="H3519" s="225"/>
      <c r="I3519" s="225"/>
      <c r="J3519" s="168" t="str">
        <f>IF(VLOOKUP($D3507&amp;RIGHT($A3519,1),Players!$A$2:$D$132,3)&lt;&gt;0,"("&amp;VLOOKUP($D3507&amp;RIGHT($A3519,1),Players!$A$2:$D$132,4)&amp;")","")</f>
        <v/>
      </c>
    </row>
    <row r="3520" spans="1:10" ht="25.5" customHeight="1" x14ac:dyDescent="0.4">
      <c r="A3520" s="37" t="str">
        <f>CONCATENATE($I3507,"7")</f>
        <v>L7</v>
      </c>
      <c r="B3520" s="222" t="str">
        <f>IF(VLOOKUP($A3520,Players!$A$2:$C$132,3)&lt;&gt;0,VLOOKUP($A3520,Players!$A$2:$C$132,3),"")</f>
        <v/>
      </c>
      <c r="C3520" s="222"/>
      <c r="D3520" s="222"/>
      <c r="E3520" s="222"/>
      <c r="F3520" s="222"/>
      <c r="G3520" s="225" t="str">
        <f>IF(VLOOKUP($D3507&amp;RIGHT($A3520,1),Players!$A$2:$D$132,3)&lt;&gt;0,VLOOKUP($D3507&amp;RIGHT($A3520,1),Players!$A$2:$D$132,3),"")</f>
        <v/>
      </c>
      <c r="H3520" s="225"/>
      <c r="I3520" s="225"/>
      <c r="J3520" s="168" t="str">
        <f>IF(VLOOKUP($D3507&amp;RIGHT($A3520,1),Players!$A$2:$D$132,3)&lt;&gt;0,"("&amp;VLOOKUP($D3507&amp;RIGHT($A3520,1),Players!$A$2:$D$132,4)&amp;")","")</f>
        <v/>
      </c>
    </row>
    <row r="3521" spans="1:10" ht="25.5" customHeight="1" x14ac:dyDescent="0.4">
      <c r="A3521" s="37" t="str">
        <f>CONCATENATE($I3507,"8")</f>
        <v>L8</v>
      </c>
      <c r="B3521" s="222" t="str">
        <f>IF(VLOOKUP($A3521,Players!$A$2:$C$132,3)&lt;&gt;0,VLOOKUP($A3521,Players!$A$2:$C$132,3),"")</f>
        <v/>
      </c>
      <c r="C3521" s="222"/>
      <c r="D3521" s="222"/>
      <c r="E3521" s="222"/>
      <c r="F3521" s="222"/>
      <c r="G3521" s="225" t="str">
        <f>IF(VLOOKUP($D3507&amp;RIGHT($A3521,1),Players!$A$2:$D$132,3)&lt;&gt;0,VLOOKUP($D3507&amp;RIGHT($A3521,1),Players!$A$2:$D$132,3),"")</f>
        <v/>
      </c>
      <c r="H3521" s="225"/>
      <c r="I3521" s="225"/>
      <c r="J3521" s="168" t="str">
        <f>IF(VLOOKUP($D3507&amp;RIGHT($A3521,1),Players!$A$2:$D$132,3)&lt;&gt;0,"("&amp;VLOOKUP($D3507&amp;RIGHT($A3521,1),Players!$A$2:$D$132,4)&amp;")","")</f>
        <v/>
      </c>
    </row>
    <row r="3522" spans="1:10" ht="25.5" customHeight="1" x14ac:dyDescent="0.25">
      <c r="A3522" s="37"/>
      <c r="B3522" s="7"/>
      <c r="C3522" s="7"/>
      <c r="D3522" s="7"/>
      <c r="E3522" s="7"/>
    </row>
    <row r="3523" spans="1:10" x14ac:dyDescent="0.25">
      <c r="A3523" s="9" t="s">
        <v>157</v>
      </c>
    </row>
    <row r="3524" spans="1:10" x14ac:dyDescent="0.25">
      <c r="A3524" t="s">
        <v>179</v>
      </c>
    </row>
    <row r="3525" spans="1:10" x14ac:dyDescent="0.25">
      <c r="A3525" s="55" t="s">
        <v>918</v>
      </c>
    </row>
    <row r="3526" spans="1:10" x14ac:dyDescent="0.25">
      <c r="A3526" t="s">
        <v>919</v>
      </c>
    </row>
    <row r="3527" spans="1:10" ht="25.5" customHeight="1" thickBot="1" x14ac:dyDescent="0.3">
      <c r="A3527" s="37"/>
    </row>
    <row r="3528" spans="1:10" x14ac:dyDescent="0.25">
      <c r="B3528" s="213"/>
      <c r="C3528" s="214"/>
      <c r="D3528" s="214"/>
      <c r="E3528" s="214"/>
      <c r="F3528" s="215"/>
    </row>
    <row r="3529" spans="1:10" ht="13.8" thickBot="1" x14ac:dyDescent="0.3">
      <c r="B3529" s="216"/>
      <c r="C3529" s="217"/>
      <c r="D3529" s="217"/>
      <c r="E3529" s="217"/>
      <c r="F3529" s="218"/>
    </row>
    <row r="3533" spans="1:10" ht="25.5" customHeight="1" x14ac:dyDescent="0.25">
      <c r="A3533" s="36"/>
      <c r="B3533" s="36"/>
      <c r="C3533" s="36"/>
      <c r="D3533" s="36"/>
      <c r="E3533" s="36"/>
      <c r="G3533" s="38"/>
      <c r="H3533" s="227" t="s">
        <v>159</v>
      </c>
      <c r="I3533" s="228"/>
    </row>
    <row r="3534" spans="1:10" x14ac:dyDescent="0.25">
      <c r="A3534" t="s">
        <v>158</v>
      </c>
    </row>
    <row r="3536" spans="1:10" x14ac:dyDescent="0.25">
      <c r="E3536" s="219" t="str">
        <f>CONCATENATE("(",$D3507," vs ",$I3507,")")</f>
        <v>(G vs L)</v>
      </c>
      <c r="F3536" s="219"/>
    </row>
    <row r="3537" spans="1:10" ht="15.6" x14ac:dyDescent="0.3">
      <c r="A3537" s="33" t="s">
        <v>155</v>
      </c>
      <c r="J3537" s="82" t="s">
        <v>575</v>
      </c>
    </row>
    <row r="3538" spans="1:10" ht="12.75" customHeight="1" x14ac:dyDescent="0.3">
      <c r="A3538" s="33"/>
      <c r="G3538" t="str">
        <f ca="1">Team_Matches!$J$6</f>
        <v>[NCTTA Teams Template (v3.4).xlsx]</v>
      </c>
      <c r="J3538" s="55"/>
    </row>
    <row r="3539" spans="1:10" ht="12.75" customHeight="1" x14ac:dyDescent="0.3">
      <c r="A3539" s="33"/>
      <c r="G3539" s="229" t="str">
        <f>Team_Matches!$J2659</f>
        <v>Round 9, Match 5</v>
      </c>
      <c r="H3539" s="229"/>
      <c r="I3539" s="127" t="str">
        <f>Team_Matches!$M2659</f>
        <v/>
      </c>
      <c r="J3539" s="127"/>
    </row>
    <row r="3540" spans="1:10" ht="15.6" x14ac:dyDescent="0.3">
      <c r="A3540" s="33"/>
    </row>
    <row r="3541" spans="1:10" x14ac:dyDescent="0.25">
      <c r="C3541" s="7" t="s">
        <v>160</v>
      </c>
      <c r="D3541" s="39" t="str">
        <f>Team_Matches!$B2661</f>
        <v>H</v>
      </c>
      <c r="F3541" s="83" t="str">
        <f>CONCATENATE($D3541,"-",$I3541)</f>
        <v>H-K</v>
      </c>
      <c r="H3541" s="7" t="s">
        <v>160</v>
      </c>
      <c r="I3541" s="39" t="str">
        <f>Team_Matches!$K2661</f>
        <v>K</v>
      </c>
    </row>
    <row r="3542" spans="1:10" ht="25.5" customHeight="1" x14ac:dyDescent="0.25">
      <c r="A3542" s="34"/>
      <c r="B3542" s="220" t="str">
        <f>IF(VLOOKUP($D3541,Draw!$A$4:$B$27,2)&lt;&gt;0,VLOOKUP($D3541,Draw!$A$4:$B$27,2),"")</f>
        <v/>
      </c>
      <c r="C3542" s="220"/>
      <c r="D3542" s="220"/>
      <c r="E3542" s="221"/>
      <c r="F3542" s="35"/>
      <c r="G3542" s="223" t="str">
        <f>IF(VLOOKUP($I3541,Draw!$A$4:$B$27,2)&lt;&gt;0,VLOOKUP($I3541,Draw!$A$4:$B$27,2),"")</f>
        <v/>
      </c>
      <c r="H3542" s="223"/>
      <c r="I3542" s="223"/>
      <c r="J3542" s="224"/>
    </row>
    <row r="3543" spans="1:10" ht="25.5" customHeight="1" x14ac:dyDescent="0.25"/>
    <row r="3544" spans="1:10" ht="25.5" customHeight="1" x14ac:dyDescent="0.25"/>
    <row r="3545" spans="1:10" ht="24" customHeight="1" x14ac:dyDescent="0.25">
      <c r="A3545" s="9" t="s">
        <v>178</v>
      </c>
    </row>
    <row r="3546" spans="1:10" ht="24" customHeight="1" x14ac:dyDescent="0.25">
      <c r="A3546" s="9"/>
    </row>
    <row r="3547" spans="1:10" x14ac:dyDescent="0.25">
      <c r="A3547" s="9" t="s">
        <v>156</v>
      </c>
      <c r="G3547" s="226" t="s">
        <v>873</v>
      </c>
      <c r="H3547" s="226"/>
      <c r="I3547" s="226"/>
      <c r="J3547" s="226"/>
    </row>
    <row r="3548" spans="1:10" ht="24" customHeight="1" x14ac:dyDescent="0.4">
      <c r="A3548" s="37" t="str">
        <f>CONCATENATE($D3541,"1")</f>
        <v>H1</v>
      </c>
      <c r="B3548" s="222" t="str">
        <f>IF(VLOOKUP($A3548,Players!$A$2:$C$132,3)&lt;&gt;0,VLOOKUP($A3548,Players!$A$2:$C$132,3),"")</f>
        <v/>
      </c>
      <c r="C3548" s="222"/>
      <c r="D3548" s="222"/>
      <c r="E3548" s="222"/>
      <c r="F3548" s="222"/>
      <c r="G3548" s="225" t="str">
        <f>IF(VLOOKUP($I3541&amp;RIGHT($A3548,1),Players!$A$2:$D$132,3)&lt;&gt;0,VLOOKUP($I3541&amp;RIGHT($A3548,1),Players!$A$2:$D$132,3),"")</f>
        <v/>
      </c>
      <c r="H3548" s="225"/>
      <c r="I3548" s="225"/>
      <c r="J3548" s="168" t="str">
        <f>IF(VLOOKUP($I3541&amp;RIGHT($A3548,1),Players!$A$2:$D$132,3)&lt;&gt;0,"("&amp;VLOOKUP($I3541&amp;RIGHT($A3548,1),Players!$A$2:$D$132,4)&amp;")","")</f>
        <v/>
      </c>
    </row>
    <row r="3549" spans="1:10" ht="25.5" customHeight="1" x14ac:dyDescent="0.4">
      <c r="A3549" s="37" t="str">
        <f>CONCATENATE($D3541,"2")</f>
        <v>H2</v>
      </c>
      <c r="B3549" s="222" t="str">
        <f>IF(VLOOKUP($A3549,Players!$A$2:$C$132,3)&lt;&gt;0,VLOOKUP($A3549,Players!$A$2:$C$132,3),"")</f>
        <v/>
      </c>
      <c r="C3549" s="222"/>
      <c r="D3549" s="222"/>
      <c r="E3549" s="222"/>
      <c r="F3549" s="222"/>
      <c r="G3549" s="225" t="str">
        <f>IF(VLOOKUP($I3541&amp;RIGHT($A3549,1),Players!$A$2:$D$132,3)&lt;&gt;0,VLOOKUP($I3541&amp;RIGHT($A3549,1),Players!$A$2:$D$132,3),"")</f>
        <v/>
      </c>
      <c r="H3549" s="225"/>
      <c r="I3549" s="225"/>
      <c r="J3549" s="168" t="str">
        <f>IF(VLOOKUP($I3541&amp;RIGHT($A3549,1),Players!$A$2:$D$132,3)&lt;&gt;0,"("&amp;VLOOKUP($I3541&amp;RIGHT($A3549,1),Players!$A$2:$D$132,4)&amp;")","")</f>
        <v/>
      </c>
    </row>
    <row r="3550" spans="1:10" ht="25.5" customHeight="1" x14ac:dyDescent="0.4">
      <c r="A3550" s="37" t="str">
        <f>CONCATENATE($D3541,"3")</f>
        <v>H3</v>
      </c>
      <c r="B3550" s="222" t="str">
        <f>IF(VLOOKUP($A3550,Players!$A$2:$C$132,3)&lt;&gt;0,VLOOKUP($A3550,Players!$A$2:$C$132,3),"")</f>
        <v/>
      </c>
      <c r="C3550" s="222"/>
      <c r="D3550" s="222"/>
      <c r="E3550" s="222"/>
      <c r="F3550" s="222"/>
      <c r="G3550" s="225" t="str">
        <f>IF(VLOOKUP($I3541&amp;RIGHT($A3550,1),Players!$A$2:$D$132,3)&lt;&gt;0,VLOOKUP($I3541&amp;RIGHT($A3550,1),Players!$A$2:$D$132,3),"")</f>
        <v/>
      </c>
      <c r="H3550" s="225"/>
      <c r="I3550" s="225"/>
      <c r="J3550" s="168" t="str">
        <f>IF(VLOOKUP($I3541&amp;RIGHT($A3550,1),Players!$A$2:$D$132,3)&lt;&gt;0,"("&amp;VLOOKUP($I3541&amp;RIGHT($A3550,1),Players!$A$2:$D$132,4)&amp;")","")</f>
        <v/>
      </c>
    </row>
    <row r="3551" spans="1:10" ht="25.5" customHeight="1" x14ac:dyDescent="0.4">
      <c r="A3551" s="37" t="str">
        <f>CONCATENATE($D3541,"4")</f>
        <v>H4</v>
      </c>
      <c r="B3551" s="222" t="str">
        <f>IF(VLOOKUP($A3551,Players!$A$2:$C$132,3)&lt;&gt;0,VLOOKUP($A3551,Players!$A$2:$C$132,3),"")</f>
        <v/>
      </c>
      <c r="C3551" s="222"/>
      <c r="D3551" s="222"/>
      <c r="E3551" s="222"/>
      <c r="F3551" s="222"/>
      <c r="G3551" s="225" t="str">
        <f>IF(VLOOKUP($I3541&amp;RIGHT($A3551,1),Players!$A$2:$D$132,3)&lt;&gt;0,VLOOKUP($I3541&amp;RIGHT($A3551,1),Players!$A$2:$D$132,3),"")</f>
        <v/>
      </c>
      <c r="H3551" s="225"/>
      <c r="I3551" s="225"/>
      <c r="J3551" s="168" t="str">
        <f>IF(VLOOKUP($I3541&amp;RIGHT($A3551,1),Players!$A$2:$D$132,3)&lt;&gt;0,"("&amp;VLOOKUP($I3541&amp;RIGHT($A3551,1),Players!$A$2:$D$132,4)&amp;")","")</f>
        <v/>
      </c>
    </row>
    <row r="3552" spans="1:10" ht="25.5" customHeight="1" x14ac:dyDescent="0.4">
      <c r="A3552" s="37" t="str">
        <f>CONCATENATE($D3541,"5")</f>
        <v>H5</v>
      </c>
      <c r="B3552" s="222" t="str">
        <f>IF(VLOOKUP($A3552,Players!$A$2:$C$132,3)&lt;&gt;0,VLOOKUP($A3552,Players!$A$2:$C$132,3),"")</f>
        <v/>
      </c>
      <c r="C3552" s="222"/>
      <c r="D3552" s="222"/>
      <c r="E3552" s="222"/>
      <c r="F3552" s="222"/>
      <c r="G3552" s="225" t="str">
        <f>IF(VLOOKUP($I3541&amp;RIGHT($A3552,1),Players!$A$2:$D$132,3)&lt;&gt;0,VLOOKUP($I3541&amp;RIGHT($A3552,1),Players!$A$2:$D$132,3),"")</f>
        <v/>
      </c>
      <c r="H3552" s="225"/>
      <c r="I3552" s="225"/>
      <c r="J3552" s="168" t="str">
        <f>IF(VLOOKUP($I3541&amp;RIGHT($A3552,1),Players!$A$2:$D$132,3)&lt;&gt;0,"("&amp;VLOOKUP($I3541&amp;RIGHT($A3552,1),Players!$A$2:$D$132,4)&amp;")","")</f>
        <v/>
      </c>
    </row>
    <row r="3553" spans="1:10" ht="25.5" customHeight="1" x14ac:dyDescent="0.4">
      <c r="A3553" s="37" t="str">
        <f>CONCATENATE($D3541,"6")</f>
        <v>H6</v>
      </c>
      <c r="B3553" s="222" t="str">
        <f>IF(VLOOKUP($A3553,Players!$A$2:$C$132,3)&lt;&gt;0,VLOOKUP($A3553,Players!$A$2:$C$132,3),"")</f>
        <v/>
      </c>
      <c r="C3553" s="222"/>
      <c r="D3553" s="222"/>
      <c r="E3553" s="222"/>
      <c r="F3553" s="222"/>
      <c r="G3553" s="225" t="str">
        <f>IF(VLOOKUP($I3541&amp;RIGHT($A3553,1),Players!$A$2:$D$132,3)&lt;&gt;0,VLOOKUP($I3541&amp;RIGHT($A3553,1),Players!$A$2:$D$132,3),"")</f>
        <v/>
      </c>
      <c r="H3553" s="225"/>
      <c r="I3553" s="225"/>
      <c r="J3553" s="168" t="str">
        <f>IF(VLOOKUP($I3541&amp;RIGHT($A3553,1),Players!$A$2:$D$132,3)&lt;&gt;0,"("&amp;VLOOKUP($I3541&amp;RIGHT($A3553,1),Players!$A$2:$D$132,4)&amp;")","")</f>
        <v/>
      </c>
    </row>
    <row r="3554" spans="1:10" ht="25.5" customHeight="1" x14ac:dyDescent="0.4">
      <c r="A3554" s="37" t="str">
        <f>CONCATENATE($D3541,"7")</f>
        <v>H7</v>
      </c>
      <c r="B3554" s="222" t="str">
        <f>IF(VLOOKUP($A3554,Players!$A$2:$C$132,3)&lt;&gt;0,VLOOKUP($A3554,Players!$A$2:$C$132,3),"")</f>
        <v/>
      </c>
      <c r="C3554" s="222"/>
      <c r="D3554" s="222"/>
      <c r="E3554" s="222"/>
      <c r="F3554" s="222"/>
      <c r="G3554" s="225" t="str">
        <f>IF(VLOOKUP($I3541&amp;RIGHT($A3554,1),Players!$A$2:$D$132,3)&lt;&gt;0,VLOOKUP($I3541&amp;RIGHT($A3554,1),Players!$A$2:$D$132,3),"")</f>
        <v/>
      </c>
      <c r="H3554" s="225"/>
      <c r="I3554" s="225"/>
      <c r="J3554" s="168" t="str">
        <f>IF(VLOOKUP($I3541&amp;RIGHT($A3554,1),Players!$A$2:$D$132,3)&lt;&gt;0,"("&amp;VLOOKUP($I3541&amp;RIGHT($A3554,1),Players!$A$2:$D$132,4)&amp;")","")</f>
        <v/>
      </c>
    </row>
    <row r="3555" spans="1:10" ht="25.5" customHeight="1" x14ac:dyDescent="0.4">
      <c r="A3555" s="37" t="str">
        <f>CONCATENATE($D3541,"8")</f>
        <v>H8</v>
      </c>
      <c r="B3555" s="222" t="str">
        <f>IF(VLOOKUP($A3555,Players!$A$2:$C$132,3)&lt;&gt;0,VLOOKUP($A3555,Players!$A$2:$C$132,3),"")</f>
        <v/>
      </c>
      <c r="C3555" s="222"/>
      <c r="D3555" s="222"/>
      <c r="E3555" s="222"/>
      <c r="F3555" s="222"/>
      <c r="G3555" s="225" t="str">
        <f>IF(VLOOKUP($I3541&amp;RIGHT($A3555,1),Players!$A$2:$D$132,3)&lt;&gt;0,VLOOKUP($I3541&amp;RIGHT($A3555,1),Players!$A$2:$D$132,3),"")</f>
        <v/>
      </c>
      <c r="H3555" s="225"/>
      <c r="I3555" s="225"/>
      <c r="J3555" s="168" t="str">
        <f>IF(VLOOKUP($I3541&amp;RIGHT($A3555,1),Players!$A$2:$D$132,3)&lt;&gt;0,"("&amp;VLOOKUP($I3541&amp;RIGHT($A3555,1),Players!$A$2:$D$132,4)&amp;")","")</f>
        <v/>
      </c>
    </row>
    <row r="3556" spans="1:10" ht="25.5" customHeight="1" x14ac:dyDescent="0.25">
      <c r="A3556" s="37"/>
      <c r="B3556" s="7"/>
      <c r="C3556" s="7"/>
      <c r="D3556" s="7"/>
      <c r="E3556" s="7"/>
    </row>
    <row r="3557" spans="1:10" x14ac:dyDescent="0.25">
      <c r="A3557" s="9" t="s">
        <v>157</v>
      </c>
    </row>
    <row r="3558" spans="1:10" x14ac:dyDescent="0.25">
      <c r="A3558" t="s">
        <v>179</v>
      </c>
    </row>
    <row r="3559" spans="1:10" x14ac:dyDescent="0.25">
      <c r="A3559" s="55" t="s">
        <v>918</v>
      </c>
    </row>
    <row r="3560" spans="1:10" x14ac:dyDescent="0.25">
      <c r="A3560" t="s">
        <v>919</v>
      </c>
    </row>
    <row r="3561" spans="1:10" ht="25.5" customHeight="1" thickBot="1" x14ac:dyDescent="0.3">
      <c r="A3561" s="37"/>
    </row>
    <row r="3562" spans="1:10" x14ac:dyDescent="0.25">
      <c r="B3562" s="213"/>
      <c r="C3562" s="214"/>
      <c r="D3562" s="214"/>
      <c r="E3562" s="214"/>
      <c r="F3562" s="215"/>
    </row>
    <row r="3563" spans="1:10" ht="13.8" thickBot="1" x14ac:dyDescent="0.3">
      <c r="B3563" s="216"/>
      <c r="C3563" s="217"/>
      <c r="D3563" s="217"/>
      <c r="E3563" s="217"/>
      <c r="F3563" s="218"/>
    </row>
    <row r="3567" spans="1:10" ht="25.5" customHeight="1" x14ac:dyDescent="0.25">
      <c r="A3567" s="36"/>
      <c r="B3567" s="36"/>
      <c r="C3567" s="36"/>
      <c r="D3567" s="36"/>
      <c r="E3567" s="36"/>
      <c r="G3567" s="38"/>
      <c r="H3567" s="227" t="s">
        <v>159</v>
      </c>
      <c r="I3567" s="228"/>
    </row>
    <row r="3568" spans="1:10" x14ac:dyDescent="0.25">
      <c r="A3568" t="s">
        <v>158</v>
      </c>
    </row>
    <row r="3570" spans="1:10" x14ac:dyDescent="0.25">
      <c r="E3570" s="219" t="str">
        <f>CONCATENATE("(",$D3541," vs ",$I3541,")")</f>
        <v>(H vs K)</v>
      </c>
      <c r="F3570" s="219"/>
    </row>
    <row r="3571" spans="1:10" ht="15.6" x14ac:dyDescent="0.3">
      <c r="A3571" s="33" t="s">
        <v>155</v>
      </c>
      <c r="J3571" s="82" t="s">
        <v>576</v>
      </c>
    </row>
    <row r="3572" spans="1:10" ht="12.75" customHeight="1" x14ac:dyDescent="0.3">
      <c r="A3572" s="33"/>
      <c r="G3572" t="str">
        <f ca="1">Team_Matches!$J$6</f>
        <v>[NCTTA Teams Template (v3.4).xlsx]</v>
      </c>
      <c r="J3572" s="55"/>
    </row>
    <row r="3573" spans="1:10" ht="12.75" customHeight="1" x14ac:dyDescent="0.3">
      <c r="A3573" s="33"/>
      <c r="G3573" s="229" t="str">
        <f>Team_Matches!$J2659</f>
        <v>Round 9, Match 5</v>
      </c>
      <c r="H3573" s="229"/>
      <c r="I3573" s="127" t="str">
        <f>Team_Matches!$M2659</f>
        <v/>
      </c>
      <c r="J3573" s="127"/>
    </row>
    <row r="3574" spans="1:10" ht="15.6" x14ac:dyDescent="0.3">
      <c r="A3574" s="33"/>
    </row>
    <row r="3575" spans="1:10" x14ac:dyDescent="0.25">
      <c r="C3575" s="7" t="s">
        <v>160</v>
      </c>
      <c r="D3575" s="39" t="str">
        <f>Team_Matches!$B2661</f>
        <v>H</v>
      </c>
      <c r="F3575" s="83" t="str">
        <f>CONCATENATE($D3575,"-",$I3575)</f>
        <v>H-K</v>
      </c>
      <c r="H3575" s="7" t="s">
        <v>160</v>
      </c>
      <c r="I3575" s="39" t="str">
        <f>Team_Matches!$K2661</f>
        <v>K</v>
      </c>
    </row>
    <row r="3576" spans="1:10" ht="25.5" customHeight="1" x14ac:dyDescent="0.25">
      <c r="A3576" s="34"/>
      <c r="B3576" s="223" t="str">
        <f>IF(VLOOKUP($D3575,Draw!$A$4:$B$27,2)&lt;&gt;0,VLOOKUP($D3575,Draw!$A$4:$B$27,2),"")</f>
        <v/>
      </c>
      <c r="C3576" s="223"/>
      <c r="D3576" s="223"/>
      <c r="E3576" s="224"/>
      <c r="F3576" s="35"/>
      <c r="G3576" s="220" t="str">
        <f>IF(VLOOKUP($I3575,Draw!$A$4:$B$27,2)&lt;&gt;0,VLOOKUP($I3575,Draw!$A$4:$B$27,2),"")</f>
        <v/>
      </c>
      <c r="H3576" s="220"/>
      <c r="I3576" s="220"/>
      <c r="J3576" s="221"/>
    </row>
    <row r="3577" spans="1:10" ht="25.5" customHeight="1" x14ac:dyDescent="0.25"/>
    <row r="3578" spans="1:10" ht="25.5" customHeight="1" x14ac:dyDescent="0.25"/>
    <row r="3579" spans="1:10" ht="24" customHeight="1" x14ac:dyDescent="0.25">
      <c r="A3579" s="9" t="s">
        <v>178</v>
      </c>
    </row>
    <row r="3580" spans="1:10" ht="24" customHeight="1" x14ac:dyDescent="0.25">
      <c r="A3580" s="9"/>
    </row>
    <row r="3581" spans="1:10" x14ac:dyDescent="0.25">
      <c r="A3581" s="9" t="s">
        <v>156</v>
      </c>
      <c r="G3581" s="226" t="s">
        <v>873</v>
      </c>
      <c r="H3581" s="226"/>
      <c r="I3581" s="226"/>
      <c r="J3581" s="226"/>
    </row>
    <row r="3582" spans="1:10" ht="24" customHeight="1" x14ac:dyDescent="0.4">
      <c r="A3582" s="37" t="str">
        <f>CONCATENATE($I3575,"1")</f>
        <v>K1</v>
      </c>
      <c r="B3582" s="222" t="str">
        <f>IF(VLOOKUP($A3582,Players!$A$2:$C$132,3)&lt;&gt;0,VLOOKUP($A3582,Players!$A$2:$C$132,3),"")</f>
        <v/>
      </c>
      <c r="C3582" s="222"/>
      <c r="D3582" s="222"/>
      <c r="E3582" s="222"/>
      <c r="F3582" s="222"/>
      <c r="G3582" s="225" t="str">
        <f>IF(VLOOKUP($D3575&amp;RIGHT($A3582,1),Players!$A$2:$D$132,3)&lt;&gt;0,VLOOKUP($D3575&amp;RIGHT($A3582,1),Players!$A$2:$D$132,3),"")</f>
        <v/>
      </c>
      <c r="H3582" s="225"/>
      <c r="I3582" s="225"/>
      <c r="J3582" s="168" t="str">
        <f>IF(VLOOKUP($D3575&amp;RIGHT($A3582,1),Players!$A$2:$D$132,3)&lt;&gt;0,"("&amp;VLOOKUP($D3575&amp;RIGHT($A3582,1),Players!$A$2:$D$132,4)&amp;")","")</f>
        <v/>
      </c>
    </row>
    <row r="3583" spans="1:10" ht="25.5" customHeight="1" x14ac:dyDescent="0.4">
      <c r="A3583" s="37" t="str">
        <f>CONCATENATE($I3575,"2")</f>
        <v>K2</v>
      </c>
      <c r="B3583" s="222" t="str">
        <f>IF(VLOOKUP($A3583,Players!$A$2:$C$132,3)&lt;&gt;0,VLOOKUP($A3583,Players!$A$2:$C$132,3),"")</f>
        <v/>
      </c>
      <c r="C3583" s="222"/>
      <c r="D3583" s="222"/>
      <c r="E3583" s="222"/>
      <c r="F3583" s="222"/>
      <c r="G3583" s="225" t="str">
        <f>IF(VLOOKUP($D3575&amp;RIGHT($A3583,1),Players!$A$2:$D$132,3)&lt;&gt;0,VLOOKUP($D3575&amp;RIGHT($A3583,1),Players!$A$2:$D$132,3),"")</f>
        <v/>
      </c>
      <c r="H3583" s="225"/>
      <c r="I3583" s="225"/>
      <c r="J3583" s="168" t="str">
        <f>IF(VLOOKUP($D3575&amp;RIGHT($A3583,1),Players!$A$2:$D$132,3)&lt;&gt;0,"("&amp;VLOOKUP($D3575&amp;RIGHT($A3583,1),Players!$A$2:$D$132,4)&amp;")","")</f>
        <v/>
      </c>
    </row>
    <row r="3584" spans="1:10" ht="25.5" customHeight="1" x14ac:dyDescent="0.4">
      <c r="A3584" s="37" t="str">
        <f>CONCATENATE($I3575,"3")</f>
        <v>K3</v>
      </c>
      <c r="B3584" s="222" t="str">
        <f>IF(VLOOKUP($A3584,Players!$A$2:$C$132,3)&lt;&gt;0,VLOOKUP($A3584,Players!$A$2:$C$132,3),"")</f>
        <v/>
      </c>
      <c r="C3584" s="222"/>
      <c r="D3584" s="222"/>
      <c r="E3584" s="222"/>
      <c r="F3584" s="222"/>
      <c r="G3584" s="225" t="str">
        <f>IF(VLOOKUP($D3575&amp;RIGHT($A3584,1),Players!$A$2:$D$132,3)&lt;&gt;0,VLOOKUP($D3575&amp;RIGHT($A3584,1),Players!$A$2:$D$132,3),"")</f>
        <v/>
      </c>
      <c r="H3584" s="225"/>
      <c r="I3584" s="225"/>
      <c r="J3584" s="168" t="str">
        <f>IF(VLOOKUP($D3575&amp;RIGHT($A3584,1),Players!$A$2:$D$132,3)&lt;&gt;0,"("&amp;VLOOKUP($D3575&amp;RIGHT($A3584,1),Players!$A$2:$D$132,4)&amp;")","")</f>
        <v/>
      </c>
    </row>
    <row r="3585" spans="1:10" ht="25.5" customHeight="1" x14ac:dyDescent="0.4">
      <c r="A3585" s="37" t="str">
        <f>CONCATENATE($I3575,"4")</f>
        <v>K4</v>
      </c>
      <c r="B3585" s="222" t="str">
        <f>IF(VLOOKUP($A3585,Players!$A$2:$C$132,3)&lt;&gt;0,VLOOKUP($A3585,Players!$A$2:$C$132,3),"")</f>
        <v/>
      </c>
      <c r="C3585" s="222"/>
      <c r="D3585" s="222"/>
      <c r="E3585" s="222"/>
      <c r="F3585" s="222"/>
      <c r="G3585" s="225" t="str">
        <f>IF(VLOOKUP($D3575&amp;RIGHT($A3585,1),Players!$A$2:$D$132,3)&lt;&gt;0,VLOOKUP($D3575&amp;RIGHT($A3585,1),Players!$A$2:$D$132,3),"")</f>
        <v/>
      </c>
      <c r="H3585" s="225"/>
      <c r="I3585" s="225"/>
      <c r="J3585" s="168" t="str">
        <f>IF(VLOOKUP($D3575&amp;RIGHT($A3585,1),Players!$A$2:$D$132,3)&lt;&gt;0,"("&amp;VLOOKUP($D3575&amp;RIGHT($A3585,1),Players!$A$2:$D$132,4)&amp;")","")</f>
        <v/>
      </c>
    </row>
    <row r="3586" spans="1:10" ht="25.5" customHeight="1" x14ac:dyDescent="0.4">
      <c r="A3586" s="37" t="str">
        <f>CONCATENATE($I3575,"5")</f>
        <v>K5</v>
      </c>
      <c r="B3586" s="222" t="str">
        <f>IF(VLOOKUP($A3586,Players!$A$2:$C$132,3)&lt;&gt;0,VLOOKUP($A3586,Players!$A$2:$C$132,3),"")</f>
        <v/>
      </c>
      <c r="C3586" s="222"/>
      <c r="D3586" s="222"/>
      <c r="E3586" s="222"/>
      <c r="F3586" s="222"/>
      <c r="G3586" s="225" t="str">
        <f>IF(VLOOKUP($D3575&amp;RIGHT($A3586,1),Players!$A$2:$D$132,3)&lt;&gt;0,VLOOKUP($D3575&amp;RIGHT($A3586,1),Players!$A$2:$D$132,3),"")</f>
        <v/>
      </c>
      <c r="H3586" s="225"/>
      <c r="I3586" s="225"/>
      <c r="J3586" s="168" t="str">
        <f>IF(VLOOKUP($D3575&amp;RIGHT($A3586,1),Players!$A$2:$D$132,3)&lt;&gt;0,"("&amp;VLOOKUP($D3575&amp;RIGHT($A3586,1),Players!$A$2:$D$132,4)&amp;")","")</f>
        <v/>
      </c>
    </row>
    <row r="3587" spans="1:10" ht="25.5" customHeight="1" x14ac:dyDescent="0.4">
      <c r="A3587" s="37" t="str">
        <f>CONCATENATE($I3575,"6")</f>
        <v>K6</v>
      </c>
      <c r="B3587" s="222" t="str">
        <f>IF(VLOOKUP($A3587,Players!$A$2:$C$132,3)&lt;&gt;0,VLOOKUP($A3587,Players!$A$2:$C$132,3),"")</f>
        <v/>
      </c>
      <c r="C3587" s="222"/>
      <c r="D3587" s="222"/>
      <c r="E3587" s="222"/>
      <c r="F3587" s="222"/>
      <c r="G3587" s="225" t="str">
        <f>IF(VLOOKUP($D3575&amp;RIGHT($A3587,1),Players!$A$2:$D$132,3)&lt;&gt;0,VLOOKUP($D3575&amp;RIGHT($A3587,1),Players!$A$2:$D$132,3),"")</f>
        <v/>
      </c>
      <c r="H3587" s="225"/>
      <c r="I3587" s="225"/>
      <c r="J3587" s="168" t="str">
        <f>IF(VLOOKUP($D3575&amp;RIGHT($A3587,1),Players!$A$2:$D$132,3)&lt;&gt;0,"("&amp;VLOOKUP($D3575&amp;RIGHT($A3587,1),Players!$A$2:$D$132,4)&amp;")","")</f>
        <v/>
      </c>
    </row>
    <row r="3588" spans="1:10" ht="25.5" customHeight="1" x14ac:dyDescent="0.4">
      <c r="A3588" s="37" t="str">
        <f>CONCATENATE($I3575,"7")</f>
        <v>K7</v>
      </c>
      <c r="B3588" s="222" t="str">
        <f>IF(VLOOKUP($A3588,Players!$A$2:$C$132,3)&lt;&gt;0,VLOOKUP($A3588,Players!$A$2:$C$132,3),"")</f>
        <v/>
      </c>
      <c r="C3588" s="222"/>
      <c r="D3588" s="222"/>
      <c r="E3588" s="222"/>
      <c r="F3588" s="222"/>
      <c r="G3588" s="225" t="str">
        <f>IF(VLOOKUP($D3575&amp;RIGHT($A3588,1),Players!$A$2:$D$132,3)&lt;&gt;0,VLOOKUP($D3575&amp;RIGHT($A3588,1),Players!$A$2:$D$132,3),"")</f>
        <v/>
      </c>
      <c r="H3588" s="225"/>
      <c r="I3588" s="225"/>
      <c r="J3588" s="168" t="str">
        <f>IF(VLOOKUP($D3575&amp;RIGHT($A3588,1),Players!$A$2:$D$132,3)&lt;&gt;0,"("&amp;VLOOKUP($D3575&amp;RIGHT($A3588,1),Players!$A$2:$D$132,4)&amp;")","")</f>
        <v/>
      </c>
    </row>
    <row r="3589" spans="1:10" ht="25.5" customHeight="1" x14ac:dyDescent="0.4">
      <c r="A3589" s="37" t="str">
        <f>CONCATENATE($I3575,"8")</f>
        <v>K8</v>
      </c>
      <c r="B3589" s="222" t="str">
        <f>IF(VLOOKUP($A3589,Players!$A$2:$C$132,3)&lt;&gt;0,VLOOKUP($A3589,Players!$A$2:$C$132,3),"")</f>
        <v/>
      </c>
      <c r="C3589" s="222"/>
      <c r="D3589" s="222"/>
      <c r="E3589" s="222"/>
      <c r="F3589" s="222"/>
      <c r="G3589" s="225" t="str">
        <f>IF(VLOOKUP($D3575&amp;RIGHT($A3589,1),Players!$A$2:$D$132,3)&lt;&gt;0,VLOOKUP($D3575&amp;RIGHT($A3589,1),Players!$A$2:$D$132,3),"")</f>
        <v/>
      </c>
      <c r="H3589" s="225"/>
      <c r="I3589" s="225"/>
      <c r="J3589" s="168" t="str">
        <f>IF(VLOOKUP($D3575&amp;RIGHT($A3589,1),Players!$A$2:$D$132,3)&lt;&gt;0,"("&amp;VLOOKUP($D3575&amp;RIGHT($A3589,1),Players!$A$2:$D$132,4)&amp;")","")</f>
        <v/>
      </c>
    </row>
    <row r="3590" spans="1:10" ht="25.5" customHeight="1" x14ac:dyDescent="0.25">
      <c r="A3590" s="37"/>
      <c r="B3590" s="7"/>
      <c r="C3590" s="7"/>
      <c r="D3590" s="7"/>
      <c r="E3590" s="7"/>
    </row>
    <row r="3591" spans="1:10" x14ac:dyDescent="0.25">
      <c r="A3591" s="9" t="s">
        <v>157</v>
      </c>
    </row>
    <row r="3592" spans="1:10" x14ac:dyDescent="0.25">
      <c r="A3592" t="s">
        <v>179</v>
      </c>
    </row>
    <row r="3593" spans="1:10" x14ac:dyDescent="0.25">
      <c r="A3593" s="55" t="s">
        <v>918</v>
      </c>
    </row>
    <row r="3594" spans="1:10" x14ac:dyDescent="0.25">
      <c r="A3594" t="s">
        <v>919</v>
      </c>
    </row>
    <row r="3595" spans="1:10" ht="25.5" customHeight="1" thickBot="1" x14ac:dyDescent="0.3">
      <c r="A3595" s="37"/>
    </row>
    <row r="3596" spans="1:10" x14ac:dyDescent="0.25">
      <c r="B3596" s="213"/>
      <c r="C3596" s="214"/>
      <c r="D3596" s="214"/>
      <c r="E3596" s="214"/>
      <c r="F3596" s="215"/>
    </row>
    <row r="3597" spans="1:10" ht="13.8" thickBot="1" x14ac:dyDescent="0.3">
      <c r="B3597" s="216"/>
      <c r="C3597" s="217"/>
      <c r="D3597" s="217"/>
      <c r="E3597" s="217"/>
      <c r="F3597" s="218"/>
    </row>
    <row r="3601" spans="1:10" ht="25.5" customHeight="1" x14ac:dyDescent="0.25">
      <c r="A3601" s="36"/>
      <c r="B3601" s="36"/>
      <c r="C3601" s="36"/>
      <c r="D3601" s="36"/>
      <c r="E3601" s="36"/>
      <c r="G3601" s="38"/>
      <c r="H3601" s="227" t="s">
        <v>159</v>
      </c>
      <c r="I3601" s="228"/>
    </row>
    <row r="3602" spans="1:10" x14ac:dyDescent="0.25">
      <c r="A3602" t="s">
        <v>158</v>
      </c>
    </row>
    <row r="3604" spans="1:10" x14ac:dyDescent="0.25">
      <c r="E3604" s="219" t="str">
        <f>CONCATENATE("(",$D3575," vs ",$I3575,")")</f>
        <v>(H vs K)</v>
      </c>
      <c r="F3604" s="219"/>
    </row>
    <row r="3605" spans="1:10" ht="15.6" x14ac:dyDescent="0.3">
      <c r="A3605" s="33" t="s">
        <v>155</v>
      </c>
      <c r="J3605" s="82" t="s">
        <v>577</v>
      </c>
    </row>
    <row r="3606" spans="1:10" ht="12.75" customHeight="1" x14ac:dyDescent="0.3">
      <c r="A3606" s="33"/>
      <c r="G3606" t="str">
        <f ca="1">Team_Matches!$J$6</f>
        <v>[NCTTA Teams Template (v3.4).xlsx]</v>
      </c>
      <c r="J3606" s="55"/>
    </row>
    <row r="3607" spans="1:10" ht="12.75" customHeight="1" x14ac:dyDescent="0.3">
      <c r="A3607" s="33"/>
      <c r="G3607" s="229" t="str">
        <f>Team_Matches!$J2710</f>
        <v>Round 9, Match 6</v>
      </c>
      <c r="H3607" s="229"/>
      <c r="I3607" s="127" t="str">
        <f>Team_Matches!$M2710</f>
        <v/>
      </c>
      <c r="J3607" s="127"/>
    </row>
    <row r="3608" spans="1:10" ht="15.6" x14ac:dyDescent="0.3">
      <c r="A3608" s="33"/>
    </row>
    <row r="3609" spans="1:10" x14ac:dyDescent="0.25">
      <c r="C3609" s="7" t="s">
        <v>160</v>
      </c>
      <c r="D3609" s="39" t="str">
        <f>Team_Matches!$B2712</f>
        <v>I</v>
      </c>
      <c r="F3609" s="83" t="str">
        <f>CONCATENATE($D3609,"-",$I3609)</f>
        <v>I-J</v>
      </c>
      <c r="H3609" s="7" t="s">
        <v>160</v>
      </c>
      <c r="I3609" s="39" t="str">
        <f>Team_Matches!$K2712</f>
        <v>J</v>
      </c>
    </row>
    <row r="3610" spans="1:10" ht="25.5" customHeight="1" x14ac:dyDescent="0.25">
      <c r="A3610" s="34"/>
      <c r="B3610" s="220" t="str">
        <f>IF(VLOOKUP($D3609,Draw!$A$4:$B$27,2)&lt;&gt;0,VLOOKUP($D3609,Draw!$A$4:$B$27,2),"")</f>
        <v/>
      </c>
      <c r="C3610" s="220"/>
      <c r="D3610" s="220"/>
      <c r="E3610" s="221"/>
      <c r="F3610" s="35"/>
      <c r="G3610" s="223" t="str">
        <f>IF(VLOOKUP($I3609,Draw!$A$4:$B$27,2)&lt;&gt;0,VLOOKUP($I3609,Draw!$A$4:$B$27,2),"")</f>
        <v/>
      </c>
      <c r="H3610" s="223"/>
      <c r="I3610" s="223"/>
      <c r="J3610" s="224"/>
    </row>
    <row r="3611" spans="1:10" ht="25.5" customHeight="1" x14ac:dyDescent="0.25"/>
    <row r="3612" spans="1:10" ht="25.5" customHeight="1" x14ac:dyDescent="0.25"/>
    <row r="3613" spans="1:10" ht="24" customHeight="1" x14ac:dyDescent="0.25">
      <c r="A3613" s="9" t="s">
        <v>178</v>
      </c>
    </row>
    <row r="3614" spans="1:10" ht="24" customHeight="1" x14ac:dyDescent="0.25">
      <c r="A3614" s="9"/>
    </row>
    <row r="3615" spans="1:10" x14ac:dyDescent="0.25">
      <c r="A3615" s="9" t="s">
        <v>156</v>
      </c>
      <c r="G3615" s="226" t="s">
        <v>873</v>
      </c>
      <c r="H3615" s="226"/>
      <c r="I3615" s="226"/>
      <c r="J3615" s="226"/>
    </row>
    <row r="3616" spans="1:10" ht="24" customHeight="1" x14ac:dyDescent="0.4">
      <c r="A3616" s="37" t="str">
        <f>CONCATENATE($D3609,"1")</f>
        <v>I1</v>
      </c>
      <c r="B3616" s="222" t="str">
        <f>IF(VLOOKUP($A3616,Players!$A$2:$C$132,3)&lt;&gt;0,VLOOKUP($A3616,Players!$A$2:$C$132,3),"")</f>
        <v/>
      </c>
      <c r="C3616" s="222"/>
      <c r="D3616" s="222"/>
      <c r="E3616" s="222"/>
      <c r="F3616" s="222"/>
      <c r="G3616" s="225" t="str">
        <f>IF(VLOOKUP($I3609&amp;RIGHT($A3616,1),Players!$A$2:$D$132,3)&lt;&gt;0,VLOOKUP($I3609&amp;RIGHT($A3616,1),Players!$A$2:$D$132,3),"")</f>
        <v/>
      </c>
      <c r="H3616" s="225"/>
      <c r="I3616" s="225"/>
      <c r="J3616" s="168" t="str">
        <f>IF(VLOOKUP($I3609&amp;RIGHT($A3616,1),Players!$A$2:$D$132,3)&lt;&gt;0,"("&amp;VLOOKUP($I3609&amp;RIGHT($A3616,1),Players!$A$2:$D$132,4)&amp;")","")</f>
        <v/>
      </c>
    </row>
    <row r="3617" spans="1:10" ht="25.5" customHeight="1" x14ac:dyDescent="0.4">
      <c r="A3617" s="37" t="str">
        <f>CONCATENATE($D3609,"2")</f>
        <v>I2</v>
      </c>
      <c r="B3617" s="222" t="str">
        <f>IF(VLOOKUP($A3617,Players!$A$2:$C$132,3)&lt;&gt;0,VLOOKUP($A3617,Players!$A$2:$C$132,3),"")</f>
        <v/>
      </c>
      <c r="C3617" s="222"/>
      <c r="D3617" s="222"/>
      <c r="E3617" s="222"/>
      <c r="F3617" s="222"/>
      <c r="G3617" s="225" t="str">
        <f>IF(VLOOKUP($I3609&amp;RIGHT($A3617,1),Players!$A$2:$D$132,3)&lt;&gt;0,VLOOKUP($I3609&amp;RIGHT($A3617,1),Players!$A$2:$D$132,3),"")</f>
        <v/>
      </c>
      <c r="H3617" s="225"/>
      <c r="I3617" s="225"/>
      <c r="J3617" s="168" t="str">
        <f>IF(VLOOKUP($I3609&amp;RIGHT($A3617,1),Players!$A$2:$D$132,3)&lt;&gt;0,"("&amp;VLOOKUP($I3609&amp;RIGHT($A3617,1),Players!$A$2:$D$132,4)&amp;")","")</f>
        <v/>
      </c>
    </row>
    <row r="3618" spans="1:10" ht="25.5" customHeight="1" x14ac:dyDescent="0.4">
      <c r="A3618" s="37" t="str">
        <f>CONCATENATE($D3609,"3")</f>
        <v>I3</v>
      </c>
      <c r="B3618" s="222" t="str">
        <f>IF(VLOOKUP($A3618,Players!$A$2:$C$132,3)&lt;&gt;0,VLOOKUP($A3618,Players!$A$2:$C$132,3),"")</f>
        <v/>
      </c>
      <c r="C3618" s="222"/>
      <c r="D3618" s="222"/>
      <c r="E3618" s="222"/>
      <c r="F3618" s="222"/>
      <c r="G3618" s="225" t="str">
        <f>IF(VLOOKUP($I3609&amp;RIGHT($A3618,1),Players!$A$2:$D$132,3)&lt;&gt;0,VLOOKUP($I3609&amp;RIGHT($A3618,1),Players!$A$2:$D$132,3),"")</f>
        <v/>
      </c>
      <c r="H3618" s="225"/>
      <c r="I3618" s="225"/>
      <c r="J3618" s="168" t="str">
        <f>IF(VLOOKUP($I3609&amp;RIGHT($A3618,1),Players!$A$2:$D$132,3)&lt;&gt;0,"("&amp;VLOOKUP($I3609&amp;RIGHT($A3618,1),Players!$A$2:$D$132,4)&amp;")","")</f>
        <v/>
      </c>
    </row>
    <row r="3619" spans="1:10" ht="25.5" customHeight="1" x14ac:dyDescent="0.4">
      <c r="A3619" s="37" t="str">
        <f>CONCATENATE($D3609,"4")</f>
        <v>I4</v>
      </c>
      <c r="B3619" s="222" t="str">
        <f>IF(VLOOKUP($A3619,Players!$A$2:$C$132,3)&lt;&gt;0,VLOOKUP($A3619,Players!$A$2:$C$132,3),"")</f>
        <v/>
      </c>
      <c r="C3619" s="222"/>
      <c r="D3619" s="222"/>
      <c r="E3619" s="222"/>
      <c r="F3619" s="222"/>
      <c r="G3619" s="225" t="str">
        <f>IF(VLOOKUP($I3609&amp;RIGHT($A3619,1),Players!$A$2:$D$132,3)&lt;&gt;0,VLOOKUP($I3609&amp;RIGHT($A3619,1),Players!$A$2:$D$132,3),"")</f>
        <v/>
      </c>
      <c r="H3619" s="225"/>
      <c r="I3619" s="225"/>
      <c r="J3619" s="168" t="str">
        <f>IF(VLOOKUP($I3609&amp;RIGHT($A3619,1),Players!$A$2:$D$132,3)&lt;&gt;0,"("&amp;VLOOKUP($I3609&amp;RIGHT($A3619,1),Players!$A$2:$D$132,4)&amp;")","")</f>
        <v/>
      </c>
    </row>
    <row r="3620" spans="1:10" ht="25.5" customHeight="1" x14ac:dyDescent="0.4">
      <c r="A3620" s="37" t="str">
        <f>CONCATENATE($D3609,"5")</f>
        <v>I5</v>
      </c>
      <c r="B3620" s="222" t="str">
        <f>IF(VLOOKUP($A3620,Players!$A$2:$C$132,3)&lt;&gt;0,VLOOKUP($A3620,Players!$A$2:$C$132,3),"")</f>
        <v/>
      </c>
      <c r="C3620" s="222"/>
      <c r="D3620" s="222"/>
      <c r="E3620" s="222"/>
      <c r="F3620" s="222"/>
      <c r="G3620" s="225" t="str">
        <f>IF(VLOOKUP($I3609&amp;RIGHT($A3620,1),Players!$A$2:$D$132,3)&lt;&gt;0,VLOOKUP($I3609&amp;RIGHT($A3620,1),Players!$A$2:$D$132,3),"")</f>
        <v/>
      </c>
      <c r="H3620" s="225"/>
      <c r="I3620" s="225"/>
      <c r="J3620" s="168" t="str">
        <f>IF(VLOOKUP($I3609&amp;RIGHT($A3620,1),Players!$A$2:$D$132,3)&lt;&gt;0,"("&amp;VLOOKUP($I3609&amp;RIGHT($A3620,1),Players!$A$2:$D$132,4)&amp;")","")</f>
        <v/>
      </c>
    </row>
    <row r="3621" spans="1:10" ht="25.5" customHeight="1" x14ac:dyDescent="0.4">
      <c r="A3621" s="37" t="str">
        <f>CONCATENATE($D3609,"6")</f>
        <v>I6</v>
      </c>
      <c r="B3621" s="222" t="str">
        <f>IF(VLOOKUP($A3621,Players!$A$2:$C$132,3)&lt;&gt;0,VLOOKUP($A3621,Players!$A$2:$C$132,3),"")</f>
        <v/>
      </c>
      <c r="C3621" s="222"/>
      <c r="D3621" s="222"/>
      <c r="E3621" s="222"/>
      <c r="F3621" s="222"/>
      <c r="G3621" s="225" t="str">
        <f>IF(VLOOKUP($I3609&amp;RIGHT($A3621,1),Players!$A$2:$D$132,3)&lt;&gt;0,VLOOKUP($I3609&amp;RIGHT($A3621,1),Players!$A$2:$D$132,3),"")</f>
        <v/>
      </c>
      <c r="H3621" s="225"/>
      <c r="I3621" s="225"/>
      <c r="J3621" s="168" t="str">
        <f>IF(VLOOKUP($I3609&amp;RIGHT($A3621,1),Players!$A$2:$D$132,3)&lt;&gt;0,"("&amp;VLOOKUP($I3609&amp;RIGHT($A3621,1),Players!$A$2:$D$132,4)&amp;")","")</f>
        <v/>
      </c>
    </row>
    <row r="3622" spans="1:10" ht="25.5" customHeight="1" x14ac:dyDescent="0.4">
      <c r="A3622" s="37" t="str">
        <f>CONCATENATE($D3609,"7")</f>
        <v>I7</v>
      </c>
      <c r="B3622" s="222" t="str">
        <f>IF(VLOOKUP($A3622,Players!$A$2:$C$132,3)&lt;&gt;0,VLOOKUP($A3622,Players!$A$2:$C$132,3),"")</f>
        <v/>
      </c>
      <c r="C3622" s="222"/>
      <c r="D3622" s="222"/>
      <c r="E3622" s="222"/>
      <c r="F3622" s="222"/>
      <c r="G3622" s="225" t="str">
        <f>IF(VLOOKUP($I3609&amp;RIGHT($A3622,1),Players!$A$2:$D$132,3)&lt;&gt;0,VLOOKUP($I3609&amp;RIGHT($A3622,1),Players!$A$2:$D$132,3),"")</f>
        <v/>
      </c>
      <c r="H3622" s="225"/>
      <c r="I3622" s="225"/>
      <c r="J3622" s="168" t="str">
        <f>IF(VLOOKUP($I3609&amp;RIGHT($A3622,1),Players!$A$2:$D$132,3)&lt;&gt;0,"("&amp;VLOOKUP($I3609&amp;RIGHT($A3622,1),Players!$A$2:$D$132,4)&amp;")","")</f>
        <v/>
      </c>
    </row>
    <row r="3623" spans="1:10" ht="25.5" customHeight="1" x14ac:dyDescent="0.4">
      <c r="A3623" s="37" t="str">
        <f>CONCATENATE($D3609,"8")</f>
        <v>I8</v>
      </c>
      <c r="B3623" s="222" t="str">
        <f>IF(VLOOKUP($A3623,Players!$A$2:$C$132,3)&lt;&gt;0,VLOOKUP($A3623,Players!$A$2:$C$132,3),"")</f>
        <v/>
      </c>
      <c r="C3623" s="222"/>
      <c r="D3623" s="222"/>
      <c r="E3623" s="222"/>
      <c r="F3623" s="222"/>
      <c r="G3623" s="225" t="str">
        <f>IF(VLOOKUP($I3609&amp;RIGHT($A3623,1),Players!$A$2:$D$132,3)&lt;&gt;0,VLOOKUP($I3609&amp;RIGHT($A3623,1),Players!$A$2:$D$132,3),"")</f>
        <v/>
      </c>
      <c r="H3623" s="225"/>
      <c r="I3623" s="225"/>
      <c r="J3623" s="168" t="str">
        <f>IF(VLOOKUP($I3609&amp;RIGHT($A3623,1),Players!$A$2:$D$132,3)&lt;&gt;0,"("&amp;VLOOKUP($I3609&amp;RIGHT($A3623,1),Players!$A$2:$D$132,4)&amp;")","")</f>
        <v/>
      </c>
    </row>
    <row r="3624" spans="1:10" ht="25.5" customHeight="1" x14ac:dyDescent="0.25">
      <c r="A3624" s="37"/>
      <c r="B3624" s="7"/>
      <c r="C3624" s="7"/>
      <c r="D3624" s="7"/>
      <c r="E3624" s="7"/>
    </row>
    <row r="3625" spans="1:10" x14ac:dyDescent="0.25">
      <c r="A3625" s="9" t="s">
        <v>157</v>
      </c>
    </row>
    <row r="3626" spans="1:10" x14ac:dyDescent="0.25">
      <c r="A3626" t="s">
        <v>179</v>
      </c>
    </row>
    <row r="3627" spans="1:10" x14ac:dyDescent="0.25">
      <c r="A3627" s="55" t="s">
        <v>918</v>
      </c>
    </row>
    <row r="3628" spans="1:10" x14ac:dyDescent="0.25">
      <c r="A3628" t="s">
        <v>919</v>
      </c>
    </row>
    <row r="3629" spans="1:10" ht="25.5" customHeight="1" thickBot="1" x14ac:dyDescent="0.3">
      <c r="A3629" s="37"/>
    </row>
    <row r="3630" spans="1:10" x14ac:dyDescent="0.25">
      <c r="B3630" s="213"/>
      <c r="C3630" s="214"/>
      <c r="D3630" s="214"/>
      <c r="E3630" s="214"/>
      <c r="F3630" s="215"/>
    </row>
    <row r="3631" spans="1:10" ht="13.8" thickBot="1" x14ac:dyDescent="0.3">
      <c r="B3631" s="216"/>
      <c r="C3631" s="217"/>
      <c r="D3631" s="217"/>
      <c r="E3631" s="217"/>
      <c r="F3631" s="218"/>
    </row>
    <row r="3635" spans="1:10" ht="25.5" customHeight="1" x14ac:dyDescent="0.25">
      <c r="A3635" s="36"/>
      <c r="B3635" s="36"/>
      <c r="C3635" s="36"/>
      <c r="D3635" s="36"/>
      <c r="E3635" s="36"/>
      <c r="G3635" s="38"/>
      <c r="H3635" s="227" t="s">
        <v>159</v>
      </c>
      <c r="I3635" s="228"/>
    </row>
    <row r="3636" spans="1:10" x14ac:dyDescent="0.25">
      <c r="A3636" t="s">
        <v>158</v>
      </c>
    </row>
    <row r="3638" spans="1:10" x14ac:dyDescent="0.25">
      <c r="E3638" s="219" t="str">
        <f>CONCATENATE("(",$D3609," vs ",$I3609,")")</f>
        <v>(I vs J)</v>
      </c>
      <c r="F3638" s="219"/>
    </row>
    <row r="3639" spans="1:10" ht="15.6" x14ac:dyDescent="0.3">
      <c r="A3639" s="33" t="s">
        <v>155</v>
      </c>
      <c r="J3639" s="82" t="s">
        <v>578</v>
      </c>
    </row>
    <row r="3640" spans="1:10" ht="12.75" customHeight="1" x14ac:dyDescent="0.3">
      <c r="A3640" s="33"/>
      <c r="G3640" t="str">
        <f ca="1">Team_Matches!$J$6</f>
        <v>[NCTTA Teams Template (v3.4).xlsx]</v>
      </c>
      <c r="J3640" s="55"/>
    </row>
    <row r="3641" spans="1:10" ht="12.75" customHeight="1" x14ac:dyDescent="0.3">
      <c r="A3641" s="33"/>
      <c r="G3641" s="229" t="str">
        <f>Team_Matches!$J2710</f>
        <v>Round 9, Match 6</v>
      </c>
      <c r="H3641" s="229"/>
      <c r="I3641" s="127" t="str">
        <f>Team_Matches!$M2710</f>
        <v/>
      </c>
      <c r="J3641" s="127"/>
    </row>
    <row r="3642" spans="1:10" ht="15.6" x14ac:dyDescent="0.3">
      <c r="A3642" s="33"/>
    </row>
    <row r="3643" spans="1:10" x14ac:dyDescent="0.25">
      <c r="C3643" s="7" t="s">
        <v>160</v>
      </c>
      <c r="D3643" s="39" t="str">
        <f>Team_Matches!$B2712</f>
        <v>I</v>
      </c>
      <c r="F3643" s="83" t="str">
        <f>CONCATENATE($D3643,"-",$I3643)</f>
        <v>I-J</v>
      </c>
      <c r="H3643" s="7" t="s">
        <v>160</v>
      </c>
      <c r="I3643" s="39" t="str">
        <f>Team_Matches!$K2712</f>
        <v>J</v>
      </c>
    </row>
    <row r="3644" spans="1:10" ht="25.5" customHeight="1" x14ac:dyDescent="0.25">
      <c r="A3644" s="34"/>
      <c r="B3644" s="223" t="str">
        <f>IF(VLOOKUP($D3643,Draw!$A$4:$B$27,2)&lt;&gt;0,VLOOKUP($D3643,Draw!$A$4:$B$27,2),"")</f>
        <v/>
      </c>
      <c r="C3644" s="223"/>
      <c r="D3644" s="223"/>
      <c r="E3644" s="224"/>
      <c r="F3644" s="35"/>
      <c r="G3644" s="220" t="str">
        <f>IF(VLOOKUP($I3643,Draw!$A$4:$B$27,2)&lt;&gt;0,VLOOKUP($I3643,Draw!$A$4:$B$27,2),"")</f>
        <v/>
      </c>
      <c r="H3644" s="220"/>
      <c r="I3644" s="220"/>
      <c r="J3644" s="221"/>
    </row>
    <row r="3645" spans="1:10" ht="25.5" customHeight="1" x14ac:dyDescent="0.25"/>
    <row r="3646" spans="1:10" ht="25.5" customHeight="1" x14ac:dyDescent="0.25"/>
    <row r="3647" spans="1:10" ht="24" customHeight="1" x14ac:dyDescent="0.25">
      <c r="A3647" s="9" t="s">
        <v>178</v>
      </c>
    </row>
    <row r="3648" spans="1:10" ht="24" customHeight="1" x14ac:dyDescent="0.25">
      <c r="A3648" s="9"/>
    </row>
    <row r="3649" spans="1:10" x14ac:dyDescent="0.25">
      <c r="A3649" s="9" t="s">
        <v>156</v>
      </c>
      <c r="G3649" s="226" t="s">
        <v>873</v>
      </c>
      <c r="H3649" s="226"/>
      <c r="I3649" s="226"/>
      <c r="J3649" s="226"/>
    </row>
    <row r="3650" spans="1:10" ht="24" customHeight="1" x14ac:dyDescent="0.4">
      <c r="A3650" s="37" t="str">
        <f>CONCATENATE($I3643,"1")</f>
        <v>J1</v>
      </c>
      <c r="B3650" s="222" t="str">
        <f>IF(VLOOKUP($A3650,Players!$A$2:$C$132,3)&lt;&gt;0,VLOOKUP($A3650,Players!$A$2:$C$132,3),"")</f>
        <v/>
      </c>
      <c r="C3650" s="222"/>
      <c r="D3650" s="222"/>
      <c r="E3650" s="222"/>
      <c r="F3650" s="222"/>
      <c r="G3650" s="225" t="str">
        <f>IF(VLOOKUP($D3643&amp;RIGHT($A3650,1),Players!$A$2:$D$132,3)&lt;&gt;0,VLOOKUP($D3643&amp;RIGHT($A3650,1),Players!$A$2:$D$132,3),"")</f>
        <v/>
      </c>
      <c r="H3650" s="225"/>
      <c r="I3650" s="225"/>
      <c r="J3650" s="168" t="str">
        <f>IF(VLOOKUP($D3643&amp;RIGHT($A3650,1),Players!$A$2:$D$132,3)&lt;&gt;0,"("&amp;VLOOKUP($D3643&amp;RIGHT($A3650,1),Players!$A$2:$D$132,4)&amp;")","")</f>
        <v/>
      </c>
    </row>
    <row r="3651" spans="1:10" ht="25.5" customHeight="1" x14ac:dyDescent="0.4">
      <c r="A3651" s="37" t="str">
        <f>CONCATENATE($I3643,"2")</f>
        <v>J2</v>
      </c>
      <c r="B3651" s="222" t="str">
        <f>IF(VLOOKUP($A3651,Players!$A$2:$C$132,3)&lt;&gt;0,VLOOKUP($A3651,Players!$A$2:$C$132,3),"")</f>
        <v/>
      </c>
      <c r="C3651" s="222"/>
      <c r="D3651" s="222"/>
      <c r="E3651" s="222"/>
      <c r="F3651" s="222"/>
      <c r="G3651" s="225" t="str">
        <f>IF(VLOOKUP($D3643&amp;RIGHT($A3651,1),Players!$A$2:$D$132,3)&lt;&gt;0,VLOOKUP($D3643&amp;RIGHT($A3651,1),Players!$A$2:$D$132,3),"")</f>
        <v/>
      </c>
      <c r="H3651" s="225"/>
      <c r="I3651" s="225"/>
      <c r="J3651" s="168" t="str">
        <f>IF(VLOOKUP($D3643&amp;RIGHT($A3651,1),Players!$A$2:$D$132,3)&lt;&gt;0,"("&amp;VLOOKUP($D3643&amp;RIGHT($A3651,1),Players!$A$2:$D$132,4)&amp;")","")</f>
        <v/>
      </c>
    </row>
    <row r="3652" spans="1:10" ht="25.5" customHeight="1" x14ac:dyDescent="0.4">
      <c r="A3652" s="37" t="str">
        <f>CONCATENATE($I3643,"3")</f>
        <v>J3</v>
      </c>
      <c r="B3652" s="222" t="str">
        <f>IF(VLOOKUP($A3652,Players!$A$2:$C$132,3)&lt;&gt;0,VLOOKUP($A3652,Players!$A$2:$C$132,3),"")</f>
        <v/>
      </c>
      <c r="C3652" s="222"/>
      <c r="D3652" s="222"/>
      <c r="E3652" s="222"/>
      <c r="F3652" s="222"/>
      <c r="G3652" s="225" t="str">
        <f>IF(VLOOKUP($D3643&amp;RIGHT($A3652,1),Players!$A$2:$D$132,3)&lt;&gt;0,VLOOKUP($D3643&amp;RIGHT($A3652,1),Players!$A$2:$D$132,3),"")</f>
        <v/>
      </c>
      <c r="H3652" s="225"/>
      <c r="I3652" s="225"/>
      <c r="J3652" s="168" t="str">
        <f>IF(VLOOKUP($D3643&amp;RIGHT($A3652,1),Players!$A$2:$D$132,3)&lt;&gt;0,"("&amp;VLOOKUP($D3643&amp;RIGHT($A3652,1),Players!$A$2:$D$132,4)&amp;")","")</f>
        <v/>
      </c>
    </row>
    <row r="3653" spans="1:10" ht="25.5" customHeight="1" x14ac:dyDescent="0.4">
      <c r="A3653" s="37" t="str">
        <f>CONCATENATE($I3643,"4")</f>
        <v>J4</v>
      </c>
      <c r="B3653" s="222" t="str">
        <f>IF(VLOOKUP($A3653,Players!$A$2:$C$132,3)&lt;&gt;0,VLOOKUP($A3653,Players!$A$2:$C$132,3),"")</f>
        <v/>
      </c>
      <c r="C3653" s="222"/>
      <c r="D3653" s="222"/>
      <c r="E3653" s="222"/>
      <c r="F3653" s="222"/>
      <c r="G3653" s="225" t="str">
        <f>IF(VLOOKUP($D3643&amp;RIGHT($A3653,1),Players!$A$2:$D$132,3)&lt;&gt;0,VLOOKUP($D3643&amp;RIGHT($A3653,1),Players!$A$2:$D$132,3),"")</f>
        <v/>
      </c>
      <c r="H3653" s="225"/>
      <c r="I3653" s="225"/>
      <c r="J3653" s="168" t="str">
        <f>IF(VLOOKUP($D3643&amp;RIGHT($A3653,1),Players!$A$2:$D$132,3)&lt;&gt;0,"("&amp;VLOOKUP($D3643&amp;RIGHT($A3653,1),Players!$A$2:$D$132,4)&amp;")","")</f>
        <v/>
      </c>
    </row>
    <row r="3654" spans="1:10" ht="25.5" customHeight="1" x14ac:dyDescent="0.4">
      <c r="A3654" s="37" t="str">
        <f>CONCATENATE($I3643,"5")</f>
        <v>J5</v>
      </c>
      <c r="B3654" s="222" t="str">
        <f>IF(VLOOKUP($A3654,Players!$A$2:$C$132,3)&lt;&gt;0,VLOOKUP($A3654,Players!$A$2:$C$132,3),"")</f>
        <v/>
      </c>
      <c r="C3654" s="222"/>
      <c r="D3654" s="222"/>
      <c r="E3654" s="222"/>
      <c r="F3654" s="222"/>
      <c r="G3654" s="225" t="str">
        <f>IF(VLOOKUP($D3643&amp;RIGHT($A3654,1),Players!$A$2:$D$132,3)&lt;&gt;0,VLOOKUP($D3643&amp;RIGHT($A3654,1),Players!$A$2:$D$132,3),"")</f>
        <v/>
      </c>
      <c r="H3654" s="225"/>
      <c r="I3654" s="225"/>
      <c r="J3654" s="168" t="str">
        <f>IF(VLOOKUP($D3643&amp;RIGHT($A3654,1),Players!$A$2:$D$132,3)&lt;&gt;0,"("&amp;VLOOKUP($D3643&amp;RIGHT($A3654,1),Players!$A$2:$D$132,4)&amp;")","")</f>
        <v/>
      </c>
    </row>
    <row r="3655" spans="1:10" ht="25.5" customHeight="1" x14ac:dyDescent="0.4">
      <c r="A3655" s="37" t="str">
        <f>CONCATENATE($I3643,"6")</f>
        <v>J6</v>
      </c>
      <c r="B3655" s="222" t="str">
        <f>IF(VLOOKUP($A3655,Players!$A$2:$C$132,3)&lt;&gt;0,VLOOKUP($A3655,Players!$A$2:$C$132,3),"")</f>
        <v/>
      </c>
      <c r="C3655" s="222"/>
      <c r="D3655" s="222"/>
      <c r="E3655" s="222"/>
      <c r="F3655" s="222"/>
      <c r="G3655" s="225" t="str">
        <f>IF(VLOOKUP($D3643&amp;RIGHT($A3655,1),Players!$A$2:$D$132,3)&lt;&gt;0,VLOOKUP($D3643&amp;RIGHT($A3655,1),Players!$A$2:$D$132,3),"")</f>
        <v/>
      </c>
      <c r="H3655" s="225"/>
      <c r="I3655" s="225"/>
      <c r="J3655" s="168" t="str">
        <f>IF(VLOOKUP($D3643&amp;RIGHT($A3655,1),Players!$A$2:$D$132,3)&lt;&gt;0,"("&amp;VLOOKUP($D3643&amp;RIGHT($A3655,1),Players!$A$2:$D$132,4)&amp;")","")</f>
        <v/>
      </c>
    </row>
    <row r="3656" spans="1:10" ht="25.5" customHeight="1" x14ac:dyDescent="0.4">
      <c r="A3656" s="37" t="str">
        <f>CONCATENATE($I3643,"7")</f>
        <v>J7</v>
      </c>
      <c r="B3656" s="222" t="str">
        <f>IF(VLOOKUP($A3656,Players!$A$2:$C$132,3)&lt;&gt;0,VLOOKUP($A3656,Players!$A$2:$C$132,3),"")</f>
        <v/>
      </c>
      <c r="C3656" s="222"/>
      <c r="D3656" s="222"/>
      <c r="E3656" s="222"/>
      <c r="F3656" s="222"/>
      <c r="G3656" s="225" t="str">
        <f>IF(VLOOKUP($D3643&amp;RIGHT($A3656,1),Players!$A$2:$D$132,3)&lt;&gt;0,VLOOKUP($D3643&amp;RIGHT($A3656,1),Players!$A$2:$D$132,3),"")</f>
        <v/>
      </c>
      <c r="H3656" s="225"/>
      <c r="I3656" s="225"/>
      <c r="J3656" s="168" t="str">
        <f>IF(VLOOKUP($D3643&amp;RIGHT($A3656,1),Players!$A$2:$D$132,3)&lt;&gt;0,"("&amp;VLOOKUP($D3643&amp;RIGHT($A3656,1),Players!$A$2:$D$132,4)&amp;")","")</f>
        <v/>
      </c>
    </row>
    <row r="3657" spans="1:10" ht="25.5" customHeight="1" x14ac:dyDescent="0.4">
      <c r="A3657" s="37" t="str">
        <f>CONCATENATE($I3643,"8")</f>
        <v>J8</v>
      </c>
      <c r="B3657" s="222" t="str">
        <f>IF(VLOOKUP($A3657,Players!$A$2:$C$132,3)&lt;&gt;0,VLOOKUP($A3657,Players!$A$2:$C$132,3),"")</f>
        <v/>
      </c>
      <c r="C3657" s="222"/>
      <c r="D3657" s="222"/>
      <c r="E3657" s="222"/>
      <c r="F3657" s="222"/>
      <c r="G3657" s="225" t="str">
        <f>IF(VLOOKUP($D3643&amp;RIGHT($A3657,1),Players!$A$2:$D$132,3)&lt;&gt;0,VLOOKUP($D3643&amp;RIGHT($A3657,1),Players!$A$2:$D$132,3),"")</f>
        <v/>
      </c>
      <c r="H3657" s="225"/>
      <c r="I3657" s="225"/>
      <c r="J3657" s="168" t="str">
        <f>IF(VLOOKUP($D3643&amp;RIGHT($A3657,1),Players!$A$2:$D$132,3)&lt;&gt;0,"("&amp;VLOOKUP($D3643&amp;RIGHT($A3657,1),Players!$A$2:$D$132,4)&amp;")","")</f>
        <v/>
      </c>
    </row>
    <row r="3658" spans="1:10" ht="25.5" customHeight="1" x14ac:dyDescent="0.25">
      <c r="A3658" s="37"/>
      <c r="B3658" s="7"/>
      <c r="C3658" s="7"/>
      <c r="D3658" s="7"/>
      <c r="E3658" s="7"/>
    </row>
    <row r="3659" spans="1:10" x14ac:dyDescent="0.25">
      <c r="A3659" s="9" t="s">
        <v>157</v>
      </c>
    </row>
    <row r="3660" spans="1:10" x14ac:dyDescent="0.25">
      <c r="A3660" t="s">
        <v>179</v>
      </c>
    </row>
    <row r="3661" spans="1:10" x14ac:dyDescent="0.25">
      <c r="A3661" s="55" t="s">
        <v>918</v>
      </c>
    </row>
    <row r="3662" spans="1:10" x14ac:dyDescent="0.25">
      <c r="A3662" t="s">
        <v>919</v>
      </c>
    </row>
    <row r="3663" spans="1:10" ht="25.5" customHeight="1" thickBot="1" x14ac:dyDescent="0.3">
      <c r="A3663" s="37"/>
    </row>
    <row r="3664" spans="1:10" x14ac:dyDescent="0.25">
      <c r="B3664" s="213"/>
      <c r="C3664" s="214"/>
      <c r="D3664" s="214"/>
      <c r="E3664" s="214"/>
      <c r="F3664" s="215"/>
    </row>
    <row r="3665" spans="1:10" ht="13.8" thickBot="1" x14ac:dyDescent="0.3">
      <c r="B3665" s="216"/>
      <c r="C3665" s="217"/>
      <c r="D3665" s="217"/>
      <c r="E3665" s="217"/>
      <c r="F3665" s="218"/>
    </row>
    <row r="3669" spans="1:10" ht="25.5" customHeight="1" x14ac:dyDescent="0.25">
      <c r="A3669" s="36"/>
      <c r="B3669" s="36"/>
      <c r="C3669" s="36"/>
      <c r="D3669" s="36"/>
      <c r="E3669" s="36"/>
      <c r="G3669" s="38"/>
      <c r="H3669" s="227" t="s">
        <v>159</v>
      </c>
      <c r="I3669" s="228"/>
    </row>
    <row r="3670" spans="1:10" x14ac:dyDescent="0.25">
      <c r="A3670" t="s">
        <v>158</v>
      </c>
    </row>
    <row r="3672" spans="1:10" x14ac:dyDescent="0.25">
      <c r="E3672" s="219" t="str">
        <f>CONCATENATE("(",$D3643," vs ",$I3643,")")</f>
        <v>(I vs J)</v>
      </c>
      <c r="F3672" s="219"/>
    </row>
    <row r="3673" spans="1:10" ht="15.6" x14ac:dyDescent="0.3">
      <c r="A3673" s="33" t="s">
        <v>155</v>
      </c>
      <c r="J3673" s="82" t="s">
        <v>579</v>
      </c>
    </row>
    <row r="3674" spans="1:10" ht="12.75" customHeight="1" x14ac:dyDescent="0.3">
      <c r="A3674" s="33"/>
      <c r="G3674" t="str">
        <f ca="1">Team_Matches!$J$6</f>
        <v>[NCTTA Teams Template (v3.4).xlsx]</v>
      </c>
      <c r="J3674" s="55"/>
    </row>
    <row r="3675" spans="1:10" ht="12.75" customHeight="1" x14ac:dyDescent="0.3">
      <c r="A3675" s="33"/>
      <c r="G3675" s="229" t="str">
        <f>Team_Matches!$J2761</f>
        <v>Round 10, Match 1</v>
      </c>
      <c r="H3675" s="229"/>
      <c r="I3675" s="127" t="str">
        <f>Team_Matches!$M2761</f>
        <v/>
      </c>
      <c r="J3675" s="127"/>
    </row>
    <row r="3676" spans="1:10" ht="15.6" x14ac:dyDescent="0.3">
      <c r="A3676" s="33"/>
    </row>
    <row r="3677" spans="1:10" x14ac:dyDescent="0.25">
      <c r="C3677" s="7" t="s">
        <v>160</v>
      </c>
      <c r="D3677" s="39" t="str">
        <f>Team_Matches!$B2763</f>
        <v>A</v>
      </c>
      <c r="F3677" s="83" t="str">
        <f>CONCATENATE($D3677,"-",$I3677)</f>
        <v>A-C</v>
      </c>
      <c r="H3677" s="7" t="s">
        <v>160</v>
      </c>
      <c r="I3677" s="3" t="str">
        <f>Team_Matches!$K2763</f>
        <v>C</v>
      </c>
    </row>
    <row r="3678" spans="1:10" ht="25.5" customHeight="1" x14ac:dyDescent="0.25">
      <c r="A3678" s="34"/>
      <c r="B3678" s="220" t="str">
        <f>IF(VLOOKUP($D3677,Draw!$A$4:$B$27,2)&lt;&gt;0,VLOOKUP($D3677,Draw!$A$4:$B$27,2),"")</f>
        <v/>
      </c>
      <c r="C3678" s="220"/>
      <c r="D3678" s="220"/>
      <c r="E3678" s="221"/>
      <c r="F3678" s="35"/>
      <c r="G3678" s="223" t="str">
        <f>IF(VLOOKUP($I3677,Draw!$A$4:$B$27,2)&lt;&gt;0,VLOOKUP($I3677,Draw!$A$4:$B$27,2),"")</f>
        <v/>
      </c>
      <c r="H3678" s="223"/>
      <c r="I3678" s="223"/>
      <c r="J3678" s="224"/>
    </row>
    <row r="3679" spans="1:10" ht="25.5" customHeight="1" x14ac:dyDescent="0.25"/>
    <row r="3680" spans="1:10" ht="25.5" customHeight="1" x14ac:dyDescent="0.25"/>
    <row r="3681" spans="1:10" ht="24" customHeight="1" x14ac:dyDescent="0.25">
      <c r="A3681" s="9" t="s">
        <v>178</v>
      </c>
    </row>
    <row r="3682" spans="1:10" ht="24" customHeight="1" x14ac:dyDescent="0.25">
      <c r="A3682" s="9"/>
    </row>
    <row r="3683" spans="1:10" x14ac:dyDescent="0.25">
      <c r="A3683" s="9" t="s">
        <v>156</v>
      </c>
      <c r="G3683" s="226" t="s">
        <v>873</v>
      </c>
      <c r="H3683" s="226"/>
      <c r="I3683" s="226"/>
      <c r="J3683" s="226"/>
    </row>
    <row r="3684" spans="1:10" ht="24" customHeight="1" x14ac:dyDescent="0.4">
      <c r="A3684" s="37" t="str">
        <f>CONCATENATE($D3677,"1")</f>
        <v>A1</v>
      </c>
      <c r="B3684" s="222" t="str">
        <f>IF(VLOOKUP($A3684,Players!$A$2:$C$132,3)&lt;&gt;0,VLOOKUP($A3684,Players!$A$2:$C$132,3),"")</f>
        <v/>
      </c>
      <c r="C3684" s="222"/>
      <c r="D3684" s="222"/>
      <c r="E3684" s="222"/>
      <c r="F3684" s="222"/>
      <c r="G3684" s="225" t="str">
        <f>IF(VLOOKUP($I3677&amp;RIGHT($A3684,1),Players!$A$2:$D$132,3)&lt;&gt;0,VLOOKUP($I3677&amp;RIGHT($A3684,1),Players!$A$2:$D$132,3),"")</f>
        <v/>
      </c>
      <c r="H3684" s="225"/>
      <c r="I3684" s="225"/>
      <c r="J3684" s="168" t="str">
        <f>IF(VLOOKUP($I3677&amp;RIGHT($A3684,1),Players!$A$2:$D$132,3)&lt;&gt;0,"("&amp;VLOOKUP($I3677&amp;RIGHT($A3684,1),Players!$A$2:$D$132,4)&amp;")","")</f>
        <v/>
      </c>
    </row>
    <row r="3685" spans="1:10" ht="25.5" customHeight="1" x14ac:dyDescent="0.4">
      <c r="A3685" s="37" t="str">
        <f>CONCATENATE($D3677,"2")</f>
        <v>A2</v>
      </c>
      <c r="B3685" s="222" t="str">
        <f>IF(VLOOKUP($A3685,Players!$A$2:$C$132,3)&lt;&gt;0,VLOOKUP($A3685,Players!$A$2:$C$132,3),"")</f>
        <v/>
      </c>
      <c r="C3685" s="222"/>
      <c r="D3685" s="222"/>
      <c r="E3685" s="222"/>
      <c r="F3685" s="222"/>
      <c r="G3685" s="225" t="str">
        <f>IF(VLOOKUP($I3677&amp;RIGHT($A3685,1),Players!$A$2:$D$132,3)&lt;&gt;0,VLOOKUP($I3677&amp;RIGHT($A3685,1),Players!$A$2:$D$132,3),"")</f>
        <v/>
      </c>
      <c r="H3685" s="225"/>
      <c r="I3685" s="225"/>
      <c r="J3685" s="168" t="str">
        <f>IF(VLOOKUP($I3677&amp;RIGHT($A3685,1),Players!$A$2:$D$132,3)&lt;&gt;0,"("&amp;VLOOKUP($I3677&amp;RIGHT($A3685,1),Players!$A$2:$D$132,4)&amp;")","")</f>
        <v/>
      </c>
    </row>
    <row r="3686" spans="1:10" ht="25.5" customHeight="1" x14ac:dyDescent="0.4">
      <c r="A3686" s="37" t="str">
        <f>CONCATENATE($D3677,"3")</f>
        <v>A3</v>
      </c>
      <c r="B3686" s="222" t="str">
        <f>IF(VLOOKUP($A3686,Players!$A$2:$C$132,3)&lt;&gt;0,VLOOKUP($A3686,Players!$A$2:$C$132,3),"")</f>
        <v/>
      </c>
      <c r="C3686" s="222"/>
      <c r="D3686" s="222"/>
      <c r="E3686" s="222"/>
      <c r="F3686" s="222"/>
      <c r="G3686" s="225" t="str">
        <f>IF(VLOOKUP($I3677&amp;RIGHT($A3686,1),Players!$A$2:$D$132,3)&lt;&gt;0,VLOOKUP($I3677&amp;RIGHT($A3686,1),Players!$A$2:$D$132,3),"")</f>
        <v/>
      </c>
      <c r="H3686" s="225"/>
      <c r="I3686" s="225"/>
      <c r="J3686" s="168" t="str">
        <f>IF(VLOOKUP($I3677&amp;RIGHT($A3686,1),Players!$A$2:$D$132,3)&lt;&gt;0,"("&amp;VLOOKUP($I3677&amp;RIGHT($A3686,1),Players!$A$2:$D$132,4)&amp;")","")</f>
        <v/>
      </c>
    </row>
    <row r="3687" spans="1:10" ht="25.5" customHeight="1" x14ac:dyDescent="0.4">
      <c r="A3687" s="37" t="str">
        <f>CONCATENATE($D3677,"4")</f>
        <v>A4</v>
      </c>
      <c r="B3687" s="222" t="str">
        <f>IF(VLOOKUP($A3687,Players!$A$2:$C$132,3)&lt;&gt;0,VLOOKUP($A3687,Players!$A$2:$C$132,3),"")</f>
        <v/>
      </c>
      <c r="C3687" s="222"/>
      <c r="D3687" s="222"/>
      <c r="E3687" s="222"/>
      <c r="F3687" s="222"/>
      <c r="G3687" s="225" t="str">
        <f>IF(VLOOKUP($I3677&amp;RIGHT($A3687,1),Players!$A$2:$D$132,3)&lt;&gt;0,VLOOKUP($I3677&amp;RIGHT($A3687,1),Players!$A$2:$D$132,3),"")</f>
        <v/>
      </c>
      <c r="H3687" s="225"/>
      <c r="I3687" s="225"/>
      <c r="J3687" s="168" t="str">
        <f>IF(VLOOKUP($I3677&amp;RIGHT($A3687,1),Players!$A$2:$D$132,3)&lt;&gt;0,"("&amp;VLOOKUP($I3677&amp;RIGHT($A3687,1),Players!$A$2:$D$132,4)&amp;")","")</f>
        <v/>
      </c>
    </row>
    <row r="3688" spans="1:10" ht="25.5" customHeight="1" x14ac:dyDescent="0.4">
      <c r="A3688" s="37" t="str">
        <f>CONCATENATE($D3677,"5")</f>
        <v>A5</v>
      </c>
      <c r="B3688" s="222" t="str">
        <f>IF(VLOOKUP($A3688,Players!$A$2:$C$132,3)&lt;&gt;0,VLOOKUP($A3688,Players!$A$2:$C$132,3),"")</f>
        <v/>
      </c>
      <c r="C3688" s="222"/>
      <c r="D3688" s="222"/>
      <c r="E3688" s="222"/>
      <c r="F3688" s="222"/>
      <c r="G3688" s="225" t="str">
        <f>IF(VLOOKUP($I3677&amp;RIGHT($A3688,1),Players!$A$2:$D$132,3)&lt;&gt;0,VLOOKUP($I3677&amp;RIGHT($A3688,1),Players!$A$2:$D$132,3),"")</f>
        <v/>
      </c>
      <c r="H3688" s="225"/>
      <c r="I3688" s="225"/>
      <c r="J3688" s="168" t="str">
        <f>IF(VLOOKUP($I3677&amp;RIGHT($A3688,1),Players!$A$2:$D$132,3)&lt;&gt;0,"("&amp;VLOOKUP($I3677&amp;RIGHT($A3688,1),Players!$A$2:$D$132,4)&amp;")","")</f>
        <v/>
      </c>
    </row>
    <row r="3689" spans="1:10" ht="25.5" customHeight="1" x14ac:dyDescent="0.4">
      <c r="A3689" s="37" t="str">
        <f>CONCATENATE($D3677,"6")</f>
        <v>A6</v>
      </c>
      <c r="B3689" s="222" t="str">
        <f>IF(VLOOKUP($A3689,Players!$A$2:$C$132,3)&lt;&gt;0,VLOOKUP($A3689,Players!$A$2:$C$132,3),"")</f>
        <v/>
      </c>
      <c r="C3689" s="222"/>
      <c r="D3689" s="222"/>
      <c r="E3689" s="222"/>
      <c r="F3689" s="222"/>
      <c r="G3689" s="225" t="str">
        <f>IF(VLOOKUP($I3677&amp;RIGHT($A3689,1),Players!$A$2:$D$132,3)&lt;&gt;0,VLOOKUP($I3677&amp;RIGHT($A3689,1),Players!$A$2:$D$132,3),"")</f>
        <v/>
      </c>
      <c r="H3689" s="225"/>
      <c r="I3689" s="225"/>
      <c r="J3689" s="168" t="str">
        <f>IF(VLOOKUP($I3677&amp;RIGHT($A3689,1),Players!$A$2:$D$132,3)&lt;&gt;0,"("&amp;VLOOKUP($I3677&amp;RIGHT($A3689,1),Players!$A$2:$D$132,4)&amp;")","")</f>
        <v/>
      </c>
    </row>
    <row r="3690" spans="1:10" ht="25.5" customHeight="1" x14ac:dyDescent="0.4">
      <c r="A3690" s="37" t="str">
        <f>CONCATENATE($D3677,"7")</f>
        <v>A7</v>
      </c>
      <c r="B3690" s="222" t="str">
        <f>IF(VLOOKUP($A3690,Players!$A$2:$C$132,3)&lt;&gt;0,VLOOKUP($A3690,Players!$A$2:$C$132,3),"")</f>
        <v/>
      </c>
      <c r="C3690" s="222"/>
      <c r="D3690" s="222"/>
      <c r="E3690" s="222"/>
      <c r="F3690" s="222"/>
      <c r="G3690" s="225" t="str">
        <f>IF(VLOOKUP($I3677&amp;RIGHT($A3690,1),Players!$A$2:$D$132,3)&lt;&gt;0,VLOOKUP($I3677&amp;RIGHT($A3690,1),Players!$A$2:$D$132,3),"")</f>
        <v/>
      </c>
      <c r="H3690" s="225"/>
      <c r="I3690" s="225"/>
      <c r="J3690" s="168" t="str">
        <f>IF(VLOOKUP($I3677&amp;RIGHT($A3690,1),Players!$A$2:$D$132,3)&lt;&gt;0,"("&amp;VLOOKUP($I3677&amp;RIGHT($A3690,1),Players!$A$2:$D$132,4)&amp;")","")</f>
        <v/>
      </c>
    </row>
    <row r="3691" spans="1:10" ht="25.5" customHeight="1" x14ac:dyDescent="0.4">
      <c r="A3691" s="37" t="str">
        <f>CONCATENATE($D3677,"8")</f>
        <v>A8</v>
      </c>
      <c r="B3691" s="222" t="str">
        <f>IF(VLOOKUP($A3691,Players!$A$2:$C$132,3)&lt;&gt;0,VLOOKUP($A3691,Players!$A$2:$C$132,3),"")</f>
        <v/>
      </c>
      <c r="C3691" s="222"/>
      <c r="D3691" s="222"/>
      <c r="E3691" s="222"/>
      <c r="F3691" s="222"/>
      <c r="G3691" s="225" t="str">
        <f>IF(VLOOKUP($I3677&amp;RIGHT($A3691,1),Players!$A$2:$D$132,3)&lt;&gt;0,VLOOKUP($I3677&amp;RIGHT($A3691,1),Players!$A$2:$D$132,3),"")</f>
        <v/>
      </c>
      <c r="H3691" s="225"/>
      <c r="I3691" s="225"/>
      <c r="J3691" s="168" t="str">
        <f>IF(VLOOKUP($I3677&amp;RIGHT($A3691,1),Players!$A$2:$D$132,3)&lt;&gt;0,"("&amp;VLOOKUP($I3677&amp;RIGHT($A3691,1),Players!$A$2:$D$132,4)&amp;")","")</f>
        <v/>
      </c>
    </row>
    <row r="3692" spans="1:10" ht="25.5" customHeight="1" x14ac:dyDescent="0.25">
      <c r="A3692" s="37"/>
      <c r="B3692" s="7"/>
      <c r="C3692" s="7"/>
      <c r="D3692" s="7"/>
      <c r="E3692" s="7"/>
    </row>
    <row r="3693" spans="1:10" x14ac:dyDescent="0.25">
      <c r="A3693" s="9" t="s">
        <v>157</v>
      </c>
    </row>
    <row r="3694" spans="1:10" x14ac:dyDescent="0.25">
      <c r="A3694" t="s">
        <v>179</v>
      </c>
    </row>
    <row r="3695" spans="1:10" x14ac:dyDescent="0.25">
      <c r="A3695" s="55" t="s">
        <v>918</v>
      </c>
    </row>
    <row r="3696" spans="1:10" x14ac:dyDescent="0.25">
      <c r="A3696" t="s">
        <v>919</v>
      </c>
    </row>
    <row r="3697" spans="1:10" ht="25.5" customHeight="1" thickBot="1" x14ac:dyDescent="0.3">
      <c r="A3697" s="37"/>
    </row>
    <row r="3698" spans="1:10" x14ac:dyDescent="0.25">
      <c r="B3698" s="213"/>
      <c r="C3698" s="214"/>
      <c r="D3698" s="214"/>
      <c r="E3698" s="214"/>
      <c r="F3698" s="215"/>
    </row>
    <row r="3699" spans="1:10" ht="13.8" thickBot="1" x14ac:dyDescent="0.3">
      <c r="B3699" s="216"/>
      <c r="C3699" s="217"/>
      <c r="D3699" s="217"/>
      <c r="E3699" s="217"/>
      <c r="F3699" s="218"/>
    </row>
    <row r="3703" spans="1:10" ht="25.5" customHeight="1" x14ac:dyDescent="0.25">
      <c r="A3703" s="36"/>
      <c r="B3703" s="36"/>
      <c r="C3703" s="36"/>
      <c r="D3703" s="36"/>
      <c r="E3703" s="36"/>
      <c r="G3703" s="38"/>
      <c r="H3703" s="227" t="s">
        <v>159</v>
      </c>
      <c r="I3703" s="228"/>
    </row>
    <row r="3704" spans="1:10" x14ac:dyDescent="0.25">
      <c r="A3704" t="s">
        <v>158</v>
      </c>
    </row>
    <row r="3706" spans="1:10" x14ac:dyDescent="0.25">
      <c r="E3706" s="219" t="str">
        <f>CONCATENATE("(",$D3677," vs ",$I3677,")")</f>
        <v>(A vs C)</v>
      </c>
      <c r="F3706" s="219"/>
    </row>
    <row r="3707" spans="1:10" ht="15.6" x14ac:dyDescent="0.3">
      <c r="A3707" s="33" t="s">
        <v>155</v>
      </c>
      <c r="J3707" s="82" t="s">
        <v>580</v>
      </c>
    </row>
    <row r="3708" spans="1:10" ht="12.75" customHeight="1" x14ac:dyDescent="0.3">
      <c r="A3708" s="33"/>
      <c r="G3708" t="str">
        <f ca="1">Team_Matches!$J$6</f>
        <v>[NCTTA Teams Template (v3.4).xlsx]</v>
      </c>
      <c r="J3708" s="55"/>
    </row>
    <row r="3709" spans="1:10" ht="12.75" customHeight="1" x14ac:dyDescent="0.3">
      <c r="A3709" s="33"/>
      <c r="G3709" s="229" t="str">
        <f>Team_Matches!$J2761</f>
        <v>Round 10, Match 1</v>
      </c>
      <c r="H3709" s="229"/>
      <c r="I3709" s="127" t="str">
        <f>Team_Matches!$M2761</f>
        <v/>
      </c>
      <c r="J3709" s="127"/>
    </row>
    <row r="3710" spans="1:10" ht="15.6" x14ac:dyDescent="0.3">
      <c r="A3710" s="33"/>
    </row>
    <row r="3711" spans="1:10" x14ac:dyDescent="0.25">
      <c r="C3711" s="7" t="s">
        <v>160</v>
      </c>
      <c r="D3711" s="39" t="str">
        <f>Team_Matches!$B2763</f>
        <v>A</v>
      </c>
      <c r="F3711" s="83" t="str">
        <f>CONCATENATE($D3711,"-",$I3711)</f>
        <v>A-C</v>
      </c>
      <c r="H3711" s="7" t="s">
        <v>160</v>
      </c>
      <c r="I3711" s="3" t="str">
        <f>Team_Matches!$K2763</f>
        <v>C</v>
      </c>
    </row>
    <row r="3712" spans="1:10" ht="25.5" customHeight="1" x14ac:dyDescent="0.25">
      <c r="A3712" s="34"/>
      <c r="B3712" s="223" t="str">
        <f>IF(VLOOKUP($D3711,Draw!$A$4:$B$27,2)&lt;&gt;0,VLOOKUP($D3711,Draw!$A$4:$B$27,2),"")</f>
        <v/>
      </c>
      <c r="C3712" s="223"/>
      <c r="D3712" s="223"/>
      <c r="E3712" s="224"/>
      <c r="F3712" s="35"/>
      <c r="G3712" s="220" t="str">
        <f>IF(VLOOKUP($I3711,Draw!$A$4:$B$27,2)&lt;&gt;0,VLOOKUP($I3711,Draw!$A$4:$B$27,2),"")</f>
        <v/>
      </c>
      <c r="H3712" s="220"/>
      <c r="I3712" s="220"/>
      <c r="J3712" s="221"/>
    </row>
    <row r="3713" spans="1:10" ht="25.5" customHeight="1" x14ac:dyDescent="0.25"/>
    <row r="3714" spans="1:10" ht="25.5" customHeight="1" x14ac:dyDescent="0.25"/>
    <row r="3715" spans="1:10" ht="24" customHeight="1" x14ac:dyDescent="0.25">
      <c r="A3715" s="9" t="s">
        <v>178</v>
      </c>
    </row>
    <row r="3716" spans="1:10" ht="24" customHeight="1" x14ac:dyDescent="0.25">
      <c r="A3716" s="9"/>
    </row>
    <row r="3717" spans="1:10" x14ac:dyDescent="0.25">
      <c r="A3717" s="9" t="s">
        <v>156</v>
      </c>
      <c r="G3717" s="226" t="s">
        <v>873</v>
      </c>
      <c r="H3717" s="226"/>
      <c r="I3717" s="226"/>
      <c r="J3717" s="226"/>
    </row>
    <row r="3718" spans="1:10" ht="24" customHeight="1" x14ac:dyDescent="0.4">
      <c r="A3718" s="37" t="str">
        <f>CONCATENATE($I3711,"1")</f>
        <v>C1</v>
      </c>
      <c r="B3718" s="222" t="str">
        <f>IF(VLOOKUP($A3718,Players!$A$2:$C$132,3)&lt;&gt;0,VLOOKUP($A3718,Players!$A$2:$C$132,3),"")</f>
        <v/>
      </c>
      <c r="C3718" s="222"/>
      <c r="D3718" s="222"/>
      <c r="E3718" s="222"/>
      <c r="F3718" s="222"/>
      <c r="G3718" s="225" t="str">
        <f>IF(VLOOKUP($D3711&amp;RIGHT($A3718,1),Players!$A$2:$D$132,3)&lt;&gt;0,VLOOKUP($D3711&amp;RIGHT($A3718,1),Players!$A$2:$D$132,3),"")</f>
        <v/>
      </c>
      <c r="H3718" s="225"/>
      <c r="I3718" s="225"/>
      <c r="J3718" s="168" t="str">
        <f>IF(VLOOKUP($D3711&amp;RIGHT($A3718,1),Players!$A$2:$D$132,3)&lt;&gt;0,"("&amp;VLOOKUP($D3711&amp;RIGHT($A3718,1),Players!$A$2:$D$132,4)&amp;")","")</f>
        <v/>
      </c>
    </row>
    <row r="3719" spans="1:10" ht="25.5" customHeight="1" x14ac:dyDescent="0.4">
      <c r="A3719" s="37" t="str">
        <f>CONCATENATE($I3711,"2")</f>
        <v>C2</v>
      </c>
      <c r="B3719" s="222" t="str">
        <f>IF(VLOOKUP($A3719,Players!$A$2:$C$132,3)&lt;&gt;0,VLOOKUP($A3719,Players!$A$2:$C$132,3),"")</f>
        <v/>
      </c>
      <c r="C3719" s="222"/>
      <c r="D3719" s="222"/>
      <c r="E3719" s="222"/>
      <c r="F3719" s="222"/>
      <c r="G3719" s="225" t="str">
        <f>IF(VLOOKUP($D3711&amp;RIGHT($A3719,1),Players!$A$2:$D$132,3)&lt;&gt;0,VLOOKUP($D3711&amp;RIGHT($A3719,1),Players!$A$2:$D$132,3),"")</f>
        <v/>
      </c>
      <c r="H3719" s="225"/>
      <c r="I3719" s="225"/>
      <c r="J3719" s="168" t="str">
        <f>IF(VLOOKUP($D3711&amp;RIGHT($A3719,1),Players!$A$2:$D$132,3)&lt;&gt;0,"("&amp;VLOOKUP($D3711&amp;RIGHT($A3719,1),Players!$A$2:$D$132,4)&amp;")","")</f>
        <v/>
      </c>
    </row>
    <row r="3720" spans="1:10" ht="25.5" customHeight="1" x14ac:dyDescent="0.4">
      <c r="A3720" s="37" t="str">
        <f>CONCATENATE($I3711,"3")</f>
        <v>C3</v>
      </c>
      <c r="B3720" s="222" t="str">
        <f>IF(VLOOKUP($A3720,Players!$A$2:$C$132,3)&lt;&gt;0,VLOOKUP($A3720,Players!$A$2:$C$132,3),"")</f>
        <v/>
      </c>
      <c r="C3720" s="222"/>
      <c r="D3720" s="222"/>
      <c r="E3720" s="222"/>
      <c r="F3720" s="222"/>
      <c r="G3720" s="225" t="str">
        <f>IF(VLOOKUP($D3711&amp;RIGHT($A3720,1),Players!$A$2:$D$132,3)&lt;&gt;0,VLOOKUP($D3711&amp;RIGHT($A3720,1),Players!$A$2:$D$132,3),"")</f>
        <v/>
      </c>
      <c r="H3720" s="225"/>
      <c r="I3720" s="225"/>
      <c r="J3720" s="168" t="str">
        <f>IF(VLOOKUP($D3711&amp;RIGHT($A3720,1),Players!$A$2:$D$132,3)&lt;&gt;0,"("&amp;VLOOKUP($D3711&amp;RIGHT($A3720,1),Players!$A$2:$D$132,4)&amp;")","")</f>
        <v/>
      </c>
    </row>
    <row r="3721" spans="1:10" ht="25.5" customHeight="1" x14ac:dyDescent="0.4">
      <c r="A3721" s="37" t="str">
        <f>CONCATENATE($I3711,"4")</f>
        <v>C4</v>
      </c>
      <c r="B3721" s="222" t="str">
        <f>IF(VLOOKUP($A3721,Players!$A$2:$C$132,3)&lt;&gt;0,VLOOKUP($A3721,Players!$A$2:$C$132,3),"")</f>
        <v/>
      </c>
      <c r="C3721" s="222"/>
      <c r="D3721" s="222"/>
      <c r="E3721" s="222"/>
      <c r="F3721" s="222"/>
      <c r="G3721" s="225" t="str">
        <f>IF(VLOOKUP($D3711&amp;RIGHT($A3721,1),Players!$A$2:$D$132,3)&lt;&gt;0,VLOOKUP($D3711&amp;RIGHT($A3721,1),Players!$A$2:$D$132,3),"")</f>
        <v/>
      </c>
      <c r="H3721" s="225"/>
      <c r="I3721" s="225"/>
      <c r="J3721" s="168" t="str">
        <f>IF(VLOOKUP($D3711&amp;RIGHT($A3721,1),Players!$A$2:$D$132,3)&lt;&gt;0,"("&amp;VLOOKUP($D3711&amp;RIGHT($A3721,1),Players!$A$2:$D$132,4)&amp;")","")</f>
        <v/>
      </c>
    </row>
    <row r="3722" spans="1:10" ht="25.5" customHeight="1" x14ac:dyDescent="0.4">
      <c r="A3722" s="37" t="str">
        <f>CONCATENATE($I3711,"5")</f>
        <v>C5</v>
      </c>
      <c r="B3722" s="222" t="str">
        <f>IF(VLOOKUP($A3722,Players!$A$2:$C$132,3)&lt;&gt;0,VLOOKUP($A3722,Players!$A$2:$C$132,3),"")</f>
        <v/>
      </c>
      <c r="C3722" s="222"/>
      <c r="D3722" s="222"/>
      <c r="E3722" s="222"/>
      <c r="F3722" s="222"/>
      <c r="G3722" s="225" t="str">
        <f>IF(VLOOKUP($D3711&amp;RIGHT($A3722,1),Players!$A$2:$D$132,3)&lt;&gt;0,VLOOKUP($D3711&amp;RIGHT($A3722,1),Players!$A$2:$D$132,3),"")</f>
        <v/>
      </c>
      <c r="H3722" s="225"/>
      <c r="I3722" s="225"/>
      <c r="J3722" s="168" t="str">
        <f>IF(VLOOKUP($D3711&amp;RIGHT($A3722,1),Players!$A$2:$D$132,3)&lt;&gt;0,"("&amp;VLOOKUP($D3711&amp;RIGHT($A3722,1),Players!$A$2:$D$132,4)&amp;")","")</f>
        <v/>
      </c>
    </row>
    <row r="3723" spans="1:10" ht="25.5" customHeight="1" x14ac:dyDescent="0.4">
      <c r="A3723" s="37" t="str">
        <f>CONCATENATE($I3711,"6")</f>
        <v>C6</v>
      </c>
      <c r="B3723" s="222" t="str">
        <f>IF(VLOOKUP($A3723,Players!$A$2:$C$132,3)&lt;&gt;0,VLOOKUP($A3723,Players!$A$2:$C$132,3),"")</f>
        <v/>
      </c>
      <c r="C3723" s="222"/>
      <c r="D3723" s="222"/>
      <c r="E3723" s="222"/>
      <c r="F3723" s="222"/>
      <c r="G3723" s="225" t="str">
        <f>IF(VLOOKUP($D3711&amp;RIGHT($A3723,1),Players!$A$2:$D$132,3)&lt;&gt;0,VLOOKUP($D3711&amp;RIGHT($A3723,1),Players!$A$2:$D$132,3),"")</f>
        <v/>
      </c>
      <c r="H3723" s="225"/>
      <c r="I3723" s="225"/>
      <c r="J3723" s="168" t="str">
        <f>IF(VLOOKUP($D3711&amp;RIGHT($A3723,1),Players!$A$2:$D$132,3)&lt;&gt;0,"("&amp;VLOOKUP($D3711&amp;RIGHT($A3723,1),Players!$A$2:$D$132,4)&amp;")","")</f>
        <v/>
      </c>
    </row>
    <row r="3724" spans="1:10" ht="25.5" customHeight="1" x14ac:dyDescent="0.4">
      <c r="A3724" s="37" t="str">
        <f>CONCATENATE($I3711,"7")</f>
        <v>C7</v>
      </c>
      <c r="B3724" s="222" t="str">
        <f>IF(VLOOKUP($A3724,Players!$A$2:$C$132,3)&lt;&gt;0,VLOOKUP($A3724,Players!$A$2:$C$132,3),"")</f>
        <v/>
      </c>
      <c r="C3724" s="222"/>
      <c r="D3724" s="222"/>
      <c r="E3724" s="222"/>
      <c r="F3724" s="222"/>
      <c r="G3724" s="225" t="str">
        <f>IF(VLOOKUP($D3711&amp;RIGHT($A3724,1),Players!$A$2:$D$132,3)&lt;&gt;0,VLOOKUP($D3711&amp;RIGHT($A3724,1),Players!$A$2:$D$132,3),"")</f>
        <v/>
      </c>
      <c r="H3724" s="225"/>
      <c r="I3724" s="225"/>
      <c r="J3724" s="168" t="str">
        <f>IF(VLOOKUP($D3711&amp;RIGHT($A3724,1),Players!$A$2:$D$132,3)&lt;&gt;0,"("&amp;VLOOKUP($D3711&amp;RIGHT($A3724,1),Players!$A$2:$D$132,4)&amp;")","")</f>
        <v/>
      </c>
    </row>
    <row r="3725" spans="1:10" ht="25.5" customHeight="1" x14ac:dyDescent="0.4">
      <c r="A3725" s="37" t="str">
        <f>CONCATENATE($I3711,"8")</f>
        <v>C8</v>
      </c>
      <c r="B3725" s="222" t="str">
        <f>IF(VLOOKUP($A3725,Players!$A$2:$C$132,3)&lt;&gt;0,VLOOKUP($A3725,Players!$A$2:$C$132,3),"")</f>
        <v/>
      </c>
      <c r="C3725" s="222"/>
      <c r="D3725" s="222"/>
      <c r="E3725" s="222"/>
      <c r="F3725" s="222"/>
      <c r="G3725" s="225" t="str">
        <f>IF(VLOOKUP($D3711&amp;RIGHT($A3725,1),Players!$A$2:$D$132,3)&lt;&gt;0,VLOOKUP($D3711&amp;RIGHT($A3725,1),Players!$A$2:$D$132,3),"")</f>
        <v/>
      </c>
      <c r="H3725" s="225"/>
      <c r="I3725" s="225"/>
      <c r="J3725" s="168" t="str">
        <f>IF(VLOOKUP($D3711&amp;RIGHT($A3725,1),Players!$A$2:$D$132,3)&lt;&gt;0,"("&amp;VLOOKUP($D3711&amp;RIGHT($A3725,1),Players!$A$2:$D$132,4)&amp;")","")</f>
        <v/>
      </c>
    </row>
    <row r="3726" spans="1:10" ht="25.5" customHeight="1" x14ac:dyDescent="0.25">
      <c r="A3726" s="37"/>
      <c r="B3726" s="7"/>
      <c r="C3726" s="7"/>
      <c r="D3726" s="7"/>
      <c r="E3726" s="7"/>
    </row>
    <row r="3727" spans="1:10" x14ac:dyDescent="0.25">
      <c r="A3727" s="9" t="s">
        <v>157</v>
      </c>
    </row>
    <row r="3728" spans="1:10" x14ac:dyDescent="0.25">
      <c r="A3728" t="s">
        <v>179</v>
      </c>
    </row>
    <row r="3729" spans="1:10" x14ac:dyDescent="0.25">
      <c r="A3729" s="55" t="s">
        <v>918</v>
      </c>
    </row>
    <row r="3730" spans="1:10" x14ac:dyDescent="0.25">
      <c r="A3730" t="s">
        <v>919</v>
      </c>
    </row>
    <row r="3731" spans="1:10" ht="25.5" customHeight="1" thickBot="1" x14ac:dyDescent="0.3">
      <c r="A3731" s="37"/>
    </row>
    <row r="3732" spans="1:10" x14ac:dyDescent="0.25">
      <c r="B3732" s="213"/>
      <c r="C3732" s="214"/>
      <c r="D3732" s="214"/>
      <c r="E3732" s="214"/>
      <c r="F3732" s="215"/>
    </row>
    <row r="3733" spans="1:10" ht="13.8" thickBot="1" x14ac:dyDescent="0.3">
      <c r="B3733" s="216"/>
      <c r="C3733" s="217"/>
      <c r="D3733" s="217"/>
      <c r="E3733" s="217"/>
      <c r="F3733" s="218"/>
    </row>
    <row r="3737" spans="1:10" ht="25.5" customHeight="1" x14ac:dyDescent="0.25">
      <c r="A3737" s="36"/>
      <c r="B3737" s="36"/>
      <c r="C3737" s="36"/>
      <c r="D3737" s="36"/>
      <c r="E3737" s="36"/>
      <c r="G3737" s="38"/>
      <c r="H3737" s="227" t="s">
        <v>159</v>
      </c>
      <c r="I3737" s="228"/>
    </row>
    <row r="3738" spans="1:10" x14ac:dyDescent="0.25">
      <c r="A3738" t="s">
        <v>158</v>
      </c>
    </row>
    <row r="3740" spans="1:10" x14ac:dyDescent="0.25">
      <c r="E3740" s="219" t="str">
        <f>CONCATENATE("(",$D3711," vs ",$I3711,")")</f>
        <v>(A vs C)</v>
      </c>
      <c r="F3740" s="219"/>
    </row>
    <row r="3741" spans="1:10" ht="15.6" x14ac:dyDescent="0.3">
      <c r="A3741" s="33" t="s">
        <v>155</v>
      </c>
      <c r="J3741" s="82" t="s">
        <v>581</v>
      </c>
    </row>
    <row r="3742" spans="1:10" ht="12.75" customHeight="1" x14ac:dyDescent="0.3">
      <c r="A3742" s="33"/>
      <c r="G3742" t="str">
        <f ca="1">Team_Matches!$J$6</f>
        <v>[NCTTA Teams Template (v3.4).xlsx]</v>
      </c>
      <c r="J3742" s="55"/>
    </row>
    <row r="3743" spans="1:10" ht="12.75" customHeight="1" x14ac:dyDescent="0.3">
      <c r="A3743" s="33"/>
      <c r="G3743" s="229" t="str">
        <f>Team_Matches!$J2812</f>
        <v>Round 10, Match 2</v>
      </c>
      <c r="H3743" s="229"/>
      <c r="I3743" s="127" t="str">
        <f>Team_Matches!$M2812</f>
        <v/>
      </c>
      <c r="J3743" s="127"/>
    </row>
    <row r="3744" spans="1:10" ht="15.6" x14ac:dyDescent="0.3">
      <c r="A3744" s="33"/>
    </row>
    <row r="3745" spans="1:10" x14ac:dyDescent="0.25">
      <c r="C3745" s="7" t="s">
        <v>160</v>
      </c>
      <c r="D3745" s="39" t="str">
        <f>Team_Matches!$B2814</f>
        <v>B</v>
      </c>
      <c r="F3745" s="83" t="str">
        <f>CONCATENATE($D3745,"-",$I3745)</f>
        <v>B-D</v>
      </c>
      <c r="H3745" s="7" t="s">
        <v>160</v>
      </c>
      <c r="I3745" s="3" t="str">
        <f>Team_Matches!$K2814</f>
        <v>D</v>
      </c>
    </row>
    <row r="3746" spans="1:10" ht="25.5" customHeight="1" x14ac:dyDescent="0.25">
      <c r="A3746" s="34"/>
      <c r="B3746" s="220" t="str">
        <f>IF(VLOOKUP($D3745,Draw!$A$4:$B$27,2)&lt;&gt;0,VLOOKUP($D3745,Draw!$A$4:$B$27,2),"")</f>
        <v/>
      </c>
      <c r="C3746" s="220"/>
      <c r="D3746" s="220"/>
      <c r="E3746" s="221"/>
      <c r="F3746" s="35"/>
      <c r="G3746" s="223" t="str">
        <f>IF(VLOOKUP($I3745,Draw!$A$4:$B$27,2)&lt;&gt;0,VLOOKUP($I3745,Draw!$A$4:$B$27,2),"")</f>
        <v/>
      </c>
      <c r="H3746" s="223"/>
      <c r="I3746" s="223"/>
      <c r="J3746" s="224"/>
    </row>
    <row r="3747" spans="1:10" ht="25.5" customHeight="1" x14ac:dyDescent="0.25"/>
    <row r="3748" spans="1:10" ht="25.5" customHeight="1" x14ac:dyDescent="0.25"/>
    <row r="3749" spans="1:10" ht="24" customHeight="1" x14ac:dyDescent="0.25">
      <c r="A3749" s="9" t="s">
        <v>178</v>
      </c>
    </row>
    <row r="3750" spans="1:10" ht="24" customHeight="1" x14ac:dyDescent="0.25">
      <c r="A3750" s="9"/>
    </row>
    <row r="3751" spans="1:10" x14ac:dyDescent="0.25">
      <c r="A3751" s="9" t="s">
        <v>156</v>
      </c>
      <c r="G3751" s="226" t="s">
        <v>873</v>
      </c>
      <c r="H3751" s="226"/>
      <c r="I3751" s="226"/>
      <c r="J3751" s="226"/>
    </row>
    <row r="3752" spans="1:10" ht="24" customHeight="1" x14ac:dyDescent="0.4">
      <c r="A3752" s="37" t="str">
        <f>CONCATENATE($D3745,"1")</f>
        <v>B1</v>
      </c>
      <c r="B3752" s="222" t="str">
        <f>IF(VLOOKUP($A3752,Players!$A$2:$C$132,3)&lt;&gt;0,VLOOKUP($A3752,Players!$A$2:$C$132,3),"")</f>
        <v/>
      </c>
      <c r="C3752" s="222"/>
      <c r="D3752" s="222"/>
      <c r="E3752" s="222"/>
      <c r="F3752" s="222"/>
      <c r="G3752" s="225" t="str">
        <f>IF(VLOOKUP($I3745&amp;RIGHT($A3752,1),Players!$A$2:$D$132,3)&lt;&gt;0,VLOOKUP($I3745&amp;RIGHT($A3752,1),Players!$A$2:$D$132,3),"")</f>
        <v/>
      </c>
      <c r="H3752" s="225"/>
      <c r="I3752" s="225"/>
      <c r="J3752" s="168" t="str">
        <f>IF(VLOOKUP($I3745&amp;RIGHT($A3752,1),Players!$A$2:$D$132,3)&lt;&gt;0,"("&amp;VLOOKUP($I3745&amp;RIGHT($A3752,1),Players!$A$2:$D$132,4)&amp;")","")</f>
        <v/>
      </c>
    </row>
    <row r="3753" spans="1:10" ht="25.5" customHeight="1" x14ac:dyDescent="0.4">
      <c r="A3753" s="37" t="str">
        <f>CONCATENATE($D3745,"2")</f>
        <v>B2</v>
      </c>
      <c r="B3753" s="222" t="str">
        <f>IF(VLOOKUP($A3753,Players!$A$2:$C$132,3)&lt;&gt;0,VLOOKUP($A3753,Players!$A$2:$C$132,3),"")</f>
        <v/>
      </c>
      <c r="C3753" s="222"/>
      <c r="D3753" s="222"/>
      <c r="E3753" s="222"/>
      <c r="F3753" s="222"/>
      <c r="G3753" s="225" t="str">
        <f>IF(VLOOKUP($I3745&amp;RIGHT($A3753,1),Players!$A$2:$D$132,3)&lt;&gt;0,VLOOKUP($I3745&amp;RIGHT($A3753,1),Players!$A$2:$D$132,3),"")</f>
        <v/>
      </c>
      <c r="H3753" s="225"/>
      <c r="I3753" s="225"/>
      <c r="J3753" s="168" t="str">
        <f>IF(VLOOKUP($I3745&amp;RIGHT($A3753,1),Players!$A$2:$D$132,3)&lt;&gt;0,"("&amp;VLOOKUP($I3745&amp;RIGHT($A3753,1),Players!$A$2:$D$132,4)&amp;")","")</f>
        <v/>
      </c>
    </row>
    <row r="3754" spans="1:10" ht="25.5" customHeight="1" x14ac:dyDescent="0.4">
      <c r="A3754" s="37" t="str">
        <f>CONCATENATE($D3745,"3")</f>
        <v>B3</v>
      </c>
      <c r="B3754" s="222" t="str">
        <f>IF(VLOOKUP($A3754,Players!$A$2:$C$132,3)&lt;&gt;0,VLOOKUP($A3754,Players!$A$2:$C$132,3),"")</f>
        <v/>
      </c>
      <c r="C3754" s="222"/>
      <c r="D3754" s="222"/>
      <c r="E3754" s="222"/>
      <c r="F3754" s="222"/>
      <c r="G3754" s="225" t="str">
        <f>IF(VLOOKUP($I3745&amp;RIGHT($A3754,1),Players!$A$2:$D$132,3)&lt;&gt;0,VLOOKUP($I3745&amp;RIGHT($A3754,1),Players!$A$2:$D$132,3),"")</f>
        <v/>
      </c>
      <c r="H3754" s="225"/>
      <c r="I3754" s="225"/>
      <c r="J3754" s="168" t="str">
        <f>IF(VLOOKUP($I3745&amp;RIGHT($A3754,1),Players!$A$2:$D$132,3)&lt;&gt;0,"("&amp;VLOOKUP($I3745&amp;RIGHT($A3754,1),Players!$A$2:$D$132,4)&amp;")","")</f>
        <v/>
      </c>
    </row>
    <row r="3755" spans="1:10" ht="25.5" customHeight="1" x14ac:dyDescent="0.4">
      <c r="A3755" s="37" t="str">
        <f>CONCATENATE($D3745,"4")</f>
        <v>B4</v>
      </c>
      <c r="B3755" s="222" t="str">
        <f>IF(VLOOKUP($A3755,Players!$A$2:$C$132,3)&lt;&gt;0,VLOOKUP($A3755,Players!$A$2:$C$132,3),"")</f>
        <v/>
      </c>
      <c r="C3755" s="222"/>
      <c r="D3755" s="222"/>
      <c r="E3755" s="222"/>
      <c r="F3755" s="222"/>
      <c r="G3755" s="225" t="str">
        <f>IF(VLOOKUP($I3745&amp;RIGHT($A3755,1),Players!$A$2:$D$132,3)&lt;&gt;0,VLOOKUP($I3745&amp;RIGHT($A3755,1),Players!$A$2:$D$132,3),"")</f>
        <v/>
      </c>
      <c r="H3755" s="225"/>
      <c r="I3755" s="225"/>
      <c r="J3755" s="168" t="str">
        <f>IF(VLOOKUP($I3745&amp;RIGHT($A3755,1),Players!$A$2:$D$132,3)&lt;&gt;0,"("&amp;VLOOKUP($I3745&amp;RIGHT($A3755,1),Players!$A$2:$D$132,4)&amp;")","")</f>
        <v/>
      </c>
    </row>
    <row r="3756" spans="1:10" ht="25.5" customHeight="1" x14ac:dyDescent="0.4">
      <c r="A3756" s="37" t="str">
        <f>CONCATENATE($D3745,"5")</f>
        <v>B5</v>
      </c>
      <c r="B3756" s="222" t="str">
        <f>IF(VLOOKUP($A3756,Players!$A$2:$C$132,3)&lt;&gt;0,VLOOKUP($A3756,Players!$A$2:$C$132,3),"")</f>
        <v/>
      </c>
      <c r="C3756" s="222"/>
      <c r="D3756" s="222"/>
      <c r="E3756" s="222"/>
      <c r="F3756" s="222"/>
      <c r="G3756" s="225" t="str">
        <f>IF(VLOOKUP($I3745&amp;RIGHT($A3756,1),Players!$A$2:$D$132,3)&lt;&gt;0,VLOOKUP($I3745&amp;RIGHT($A3756,1),Players!$A$2:$D$132,3),"")</f>
        <v/>
      </c>
      <c r="H3756" s="225"/>
      <c r="I3756" s="225"/>
      <c r="J3756" s="168" t="str">
        <f>IF(VLOOKUP($I3745&amp;RIGHT($A3756,1),Players!$A$2:$D$132,3)&lt;&gt;0,"("&amp;VLOOKUP($I3745&amp;RIGHT($A3756,1),Players!$A$2:$D$132,4)&amp;")","")</f>
        <v/>
      </c>
    </row>
    <row r="3757" spans="1:10" ht="25.5" customHeight="1" x14ac:dyDescent="0.4">
      <c r="A3757" s="37" t="str">
        <f>CONCATENATE($D3745,"6")</f>
        <v>B6</v>
      </c>
      <c r="B3757" s="222" t="str">
        <f>IF(VLOOKUP($A3757,Players!$A$2:$C$132,3)&lt;&gt;0,VLOOKUP($A3757,Players!$A$2:$C$132,3),"")</f>
        <v/>
      </c>
      <c r="C3757" s="222"/>
      <c r="D3757" s="222"/>
      <c r="E3757" s="222"/>
      <c r="F3757" s="222"/>
      <c r="G3757" s="225" t="str">
        <f>IF(VLOOKUP($I3745&amp;RIGHT($A3757,1),Players!$A$2:$D$132,3)&lt;&gt;0,VLOOKUP($I3745&amp;RIGHT($A3757,1),Players!$A$2:$D$132,3),"")</f>
        <v/>
      </c>
      <c r="H3757" s="225"/>
      <c r="I3757" s="225"/>
      <c r="J3757" s="168" t="str">
        <f>IF(VLOOKUP($I3745&amp;RIGHT($A3757,1),Players!$A$2:$D$132,3)&lt;&gt;0,"("&amp;VLOOKUP($I3745&amp;RIGHT($A3757,1),Players!$A$2:$D$132,4)&amp;")","")</f>
        <v/>
      </c>
    </row>
    <row r="3758" spans="1:10" ht="25.5" customHeight="1" x14ac:dyDescent="0.4">
      <c r="A3758" s="37" t="str">
        <f>CONCATENATE($D3745,"7")</f>
        <v>B7</v>
      </c>
      <c r="B3758" s="222" t="str">
        <f>IF(VLOOKUP($A3758,Players!$A$2:$C$132,3)&lt;&gt;0,VLOOKUP($A3758,Players!$A$2:$C$132,3),"")</f>
        <v/>
      </c>
      <c r="C3758" s="222"/>
      <c r="D3758" s="222"/>
      <c r="E3758" s="222"/>
      <c r="F3758" s="222"/>
      <c r="G3758" s="225" t="str">
        <f>IF(VLOOKUP($I3745&amp;RIGHT($A3758,1),Players!$A$2:$D$132,3)&lt;&gt;0,VLOOKUP($I3745&amp;RIGHT($A3758,1),Players!$A$2:$D$132,3),"")</f>
        <v/>
      </c>
      <c r="H3758" s="225"/>
      <c r="I3758" s="225"/>
      <c r="J3758" s="168" t="str">
        <f>IF(VLOOKUP($I3745&amp;RIGHT($A3758,1),Players!$A$2:$D$132,3)&lt;&gt;0,"("&amp;VLOOKUP($I3745&amp;RIGHT($A3758,1),Players!$A$2:$D$132,4)&amp;")","")</f>
        <v/>
      </c>
    </row>
    <row r="3759" spans="1:10" ht="25.5" customHeight="1" x14ac:dyDescent="0.4">
      <c r="A3759" s="37" t="str">
        <f>CONCATENATE($D3745,"8")</f>
        <v>B8</v>
      </c>
      <c r="B3759" s="222" t="str">
        <f>IF(VLOOKUP($A3759,Players!$A$2:$C$132,3)&lt;&gt;0,VLOOKUP($A3759,Players!$A$2:$C$132,3),"")</f>
        <v/>
      </c>
      <c r="C3759" s="222"/>
      <c r="D3759" s="222"/>
      <c r="E3759" s="222"/>
      <c r="F3759" s="222"/>
      <c r="G3759" s="225" t="str">
        <f>IF(VLOOKUP($I3745&amp;RIGHT($A3759,1),Players!$A$2:$D$132,3)&lt;&gt;0,VLOOKUP($I3745&amp;RIGHT($A3759,1),Players!$A$2:$D$132,3),"")</f>
        <v/>
      </c>
      <c r="H3759" s="225"/>
      <c r="I3759" s="225"/>
      <c r="J3759" s="168" t="str">
        <f>IF(VLOOKUP($I3745&amp;RIGHT($A3759,1),Players!$A$2:$D$132,3)&lt;&gt;0,"("&amp;VLOOKUP($I3745&amp;RIGHT($A3759,1),Players!$A$2:$D$132,4)&amp;")","")</f>
        <v/>
      </c>
    </row>
    <row r="3760" spans="1:10" ht="25.5" customHeight="1" x14ac:dyDescent="0.25">
      <c r="A3760" s="37"/>
      <c r="B3760" s="7"/>
      <c r="C3760" s="7"/>
      <c r="D3760" s="7"/>
      <c r="E3760" s="7"/>
    </row>
    <row r="3761" spans="1:10" x14ac:dyDescent="0.25">
      <c r="A3761" s="9" t="s">
        <v>157</v>
      </c>
    </row>
    <row r="3762" spans="1:10" x14ac:dyDescent="0.25">
      <c r="A3762" t="s">
        <v>179</v>
      </c>
    </row>
    <row r="3763" spans="1:10" x14ac:dyDescent="0.25">
      <c r="A3763" s="55" t="s">
        <v>918</v>
      </c>
    </row>
    <row r="3764" spans="1:10" x14ac:dyDescent="0.25">
      <c r="A3764" t="s">
        <v>919</v>
      </c>
    </row>
    <row r="3765" spans="1:10" ht="25.5" customHeight="1" thickBot="1" x14ac:dyDescent="0.3">
      <c r="A3765" s="37"/>
    </row>
    <row r="3766" spans="1:10" x14ac:dyDescent="0.25">
      <c r="B3766" s="213"/>
      <c r="C3766" s="214"/>
      <c r="D3766" s="214"/>
      <c r="E3766" s="214"/>
      <c r="F3766" s="215"/>
    </row>
    <row r="3767" spans="1:10" ht="13.8" thickBot="1" x14ac:dyDescent="0.3">
      <c r="B3767" s="216"/>
      <c r="C3767" s="217"/>
      <c r="D3767" s="217"/>
      <c r="E3767" s="217"/>
      <c r="F3767" s="218"/>
    </row>
    <row r="3771" spans="1:10" ht="25.5" customHeight="1" x14ac:dyDescent="0.25">
      <c r="A3771" s="36"/>
      <c r="B3771" s="36"/>
      <c r="C3771" s="36"/>
      <c r="D3771" s="36"/>
      <c r="E3771" s="36"/>
      <c r="G3771" s="38"/>
      <c r="H3771" s="227" t="s">
        <v>159</v>
      </c>
      <c r="I3771" s="228"/>
    </row>
    <row r="3772" spans="1:10" x14ac:dyDescent="0.25">
      <c r="A3772" t="s">
        <v>158</v>
      </c>
    </row>
    <row r="3774" spans="1:10" x14ac:dyDescent="0.25">
      <c r="E3774" s="219" t="str">
        <f>CONCATENATE("(",$D3745," vs ",$I3745,")")</f>
        <v>(B vs D)</v>
      </c>
      <c r="F3774" s="219"/>
    </row>
    <row r="3775" spans="1:10" ht="15.6" x14ac:dyDescent="0.3">
      <c r="A3775" s="33" t="s">
        <v>155</v>
      </c>
      <c r="J3775" s="82" t="s">
        <v>582</v>
      </c>
    </row>
    <row r="3776" spans="1:10" ht="12.75" customHeight="1" x14ac:dyDescent="0.3">
      <c r="A3776" s="33"/>
      <c r="G3776" t="str">
        <f ca="1">Team_Matches!$J$6</f>
        <v>[NCTTA Teams Template (v3.4).xlsx]</v>
      </c>
      <c r="J3776" s="55"/>
    </row>
    <row r="3777" spans="1:10" ht="12.75" customHeight="1" x14ac:dyDescent="0.3">
      <c r="A3777" s="33"/>
      <c r="G3777" s="229" t="str">
        <f>Team_Matches!$J2812</f>
        <v>Round 10, Match 2</v>
      </c>
      <c r="H3777" s="229"/>
      <c r="I3777" s="127" t="str">
        <f>Team_Matches!$M2812</f>
        <v/>
      </c>
      <c r="J3777" s="127"/>
    </row>
    <row r="3778" spans="1:10" ht="15.6" x14ac:dyDescent="0.3">
      <c r="A3778" s="33"/>
    </row>
    <row r="3779" spans="1:10" x14ac:dyDescent="0.25">
      <c r="C3779" s="7" t="s">
        <v>160</v>
      </c>
      <c r="D3779" s="39" t="str">
        <f>Team_Matches!$B2814</f>
        <v>B</v>
      </c>
      <c r="F3779" s="83" t="str">
        <f>CONCATENATE($D3779,"-",$I3779)</f>
        <v>B-D</v>
      </c>
      <c r="H3779" s="7" t="s">
        <v>160</v>
      </c>
      <c r="I3779" s="3" t="str">
        <f>Team_Matches!$K2814</f>
        <v>D</v>
      </c>
    </row>
    <row r="3780" spans="1:10" ht="25.5" customHeight="1" x14ac:dyDescent="0.25">
      <c r="A3780" s="34"/>
      <c r="B3780" s="223" t="str">
        <f>IF(VLOOKUP($D3779,Draw!$A$4:$B$27,2)&lt;&gt;0,VLOOKUP($D3779,Draw!$A$4:$B$27,2),"")</f>
        <v/>
      </c>
      <c r="C3780" s="223"/>
      <c r="D3780" s="223"/>
      <c r="E3780" s="224"/>
      <c r="F3780" s="35"/>
      <c r="G3780" s="220" t="str">
        <f>IF(VLOOKUP($I3779,Draw!$A$4:$B$27,2)&lt;&gt;0,VLOOKUP($I3779,Draw!$A$4:$B$27,2),"")</f>
        <v/>
      </c>
      <c r="H3780" s="220"/>
      <c r="I3780" s="220"/>
      <c r="J3780" s="221"/>
    </row>
    <row r="3781" spans="1:10" ht="25.5" customHeight="1" x14ac:dyDescent="0.25"/>
    <row r="3782" spans="1:10" ht="25.5" customHeight="1" x14ac:dyDescent="0.25"/>
    <row r="3783" spans="1:10" ht="24" customHeight="1" x14ac:dyDescent="0.25">
      <c r="A3783" s="9" t="s">
        <v>178</v>
      </c>
    </row>
    <row r="3784" spans="1:10" ht="24" customHeight="1" x14ac:dyDescent="0.25">
      <c r="A3784" s="9"/>
    </row>
    <row r="3785" spans="1:10" x14ac:dyDescent="0.25">
      <c r="A3785" s="9" t="s">
        <v>156</v>
      </c>
      <c r="G3785" s="226" t="s">
        <v>873</v>
      </c>
      <c r="H3785" s="226"/>
      <c r="I3785" s="226"/>
      <c r="J3785" s="226"/>
    </row>
    <row r="3786" spans="1:10" ht="24" customHeight="1" x14ac:dyDescent="0.4">
      <c r="A3786" s="37" t="str">
        <f>CONCATENATE($I3779,"1")</f>
        <v>D1</v>
      </c>
      <c r="B3786" s="222" t="str">
        <f>IF(VLOOKUP($A3786,Players!$A$2:$C$132,3)&lt;&gt;0,VLOOKUP($A3786,Players!$A$2:$C$132,3),"")</f>
        <v/>
      </c>
      <c r="C3786" s="222"/>
      <c r="D3786" s="222"/>
      <c r="E3786" s="222"/>
      <c r="F3786" s="222"/>
      <c r="G3786" s="225" t="str">
        <f>IF(VLOOKUP($D3779&amp;RIGHT($A3786,1),Players!$A$2:$D$132,3)&lt;&gt;0,VLOOKUP($D3779&amp;RIGHT($A3786,1),Players!$A$2:$D$132,3),"")</f>
        <v/>
      </c>
      <c r="H3786" s="225"/>
      <c r="I3786" s="225"/>
      <c r="J3786" s="168" t="str">
        <f>IF(VLOOKUP($D3779&amp;RIGHT($A3786,1),Players!$A$2:$D$132,3)&lt;&gt;0,"("&amp;VLOOKUP($D3779&amp;RIGHT($A3786,1),Players!$A$2:$D$132,4)&amp;")","")</f>
        <v/>
      </c>
    </row>
    <row r="3787" spans="1:10" ht="25.5" customHeight="1" x14ac:dyDescent="0.4">
      <c r="A3787" s="37" t="str">
        <f>CONCATENATE($I3779,"2")</f>
        <v>D2</v>
      </c>
      <c r="B3787" s="222" t="str">
        <f>IF(VLOOKUP($A3787,Players!$A$2:$C$132,3)&lt;&gt;0,VLOOKUP($A3787,Players!$A$2:$C$132,3),"")</f>
        <v/>
      </c>
      <c r="C3787" s="222"/>
      <c r="D3787" s="222"/>
      <c r="E3787" s="222"/>
      <c r="F3787" s="222"/>
      <c r="G3787" s="225" t="str">
        <f>IF(VLOOKUP($D3779&amp;RIGHT($A3787,1),Players!$A$2:$D$132,3)&lt;&gt;0,VLOOKUP($D3779&amp;RIGHT($A3787,1),Players!$A$2:$D$132,3),"")</f>
        <v/>
      </c>
      <c r="H3787" s="225"/>
      <c r="I3787" s="225"/>
      <c r="J3787" s="168" t="str">
        <f>IF(VLOOKUP($D3779&amp;RIGHT($A3787,1),Players!$A$2:$D$132,3)&lt;&gt;0,"("&amp;VLOOKUP($D3779&amp;RIGHT($A3787,1),Players!$A$2:$D$132,4)&amp;")","")</f>
        <v/>
      </c>
    </row>
    <row r="3788" spans="1:10" ht="25.5" customHeight="1" x14ac:dyDescent="0.4">
      <c r="A3788" s="37" t="str">
        <f>CONCATENATE($I3779,"3")</f>
        <v>D3</v>
      </c>
      <c r="B3788" s="222" t="str">
        <f>IF(VLOOKUP($A3788,Players!$A$2:$C$132,3)&lt;&gt;0,VLOOKUP($A3788,Players!$A$2:$C$132,3),"")</f>
        <v/>
      </c>
      <c r="C3788" s="222"/>
      <c r="D3788" s="222"/>
      <c r="E3788" s="222"/>
      <c r="F3788" s="222"/>
      <c r="G3788" s="225" t="str">
        <f>IF(VLOOKUP($D3779&amp;RIGHT($A3788,1),Players!$A$2:$D$132,3)&lt;&gt;0,VLOOKUP($D3779&amp;RIGHT($A3788,1),Players!$A$2:$D$132,3),"")</f>
        <v/>
      </c>
      <c r="H3788" s="225"/>
      <c r="I3788" s="225"/>
      <c r="J3788" s="168" t="str">
        <f>IF(VLOOKUP($D3779&amp;RIGHT($A3788,1),Players!$A$2:$D$132,3)&lt;&gt;0,"("&amp;VLOOKUP($D3779&amp;RIGHT($A3788,1),Players!$A$2:$D$132,4)&amp;")","")</f>
        <v/>
      </c>
    </row>
    <row r="3789" spans="1:10" ht="25.5" customHeight="1" x14ac:dyDescent="0.4">
      <c r="A3789" s="37" t="str">
        <f>CONCATENATE($I3779,"4")</f>
        <v>D4</v>
      </c>
      <c r="B3789" s="222" t="str">
        <f>IF(VLOOKUP($A3789,Players!$A$2:$C$132,3)&lt;&gt;0,VLOOKUP($A3789,Players!$A$2:$C$132,3),"")</f>
        <v/>
      </c>
      <c r="C3789" s="222"/>
      <c r="D3789" s="222"/>
      <c r="E3789" s="222"/>
      <c r="F3789" s="222"/>
      <c r="G3789" s="225" t="str">
        <f>IF(VLOOKUP($D3779&amp;RIGHT($A3789,1),Players!$A$2:$D$132,3)&lt;&gt;0,VLOOKUP($D3779&amp;RIGHT($A3789,1),Players!$A$2:$D$132,3),"")</f>
        <v/>
      </c>
      <c r="H3789" s="225"/>
      <c r="I3789" s="225"/>
      <c r="J3789" s="168" t="str">
        <f>IF(VLOOKUP($D3779&amp;RIGHT($A3789,1),Players!$A$2:$D$132,3)&lt;&gt;0,"("&amp;VLOOKUP($D3779&amp;RIGHT($A3789,1),Players!$A$2:$D$132,4)&amp;")","")</f>
        <v/>
      </c>
    </row>
    <row r="3790" spans="1:10" ht="25.5" customHeight="1" x14ac:dyDescent="0.4">
      <c r="A3790" s="37" t="str">
        <f>CONCATENATE($I3779,"5")</f>
        <v>D5</v>
      </c>
      <c r="B3790" s="222" t="str">
        <f>IF(VLOOKUP($A3790,Players!$A$2:$C$132,3)&lt;&gt;0,VLOOKUP($A3790,Players!$A$2:$C$132,3),"")</f>
        <v/>
      </c>
      <c r="C3790" s="222"/>
      <c r="D3790" s="222"/>
      <c r="E3790" s="222"/>
      <c r="F3790" s="222"/>
      <c r="G3790" s="225" t="str">
        <f>IF(VLOOKUP($D3779&amp;RIGHT($A3790,1),Players!$A$2:$D$132,3)&lt;&gt;0,VLOOKUP($D3779&amp;RIGHT($A3790,1),Players!$A$2:$D$132,3),"")</f>
        <v/>
      </c>
      <c r="H3790" s="225"/>
      <c r="I3790" s="225"/>
      <c r="J3790" s="168" t="str">
        <f>IF(VLOOKUP($D3779&amp;RIGHT($A3790,1),Players!$A$2:$D$132,3)&lt;&gt;0,"("&amp;VLOOKUP($D3779&amp;RIGHT($A3790,1),Players!$A$2:$D$132,4)&amp;")","")</f>
        <v/>
      </c>
    </row>
    <row r="3791" spans="1:10" ht="25.5" customHeight="1" x14ac:dyDescent="0.4">
      <c r="A3791" s="37" t="str">
        <f>CONCATENATE($I3779,"6")</f>
        <v>D6</v>
      </c>
      <c r="B3791" s="222" t="str">
        <f>IF(VLOOKUP($A3791,Players!$A$2:$C$132,3)&lt;&gt;0,VLOOKUP($A3791,Players!$A$2:$C$132,3),"")</f>
        <v/>
      </c>
      <c r="C3791" s="222"/>
      <c r="D3791" s="222"/>
      <c r="E3791" s="222"/>
      <c r="F3791" s="222"/>
      <c r="G3791" s="225" t="str">
        <f>IF(VLOOKUP($D3779&amp;RIGHT($A3791,1),Players!$A$2:$D$132,3)&lt;&gt;0,VLOOKUP($D3779&amp;RIGHT($A3791,1),Players!$A$2:$D$132,3),"")</f>
        <v/>
      </c>
      <c r="H3791" s="225"/>
      <c r="I3791" s="225"/>
      <c r="J3791" s="168" t="str">
        <f>IF(VLOOKUP($D3779&amp;RIGHT($A3791,1),Players!$A$2:$D$132,3)&lt;&gt;0,"("&amp;VLOOKUP($D3779&amp;RIGHT($A3791,1),Players!$A$2:$D$132,4)&amp;")","")</f>
        <v/>
      </c>
    </row>
    <row r="3792" spans="1:10" ht="25.5" customHeight="1" x14ac:dyDescent="0.4">
      <c r="A3792" s="37" t="str">
        <f>CONCATENATE($I3779,"7")</f>
        <v>D7</v>
      </c>
      <c r="B3792" s="222" t="str">
        <f>IF(VLOOKUP($A3792,Players!$A$2:$C$132,3)&lt;&gt;0,VLOOKUP($A3792,Players!$A$2:$C$132,3),"")</f>
        <v/>
      </c>
      <c r="C3792" s="222"/>
      <c r="D3792" s="222"/>
      <c r="E3792" s="222"/>
      <c r="F3792" s="222"/>
      <c r="G3792" s="225" t="str">
        <f>IF(VLOOKUP($D3779&amp;RIGHT($A3792,1),Players!$A$2:$D$132,3)&lt;&gt;0,VLOOKUP($D3779&amp;RIGHT($A3792,1),Players!$A$2:$D$132,3),"")</f>
        <v/>
      </c>
      <c r="H3792" s="225"/>
      <c r="I3792" s="225"/>
      <c r="J3792" s="168" t="str">
        <f>IF(VLOOKUP($D3779&amp;RIGHT($A3792,1),Players!$A$2:$D$132,3)&lt;&gt;0,"("&amp;VLOOKUP($D3779&amp;RIGHT($A3792,1),Players!$A$2:$D$132,4)&amp;")","")</f>
        <v/>
      </c>
    </row>
    <row r="3793" spans="1:10" ht="25.5" customHeight="1" x14ac:dyDescent="0.4">
      <c r="A3793" s="37" t="str">
        <f>CONCATENATE($I3779,"8")</f>
        <v>D8</v>
      </c>
      <c r="B3793" s="222" t="str">
        <f>IF(VLOOKUP($A3793,Players!$A$2:$C$132,3)&lt;&gt;0,VLOOKUP($A3793,Players!$A$2:$C$132,3),"")</f>
        <v/>
      </c>
      <c r="C3793" s="222"/>
      <c r="D3793" s="222"/>
      <c r="E3793" s="222"/>
      <c r="F3793" s="222"/>
      <c r="G3793" s="225" t="str">
        <f>IF(VLOOKUP($D3779&amp;RIGHT($A3793,1),Players!$A$2:$D$132,3)&lt;&gt;0,VLOOKUP($D3779&amp;RIGHT($A3793,1),Players!$A$2:$D$132,3),"")</f>
        <v/>
      </c>
      <c r="H3793" s="225"/>
      <c r="I3793" s="225"/>
      <c r="J3793" s="168" t="str">
        <f>IF(VLOOKUP($D3779&amp;RIGHT($A3793,1),Players!$A$2:$D$132,3)&lt;&gt;0,"("&amp;VLOOKUP($D3779&amp;RIGHT($A3793,1),Players!$A$2:$D$132,4)&amp;")","")</f>
        <v/>
      </c>
    </row>
    <row r="3794" spans="1:10" ht="25.5" customHeight="1" x14ac:dyDescent="0.25">
      <c r="A3794" s="37"/>
      <c r="B3794" s="7"/>
      <c r="C3794" s="7"/>
      <c r="D3794" s="7"/>
      <c r="E3794" s="7"/>
    </row>
    <row r="3795" spans="1:10" x14ac:dyDescent="0.25">
      <c r="A3795" s="9" t="s">
        <v>157</v>
      </c>
    </row>
    <row r="3796" spans="1:10" x14ac:dyDescent="0.25">
      <c r="A3796" t="s">
        <v>179</v>
      </c>
    </row>
    <row r="3797" spans="1:10" x14ac:dyDescent="0.25">
      <c r="A3797" s="55" t="s">
        <v>918</v>
      </c>
    </row>
    <row r="3798" spans="1:10" x14ac:dyDescent="0.25">
      <c r="A3798" t="s">
        <v>919</v>
      </c>
    </row>
    <row r="3799" spans="1:10" ht="25.5" customHeight="1" thickBot="1" x14ac:dyDescent="0.3">
      <c r="A3799" s="37"/>
    </row>
    <row r="3800" spans="1:10" x14ac:dyDescent="0.25">
      <c r="B3800" s="213"/>
      <c r="C3800" s="214"/>
      <c r="D3800" s="214"/>
      <c r="E3800" s="214"/>
      <c r="F3800" s="215"/>
    </row>
    <row r="3801" spans="1:10" ht="13.8" thickBot="1" x14ac:dyDescent="0.3">
      <c r="B3801" s="216"/>
      <c r="C3801" s="217"/>
      <c r="D3801" s="217"/>
      <c r="E3801" s="217"/>
      <c r="F3801" s="218"/>
    </row>
    <row r="3805" spans="1:10" ht="25.5" customHeight="1" x14ac:dyDescent="0.25">
      <c r="A3805" s="36"/>
      <c r="B3805" s="36"/>
      <c r="C3805" s="36"/>
      <c r="D3805" s="36"/>
      <c r="E3805" s="36"/>
      <c r="G3805" s="38"/>
      <c r="H3805" s="227" t="s">
        <v>159</v>
      </c>
      <c r="I3805" s="228"/>
    </row>
    <row r="3806" spans="1:10" x14ac:dyDescent="0.25">
      <c r="A3806" t="s">
        <v>158</v>
      </c>
    </row>
    <row r="3808" spans="1:10" x14ac:dyDescent="0.25">
      <c r="E3808" s="219" t="str">
        <f>CONCATENATE("(",$D3779," vs ",$I3779,")")</f>
        <v>(B vs D)</v>
      </c>
      <c r="F3808" s="219"/>
    </row>
    <row r="3809" spans="1:10" ht="15.6" x14ac:dyDescent="0.3">
      <c r="A3809" s="33" t="s">
        <v>155</v>
      </c>
      <c r="J3809" s="82" t="s">
        <v>583</v>
      </c>
    </row>
    <row r="3810" spans="1:10" ht="12.75" customHeight="1" x14ac:dyDescent="0.3">
      <c r="A3810" s="33"/>
      <c r="G3810" t="str">
        <f ca="1">Team_Matches!$J$6</f>
        <v>[NCTTA Teams Template (v3.4).xlsx]</v>
      </c>
      <c r="J3810" s="55"/>
    </row>
    <row r="3811" spans="1:10" ht="12.75" customHeight="1" x14ac:dyDescent="0.3">
      <c r="A3811" s="33"/>
      <c r="G3811" s="229" t="str">
        <f>Team_Matches!$J2863</f>
        <v>Round 10, Match 3</v>
      </c>
      <c r="H3811" s="229"/>
      <c r="I3811" s="127" t="str">
        <f>Team_Matches!$M2863</f>
        <v/>
      </c>
      <c r="J3811" s="127"/>
    </row>
    <row r="3812" spans="1:10" ht="15.6" x14ac:dyDescent="0.3">
      <c r="A3812" s="33"/>
    </row>
    <row r="3813" spans="1:10" x14ac:dyDescent="0.25">
      <c r="C3813" s="7" t="s">
        <v>160</v>
      </c>
      <c r="D3813" s="39" t="str">
        <f>Team_Matches!$B2865</f>
        <v>E</v>
      </c>
      <c r="F3813" s="83" t="str">
        <f>CONCATENATE($D3813,"-",$I3813)</f>
        <v>E-L</v>
      </c>
      <c r="H3813" s="7" t="s">
        <v>160</v>
      </c>
      <c r="I3813" s="39" t="str">
        <f>Team_Matches!$K2865</f>
        <v>L</v>
      </c>
    </row>
    <row r="3814" spans="1:10" ht="25.5" customHeight="1" x14ac:dyDescent="0.25">
      <c r="A3814" s="34"/>
      <c r="B3814" s="220" t="str">
        <f>IF(VLOOKUP($D3813,Draw!$A$4:$B$27,2)&lt;&gt;0,VLOOKUP($D3813,Draw!$A$4:$B$27,2),"")</f>
        <v/>
      </c>
      <c r="C3814" s="220"/>
      <c r="D3814" s="220"/>
      <c r="E3814" s="221"/>
      <c r="F3814" s="35"/>
      <c r="G3814" s="223" t="str">
        <f>IF(VLOOKUP($I3813,Draw!$A$4:$B$27,2)&lt;&gt;0,VLOOKUP($I3813,Draw!$A$4:$B$27,2),"")</f>
        <v/>
      </c>
      <c r="H3814" s="223"/>
      <c r="I3814" s="223"/>
      <c r="J3814" s="224"/>
    </row>
    <row r="3815" spans="1:10" ht="25.5" customHeight="1" x14ac:dyDescent="0.25"/>
    <row r="3816" spans="1:10" ht="25.5" customHeight="1" x14ac:dyDescent="0.25"/>
    <row r="3817" spans="1:10" ht="24" customHeight="1" x14ac:dyDescent="0.25">
      <c r="A3817" s="9" t="s">
        <v>178</v>
      </c>
    </row>
    <row r="3818" spans="1:10" ht="24" customHeight="1" x14ac:dyDescent="0.25">
      <c r="A3818" s="9"/>
    </row>
    <row r="3819" spans="1:10" x14ac:dyDescent="0.25">
      <c r="A3819" s="9" t="s">
        <v>156</v>
      </c>
      <c r="G3819" s="226" t="s">
        <v>873</v>
      </c>
      <c r="H3819" s="226"/>
      <c r="I3819" s="226"/>
      <c r="J3819" s="226"/>
    </row>
    <row r="3820" spans="1:10" ht="24" customHeight="1" x14ac:dyDescent="0.4">
      <c r="A3820" s="37" t="str">
        <f>CONCATENATE($D3813,"1")</f>
        <v>E1</v>
      </c>
      <c r="B3820" s="222" t="str">
        <f>IF(VLOOKUP($A3820,Players!$A$2:$C$132,3)&lt;&gt;0,VLOOKUP($A3820,Players!$A$2:$C$132,3),"")</f>
        <v/>
      </c>
      <c r="C3820" s="222"/>
      <c r="D3820" s="222"/>
      <c r="E3820" s="222"/>
      <c r="F3820" s="222"/>
      <c r="G3820" s="225" t="str">
        <f>IF(VLOOKUP($I3813&amp;RIGHT($A3820,1),Players!$A$2:$D$132,3)&lt;&gt;0,VLOOKUP($I3813&amp;RIGHT($A3820,1),Players!$A$2:$D$132,3),"")</f>
        <v/>
      </c>
      <c r="H3820" s="225"/>
      <c r="I3820" s="225"/>
      <c r="J3820" s="168" t="str">
        <f>IF(VLOOKUP($I3813&amp;RIGHT($A3820,1),Players!$A$2:$D$132,3)&lt;&gt;0,"("&amp;VLOOKUP($I3813&amp;RIGHT($A3820,1),Players!$A$2:$D$132,4)&amp;")","")</f>
        <v/>
      </c>
    </row>
    <row r="3821" spans="1:10" ht="25.5" customHeight="1" x14ac:dyDescent="0.4">
      <c r="A3821" s="37" t="str">
        <f>CONCATENATE($D3813,"2")</f>
        <v>E2</v>
      </c>
      <c r="B3821" s="222" t="str">
        <f>IF(VLOOKUP($A3821,Players!$A$2:$C$132,3)&lt;&gt;0,VLOOKUP($A3821,Players!$A$2:$C$132,3),"")</f>
        <v/>
      </c>
      <c r="C3821" s="222"/>
      <c r="D3821" s="222"/>
      <c r="E3821" s="222"/>
      <c r="F3821" s="222"/>
      <c r="G3821" s="225" t="str">
        <f>IF(VLOOKUP($I3813&amp;RIGHT($A3821,1),Players!$A$2:$D$132,3)&lt;&gt;0,VLOOKUP($I3813&amp;RIGHT($A3821,1),Players!$A$2:$D$132,3),"")</f>
        <v/>
      </c>
      <c r="H3821" s="225"/>
      <c r="I3821" s="225"/>
      <c r="J3821" s="168" t="str">
        <f>IF(VLOOKUP($I3813&amp;RIGHT($A3821,1),Players!$A$2:$D$132,3)&lt;&gt;0,"("&amp;VLOOKUP($I3813&amp;RIGHT($A3821,1),Players!$A$2:$D$132,4)&amp;")","")</f>
        <v/>
      </c>
    </row>
    <row r="3822" spans="1:10" ht="25.5" customHeight="1" x14ac:dyDescent="0.4">
      <c r="A3822" s="37" t="str">
        <f>CONCATENATE($D3813,"3")</f>
        <v>E3</v>
      </c>
      <c r="B3822" s="222" t="str">
        <f>IF(VLOOKUP($A3822,Players!$A$2:$C$132,3)&lt;&gt;0,VLOOKUP($A3822,Players!$A$2:$C$132,3),"")</f>
        <v/>
      </c>
      <c r="C3822" s="222"/>
      <c r="D3822" s="222"/>
      <c r="E3822" s="222"/>
      <c r="F3822" s="222"/>
      <c r="G3822" s="225" t="str">
        <f>IF(VLOOKUP($I3813&amp;RIGHT($A3822,1),Players!$A$2:$D$132,3)&lt;&gt;0,VLOOKUP($I3813&amp;RIGHT($A3822,1),Players!$A$2:$D$132,3),"")</f>
        <v/>
      </c>
      <c r="H3822" s="225"/>
      <c r="I3822" s="225"/>
      <c r="J3822" s="168" t="str">
        <f>IF(VLOOKUP($I3813&amp;RIGHT($A3822,1),Players!$A$2:$D$132,3)&lt;&gt;0,"("&amp;VLOOKUP($I3813&amp;RIGHT($A3822,1),Players!$A$2:$D$132,4)&amp;")","")</f>
        <v/>
      </c>
    </row>
    <row r="3823" spans="1:10" ht="25.5" customHeight="1" x14ac:dyDescent="0.4">
      <c r="A3823" s="37" t="str">
        <f>CONCATENATE($D3813,"4")</f>
        <v>E4</v>
      </c>
      <c r="B3823" s="222" t="str">
        <f>IF(VLOOKUP($A3823,Players!$A$2:$C$132,3)&lt;&gt;0,VLOOKUP($A3823,Players!$A$2:$C$132,3),"")</f>
        <v/>
      </c>
      <c r="C3823" s="222"/>
      <c r="D3823" s="222"/>
      <c r="E3823" s="222"/>
      <c r="F3823" s="222"/>
      <c r="G3823" s="225" t="str">
        <f>IF(VLOOKUP($I3813&amp;RIGHT($A3823,1),Players!$A$2:$D$132,3)&lt;&gt;0,VLOOKUP($I3813&amp;RIGHT($A3823,1),Players!$A$2:$D$132,3),"")</f>
        <v/>
      </c>
      <c r="H3823" s="225"/>
      <c r="I3823" s="225"/>
      <c r="J3823" s="168" t="str">
        <f>IF(VLOOKUP($I3813&amp;RIGHT($A3823,1),Players!$A$2:$D$132,3)&lt;&gt;0,"("&amp;VLOOKUP($I3813&amp;RIGHT($A3823,1),Players!$A$2:$D$132,4)&amp;")","")</f>
        <v/>
      </c>
    </row>
    <row r="3824" spans="1:10" ht="25.5" customHeight="1" x14ac:dyDescent="0.4">
      <c r="A3824" s="37" t="str">
        <f>CONCATENATE($D3813,"5")</f>
        <v>E5</v>
      </c>
      <c r="B3824" s="222" t="str">
        <f>IF(VLOOKUP($A3824,Players!$A$2:$C$132,3)&lt;&gt;0,VLOOKUP($A3824,Players!$A$2:$C$132,3),"")</f>
        <v/>
      </c>
      <c r="C3824" s="222"/>
      <c r="D3824" s="222"/>
      <c r="E3824" s="222"/>
      <c r="F3824" s="222"/>
      <c r="G3824" s="225" t="str">
        <f>IF(VLOOKUP($I3813&amp;RIGHT($A3824,1),Players!$A$2:$D$132,3)&lt;&gt;0,VLOOKUP($I3813&amp;RIGHT($A3824,1),Players!$A$2:$D$132,3),"")</f>
        <v/>
      </c>
      <c r="H3824" s="225"/>
      <c r="I3824" s="225"/>
      <c r="J3824" s="168" t="str">
        <f>IF(VLOOKUP($I3813&amp;RIGHT($A3824,1),Players!$A$2:$D$132,3)&lt;&gt;0,"("&amp;VLOOKUP($I3813&amp;RIGHT($A3824,1),Players!$A$2:$D$132,4)&amp;")","")</f>
        <v/>
      </c>
    </row>
    <row r="3825" spans="1:10" ht="25.5" customHeight="1" x14ac:dyDescent="0.4">
      <c r="A3825" s="37" t="str">
        <f>CONCATENATE($D3813,"6")</f>
        <v>E6</v>
      </c>
      <c r="B3825" s="222" t="str">
        <f>IF(VLOOKUP($A3825,Players!$A$2:$C$132,3)&lt;&gt;0,VLOOKUP($A3825,Players!$A$2:$C$132,3),"")</f>
        <v/>
      </c>
      <c r="C3825" s="222"/>
      <c r="D3825" s="222"/>
      <c r="E3825" s="222"/>
      <c r="F3825" s="222"/>
      <c r="G3825" s="225" t="str">
        <f>IF(VLOOKUP($I3813&amp;RIGHT($A3825,1),Players!$A$2:$D$132,3)&lt;&gt;0,VLOOKUP($I3813&amp;RIGHT($A3825,1),Players!$A$2:$D$132,3),"")</f>
        <v/>
      </c>
      <c r="H3825" s="225"/>
      <c r="I3825" s="225"/>
      <c r="J3825" s="168" t="str">
        <f>IF(VLOOKUP($I3813&amp;RIGHT($A3825,1),Players!$A$2:$D$132,3)&lt;&gt;0,"("&amp;VLOOKUP($I3813&amp;RIGHT($A3825,1),Players!$A$2:$D$132,4)&amp;")","")</f>
        <v/>
      </c>
    </row>
    <row r="3826" spans="1:10" ht="25.5" customHeight="1" x14ac:dyDescent="0.4">
      <c r="A3826" s="37" t="str">
        <f>CONCATENATE($D3813,"7")</f>
        <v>E7</v>
      </c>
      <c r="B3826" s="222" t="str">
        <f>IF(VLOOKUP($A3826,Players!$A$2:$C$132,3)&lt;&gt;0,VLOOKUP($A3826,Players!$A$2:$C$132,3),"")</f>
        <v/>
      </c>
      <c r="C3826" s="222"/>
      <c r="D3826" s="222"/>
      <c r="E3826" s="222"/>
      <c r="F3826" s="222"/>
      <c r="G3826" s="225" t="str">
        <f>IF(VLOOKUP($I3813&amp;RIGHT($A3826,1),Players!$A$2:$D$132,3)&lt;&gt;0,VLOOKUP($I3813&amp;RIGHT($A3826,1),Players!$A$2:$D$132,3),"")</f>
        <v/>
      </c>
      <c r="H3826" s="225"/>
      <c r="I3826" s="225"/>
      <c r="J3826" s="168" t="str">
        <f>IF(VLOOKUP($I3813&amp;RIGHT($A3826,1),Players!$A$2:$D$132,3)&lt;&gt;0,"("&amp;VLOOKUP($I3813&amp;RIGHT($A3826,1),Players!$A$2:$D$132,4)&amp;")","")</f>
        <v/>
      </c>
    </row>
    <row r="3827" spans="1:10" ht="25.5" customHeight="1" x14ac:dyDescent="0.4">
      <c r="A3827" s="37" t="str">
        <f>CONCATENATE($D3813,"8")</f>
        <v>E8</v>
      </c>
      <c r="B3827" s="222" t="str">
        <f>IF(VLOOKUP($A3827,Players!$A$2:$C$132,3)&lt;&gt;0,VLOOKUP($A3827,Players!$A$2:$C$132,3),"")</f>
        <v/>
      </c>
      <c r="C3827" s="222"/>
      <c r="D3827" s="222"/>
      <c r="E3827" s="222"/>
      <c r="F3827" s="222"/>
      <c r="G3827" s="225" t="str">
        <f>IF(VLOOKUP($I3813&amp;RIGHT($A3827,1),Players!$A$2:$D$132,3)&lt;&gt;0,VLOOKUP($I3813&amp;RIGHT($A3827,1),Players!$A$2:$D$132,3),"")</f>
        <v/>
      </c>
      <c r="H3827" s="225"/>
      <c r="I3827" s="225"/>
      <c r="J3827" s="168" t="str">
        <f>IF(VLOOKUP($I3813&amp;RIGHT($A3827,1),Players!$A$2:$D$132,3)&lt;&gt;0,"("&amp;VLOOKUP($I3813&amp;RIGHT($A3827,1),Players!$A$2:$D$132,4)&amp;")","")</f>
        <v/>
      </c>
    </row>
    <row r="3828" spans="1:10" ht="25.5" customHeight="1" x14ac:dyDescent="0.25">
      <c r="A3828" s="37"/>
      <c r="B3828" s="7"/>
      <c r="C3828" s="7"/>
      <c r="D3828" s="7"/>
      <c r="E3828" s="7"/>
    </row>
    <row r="3829" spans="1:10" x14ac:dyDescent="0.25">
      <c r="A3829" s="9" t="s">
        <v>157</v>
      </c>
    </row>
    <row r="3830" spans="1:10" x14ac:dyDescent="0.25">
      <c r="A3830" t="s">
        <v>179</v>
      </c>
    </row>
    <row r="3831" spans="1:10" x14ac:dyDescent="0.25">
      <c r="A3831" s="55" t="s">
        <v>918</v>
      </c>
    </row>
    <row r="3832" spans="1:10" x14ac:dyDescent="0.25">
      <c r="A3832" t="s">
        <v>919</v>
      </c>
    </row>
    <row r="3833" spans="1:10" ht="25.5" customHeight="1" thickBot="1" x14ac:dyDescent="0.3">
      <c r="A3833" s="37"/>
    </row>
    <row r="3834" spans="1:10" x14ac:dyDescent="0.25">
      <c r="B3834" s="213"/>
      <c r="C3834" s="214"/>
      <c r="D3834" s="214"/>
      <c r="E3834" s="214"/>
      <c r="F3834" s="215"/>
    </row>
    <row r="3835" spans="1:10" ht="13.8" thickBot="1" x14ac:dyDescent="0.3">
      <c r="B3835" s="216"/>
      <c r="C3835" s="217"/>
      <c r="D3835" s="217"/>
      <c r="E3835" s="217"/>
      <c r="F3835" s="218"/>
    </row>
    <row r="3839" spans="1:10" ht="25.5" customHeight="1" x14ac:dyDescent="0.25">
      <c r="A3839" s="36"/>
      <c r="B3839" s="36"/>
      <c r="C3839" s="36"/>
      <c r="D3839" s="36"/>
      <c r="E3839" s="36"/>
      <c r="G3839" s="38"/>
      <c r="H3839" s="227" t="s">
        <v>159</v>
      </c>
      <c r="I3839" s="228"/>
    </row>
    <row r="3840" spans="1:10" x14ac:dyDescent="0.25">
      <c r="A3840" t="s">
        <v>158</v>
      </c>
    </row>
    <row r="3842" spans="1:10" x14ac:dyDescent="0.25">
      <c r="E3842" s="219" t="str">
        <f>CONCATENATE("(",$D3813," vs ",$I3813,")")</f>
        <v>(E vs L)</v>
      </c>
      <c r="F3842" s="219"/>
    </row>
    <row r="3843" spans="1:10" ht="15.6" x14ac:dyDescent="0.3">
      <c r="A3843" s="33" t="s">
        <v>155</v>
      </c>
      <c r="J3843" s="82" t="s">
        <v>584</v>
      </c>
    </row>
    <row r="3844" spans="1:10" ht="12.75" customHeight="1" x14ac:dyDescent="0.3">
      <c r="A3844" s="33"/>
      <c r="G3844" t="str">
        <f ca="1">Team_Matches!$J$6</f>
        <v>[NCTTA Teams Template (v3.4).xlsx]</v>
      </c>
      <c r="J3844" s="55"/>
    </row>
    <row r="3845" spans="1:10" ht="12.75" customHeight="1" x14ac:dyDescent="0.3">
      <c r="A3845" s="33"/>
      <c r="G3845" s="229" t="str">
        <f>Team_Matches!$J2863</f>
        <v>Round 10, Match 3</v>
      </c>
      <c r="H3845" s="229"/>
      <c r="I3845" s="127" t="str">
        <f>Team_Matches!$M2863</f>
        <v/>
      </c>
      <c r="J3845" s="127"/>
    </row>
    <row r="3846" spans="1:10" ht="15.6" x14ac:dyDescent="0.3">
      <c r="A3846" s="33"/>
    </row>
    <row r="3847" spans="1:10" x14ac:dyDescent="0.25">
      <c r="C3847" s="7" t="s">
        <v>160</v>
      </c>
      <c r="D3847" s="39" t="str">
        <f>Team_Matches!$B2865</f>
        <v>E</v>
      </c>
      <c r="F3847" s="83" t="str">
        <f>CONCATENATE($D3847,"-",$I3847)</f>
        <v>E-L</v>
      </c>
      <c r="H3847" s="7" t="s">
        <v>160</v>
      </c>
      <c r="I3847" s="39" t="str">
        <f>Team_Matches!$K2865</f>
        <v>L</v>
      </c>
    </row>
    <row r="3848" spans="1:10" ht="25.5" customHeight="1" x14ac:dyDescent="0.25">
      <c r="A3848" s="34"/>
      <c r="B3848" s="223" t="str">
        <f>IF(VLOOKUP($D3847,Draw!$A$4:$B$27,2)&lt;&gt;0,VLOOKUP($D3847,Draw!$A$4:$B$27,2),"")</f>
        <v/>
      </c>
      <c r="C3848" s="223"/>
      <c r="D3848" s="223"/>
      <c r="E3848" s="224"/>
      <c r="F3848" s="35"/>
      <c r="G3848" s="220" t="str">
        <f>IF(VLOOKUP($I3847,Draw!$A$4:$B$27,2)&lt;&gt;0,VLOOKUP($I3847,Draw!$A$4:$B$27,2),"")</f>
        <v/>
      </c>
      <c r="H3848" s="220"/>
      <c r="I3848" s="220"/>
      <c r="J3848" s="221"/>
    </row>
    <row r="3849" spans="1:10" ht="25.5" customHeight="1" x14ac:dyDescent="0.25"/>
    <row r="3850" spans="1:10" ht="25.5" customHeight="1" x14ac:dyDescent="0.25"/>
    <row r="3851" spans="1:10" ht="24" customHeight="1" x14ac:dyDescent="0.25">
      <c r="A3851" s="9" t="s">
        <v>178</v>
      </c>
    </row>
    <row r="3852" spans="1:10" ht="24" customHeight="1" x14ac:dyDescent="0.25">
      <c r="A3852" s="9"/>
    </row>
    <row r="3853" spans="1:10" x14ac:dyDescent="0.25">
      <c r="A3853" s="9" t="s">
        <v>156</v>
      </c>
      <c r="G3853" s="226" t="s">
        <v>873</v>
      </c>
      <c r="H3853" s="226"/>
      <c r="I3853" s="226"/>
      <c r="J3853" s="226"/>
    </row>
    <row r="3854" spans="1:10" ht="24" customHeight="1" x14ac:dyDescent="0.4">
      <c r="A3854" s="37" t="str">
        <f>CONCATENATE($I3847,"1")</f>
        <v>L1</v>
      </c>
      <c r="B3854" s="222" t="str">
        <f>IF(VLOOKUP($A3854,Players!$A$2:$C$132,3)&lt;&gt;0,VLOOKUP($A3854,Players!$A$2:$C$132,3),"")</f>
        <v/>
      </c>
      <c r="C3854" s="222"/>
      <c r="D3854" s="222"/>
      <c r="E3854" s="222"/>
      <c r="F3854" s="222"/>
      <c r="G3854" s="225" t="str">
        <f>IF(VLOOKUP($D3847&amp;RIGHT($A3854,1),Players!$A$2:$D$132,3)&lt;&gt;0,VLOOKUP($D3847&amp;RIGHT($A3854,1),Players!$A$2:$D$132,3),"")</f>
        <v/>
      </c>
      <c r="H3854" s="225"/>
      <c r="I3854" s="225"/>
      <c r="J3854" s="168" t="str">
        <f>IF(VLOOKUP($D3847&amp;RIGHT($A3854,1),Players!$A$2:$D$132,3)&lt;&gt;0,"("&amp;VLOOKUP($D3847&amp;RIGHT($A3854,1),Players!$A$2:$D$132,4)&amp;")","")</f>
        <v/>
      </c>
    </row>
    <row r="3855" spans="1:10" ht="25.5" customHeight="1" x14ac:dyDescent="0.4">
      <c r="A3855" s="37" t="str">
        <f>CONCATENATE($I3847,"2")</f>
        <v>L2</v>
      </c>
      <c r="B3855" s="222" t="str">
        <f>IF(VLOOKUP($A3855,Players!$A$2:$C$132,3)&lt;&gt;0,VLOOKUP($A3855,Players!$A$2:$C$132,3),"")</f>
        <v/>
      </c>
      <c r="C3855" s="222"/>
      <c r="D3855" s="222"/>
      <c r="E3855" s="222"/>
      <c r="F3855" s="222"/>
      <c r="G3855" s="225" t="str">
        <f>IF(VLOOKUP($D3847&amp;RIGHT($A3855,1),Players!$A$2:$D$132,3)&lt;&gt;0,VLOOKUP($D3847&amp;RIGHT($A3855,1),Players!$A$2:$D$132,3),"")</f>
        <v/>
      </c>
      <c r="H3855" s="225"/>
      <c r="I3855" s="225"/>
      <c r="J3855" s="168" t="str">
        <f>IF(VLOOKUP($D3847&amp;RIGHT($A3855,1),Players!$A$2:$D$132,3)&lt;&gt;0,"("&amp;VLOOKUP($D3847&amp;RIGHT($A3855,1),Players!$A$2:$D$132,4)&amp;")","")</f>
        <v/>
      </c>
    </row>
    <row r="3856" spans="1:10" ht="25.5" customHeight="1" x14ac:dyDescent="0.4">
      <c r="A3856" s="37" t="str">
        <f>CONCATENATE($I3847,"3")</f>
        <v>L3</v>
      </c>
      <c r="B3856" s="222" t="str">
        <f>IF(VLOOKUP($A3856,Players!$A$2:$C$132,3)&lt;&gt;0,VLOOKUP($A3856,Players!$A$2:$C$132,3),"")</f>
        <v/>
      </c>
      <c r="C3856" s="222"/>
      <c r="D3856" s="222"/>
      <c r="E3856" s="222"/>
      <c r="F3856" s="222"/>
      <c r="G3856" s="225" t="str">
        <f>IF(VLOOKUP($D3847&amp;RIGHT($A3856,1),Players!$A$2:$D$132,3)&lt;&gt;0,VLOOKUP($D3847&amp;RIGHT($A3856,1),Players!$A$2:$D$132,3),"")</f>
        <v/>
      </c>
      <c r="H3856" s="225"/>
      <c r="I3856" s="225"/>
      <c r="J3856" s="168" t="str">
        <f>IF(VLOOKUP($D3847&amp;RIGHT($A3856,1),Players!$A$2:$D$132,3)&lt;&gt;0,"("&amp;VLOOKUP($D3847&amp;RIGHT($A3856,1),Players!$A$2:$D$132,4)&amp;")","")</f>
        <v/>
      </c>
    </row>
    <row r="3857" spans="1:10" ht="25.5" customHeight="1" x14ac:dyDescent="0.4">
      <c r="A3857" s="37" t="str">
        <f>CONCATENATE($I3847,"4")</f>
        <v>L4</v>
      </c>
      <c r="B3857" s="222" t="str">
        <f>IF(VLOOKUP($A3857,Players!$A$2:$C$132,3)&lt;&gt;0,VLOOKUP($A3857,Players!$A$2:$C$132,3),"")</f>
        <v/>
      </c>
      <c r="C3857" s="222"/>
      <c r="D3857" s="222"/>
      <c r="E3857" s="222"/>
      <c r="F3857" s="222"/>
      <c r="G3857" s="225" t="str">
        <f>IF(VLOOKUP($D3847&amp;RIGHT($A3857,1),Players!$A$2:$D$132,3)&lt;&gt;0,VLOOKUP($D3847&amp;RIGHT($A3857,1),Players!$A$2:$D$132,3),"")</f>
        <v/>
      </c>
      <c r="H3857" s="225"/>
      <c r="I3857" s="225"/>
      <c r="J3857" s="168" t="str">
        <f>IF(VLOOKUP($D3847&amp;RIGHT($A3857,1),Players!$A$2:$D$132,3)&lt;&gt;0,"("&amp;VLOOKUP($D3847&amp;RIGHT($A3857,1),Players!$A$2:$D$132,4)&amp;")","")</f>
        <v/>
      </c>
    </row>
    <row r="3858" spans="1:10" ht="25.5" customHeight="1" x14ac:dyDescent="0.4">
      <c r="A3858" s="37" t="str">
        <f>CONCATENATE($I3847,"5")</f>
        <v>L5</v>
      </c>
      <c r="B3858" s="222" t="str">
        <f>IF(VLOOKUP($A3858,Players!$A$2:$C$132,3)&lt;&gt;0,VLOOKUP($A3858,Players!$A$2:$C$132,3),"")</f>
        <v/>
      </c>
      <c r="C3858" s="222"/>
      <c r="D3858" s="222"/>
      <c r="E3858" s="222"/>
      <c r="F3858" s="222"/>
      <c r="G3858" s="225" t="str">
        <f>IF(VLOOKUP($D3847&amp;RIGHT($A3858,1),Players!$A$2:$D$132,3)&lt;&gt;0,VLOOKUP($D3847&amp;RIGHT($A3858,1),Players!$A$2:$D$132,3),"")</f>
        <v/>
      </c>
      <c r="H3858" s="225"/>
      <c r="I3858" s="225"/>
      <c r="J3858" s="168" t="str">
        <f>IF(VLOOKUP($D3847&amp;RIGHT($A3858,1),Players!$A$2:$D$132,3)&lt;&gt;0,"("&amp;VLOOKUP($D3847&amp;RIGHT($A3858,1),Players!$A$2:$D$132,4)&amp;")","")</f>
        <v/>
      </c>
    </row>
    <row r="3859" spans="1:10" ht="25.5" customHeight="1" x14ac:dyDescent="0.4">
      <c r="A3859" s="37" t="str">
        <f>CONCATENATE($I3847,"6")</f>
        <v>L6</v>
      </c>
      <c r="B3859" s="222" t="str">
        <f>IF(VLOOKUP($A3859,Players!$A$2:$C$132,3)&lt;&gt;0,VLOOKUP($A3859,Players!$A$2:$C$132,3),"")</f>
        <v/>
      </c>
      <c r="C3859" s="222"/>
      <c r="D3859" s="222"/>
      <c r="E3859" s="222"/>
      <c r="F3859" s="222"/>
      <c r="G3859" s="225" t="str">
        <f>IF(VLOOKUP($D3847&amp;RIGHT($A3859,1),Players!$A$2:$D$132,3)&lt;&gt;0,VLOOKUP($D3847&amp;RIGHT($A3859,1),Players!$A$2:$D$132,3),"")</f>
        <v/>
      </c>
      <c r="H3859" s="225"/>
      <c r="I3859" s="225"/>
      <c r="J3859" s="168" t="str">
        <f>IF(VLOOKUP($D3847&amp;RIGHT($A3859,1),Players!$A$2:$D$132,3)&lt;&gt;0,"("&amp;VLOOKUP($D3847&amp;RIGHT($A3859,1),Players!$A$2:$D$132,4)&amp;")","")</f>
        <v/>
      </c>
    </row>
    <row r="3860" spans="1:10" ht="25.5" customHeight="1" x14ac:dyDescent="0.4">
      <c r="A3860" s="37" t="str">
        <f>CONCATENATE($I3847,"7")</f>
        <v>L7</v>
      </c>
      <c r="B3860" s="222" t="str">
        <f>IF(VLOOKUP($A3860,Players!$A$2:$C$132,3)&lt;&gt;0,VLOOKUP($A3860,Players!$A$2:$C$132,3),"")</f>
        <v/>
      </c>
      <c r="C3860" s="222"/>
      <c r="D3860" s="222"/>
      <c r="E3860" s="222"/>
      <c r="F3860" s="222"/>
      <c r="G3860" s="225" t="str">
        <f>IF(VLOOKUP($D3847&amp;RIGHT($A3860,1),Players!$A$2:$D$132,3)&lt;&gt;0,VLOOKUP($D3847&amp;RIGHT($A3860,1),Players!$A$2:$D$132,3),"")</f>
        <v/>
      </c>
      <c r="H3860" s="225"/>
      <c r="I3860" s="225"/>
      <c r="J3860" s="168" t="str">
        <f>IF(VLOOKUP($D3847&amp;RIGHT($A3860,1),Players!$A$2:$D$132,3)&lt;&gt;0,"("&amp;VLOOKUP($D3847&amp;RIGHT($A3860,1),Players!$A$2:$D$132,4)&amp;")","")</f>
        <v/>
      </c>
    </row>
    <row r="3861" spans="1:10" ht="25.5" customHeight="1" x14ac:dyDescent="0.4">
      <c r="A3861" s="37" t="str">
        <f>CONCATENATE($I3847,"8")</f>
        <v>L8</v>
      </c>
      <c r="B3861" s="222" t="str">
        <f>IF(VLOOKUP($A3861,Players!$A$2:$C$132,3)&lt;&gt;0,VLOOKUP($A3861,Players!$A$2:$C$132,3),"")</f>
        <v/>
      </c>
      <c r="C3861" s="222"/>
      <c r="D3861" s="222"/>
      <c r="E3861" s="222"/>
      <c r="F3861" s="222"/>
      <c r="G3861" s="225" t="str">
        <f>IF(VLOOKUP($D3847&amp;RIGHT($A3861,1),Players!$A$2:$D$132,3)&lt;&gt;0,VLOOKUP($D3847&amp;RIGHT($A3861,1),Players!$A$2:$D$132,3),"")</f>
        <v/>
      </c>
      <c r="H3861" s="225"/>
      <c r="I3861" s="225"/>
      <c r="J3861" s="168" t="str">
        <f>IF(VLOOKUP($D3847&amp;RIGHT($A3861,1),Players!$A$2:$D$132,3)&lt;&gt;0,"("&amp;VLOOKUP($D3847&amp;RIGHT($A3861,1),Players!$A$2:$D$132,4)&amp;")","")</f>
        <v/>
      </c>
    </row>
    <row r="3862" spans="1:10" ht="25.5" customHeight="1" x14ac:dyDescent="0.25">
      <c r="A3862" s="37"/>
      <c r="B3862" s="7"/>
      <c r="C3862" s="7"/>
      <c r="D3862" s="7"/>
      <c r="E3862" s="7"/>
    </row>
    <row r="3863" spans="1:10" x14ac:dyDescent="0.25">
      <c r="A3863" s="9" t="s">
        <v>157</v>
      </c>
    </row>
    <row r="3864" spans="1:10" x14ac:dyDescent="0.25">
      <c r="A3864" t="s">
        <v>179</v>
      </c>
    </row>
    <row r="3865" spans="1:10" x14ac:dyDescent="0.25">
      <c r="A3865" s="55" t="s">
        <v>918</v>
      </c>
    </row>
    <row r="3866" spans="1:10" x14ac:dyDescent="0.25">
      <c r="A3866" t="s">
        <v>919</v>
      </c>
    </row>
    <row r="3867" spans="1:10" ht="25.5" customHeight="1" thickBot="1" x14ac:dyDescent="0.3">
      <c r="A3867" s="37"/>
    </row>
    <row r="3868" spans="1:10" x14ac:dyDescent="0.25">
      <c r="B3868" s="213"/>
      <c r="C3868" s="214"/>
      <c r="D3868" s="214"/>
      <c r="E3868" s="214"/>
      <c r="F3868" s="215"/>
    </row>
    <row r="3869" spans="1:10" ht="13.8" thickBot="1" x14ac:dyDescent="0.3">
      <c r="B3869" s="216"/>
      <c r="C3869" s="217"/>
      <c r="D3869" s="217"/>
      <c r="E3869" s="217"/>
      <c r="F3869" s="218"/>
    </row>
    <row r="3873" spans="1:10" ht="25.5" customHeight="1" x14ac:dyDescent="0.25">
      <c r="A3873" s="36"/>
      <c r="B3873" s="36"/>
      <c r="C3873" s="36"/>
      <c r="D3873" s="36"/>
      <c r="E3873" s="36"/>
      <c r="G3873" s="38"/>
      <c r="H3873" s="227" t="s">
        <v>159</v>
      </c>
      <c r="I3873" s="228"/>
    </row>
    <row r="3874" spans="1:10" x14ac:dyDescent="0.25">
      <c r="A3874" t="s">
        <v>158</v>
      </c>
    </row>
    <row r="3876" spans="1:10" x14ac:dyDescent="0.25">
      <c r="E3876" s="219" t="str">
        <f>CONCATENATE("(",$D3847," vs ",$I3847,")")</f>
        <v>(E vs L)</v>
      </c>
      <c r="F3876" s="219"/>
    </row>
    <row r="3877" spans="1:10" ht="15.6" x14ac:dyDescent="0.3">
      <c r="A3877" s="33" t="s">
        <v>155</v>
      </c>
      <c r="J3877" s="82" t="s">
        <v>585</v>
      </c>
    </row>
    <row r="3878" spans="1:10" ht="12.75" customHeight="1" x14ac:dyDescent="0.3">
      <c r="A3878" s="33"/>
      <c r="G3878" t="str">
        <f ca="1">Team_Matches!$J$6</f>
        <v>[NCTTA Teams Template (v3.4).xlsx]</v>
      </c>
      <c r="J3878" s="55"/>
    </row>
    <row r="3879" spans="1:10" ht="12.75" customHeight="1" x14ac:dyDescent="0.3">
      <c r="A3879" s="33"/>
      <c r="G3879" s="229" t="str">
        <f>Team_Matches!$J2914</f>
        <v>Round 10, Match 4</v>
      </c>
      <c r="H3879" s="229"/>
      <c r="I3879" s="127" t="str">
        <f>Team_Matches!$M2914</f>
        <v/>
      </c>
      <c r="J3879" s="127"/>
    </row>
    <row r="3880" spans="1:10" ht="15.6" x14ac:dyDescent="0.3">
      <c r="A3880" s="33"/>
    </row>
    <row r="3881" spans="1:10" x14ac:dyDescent="0.25">
      <c r="C3881" s="7" t="s">
        <v>160</v>
      </c>
      <c r="D3881" s="39" t="str">
        <f>Team_Matches!$B2916</f>
        <v>F</v>
      </c>
      <c r="F3881" s="83" t="str">
        <f>CONCATENATE($D3881,"-",$I3881)</f>
        <v>F-K</v>
      </c>
      <c r="H3881" s="7" t="s">
        <v>160</v>
      </c>
      <c r="I3881" s="39" t="str">
        <f>Team_Matches!$K2916</f>
        <v>K</v>
      </c>
    </row>
    <row r="3882" spans="1:10" ht="25.5" customHeight="1" x14ac:dyDescent="0.25">
      <c r="A3882" s="34"/>
      <c r="B3882" s="220" t="str">
        <f>IF(VLOOKUP($D3881,Draw!$A$4:$B$27,2)&lt;&gt;0,VLOOKUP($D3881,Draw!$A$4:$B$27,2),"")</f>
        <v/>
      </c>
      <c r="C3882" s="220"/>
      <c r="D3882" s="220"/>
      <c r="E3882" s="221"/>
      <c r="F3882" s="35"/>
      <c r="G3882" s="223" t="str">
        <f>IF(VLOOKUP($I3881,Draw!$A$4:$B$27,2)&lt;&gt;0,VLOOKUP($I3881,Draw!$A$4:$B$27,2),"")</f>
        <v/>
      </c>
      <c r="H3882" s="223"/>
      <c r="I3882" s="223"/>
      <c r="J3882" s="224"/>
    </row>
    <row r="3883" spans="1:10" ht="25.5" customHeight="1" x14ac:dyDescent="0.25"/>
    <row r="3884" spans="1:10" ht="25.5" customHeight="1" x14ac:dyDescent="0.25"/>
    <row r="3885" spans="1:10" ht="24" customHeight="1" x14ac:dyDescent="0.25">
      <c r="A3885" s="9" t="s">
        <v>178</v>
      </c>
    </row>
    <row r="3886" spans="1:10" ht="24" customHeight="1" x14ac:dyDescent="0.25">
      <c r="A3886" s="9"/>
    </row>
    <row r="3887" spans="1:10" x14ac:dyDescent="0.25">
      <c r="A3887" s="9" t="s">
        <v>156</v>
      </c>
      <c r="G3887" s="226" t="s">
        <v>873</v>
      </c>
      <c r="H3887" s="226"/>
      <c r="I3887" s="226"/>
      <c r="J3887" s="226"/>
    </row>
    <row r="3888" spans="1:10" ht="24" customHeight="1" x14ac:dyDescent="0.4">
      <c r="A3888" s="37" t="str">
        <f>CONCATENATE($D3881,"1")</f>
        <v>F1</v>
      </c>
      <c r="B3888" s="222" t="str">
        <f>IF(VLOOKUP($A3888,Players!$A$2:$C$132,3)&lt;&gt;0,VLOOKUP($A3888,Players!$A$2:$C$132,3),"")</f>
        <v/>
      </c>
      <c r="C3888" s="222"/>
      <c r="D3888" s="222"/>
      <c r="E3888" s="222"/>
      <c r="F3888" s="222"/>
      <c r="G3888" s="225" t="str">
        <f>IF(VLOOKUP($I3881&amp;RIGHT($A3888,1),Players!$A$2:$D$132,3)&lt;&gt;0,VLOOKUP($I3881&amp;RIGHT($A3888,1),Players!$A$2:$D$132,3),"")</f>
        <v/>
      </c>
      <c r="H3888" s="225"/>
      <c r="I3888" s="225"/>
      <c r="J3888" s="168" t="str">
        <f>IF(VLOOKUP($I3881&amp;RIGHT($A3888,1),Players!$A$2:$D$132,3)&lt;&gt;0,"("&amp;VLOOKUP($I3881&amp;RIGHT($A3888,1),Players!$A$2:$D$132,4)&amp;")","")</f>
        <v/>
      </c>
    </row>
    <row r="3889" spans="1:10" ht="25.5" customHeight="1" x14ac:dyDescent="0.4">
      <c r="A3889" s="37" t="str">
        <f>CONCATENATE($D3881,"2")</f>
        <v>F2</v>
      </c>
      <c r="B3889" s="222" t="str">
        <f>IF(VLOOKUP($A3889,Players!$A$2:$C$132,3)&lt;&gt;0,VLOOKUP($A3889,Players!$A$2:$C$132,3),"")</f>
        <v/>
      </c>
      <c r="C3889" s="222"/>
      <c r="D3889" s="222"/>
      <c r="E3889" s="222"/>
      <c r="F3889" s="222"/>
      <c r="G3889" s="225" t="str">
        <f>IF(VLOOKUP($I3881&amp;RIGHT($A3889,1),Players!$A$2:$D$132,3)&lt;&gt;0,VLOOKUP($I3881&amp;RIGHT($A3889,1),Players!$A$2:$D$132,3),"")</f>
        <v/>
      </c>
      <c r="H3889" s="225"/>
      <c r="I3889" s="225"/>
      <c r="J3889" s="168" t="str">
        <f>IF(VLOOKUP($I3881&amp;RIGHT($A3889,1),Players!$A$2:$D$132,3)&lt;&gt;0,"("&amp;VLOOKUP($I3881&amp;RIGHT($A3889,1),Players!$A$2:$D$132,4)&amp;")","")</f>
        <v/>
      </c>
    </row>
    <row r="3890" spans="1:10" ht="25.5" customHeight="1" x14ac:dyDescent="0.4">
      <c r="A3890" s="37" t="str">
        <f>CONCATENATE($D3881,"3")</f>
        <v>F3</v>
      </c>
      <c r="B3890" s="222" t="str">
        <f>IF(VLOOKUP($A3890,Players!$A$2:$C$132,3)&lt;&gt;0,VLOOKUP($A3890,Players!$A$2:$C$132,3),"")</f>
        <v/>
      </c>
      <c r="C3890" s="222"/>
      <c r="D3890" s="222"/>
      <c r="E3890" s="222"/>
      <c r="F3890" s="222"/>
      <c r="G3890" s="225" t="str">
        <f>IF(VLOOKUP($I3881&amp;RIGHT($A3890,1),Players!$A$2:$D$132,3)&lt;&gt;0,VLOOKUP($I3881&amp;RIGHT($A3890,1),Players!$A$2:$D$132,3),"")</f>
        <v/>
      </c>
      <c r="H3890" s="225"/>
      <c r="I3890" s="225"/>
      <c r="J3890" s="168" t="str">
        <f>IF(VLOOKUP($I3881&amp;RIGHT($A3890,1),Players!$A$2:$D$132,3)&lt;&gt;0,"("&amp;VLOOKUP($I3881&amp;RIGHT($A3890,1),Players!$A$2:$D$132,4)&amp;")","")</f>
        <v/>
      </c>
    </row>
    <row r="3891" spans="1:10" ht="25.5" customHeight="1" x14ac:dyDescent="0.4">
      <c r="A3891" s="37" t="str">
        <f>CONCATENATE($D3881,"4")</f>
        <v>F4</v>
      </c>
      <c r="B3891" s="222" t="str">
        <f>IF(VLOOKUP($A3891,Players!$A$2:$C$132,3)&lt;&gt;0,VLOOKUP($A3891,Players!$A$2:$C$132,3),"")</f>
        <v/>
      </c>
      <c r="C3891" s="222"/>
      <c r="D3891" s="222"/>
      <c r="E3891" s="222"/>
      <c r="F3891" s="222"/>
      <c r="G3891" s="225" t="str">
        <f>IF(VLOOKUP($I3881&amp;RIGHT($A3891,1),Players!$A$2:$D$132,3)&lt;&gt;0,VLOOKUP($I3881&amp;RIGHT($A3891,1),Players!$A$2:$D$132,3),"")</f>
        <v/>
      </c>
      <c r="H3891" s="225"/>
      <c r="I3891" s="225"/>
      <c r="J3891" s="168" t="str">
        <f>IF(VLOOKUP($I3881&amp;RIGHT($A3891,1),Players!$A$2:$D$132,3)&lt;&gt;0,"("&amp;VLOOKUP($I3881&amp;RIGHT($A3891,1),Players!$A$2:$D$132,4)&amp;")","")</f>
        <v/>
      </c>
    </row>
    <row r="3892" spans="1:10" ht="25.5" customHeight="1" x14ac:dyDescent="0.4">
      <c r="A3892" s="37" t="str">
        <f>CONCATENATE($D3881,"5")</f>
        <v>F5</v>
      </c>
      <c r="B3892" s="222" t="str">
        <f>IF(VLOOKUP($A3892,Players!$A$2:$C$132,3)&lt;&gt;0,VLOOKUP($A3892,Players!$A$2:$C$132,3),"")</f>
        <v/>
      </c>
      <c r="C3892" s="222"/>
      <c r="D3892" s="222"/>
      <c r="E3892" s="222"/>
      <c r="F3892" s="222"/>
      <c r="G3892" s="225" t="str">
        <f>IF(VLOOKUP($I3881&amp;RIGHT($A3892,1),Players!$A$2:$D$132,3)&lt;&gt;0,VLOOKUP($I3881&amp;RIGHT($A3892,1),Players!$A$2:$D$132,3),"")</f>
        <v/>
      </c>
      <c r="H3892" s="225"/>
      <c r="I3892" s="225"/>
      <c r="J3892" s="168" t="str">
        <f>IF(VLOOKUP($I3881&amp;RIGHT($A3892,1),Players!$A$2:$D$132,3)&lt;&gt;0,"("&amp;VLOOKUP($I3881&amp;RIGHT($A3892,1),Players!$A$2:$D$132,4)&amp;")","")</f>
        <v/>
      </c>
    </row>
    <row r="3893" spans="1:10" ht="25.5" customHeight="1" x14ac:dyDescent="0.4">
      <c r="A3893" s="37" t="str">
        <f>CONCATENATE($D3881,"6")</f>
        <v>F6</v>
      </c>
      <c r="B3893" s="222" t="str">
        <f>IF(VLOOKUP($A3893,Players!$A$2:$C$132,3)&lt;&gt;0,VLOOKUP($A3893,Players!$A$2:$C$132,3),"")</f>
        <v/>
      </c>
      <c r="C3893" s="222"/>
      <c r="D3893" s="222"/>
      <c r="E3893" s="222"/>
      <c r="F3893" s="222"/>
      <c r="G3893" s="225" t="str">
        <f>IF(VLOOKUP($I3881&amp;RIGHT($A3893,1),Players!$A$2:$D$132,3)&lt;&gt;0,VLOOKUP($I3881&amp;RIGHT($A3893,1),Players!$A$2:$D$132,3),"")</f>
        <v/>
      </c>
      <c r="H3893" s="225"/>
      <c r="I3893" s="225"/>
      <c r="J3893" s="168" t="str">
        <f>IF(VLOOKUP($I3881&amp;RIGHT($A3893,1),Players!$A$2:$D$132,3)&lt;&gt;0,"("&amp;VLOOKUP($I3881&amp;RIGHT($A3893,1),Players!$A$2:$D$132,4)&amp;")","")</f>
        <v/>
      </c>
    </row>
    <row r="3894" spans="1:10" ht="25.5" customHeight="1" x14ac:dyDescent="0.4">
      <c r="A3894" s="37" t="str">
        <f>CONCATENATE($D3881,"7")</f>
        <v>F7</v>
      </c>
      <c r="B3894" s="222" t="str">
        <f>IF(VLOOKUP($A3894,Players!$A$2:$C$132,3)&lt;&gt;0,VLOOKUP($A3894,Players!$A$2:$C$132,3),"")</f>
        <v/>
      </c>
      <c r="C3894" s="222"/>
      <c r="D3894" s="222"/>
      <c r="E3894" s="222"/>
      <c r="F3894" s="222"/>
      <c r="G3894" s="225" t="str">
        <f>IF(VLOOKUP($I3881&amp;RIGHT($A3894,1),Players!$A$2:$D$132,3)&lt;&gt;0,VLOOKUP($I3881&amp;RIGHT($A3894,1),Players!$A$2:$D$132,3),"")</f>
        <v/>
      </c>
      <c r="H3894" s="225"/>
      <c r="I3894" s="225"/>
      <c r="J3894" s="168" t="str">
        <f>IF(VLOOKUP($I3881&amp;RIGHT($A3894,1),Players!$A$2:$D$132,3)&lt;&gt;0,"("&amp;VLOOKUP($I3881&amp;RIGHT($A3894,1),Players!$A$2:$D$132,4)&amp;")","")</f>
        <v/>
      </c>
    </row>
    <row r="3895" spans="1:10" ht="25.5" customHeight="1" x14ac:dyDescent="0.4">
      <c r="A3895" s="37" t="str">
        <f>CONCATENATE($D3881,"8")</f>
        <v>F8</v>
      </c>
      <c r="B3895" s="222" t="str">
        <f>IF(VLOOKUP($A3895,Players!$A$2:$C$132,3)&lt;&gt;0,VLOOKUP($A3895,Players!$A$2:$C$132,3),"")</f>
        <v/>
      </c>
      <c r="C3895" s="222"/>
      <c r="D3895" s="222"/>
      <c r="E3895" s="222"/>
      <c r="F3895" s="222"/>
      <c r="G3895" s="225" t="str">
        <f>IF(VLOOKUP($I3881&amp;RIGHT($A3895,1),Players!$A$2:$D$132,3)&lt;&gt;0,VLOOKUP($I3881&amp;RIGHT($A3895,1),Players!$A$2:$D$132,3),"")</f>
        <v/>
      </c>
      <c r="H3895" s="225"/>
      <c r="I3895" s="225"/>
      <c r="J3895" s="168" t="str">
        <f>IF(VLOOKUP($I3881&amp;RIGHT($A3895,1),Players!$A$2:$D$132,3)&lt;&gt;0,"("&amp;VLOOKUP($I3881&amp;RIGHT($A3895,1),Players!$A$2:$D$132,4)&amp;")","")</f>
        <v/>
      </c>
    </row>
    <row r="3896" spans="1:10" ht="25.5" customHeight="1" x14ac:dyDescent="0.25">
      <c r="A3896" s="37"/>
      <c r="B3896" s="7"/>
      <c r="C3896" s="7"/>
      <c r="D3896" s="7"/>
      <c r="E3896" s="7"/>
    </row>
    <row r="3897" spans="1:10" x14ac:dyDescent="0.25">
      <c r="A3897" s="9" t="s">
        <v>157</v>
      </c>
    </row>
    <row r="3898" spans="1:10" x14ac:dyDescent="0.25">
      <c r="A3898" t="s">
        <v>179</v>
      </c>
    </row>
    <row r="3899" spans="1:10" x14ac:dyDescent="0.25">
      <c r="A3899" s="55" t="s">
        <v>918</v>
      </c>
    </row>
    <row r="3900" spans="1:10" x14ac:dyDescent="0.25">
      <c r="A3900" t="s">
        <v>919</v>
      </c>
    </row>
    <row r="3901" spans="1:10" ht="25.5" customHeight="1" thickBot="1" x14ac:dyDescent="0.3">
      <c r="A3901" s="37"/>
    </row>
    <row r="3902" spans="1:10" x14ac:dyDescent="0.25">
      <c r="B3902" s="213"/>
      <c r="C3902" s="214"/>
      <c r="D3902" s="214"/>
      <c r="E3902" s="214"/>
      <c r="F3902" s="215"/>
    </row>
    <row r="3903" spans="1:10" ht="13.8" thickBot="1" x14ac:dyDescent="0.3">
      <c r="B3903" s="216"/>
      <c r="C3903" s="217"/>
      <c r="D3903" s="217"/>
      <c r="E3903" s="217"/>
      <c r="F3903" s="218"/>
    </row>
    <row r="3907" spans="1:10" ht="25.5" customHeight="1" x14ac:dyDescent="0.25">
      <c r="A3907" s="36"/>
      <c r="B3907" s="36"/>
      <c r="C3907" s="36"/>
      <c r="D3907" s="36"/>
      <c r="E3907" s="36"/>
      <c r="G3907" s="38"/>
      <c r="H3907" s="227" t="s">
        <v>159</v>
      </c>
      <c r="I3907" s="228"/>
    </row>
    <row r="3908" spans="1:10" x14ac:dyDescent="0.25">
      <c r="A3908" t="s">
        <v>158</v>
      </c>
    </row>
    <row r="3910" spans="1:10" x14ac:dyDescent="0.25">
      <c r="E3910" s="219" t="str">
        <f>CONCATENATE("(",$D3881," vs ",$I3881,")")</f>
        <v>(F vs K)</v>
      </c>
      <c r="F3910" s="219"/>
    </row>
    <row r="3911" spans="1:10" ht="15.6" x14ac:dyDescent="0.3">
      <c r="A3911" s="33" t="s">
        <v>155</v>
      </c>
      <c r="J3911" s="82" t="s">
        <v>586</v>
      </c>
    </row>
    <row r="3912" spans="1:10" ht="12.75" customHeight="1" x14ac:dyDescent="0.3">
      <c r="A3912" s="33"/>
      <c r="G3912" t="str">
        <f ca="1">Team_Matches!$J$6</f>
        <v>[NCTTA Teams Template (v3.4).xlsx]</v>
      </c>
      <c r="J3912" s="55"/>
    </row>
    <row r="3913" spans="1:10" ht="12.75" customHeight="1" x14ac:dyDescent="0.3">
      <c r="A3913" s="33"/>
      <c r="G3913" s="229" t="str">
        <f>Team_Matches!$J2914</f>
        <v>Round 10, Match 4</v>
      </c>
      <c r="H3913" s="229"/>
      <c r="I3913" s="127" t="str">
        <f>Team_Matches!$M2914</f>
        <v/>
      </c>
      <c r="J3913" s="127"/>
    </row>
    <row r="3914" spans="1:10" ht="15.6" x14ac:dyDescent="0.3">
      <c r="A3914" s="33"/>
    </row>
    <row r="3915" spans="1:10" x14ac:dyDescent="0.25">
      <c r="C3915" s="7" t="s">
        <v>160</v>
      </c>
      <c r="D3915" s="39" t="str">
        <f>Team_Matches!$B2916</f>
        <v>F</v>
      </c>
      <c r="F3915" s="83" t="str">
        <f>CONCATENATE($D3915,"-",$I3915)</f>
        <v>F-K</v>
      </c>
      <c r="H3915" s="7" t="s">
        <v>160</v>
      </c>
      <c r="I3915" s="39" t="str">
        <f>Team_Matches!$K2916</f>
        <v>K</v>
      </c>
    </row>
    <row r="3916" spans="1:10" ht="25.5" customHeight="1" x14ac:dyDescent="0.25">
      <c r="A3916" s="34"/>
      <c r="B3916" s="223" t="str">
        <f>IF(VLOOKUP($D3915,Draw!$A$4:$B$27,2)&lt;&gt;0,VLOOKUP($D3915,Draw!$A$4:$B$27,2),"")</f>
        <v/>
      </c>
      <c r="C3916" s="223"/>
      <c r="D3916" s="223"/>
      <c r="E3916" s="224"/>
      <c r="F3916" s="35"/>
      <c r="G3916" s="220" t="str">
        <f>IF(VLOOKUP($I3915,Draw!$A$4:$B$27,2)&lt;&gt;0,VLOOKUP($I3915,Draw!$A$4:$B$27,2),"")</f>
        <v/>
      </c>
      <c r="H3916" s="220"/>
      <c r="I3916" s="220"/>
      <c r="J3916" s="221"/>
    </row>
    <row r="3917" spans="1:10" ht="25.5" customHeight="1" x14ac:dyDescent="0.25"/>
    <row r="3918" spans="1:10" ht="25.5" customHeight="1" x14ac:dyDescent="0.25"/>
    <row r="3919" spans="1:10" ht="24" customHeight="1" x14ac:dyDescent="0.25">
      <c r="A3919" s="9" t="s">
        <v>178</v>
      </c>
    </row>
    <row r="3920" spans="1:10" ht="24" customHeight="1" x14ac:dyDescent="0.25">
      <c r="A3920" s="9"/>
    </row>
    <row r="3921" spans="1:10" x14ac:dyDescent="0.25">
      <c r="A3921" s="9" t="s">
        <v>156</v>
      </c>
      <c r="G3921" s="226" t="s">
        <v>873</v>
      </c>
      <c r="H3921" s="226"/>
      <c r="I3921" s="226"/>
      <c r="J3921" s="226"/>
    </row>
    <row r="3922" spans="1:10" ht="24" customHeight="1" x14ac:dyDescent="0.4">
      <c r="A3922" s="37" t="str">
        <f>CONCATENATE($I3915,"1")</f>
        <v>K1</v>
      </c>
      <c r="B3922" s="222" t="str">
        <f>IF(VLOOKUP($A3922,Players!$A$2:$C$132,3)&lt;&gt;0,VLOOKUP($A3922,Players!$A$2:$C$132,3),"")</f>
        <v/>
      </c>
      <c r="C3922" s="222"/>
      <c r="D3922" s="222"/>
      <c r="E3922" s="222"/>
      <c r="F3922" s="222"/>
      <c r="G3922" s="225" t="str">
        <f>IF(VLOOKUP($D3915&amp;RIGHT($A3922,1),Players!$A$2:$D$132,3)&lt;&gt;0,VLOOKUP($D3915&amp;RIGHT($A3922,1),Players!$A$2:$D$132,3),"")</f>
        <v/>
      </c>
      <c r="H3922" s="225"/>
      <c r="I3922" s="225"/>
      <c r="J3922" s="168" t="str">
        <f>IF(VLOOKUP($D3915&amp;RIGHT($A3922,1),Players!$A$2:$D$132,3)&lt;&gt;0,"("&amp;VLOOKUP($D3915&amp;RIGHT($A3922,1),Players!$A$2:$D$132,4)&amp;")","")</f>
        <v/>
      </c>
    </row>
    <row r="3923" spans="1:10" ht="25.5" customHeight="1" x14ac:dyDescent="0.4">
      <c r="A3923" s="37" t="str">
        <f>CONCATENATE($I3915,"2")</f>
        <v>K2</v>
      </c>
      <c r="B3923" s="222" t="str">
        <f>IF(VLOOKUP($A3923,Players!$A$2:$C$132,3)&lt;&gt;0,VLOOKUP($A3923,Players!$A$2:$C$132,3),"")</f>
        <v/>
      </c>
      <c r="C3923" s="222"/>
      <c r="D3923" s="222"/>
      <c r="E3923" s="222"/>
      <c r="F3923" s="222"/>
      <c r="G3923" s="225" t="str">
        <f>IF(VLOOKUP($D3915&amp;RIGHT($A3923,1),Players!$A$2:$D$132,3)&lt;&gt;0,VLOOKUP($D3915&amp;RIGHT($A3923,1),Players!$A$2:$D$132,3),"")</f>
        <v/>
      </c>
      <c r="H3923" s="225"/>
      <c r="I3923" s="225"/>
      <c r="J3923" s="168" t="str">
        <f>IF(VLOOKUP($D3915&amp;RIGHT($A3923,1),Players!$A$2:$D$132,3)&lt;&gt;0,"("&amp;VLOOKUP($D3915&amp;RIGHT($A3923,1),Players!$A$2:$D$132,4)&amp;")","")</f>
        <v/>
      </c>
    </row>
    <row r="3924" spans="1:10" ht="25.5" customHeight="1" x14ac:dyDescent="0.4">
      <c r="A3924" s="37" t="str">
        <f>CONCATENATE($I3915,"3")</f>
        <v>K3</v>
      </c>
      <c r="B3924" s="222" t="str">
        <f>IF(VLOOKUP($A3924,Players!$A$2:$C$132,3)&lt;&gt;0,VLOOKUP($A3924,Players!$A$2:$C$132,3),"")</f>
        <v/>
      </c>
      <c r="C3924" s="222"/>
      <c r="D3924" s="222"/>
      <c r="E3924" s="222"/>
      <c r="F3924" s="222"/>
      <c r="G3924" s="225" t="str">
        <f>IF(VLOOKUP($D3915&amp;RIGHT($A3924,1),Players!$A$2:$D$132,3)&lt;&gt;0,VLOOKUP($D3915&amp;RIGHT($A3924,1),Players!$A$2:$D$132,3),"")</f>
        <v/>
      </c>
      <c r="H3924" s="225"/>
      <c r="I3924" s="225"/>
      <c r="J3924" s="168" t="str">
        <f>IF(VLOOKUP($D3915&amp;RIGHT($A3924,1),Players!$A$2:$D$132,3)&lt;&gt;0,"("&amp;VLOOKUP($D3915&amp;RIGHT($A3924,1),Players!$A$2:$D$132,4)&amp;")","")</f>
        <v/>
      </c>
    </row>
    <row r="3925" spans="1:10" ht="25.5" customHeight="1" x14ac:dyDescent="0.4">
      <c r="A3925" s="37" t="str">
        <f>CONCATENATE($I3915,"4")</f>
        <v>K4</v>
      </c>
      <c r="B3925" s="222" t="str">
        <f>IF(VLOOKUP($A3925,Players!$A$2:$C$132,3)&lt;&gt;0,VLOOKUP($A3925,Players!$A$2:$C$132,3),"")</f>
        <v/>
      </c>
      <c r="C3925" s="222"/>
      <c r="D3925" s="222"/>
      <c r="E3925" s="222"/>
      <c r="F3925" s="222"/>
      <c r="G3925" s="225" t="str">
        <f>IF(VLOOKUP($D3915&amp;RIGHT($A3925,1),Players!$A$2:$D$132,3)&lt;&gt;0,VLOOKUP($D3915&amp;RIGHT($A3925,1),Players!$A$2:$D$132,3),"")</f>
        <v/>
      </c>
      <c r="H3925" s="225"/>
      <c r="I3925" s="225"/>
      <c r="J3925" s="168" t="str">
        <f>IF(VLOOKUP($D3915&amp;RIGHT($A3925,1),Players!$A$2:$D$132,3)&lt;&gt;0,"("&amp;VLOOKUP($D3915&amp;RIGHT($A3925,1),Players!$A$2:$D$132,4)&amp;")","")</f>
        <v/>
      </c>
    </row>
    <row r="3926" spans="1:10" ht="25.5" customHeight="1" x14ac:dyDescent="0.4">
      <c r="A3926" s="37" t="str">
        <f>CONCATENATE($I3915,"5")</f>
        <v>K5</v>
      </c>
      <c r="B3926" s="222" t="str">
        <f>IF(VLOOKUP($A3926,Players!$A$2:$C$132,3)&lt;&gt;0,VLOOKUP($A3926,Players!$A$2:$C$132,3),"")</f>
        <v/>
      </c>
      <c r="C3926" s="222"/>
      <c r="D3926" s="222"/>
      <c r="E3926" s="222"/>
      <c r="F3926" s="222"/>
      <c r="G3926" s="225" t="str">
        <f>IF(VLOOKUP($D3915&amp;RIGHT($A3926,1),Players!$A$2:$D$132,3)&lt;&gt;0,VLOOKUP($D3915&amp;RIGHT($A3926,1),Players!$A$2:$D$132,3),"")</f>
        <v/>
      </c>
      <c r="H3926" s="225"/>
      <c r="I3926" s="225"/>
      <c r="J3926" s="168" t="str">
        <f>IF(VLOOKUP($D3915&amp;RIGHT($A3926,1),Players!$A$2:$D$132,3)&lt;&gt;0,"("&amp;VLOOKUP($D3915&amp;RIGHT($A3926,1),Players!$A$2:$D$132,4)&amp;")","")</f>
        <v/>
      </c>
    </row>
    <row r="3927" spans="1:10" ht="25.5" customHeight="1" x14ac:dyDescent="0.4">
      <c r="A3927" s="37" t="str">
        <f>CONCATENATE($I3915,"6")</f>
        <v>K6</v>
      </c>
      <c r="B3927" s="222" t="str">
        <f>IF(VLOOKUP($A3927,Players!$A$2:$C$132,3)&lt;&gt;0,VLOOKUP($A3927,Players!$A$2:$C$132,3),"")</f>
        <v/>
      </c>
      <c r="C3927" s="222"/>
      <c r="D3927" s="222"/>
      <c r="E3927" s="222"/>
      <c r="F3927" s="222"/>
      <c r="G3927" s="225" t="str">
        <f>IF(VLOOKUP($D3915&amp;RIGHT($A3927,1),Players!$A$2:$D$132,3)&lt;&gt;0,VLOOKUP($D3915&amp;RIGHT($A3927,1),Players!$A$2:$D$132,3),"")</f>
        <v/>
      </c>
      <c r="H3927" s="225"/>
      <c r="I3927" s="225"/>
      <c r="J3927" s="168" t="str">
        <f>IF(VLOOKUP($D3915&amp;RIGHT($A3927,1),Players!$A$2:$D$132,3)&lt;&gt;0,"("&amp;VLOOKUP($D3915&amp;RIGHT($A3927,1),Players!$A$2:$D$132,4)&amp;")","")</f>
        <v/>
      </c>
    </row>
    <row r="3928" spans="1:10" ht="25.5" customHeight="1" x14ac:dyDescent="0.4">
      <c r="A3928" s="37" t="str">
        <f>CONCATENATE($I3915,"7")</f>
        <v>K7</v>
      </c>
      <c r="B3928" s="222" t="str">
        <f>IF(VLOOKUP($A3928,Players!$A$2:$C$132,3)&lt;&gt;0,VLOOKUP($A3928,Players!$A$2:$C$132,3),"")</f>
        <v/>
      </c>
      <c r="C3928" s="222"/>
      <c r="D3928" s="222"/>
      <c r="E3928" s="222"/>
      <c r="F3928" s="222"/>
      <c r="G3928" s="225" t="str">
        <f>IF(VLOOKUP($D3915&amp;RIGHT($A3928,1),Players!$A$2:$D$132,3)&lt;&gt;0,VLOOKUP($D3915&amp;RIGHT($A3928,1),Players!$A$2:$D$132,3),"")</f>
        <v/>
      </c>
      <c r="H3928" s="225"/>
      <c r="I3928" s="225"/>
      <c r="J3928" s="168" t="str">
        <f>IF(VLOOKUP($D3915&amp;RIGHT($A3928,1),Players!$A$2:$D$132,3)&lt;&gt;0,"("&amp;VLOOKUP($D3915&amp;RIGHT($A3928,1),Players!$A$2:$D$132,4)&amp;")","")</f>
        <v/>
      </c>
    </row>
    <row r="3929" spans="1:10" ht="25.5" customHeight="1" x14ac:dyDescent="0.4">
      <c r="A3929" s="37" t="str">
        <f>CONCATENATE($I3915,"8")</f>
        <v>K8</v>
      </c>
      <c r="B3929" s="222" t="str">
        <f>IF(VLOOKUP($A3929,Players!$A$2:$C$132,3)&lt;&gt;0,VLOOKUP($A3929,Players!$A$2:$C$132,3),"")</f>
        <v/>
      </c>
      <c r="C3929" s="222"/>
      <c r="D3929" s="222"/>
      <c r="E3929" s="222"/>
      <c r="F3929" s="222"/>
      <c r="G3929" s="225" t="str">
        <f>IF(VLOOKUP($D3915&amp;RIGHT($A3929,1),Players!$A$2:$D$132,3)&lt;&gt;0,VLOOKUP($D3915&amp;RIGHT($A3929,1),Players!$A$2:$D$132,3),"")</f>
        <v/>
      </c>
      <c r="H3929" s="225"/>
      <c r="I3929" s="225"/>
      <c r="J3929" s="168" t="str">
        <f>IF(VLOOKUP($D3915&amp;RIGHT($A3929,1),Players!$A$2:$D$132,3)&lt;&gt;0,"("&amp;VLOOKUP($D3915&amp;RIGHT($A3929,1),Players!$A$2:$D$132,4)&amp;")","")</f>
        <v/>
      </c>
    </row>
    <row r="3930" spans="1:10" ht="25.5" customHeight="1" x14ac:dyDescent="0.25">
      <c r="A3930" s="37"/>
      <c r="B3930" s="7"/>
      <c r="C3930" s="7"/>
      <c r="D3930" s="7"/>
      <c r="E3930" s="7"/>
    </row>
    <row r="3931" spans="1:10" x14ac:dyDescent="0.25">
      <c r="A3931" s="9" t="s">
        <v>157</v>
      </c>
    </row>
    <row r="3932" spans="1:10" x14ac:dyDescent="0.25">
      <c r="A3932" t="s">
        <v>179</v>
      </c>
    </row>
    <row r="3933" spans="1:10" x14ac:dyDescent="0.25">
      <c r="A3933" s="55" t="s">
        <v>918</v>
      </c>
    </row>
    <row r="3934" spans="1:10" x14ac:dyDescent="0.25">
      <c r="A3934" t="s">
        <v>919</v>
      </c>
    </row>
    <row r="3935" spans="1:10" ht="25.5" customHeight="1" thickBot="1" x14ac:dyDescent="0.3">
      <c r="A3935" s="37"/>
    </row>
    <row r="3936" spans="1:10" x14ac:dyDescent="0.25">
      <c r="B3936" s="213"/>
      <c r="C3936" s="214"/>
      <c r="D3936" s="214"/>
      <c r="E3936" s="214"/>
      <c r="F3936" s="215"/>
    </row>
    <row r="3937" spans="1:10" ht="13.8" thickBot="1" x14ac:dyDescent="0.3">
      <c r="B3937" s="216"/>
      <c r="C3937" s="217"/>
      <c r="D3937" s="217"/>
      <c r="E3937" s="217"/>
      <c r="F3937" s="218"/>
    </row>
    <row r="3941" spans="1:10" ht="25.5" customHeight="1" x14ac:dyDescent="0.25">
      <c r="A3941" s="36"/>
      <c r="B3941" s="36"/>
      <c r="C3941" s="36"/>
      <c r="D3941" s="36"/>
      <c r="E3941" s="36"/>
      <c r="G3941" s="38"/>
      <c r="H3941" s="227" t="s">
        <v>159</v>
      </c>
      <c r="I3941" s="228"/>
    </row>
    <row r="3942" spans="1:10" x14ac:dyDescent="0.25">
      <c r="A3942" t="s">
        <v>158</v>
      </c>
    </row>
    <row r="3944" spans="1:10" x14ac:dyDescent="0.25">
      <c r="E3944" s="219" t="str">
        <f>CONCATENATE("(",$D3915," vs ",$I3915,")")</f>
        <v>(F vs K)</v>
      </c>
      <c r="F3944" s="219"/>
    </row>
    <row r="3945" spans="1:10" ht="15.6" x14ac:dyDescent="0.3">
      <c r="A3945" s="33" t="s">
        <v>155</v>
      </c>
      <c r="J3945" s="82" t="s">
        <v>587</v>
      </c>
    </row>
    <row r="3946" spans="1:10" ht="12.75" customHeight="1" x14ac:dyDescent="0.3">
      <c r="A3946" s="33"/>
      <c r="G3946" t="str">
        <f ca="1">Team_Matches!$J$6</f>
        <v>[NCTTA Teams Template (v3.4).xlsx]</v>
      </c>
      <c r="J3946" s="55"/>
    </row>
    <row r="3947" spans="1:10" ht="12.75" customHeight="1" x14ac:dyDescent="0.3">
      <c r="A3947" s="33"/>
      <c r="G3947" s="229" t="str">
        <f>Team_Matches!$J2965</f>
        <v>Round 10, Match 5</v>
      </c>
      <c r="H3947" s="229"/>
      <c r="I3947" s="127" t="str">
        <f>Team_Matches!$M2965</f>
        <v/>
      </c>
      <c r="J3947" s="127"/>
    </row>
    <row r="3948" spans="1:10" ht="15.6" x14ac:dyDescent="0.3">
      <c r="A3948" s="33"/>
    </row>
    <row r="3949" spans="1:10" x14ac:dyDescent="0.25">
      <c r="C3949" s="7" t="s">
        <v>160</v>
      </c>
      <c r="D3949" s="39" t="str">
        <f>Team_Matches!$B2967</f>
        <v>G</v>
      </c>
      <c r="F3949" s="83" t="str">
        <f>CONCATENATE($D3949,"-",$I3949)</f>
        <v>G-J</v>
      </c>
      <c r="H3949" s="7" t="s">
        <v>160</v>
      </c>
      <c r="I3949" s="39" t="str">
        <f>Team_Matches!$K2967</f>
        <v>J</v>
      </c>
    </row>
    <row r="3950" spans="1:10" ht="25.5" customHeight="1" x14ac:dyDescent="0.25">
      <c r="A3950" s="34"/>
      <c r="B3950" s="220" t="str">
        <f>IF(VLOOKUP($D3949,Draw!$A$4:$B$27,2)&lt;&gt;0,VLOOKUP($D3949,Draw!$A$4:$B$27,2),"")</f>
        <v/>
      </c>
      <c r="C3950" s="220"/>
      <c r="D3950" s="220"/>
      <c r="E3950" s="221"/>
      <c r="F3950" s="35"/>
      <c r="G3950" s="223" t="str">
        <f>IF(VLOOKUP($I3949,Draw!$A$4:$B$27,2)&lt;&gt;0,VLOOKUP($I3949,Draw!$A$4:$B$27,2),"")</f>
        <v/>
      </c>
      <c r="H3950" s="223"/>
      <c r="I3950" s="223"/>
      <c r="J3950" s="224"/>
    </row>
    <row r="3951" spans="1:10" ht="25.5" customHeight="1" x14ac:dyDescent="0.25"/>
    <row r="3952" spans="1:10" ht="25.5" customHeight="1" x14ac:dyDescent="0.25"/>
    <row r="3953" spans="1:10" ht="24" customHeight="1" x14ac:dyDescent="0.25">
      <c r="A3953" s="9" t="s">
        <v>178</v>
      </c>
    </row>
    <row r="3954" spans="1:10" ht="24" customHeight="1" x14ac:dyDescent="0.25">
      <c r="A3954" s="9"/>
    </row>
    <row r="3955" spans="1:10" x14ac:dyDescent="0.25">
      <c r="A3955" s="9" t="s">
        <v>156</v>
      </c>
      <c r="G3955" s="226" t="s">
        <v>873</v>
      </c>
      <c r="H3955" s="226"/>
      <c r="I3955" s="226"/>
      <c r="J3955" s="226"/>
    </row>
    <row r="3956" spans="1:10" ht="24" customHeight="1" x14ac:dyDescent="0.4">
      <c r="A3956" s="37" t="str">
        <f>CONCATENATE($D3949,"1")</f>
        <v>G1</v>
      </c>
      <c r="B3956" s="222" t="str">
        <f>IF(VLOOKUP($A3956,Players!$A$2:$C$132,3)&lt;&gt;0,VLOOKUP($A3956,Players!$A$2:$C$132,3),"")</f>
        <v/>
      </c>
      <c r="C3956" s="222"/>
      <c r="D3956" s="222"/>
      <c r="E3956" s="222"/>
      <c r="F3956" s="222"/>
      <c r="G3956" s="225" t="str">
        <f>IF(VLOOKUP($I3949&amp;RIGHT($A3956,1),Players!$A$2:$D$132,3)&lt;&gt;0,VLOOKUP($I3949&amp;RIGHT($A3956,1),Players!$A$2:$D$132,3),"")</f>
        <v/>
      </c>
      <c r="H3956" s="225"/>
      <c r="I3956" s="225"/>
      <c r="J3956" s="168" t="str">
        <f>IF(VLOOKUP($I3949&amp;RIGHT($A3956,1),Players!$A$2:$D$132,3)&lt;&gt;0,"("&amp;VLOOKUP($I3949&amp;RIGHT($A3956,1),Players!$A$2:$D$132,4)&amp;")","")</f>
        <v/>
      </c>
    </row>
    <row r="3957" spans="1:10" ht="25.5" customHeight="1" x14ac:dyDescent="0.4">
      <c r="A3957" s="37" t="str">
        <f>CONCATENATE($D3949,"2")</f>
        <v>G2</v>
      </c>
      <c r="B3957" s="222" t="str">
        <f>IF(VLOOKUP($A3957,Players!$A$2:$C$132,3)&lt;&gt;0,VLOOKUP($A3957,Players!$A$2:$C$132,3),"")</f>
        <v/>
      </c>
      <c r="C3957" s="222"/>
      <c r="D3957" s="222"/>
      <c r="E3957" s="222"/>
      <c r="F3957" s="222"/>
      <c r="G3957" s="225" t="str">
        <f>IF(VLOOKUP($I3949&amp;RIGHT($A3957,1),Players!$A$2:$D$132,3)&lt;&gt;0,VLOOKUP($I3949&amp;RIGHT($A3957,1),Players!$A$2:$D$132,3),"")</f>
        <v/>
      </c>
      <c r="H3957" s="225"/>
      <c r="I3957" s="225"/>
      <c r="J3957" s="168" t="str">
        <f>IF(VLOOKUP($I3949&amp;RIGHT($A3957,1),Players!$A$2:$D$132,3)&lt;&gt;0,"("&amp;VLOOKUP($I3949&amp;RIGHT($A3957,1),Players!$A$2:$D$132,4)&amp;")","")</f>
        <v/>
      </c>
    </row>
    <row r="3958" spans="1:10" ht="25.5" customHeight="1" x14ac:dyDescent="0.4">
      <c r="A3958" s="37" t="str">
        <f>CONCATENATE($D3949,"3")</f>
        <v>G3</v>
      </c>
      <c r="B3958" s="222" t="str">
        <f>IF(VLOOKUP($A3958,Players!$A$2:$C$132,3)&lt;&gt;0,VLOOKUP($A3958,Players!$A$2:$C$132,3),"")</f>
        <v/>
      </c>
      <c r="C3958" s="222"/>
      <c r="D3958" s="222"/>
      <c r="E3958" s="222"/>
      <c r="F3958" s="222"/>
      <c r="G3958" s="225" t="str">
        <f>IF(VLOOKUP($I3949&amp;RIGHT($A3958,1),Players!$A$2:$D$132,3)&lt;&gt;0,VLOOKUP($I3949&amp;RIGHT($A3958,1),Players!$A$2:$D$132,3),"")</f>
        <v/>
      </c>
      <c r="H3958" s="225"/>
      <c r="I3958" s="225"/>
      <c r="J3958" s="168" t="str">
        <f>IF(VLOOKUP($I3949&amp;RIGHT($A3958,1),Players!$A$2:$D$132,3)&lt;&gt;0,"("&amp;VLOOKUP($I3949&amp;RIGHT($A3958,1),Players!$A$2:$D$132,4)&amp;")","")</f>
        <v/>
      </c>
    </row>
    <row r="3959" spans="1:10" ht="25.5" customHeight="1" x14ac:dyDescent="0.4">
      <c r="A3959" s="37" t="str">
        <f>CONCATENATE($D3949,"4")</f>
        <v>G4</v>
      </c>
      <c r="B3959" s="222" t="str">
        <f>IF(VLOOKUP($A3959,Players!$A$2:$C$132,3)&lt;&gt;0,VLOOKUP($A3959,Players!$A$2:$C$132,3),"")</f>
        <v/>
      </c>
      <c r="C3959" s="222"/>
      <c r="D3959" s="222"/>
      <c r="E3959" s="222"/>
      <c r="F3959" s="222"/>
      <c r="G3959" s="225" t="str">
        <f>IF(VLOOKUP($I3949&amp;RIGHT($A3959,1),Players!$A$2:$D$132,3)&lt;&gt;0,VLOOKUP($I3949&amp;RIGHT($A3959,1),Players!$A$2:$D$132,3),"")</f>
        <v/>
      </c>
      <c r="H3959" s="225"/>
      <c r="I3959" s="225"/>
      <c r="J3959" s="168" t="str">
        <f>IF(VLOOKUP($I3949&amp;RIGHT($A3959,1),Players!$A$2:$D$132,3)&lt;&gt;0,"("&amp;VLOOKUP($I3949&amp;RIGHT($A3959,1),Players!$A$2:$D$132,4)&amp;")","")</f>
        <v/>
      </c>
    </row>
    <row r="3960" spans="1:10" ht="25.5" customHeight="1" x14ac:dyDescent="0.4">
      <c r="A3960" s="37" t="str">
        <f>CONCATENATE($D3949,"5")</f>
        <v>G5</v>
      </c>
      <c r="B3960" s="222" t="str">
        <f>IF(VLOOKUP($A3960,Players!$A$2:$C$132,3)&lt;&gt;0,VLOOKUP($A3960,Players!$A$2:$C$132,3),"")</f>
        <v/>
      </c>
      <c r="C3960" s="222"/>
      <c r="D3960" s="222"/>
      <c r="E3960" s="222"/>
      <c r="F3960" s="222"/>
      <c r="G3960" s="225" t="str">
        <f>IF(VLOOKUP($I3949&amp;RIGHT($A3960,1),Players!$A$2:$D$132,3)&lt;&gt;0,VLOOKUP($I3949&amp;RIGHT($A3960,1),Players!$A$2:$D$132,3),"")</f>
        <v/>
      </c>
      <c r="H3960" s="225"/>
      <c r="I3960" s="225"/>
      <c r="J3960" s="168" t="str">
        <f>IF(VLOOKUP($I3949&amp;RIGHT($A3960,1),Players!$A$2:$D$132,3)&lt;&gt;0,"("&amp;VLOOKUP($I3949&amp;RIGHT($A3960,1),Players!$A$2:$D$132,4)&amp;")","")</f>
        <v/>
      </c>
    </row>
    <row r="3961" spans="1:10" ht="25.5" customHeight="1" x14ac:dyDescent="0.4">
      <c r="A3961" s="37" t="str">
        <f>CONCATENATE($D3949,"6")</f>
        <v>G6</v>
      </c>
      <c r="B3961" s="222" t="str">
        <f>IF(VLOOKUP($A3961,Players!$A$2:$C$132,3)&lt;&gt;0,VLOOKUP($A3961,Players!$A$2:$C$132,3),"")</f>
        <v/>
      </c>
      <c r="C3961" s="222"/>
      <c r="D3961" s="222"/>
      <c r="E3961" s="222"/>
      <c r="F3961" s="222"/>
      <c r="G3961" s="225" t="str">
        <f>IF(VLOOKUP($I3949&amp;RIGHT($A3961,1),Players!$A$2:$D$132,3)&lt;&gt;0,VLOOKUP($I3949&amp;RIGHT($A3961,1),Players!$A$2:$D$132,3),"")</f>
        <v/>
      </c>
      <c r="H3961" s="225"/>
      <c r="I3961" s="225"/>
      <c r="J3961" s="168" t="str">
        <f>IF(VLOOKUP($I3949&amp;RIGHT($A3961,1),Players!$A$2:$D$132,3)&lt;&gt;0,"("&amp;VLOOKUP($I3949&amp;RIGHT($A3961,1),Players!$A$2:$D$132,4)&amp;")","")</f>
        <v/>
      </c>
    </row>
    <row r="3962" spans="1:10" ht="25.5" customHeight="1" x14ac:dyDescent="0.4">
      <c r="A3962" s="37" t="str">
        <f>CONCATENATE($D3949,"7")</f>
        <v>G7</v>
      </c>
      <c r="B3962" s="222" t="str">
        <f>IF(VLOOKUP($A3962,Players!$A$2:$C$132,3)&lt;&gt;0,VLOOKUP($A3962,Players!$A$2:$C$132,3),"")</f>
        <v/>
      </c>
      <c r="C3962" s="222"/>
      <c r="D3962" s="222"/>
      <c r="E3962" s="222"/>
      <c r="F3962" s="222"/>
      <c r="G3962" s="225" t="str">
        <f>IF(VLOOKUP($I3949&amp;RIGHT($A3962,1),Players!$A$2:$D$132,3)&lt;&gt;0,VLOOKUP($I3949&amp;RIGHT($A3962,1),Players!$A$2:$D$132,3),"")</f>
        <v/>
      </c>
      <c r="H3962" s="225"/>
      <c r="I3962" s="225"/>
      <c r="J3962" s="168" t="str">
        <f>IF(VLOOKUP($I3949&amp;RIGHT($A3962,1),Players!$A$2:$D$132,3)&lt;&gt;0,"("&amp;VLOOKUP($I3949&amp;RIGHT($A3962,1),Players!$A$2:$D$132,4)&amp;")","")</f>
        <v/>
      </c>
    </row>
    <row r="3963" spans="1:10" ht="25.5" customHeight="1" x14ac:dyDescent="0.4">
      <c r="A3963" s="37" t="str">
        <f>CONCATENATE($D3949,"8")</f>
        <v>G8</v>
      </c>
      <c r="B3963" s="222" t="str">
        <f>IF(VLOOKUP($A3963,Players!$A$2:$C$132,3)&lt;&gt;0,VLOOKUP($A3963,Players!$A$2:$C$132,3),"")</f>
        <v/>
      </c>
      <c r="C3963" s="222"/>
      <c r="D3963" s="222"/>
      <c r="E3963" s="222"/>
      <c r="F3963" s="222"/>
      <c r="G3963" s="225" t="str">
        <f>IF(VLOOKUP($I3949&amp;RIGHT($A3963,1),Players!$A$2:$D$132,3)&lt;&gt;0,VLOOKUP($I3949&amp;RIGHT($A3963,1),Players!$A$2:$D$132,3),"")</f>
        <v/>
      </c>
      <c r="H3963" s="225"/>
      <c r="I3963" s="225"/>
      <c r="J3963" s="168" t="str">
        <f>IF(VLOOKUP($I3949&amp;RIGHT($A3963,1),Players!$A$2:$D$132,3)&lt;&gt;0,"("&amp;VLOOKUP($I3949&amp;RIGHT($A3963,1),Players!$A$2:$D$132,4)&amp;")","")</f>
        <v/>
      </c>
    </row>
    <row r="3964" spans="1:10" ht="25.5" customHeight="1" x14ac:dyDescent="0.25">
      <c r="A3964" s="37"/>
      <c r="B3964" s="7"/>
      <c r="C3964" s="7"/>
      <c r="D3964" s="7"/>
      <c r="E3964" s="7"/>
    </row>
    <row r="3965" spans="1:10" x14ac:dyDescent="0.25">
      <c r="A3965" s="9" t="s">
        <v>157</v>
      </c>
    </row>
    <row r="3966" spans="1:10" x14ac:dyDescent="0.25">
      <c r="A3966" t="s">
        <v>179</v>
      </c>
    </row>
    <row r="3967" spans="1:10" x14ac:dyDescent="0.25">
      <c r="A3967" s="55" t="s">
        <v>918</v>
      </c>
    </row>
    <row r="3968" spans="1:10" x14ac:dyDescent="0.25">
      <c r="A3968" t="s">
        <v>919</v>
      </c>
    </row>
    <row r="3969" spans="1:10" ht="25.5" customHeight="1" thickBot="1" x14ac:dyDescent="0.3">
      <c r="A3969" s="37"/>
    </row>
    <row r="3970" spans="1:10" x14ac:dyDescent="0.25">
      <c r="B3970" s="213"/>
      <c r="C3970" s="214"/>
      <c r="D3970" s="214"/>
      <c r="E3970" s="214"/>
      <c r="F3970" s="215"/>
    </row>
    <row r="3971" spans="1:10" ht="13.8" thickBot="1" x14ac:dyDescent="0.3">
      <c r="B3971" s="216"/>
      <c r="C3971" s="217"/>
      <c r="D3971" s="217"/>
      <c r="E3971" s="217"/>
      <c r="F3971" s="218"/>
    </row>
    <row r="3975" spans="1:10" ht="25.5" customHeight="1" x14ac:dyDescent="0.25">
      <c r="A3975" s="36"/>
      <c r="B3975" s="36"/>
      <c r="C3975" s="36"/>
      <c r="D3975" s="36"/>
      <c r="E3975" s="36"/>
      <c r="G3975" s="38"/>
      <c r="H3975" s="227" t="s">
        <v>159</v>
      </c>
      <c r="I3975" s="228"/>
    </row>
    <row r="3976" spans="1:10" x14ac:dyDescent="0.25">
      <c r="A3976" t="s">
        <v>158</v>
      </c>
    </row>
    <row r="3978" spans="1:10" x14ac:dyDescent="0.25">
      <c r="E3978" s="219" t="str">
        <f>CONCATENATE("(",$D3949," vs ",$I3949,")")</f>
        <v>(G vs J)</v>
      </c>
      <c r="F3978" s="219"/>
    </row>
    <row r="3979" spans="1:10" ht="15.6" x14ac:dyDescent="0.3">
      <c r="A3979" s="33" t="s">
        <v>155</v>
      </c>
      <c r="J3979" s="82" t="s">
        <v>588</v>
      </c>
    </row>
    <row r="3980" spans="1:10" ht="12.75" customHeight="1" x14ac:dyDescent="0.3">
      <c r="A3980" s="33"/>
      <c r="G3980" t="str">
        <f ca="1">Team_Matches!$J$6</f>
        <v>[NCTTA Teams Template (v3.4).xlsx]</v>
      </c>
      <c r="J3980" s="55"/>
    </row>
    <row r="3981" spans="1:10" ht="12.75" customHeight="1" x14ac:dyDescent="0.3">
      <c r="A3981" s="33"/>
      <c r="G3981" s="229" t="str">
        <f>Team_Matches!$J2965</f>
        <v>Round 10, Match 5</v>
      </c>
      <c r="H3981" s="229"/>
      <c r="I3981" s="127" t="str">
        <f>Team_Matches!$M2965</f>
        <v/>
      </c>
      <c r="J3981" s="127"/>
    </row>
    <row r="3982" spans="1:10" ht="15.6" x14ac:dyDescent="0.3">
      <c r="A3982" s="33"/>
    </row>
    <row r="3983" spans="1:10" x14ac:dyDescent="0.25">
      <c r="C3983" s="7" t="s">
        <v>160</v>
      </c>
      <c r="D3983" s="39" t="str">
        <f>Team_Matches!$B2967</f>
        <v>G</v>
      </c>
      <c r="F3983" s="83" t="str">
        <f>CONCATENATE($D3983,"-",$I3983)</f>
        <v>G-J</v>
      </c>
      <c r="H3983" s="7" t="s">
        <v>160</v>
      </c>
      <c r="I3983" s="39" t="str">
        <f>Team_Matches!$K2967</f>
        <v>J</v>
      </c>
    </row>
    <row r="3984" spans="1:10" ht="25.5" customHeight="1" x14ac:dyDescent="0.25">
      <c r="A3984" s="34"/>
      <c r="B3984" s="223" t="str">
        <f>IF(VLOOKUP($D3983,Draw!$A$4:$B$27,2)&lt;&gt;0,VLOOKUP($D3983,Draw!$A$4:$B$27,2),"")</f>
        <v/>
      </c>
      <c r="C3984" s="223"/>
      <c r="D3984" s="223"/>
      <c r="E3984" s="224"/>
      <c r="F3984" s="35"/>
      <c r="G3984" s="220" t="str">
        <f>IF(VLOOKUP($I3983,Draw!$A$4:$B$27,2)&lt;&gt;0,VLOOKUP($I3983,Draw!$A$4:$B$27,2),"")</f>
        <v/>
      </c>
      <c r="H3984" s="220"/>
      <c r="I3984" s="220"/>
      <c r="J3984" s="221"/>
    </row>
    <row r="3985" spans="1:10" ht="25.5" customHeight="1" x14ac:dyDescent="0.25"/>
    <row r="3986" spans="1:10" ht="25.5" customHeight="1" x14ac:dyDescent="0.25"/>
    <row r="3987" spans="1:10" ht="24" customHeight="1" x14ac:dyDescent="0.25">
      <c r="A3987" s="9" t="s">
        <v>178</v>
      </c>
    </row>
    <row r="3988" spans="1:10" ht="24" customHeight="1" x14ac:dyDescent="0.25">
      <c r="A3988" s="9"/>
    </row>
    <row r="3989" spans="1:10" x14ac:dyDescent="0.25">
      <c r="A3989" s="9" t="s">
        <v>156</v>
      </c>
      <c r="G3989" s="226" t="s">
        <v>873</v>
      </c>
      <c r="H3989" s="226"/>
      <c r="I3989" s="226"/>
      <c r="J3989" s="226"/>
    </row>
    <row r="3990" spans="1:10" ht="24" customHeight="1" x14ac:dyDescent="0.4">
      <c r="A3990" s="37" t="str">
        <f>CONCATENATE($I3983,"1")</f>
        <v>J1</v>
      </c>
      <c r="B3990" s="222" t="str">
        <f>IF(VLOOKUP($A3990,Players!$A$2:$C$132,3)&lt;&gt;0,VLOOKUP($A3990,Players!$A$2:$C$132,3),"")</f>
        <v/>
      </c>
      <c r="C3990" s="222"/>
      <c r="D3990" s="222"/>
      <c r="E3990" s="222"/>
      <c r="F3990" s="222"/>
      <c r="G3990" s="225" t="str">
        <f>IF(VLOOKUP($D3983&amp;RIGHT($A3990,1),Players!$A$2:$D$132,3)&lt;&gt;0,VLOOKUP($D3983&amp;RIGHT($A3990,1),Players!$A$2:$D$132,3),"")</f>
        <v/>
      </c>
      <c r="H3990" s="225"/>
      <c r="I3990" s="225"/>
      <c r="J3990" s="168" t="str">
        <f>IF(VLOOKUP($D3983&amp;RIGHT($A3990,1),Players!$A$2:$D$132,3)&lt;&gt;0,"("&amp;VLOOKUP($D3983&amp;RIGHT($A3990,1),Players!$A$2:$D$132,4)&amp;")","")</f>
        <v/>
      </c>
    </row>
    <row r="3991" spans="1:10" ht="25.5" customHeight="1" x14ac:dyDescent="0.4">
      <c r="A3991" s="37" t="str">
        <f>CONCATENATE($I3983,"2")</f>
        <v>J2</v>
      </c>
      <c r="B3991" s="222" t="str">
        <f>IF(VLOOKUP($A3991,Players!$A$2:$C$132,3)&lt;&gt;0,VLOOKUP($A3991,Players!$A$2:$C$132,3),"")</f>
        <v/>
      </c>
      <c r="C3991" s="222"/>
      <c r="D3991" s="222"/>
      <c r="E3991" s="222"/>
      <c r="F3991" s="222"/>
      <c r="G3991" s="225" t="str">
        <f>IF(VLOOKUP($D3983&amp;RIGHT($A3991,1),Players!$A$2:$D$132,3)&lt;&gt;0,VLOOKUP($D3983&amp;RIGHT($A3991,1),Players!$A$2:$D$132,3),"")</f>
        <v/>
      </c>
      <c r="H3991" s="225"/>
      <c r="I3991" s="225"/>
      <c r="J3991" s="168" t="str">
        <f>IF(VLOOKUP($D3983&amp;RIGHT($A3991,1),Players!$A$2:$D$132,3)&lt;&gt;0,"("&amp;VLOOKUP($D3983&amp;RIGHT($A3991,1),Players!$A$2:$D$132,4)&amp;")","")</f>
        <v/>
      </c>
    </row>
    <row r="3992" spans="1:10" ht="25.5" customHeight="1" x14ac:dyDescent="0.4">
      <c r="A3992" s="37" t="str">
        <f>CONCATENATE($I3983,"3")</f>
        <v>J3</v>
      </c>
      <c r="B3992" s="222" t="str">
        <f>IF(VLOOKUP($A3992,Players!$A$2:$C$132,3)&lt;&gt;0,VLOOKUP($A3992,Players!$A$2:$C$132,3),"")</f>
        <v/>
      </c>
      <c r="C3992" s="222"/>
      <c r="D3992" s="222"/>
      <c r="E3992" s="222"/>
      <c r="F3992" s="222"/>
      <c r="G3992" s="225" t="str">
        <f>IF(VLOOKUP($D3983&amp;RIGHT($A3992,1),Players!$A$2:$D$132,3)&lt;&gt;0,VLOOKUP($D3983&amp;RIGHT($A3992,1),Players!$A$2:$D$132,3),"")</f>
        <v/>
      </c>
      <c r="H3992" s="225"/>
      <c r="I3992" s="225"/>
      <c r="J3992" s="168" t="str">
        <f>IF(VLOOKUP($D3983&amp;RIGHT($A3992,1),Players!$A$2:$D$132,3)&lt;&gt;0,"("&amp;VLOOKUP($D3983&amp;RIGHT($A3992,1),Players!$A$2:$D$132,4)&amp;")","")</f>
        <v/>
      </c>
    </row>
    <row r="3993" spans="1:10" ht="25.5" customHeight="1" x14ac:dyDescent="0.4">
      <c r="A3993" s="37" t="str">
        <f>CONCATENATE($I3983,"4")</f>
        <v>J4</v>
      </c>
      <c r="B3993" s="222" t="str">
        <f>IF(VLOOKUP($A3993,Players!$A$2:$C$132,3)&lt;&gt;0,VLOOKUP($A3993,Players!$A$2:$C$132,3),"")</f>
        <v/>
      </c>
      <c r="C3993" s="222"/>
      <c r="D3993" s="222"/>
      <c r="E3993" s="222"/>
      <c r="F3993" s="222"/>
      <c r="G3993" s="225" t="str">
        <f>IF(VLOOKUP($D3983&amp;RIGHT($A3993,1),Players!$A$2:$D$132,3)&lt;&gt;0,VLOOKUP($D3983&amp;RIGHT($A3993,1),Players!$A$2:$D$132,3),"")</f>
        <v/>
      </c>
      <c r="H3993" s="225"/>
      <c r="I3993" s="225"/>
      <c r="J3993" s="168" t="str">
        <f>IF(VLOOKUP($D3983&amp;RIGHT($A3993,1),Players!$A$2:$D$132,3)&lt;&gt;0,"("&amp;VLOOKUP($D3983&amp;RIGHT($A3993,1),Players!$A$2:$D$132,4)&amp;")","")</f>
        <v/>
      </c>
    </row>
    <row r="3994" spans="1:10" ht="25.5" customHeight="1" x14ac:dyDescent="0.4">
      <c r="A3994" s="37" t="str">
        <f>CONCATENATE($I3983,"5")</f>
        <v>J5</v>
      </c>
      <c r="B3994" s="222" t="str">
        <f>IF(VLOOKUP($A3994,Players!$A$2:$C$132,3)&lt;&gt;0,VLOOKUP($A3994,Players!$A$2:$C$132,3),"")</f>
        <v/>
      </c>
      <c r="C3994" s="222"/>
      <c r="D3994" s="222"/>
      <c r="E3994" s="222"/>
      <c r="F3994" s="222"/>
      <c r="G3994" s="225" t="str">
        <f>IF(VLOOKUP($D3983&amp;RIGHT($A3994,1),Players!$A$2:$D$132,3)&lt;&gt;0,VLOOKUP($D3983&amp;RIGHT($A3994,1),Players!$A$2:$D$132,3),"")</f>
        <v/>
      </c>
      <c r="H3994" s="225"/>
      <c r="I3994" s="225"/>
      <c r="J3994" s="168" t="str">
        <f>IF(VLOOKUP($D3983&amp;RIGHT($A3994,1),Players!$A$2:$D$132,3)&lt;&gt;0,"("&amp;VLOOKUP($D3983&amp;RIGHT($A3994,1),Players!$A$2:$D$132,4)&amp;")","")</f>
        <v/>
      </c>
    </row>
    <row r="3995" spans="1:10" ht="25.5" customHeight="1" x14ac:dyDescent="0.4">
      <c r="A3995" s="37" t="str">
        <f>CONCATENATE($I3983,"6")</f>
        <v>J6</v>
      </c>
      <c r="B3995" s="222" t="str">
        <f>IF(VLOOKUP($A3995,Players!$A$2:$C$132,3)&lt;&gt;0,VLOOKUP($A3995,Players!$A$2:$C$132,3),"")</f>
        <v/>
      </c>
      <c r="C3995" s="222"/>
      <c r="D3995" s="222"/>
      <c r="E3995" s="222"/>
      <c r="F3995" s="222"/>
      <c r="G3995" s="225" t="str">
        <f>IF(VLOOKUP($D3983&amp;RIGHT($A3995,1),Players!$A$2:$D$132,3)&lt;&gt;0,VLOOKUP($D3983&amp;RIGHT($A3995,1),Players!$A$2:$D$132,3),"")</f>
        <v/>
      </c>
      <c r="H3995" s="225"/>
      <c r="I3995" s="225"/>
      <c r="J3995" s="168" t="str">
        <f>IF(VLOOKUP($D3983&amp;RIGHT($A3995,1),Players!$A$2:$D$132,3)&lt;&gt;0,"("&amp;VLOOKUP($D3983&amp;RIGHT($A3995,1),Players!$A$2:$D$132,4)&amp;")","")</f>
        <v/>
      </c>
    </row>
    <row r="3996" spans="1:10" ht="25.5" customHeight="1" x14ac:dyDescent="0.4">
      <c r="A3996" s="37" t="str">
        <f>CONCATENATE($I3983,"7")</f>
        <v>J7</v>
      </c>
      <c r="B3996" s="222" t="str">
        <f>IF(VLOOKUP($A3996,Players!$A$2:$C$132,3)&lt;&gt;0,VLOOKUP($A3996,Players!$A$2:$C$132,3),"")</f>
        <v/>
      </c>
      <c r="C3996" s="222"/>
      <c r="D3996" s="222"/>
      <c r="E3996" s="222"/>
      <c r="F3996" s="222"/>
      <c r="G3996" s="225" t="str">
        <f>IF(VLOOKUP($D3983&amp;RIGHT($A3996,1),Players!$A$2:$D$132,3)&lt;&gt;0,VLOOKUP($D3983&amp;RIGHT($A3996,1),Players!$A$2:$D$132,3),"")</f>
        <v/>
      </c>
      <c r="H3996" s="225"/>
      <c r="I3996" s="225"/>
      <c r="J3996" s="168" t="str">
        <f>IF(VLOOKUP($D3983&amp;RIGHT($A3996,1),Players!$A$2:$D$132,3)&lt;&gt;0,"("&amp;VLOOKUP($D3983&amp;RIGHT($A3996,1),Players!$A$2:$D$132,4)&amp;")","")</f>
        <v/>
      </c>
    </row>
    <row r="3997" spans="1:10" ht="25.5" customHeight="1" x14ac:dyDescent="0.4">
      <c r="A3997" s="37" t="str">
        <f>CONCATENATE($I3983,"8")</f>
        <v>J8</v>
      </c>
      <c r="B3997" s="222" t="str">
        <f>IF(VLOOKUP($A3997,Players!$A$2:$C$132,3)&lt;&gt;0,VLOOKUP($A3997,Players!$A$2:$C$132,3),"")</f>
        <v/>
      </c>
      <c r="C3997" s="222"/>
      <c r="D3997" s="222"/>
      <c r="E3997" s="222"/>
      <c r="F3997" s="222"/>
      <c r="G3997" s="225" t="str">
        <f>IF(VLOOKUP($D3983&amp;RIGHT($A3997,1),Players!$A$2:$D$132,3)&lt;&gt;0,VLOOKUP($D3983&amp;RIGHT($A3997,1),Players!$A$2:$D$132,3),"")</f>
        <v/>
      </c>
      <c r="H3997" s="225"/>
      <c r="I3997" s="225"/>
      <c r="J3997" s="168" t="str">
        <f>IF(VLOOKUP($D3983&amp;RIGHT($A3997,1),Players!$A$2:$D$132,3)&lt;&gt;0,"("&amp;VLOOKUP($D3983&amp;RIGHT($A3997,1),Players!$A$2:$D$132,4)&amp;")","")</f>
        <v/>
      </c>
    </row>
    <row r="3998" spans="1:10" ht="25.5" customHeight="1" x14ac:dyDescent="0.25">
      <c r="A3998" s="37"/>
      <c r="B3998" s="7"/>
      <c r="C3998" s="7"/>
      <c r="D3998" s="7"/>
      <c r="E3998" s="7"/>
    </row>
    <row r="3999" spans="1:10" x14ac:dyDescent="0.25">
      <c r="A3999" s="9" t="s">
        <v>157</v>
      </c>
    </row>
    <row r="4000" spans="1:10" x14ac:dyDescent="0.25">
      <c r="A4000" t="s">
        <v>179</v>
      </c>
    </row>
    <row r="4001" spans="1:10" x14ac:dyDescent="0.25">
      <c r="A4001" s="55" t="s">
        <v>918</v>
      </c>
    </row>
    <row r="4002" spans="1:10" x14ac:dyDescent="0.25">
      <c r="A4002" t="s">
        <v>919</v>
      </c>
    </row>
    <row r="4003" spans="1:10" ht="25.5" customHeight="1" thickBot="1" x14ac:dyDescent="0.3">
      <c r="A4003" s="37"/>
    </row>
    <row r="4004" spans="1:10" x14ac:dyDescent="0.25">
      <c r="B4004" s="213"/>
      <c r="C4004" s="214"/>
      <c r="D4004" s="214"/>
      <c r="E4004" s="214"/>
      <c r="F4004" s="215"/>
    </row>
    <row r="4005" spans="1:10" ht="13.8" thickBot="1" x14ac:dyDescent="0.3">
      <c r="B4005" s="216"/>
      <c r="C4005" s="217"/>
      <c r="D4005" s="217"/>
      <c r="E4005" s="217"/>
      <c r="F4005" s="218"/>
    </row>
    <row r="4009" spans="1:10" ht="25.5" customHeight="1" x14ac:dyDescent="0.25">
      <c r="A4009" s="36"/>
      <c r="B4009" s="36"/>
      <c r="C4009" s="36"/>
      <c r="D4009" s="36"/>
      <c r="E4009" s="36"/>
      <c r="G4009" s="38"/>
      <c r="H4009" s="227" t="s">
        <v>159</v>
      </c>
      <c r="I4009" s="228"/>
    </row>
    <row r="4010" spans="1:10" x14ac:dyDescent="0.25">
      <c r="A4010" t="s">
        <v>158</v>
      </c>
    </row>
    <row r="4012" spans="1:10" x14ac:dyDescent="0.25">
      <c r="E4012" s="219" t="str">
        <f>CONCATENATE("(",$D3983," vs ",$I3983,")")</f>
        <v>(G vs J)</v>
      </c>
      <c r="F4012" s="219"/>
    </row>
    <row r="4013" spans="1:10" ht="15.6" x14ac:dyDescent="0.3">
      <c r="A4013" s="33" t="s">
        <v>155</v>
      </c>
      <c r="J4013" s="82" t="s">
        <v>589</v>
      </c>
    </row>
    <row r="4014" spans="1:10" ht="12.75" customHeight="1" x14ac:dyDescent="0.3">
      <c r="A4014" s="33"/>
      <c r="G4014" t="str">
        <f ca="1">Team_Matches!$J$6</f>
        <v>[NCTTA Teams Template (v3.4).xlsx]</v>
      </c>
      <c r="J4014" s="55"/>
    </row>
    <row r="4015" spans="1:10" ht="12.75" customHeight="1" x14ac:dyDescent="0.3">
      <c r="A4015" s="33"/>
      <c r="G4015" s="229" t="str">
        <f>Team_Matches!$J3016</f>
        <v>Round 10, Match 6</v>
      </c>
      <c r="H4015" s="229"/>
      <c r="I4015" s="127" t="str">
        <f>Team_Matches!$M3016</f>
        <v/>
      </c>
      <c r="J4015" s="127"/>
    </row>
    <row r="4016" spans="1:10" ht="15.6" x14ac:dyDescent="0.3">
      <c r="A4016" s="33"/>
    </row>
    <row r="4017" spans="1:10" x14ac:dyDescent="0.25">
      <c r="C4017" s="7" t="s">
        <v>160</v>
      </c>
      <c r="D4017" s="39" t="str">
        <f>Team_Matches!$B3018</f>
        <v>H</v>
      </c>
      <c r="F4017" s="83" t="str">
        <f>CONCATENATE($D4017,"-",$I4017)</f>
        <v>H-I</v>
      </c>
      <c r="H4017" s="7" t="s">
        <v>160</v>
      </c>
      <c r="I4017" s="3" t="str">
        <f>Team_Matches!$K3018</f>
        <v>I</v>
      </c>
    </row>
    <row r="4018" spans="1:10" ht="25.5" customHeight="1" x14ac:dyDescent="0.25">
      <c r="A4018" s="34"/>
      <c r="B4018" s="220" t="str">
        <f>IF(VLOOKUP($D4017,Draw!$A$4:$B$27,2)&lt;&gt;0,VLOOKUP($D4017,Draw!$A$4:$B$27,2),"")</f>
        <v/>
      </c>
      <c r="C4018" s="220"/>
      <c r="D4018" s="220"/>
      <c r="E4018" s="221"/>
      <c r="F4018" s="35"/>
      <c r="G4018" s="223" t="str">
        <f>IF(VLOOKUP($I4017,Draw!$A$4:$B$27,2)&lt;&gt;0,VLOOKUP($I4017,Draw!$A$4:$B$27,2),"")</f>
        <v/>
      </c>
      <c r="H4018" s="223"/>
      <c r="I4018" s="223"/>
      <c r="J4018" s="224"/>
    </row>
    <row r="4019" spans="1:10" ht="25.5" customHeight="1" x14ac:dyDescent="0.25"/>
    <row r="4020" spans="1:10" ht="25.5" customHeight="1" x14ac:dyDescent="0.25"/>
    <row r="4021" spans="1:10" ht="24" customHeight="1" x14ac:dyDescent="0.25">
      <c r="A4021" s="9" t="s">
        <v>178</v>
      </c>
    </row>
    <row r="4022" spans="1:10" ht="24" customHeight="1" x14ac:dyDescent="0.25">
      <c r="A4022" s="9"/>
    </row>
    <row r="4023" spans="1:10" x14ac:dyDescent="0.25">
      <c r="A4023" s="9" t="s">
        <v>156</v>
      </c>
      <c r="G4023" s="226" t="s">
        <v>873</v>
      </c>
      <c r="H4023" s="226"/>
      <c r="I4023" s="226"/>
      <c r="J4023" s="226"/>
    </row>
    <row r="4024" spans="1:10" ht="24" customHeight="1" x14ac:dyDescent="0.4">
      <c r="A4024" s="37" t="str">
        <f>CONCATENATE($D4017,"1")</f>
        <v>H1</v>
      </c>
      <c r="B4024" s="222" t="str">
        <f>IF(VLOOKUP($A4024,Players!$A$2:$C$132,3)&lt;&gt;0,VLOOKUP($A4024,Players!$A$2:$C$132,3),"")</f>
        <v/>
      </c>
      <c r="C4024" s="222"/>
      <c r="D4024" s="222"/>
      <c r="E4024" s="222"/>
      <c r="F4024" s="222"/>
      <c r="G4024" s="225" t="str">
        <f>IF(VLOOKUP($I4017&amp;RIGHT($A4024,1),Players!$A$2:$D$132,3)&lt;&gt;0,VLOOKUP($I4017&amp;RIGHT($A4024,1),Players!$A$2:$D$132,3),"")</f>
        <v/>
      </c>
      <c r="H4024" s="225"/>
      <c r="I4024" s="225"/>
      <c r="J4024" s="168" t="str">
        <f>IF(VLOOKUP($I4017&amp;RIGHT($A4024,1),Players!$A$2:$D$132,3)&lt;&gt;0,"("&amp;VLOOKUP($I4017&amp;RIGHT($A4024,1),Players!$A$2:$D$132,4)&amp;")","")</f>
        <v/>
      </c>
    </row>
    <row r="4025" spans="1:10" ht="25.5" customHeight="1" x14ac:dyDescent="0.4">
      <c r="A4025" s="37" t="str">
        <f>CONCATENATE($D4017,"2")</f>
        <v>H2</v>
      </c>
      <c r="B4025" s="222" t="str">
        <f>IF(VLOOKUP($A4025,Players!$A$2:$C$132,3)&lt;&gt;0,VLOOKUP($A4025,Players!$A$2:$C$132,3),"")</f>
        <v/>
      </c>
      <c r="C4025" s="222"/>
      <c r="D4025" s="222"/>
      <c r="E4025" s="222"/>
      <c r="F4025" s="222"/>
      <c r="G4025" s="225" t="str">
        <f>IF(VLOOKUP($I4017&amp;RIGHT($A4025,1),Players!$A$2:$D$132,3)&lt;&gt;0,VLOOKUP($I4017&amp;RIGHT($A4025,1),Players!$A$2:$D$132,3),"")</f>
        <v/>
      </c>
      <c r="H4025" s="225"/>
      <c r="I4025" s="225"/>
      <c r="J4025" s="168" t="str">
        <f>IF(VLOOKUP($I4017&amp;RIGHT($A4025,1),Players!$A$2:$D$132,3)&lt;&gt;0,"("&amp;VLOOKUP($I4017&amp;RIGHT($A4025,1),Players!$A$2:$D$132,4)&amp;")","")</f>
        <v/>
      </c>
    </row>
    <row r="4026" spans="1:10" ht="25.5" customHeight="1" x14ac:dyDescent="0.4">
      <c r="A4026" s="37" t="str">
        <f>CONCATENATE($D4017,"3")</f>
        <v>H3</v>
      </c>
      <c r="B4026" s="222" t="str">
        <f>IF(VLOOKUP($A4026,Players!$A$2:$C$132,3)&lt;&gt;0,VLOOKUP($A4026,Players!$A$2:$C$132,3),"")</f>
        <v/>
      </c>
      <c r="C4026" s="222"/>
      <c r="D4026" s="222"/>
      <c r="E4026" s="222"/>
      <c r="F4026" s="222"/>
      <c r="G4026" s="225" t="str">
        <f>IF(VLOOKUP($I4017&amp;RIGHT($A4026,1),Players!$A$2:$D$132,3)&lt;&gt;0,VLOOKUP($I4017&amp;RIGHT($A4026,1),Players!$A$2:$D$132,3),"")</f>
        <v/>
      </c>
      <c r="H4026" s="225"/>
      <c r="I4026" s="225"/>
      <c r="J4026" s="168" t="str">
        <f>IF(VLOOKUP($I4017&amp;RIGHT($A4026,1),Players!$A$2:$D$132,3)&lt;&gt;0,"("&amp;VLOOKUP($I4017&amp;RIGHT($A4026,1),Players!$A$2:$D$132,4)&amp;")","")</f>
        <v/>
      </c>
    </row>
    <row r="4027" spans="1:10" ht="25.5" customHeight="1" x14ac:dyDescent="0.4">
      <c r="A4027" s="37" t="str">
        <f>CONCATENATE($D4017,"4")</f>
        <v>H4</v>
      </c>
      <c r="B4027" s="222" t="str">
        <f>IF(VLOOKUP($A4027,Players!$A$2:$C$132,3)&lt;&gt;0,VLOOKUP($A4027,Players!$A$2:$C$132,3),"")</f>
        <v/>
      </c>
      <c r="C4027" s="222"/>
      <c r="D4027" s="222"/>
      <c r="E4027" s="222"/>
      <c r="F4027" s="222"/>
      <c r="G4027" s="225" t="str">
        <f>IF(VLOOKUP($I4017&amp;RIGHT($A4027,1),Players!$A$2:$D$132,3)&lt;&gt;0,VLOOKUP($I4017&amp;RIGHT($A4027,1),Players!$A$2:$D$132,3),"")</f>
        <v/>
      </c>
      <c r="H4027" s="225"/>
      <c r="I4027" s="225"/>
      <c r="J4027" s="168" t="str">
        <f>IF(VLOOKUP($I4017&amp;RIGHT($A4027,1),Players!$A$2:$D$132,3)&lt;&gt;0,"("&amp;VLOOKUP($I4017&amp;RIGHT($A4027,1),Players!$A$2:$D$132,4)&amp;")","")</f>
        <v/>
      </c>
    </row>
    <row r="4028" spans="1:10" ht="25.5" customHeight="1" x14ac:dyDescent="0.4">
      <c r="A4028" s="37" t="str">
        <f>CONCATENATE($D4017,"5")</f>
        <v>H5</v>
      </c>
      <c r="B4028" s="222" t="str">
        <f>IF(VLOOKUP($A4028,Players!$A$2:$C$132,3)&lt;&gt;0,VLOOKUP($A4028,Players!$A$2:$C$132,3),"")</f>
        <v/>
      </c>
      <c r="C4028" s="222"/>
      <c r="D4028" s="222"/>
      <c r="E4028" s="222"/>
      <c r="F4028" s="222"/>
      <c r="G4028" s="225" t="str">
        <f>IF(VLOOKUP($I4017&amp;RIGHT($A4028,1),Players!$A$2:$D$132,3)&lt;&gt;0,VLOOKUP($I4017&amp;RIGHT($A4028,1),Players!$A$2:$D$132,3),"")</f>
        <v/>
      </c>
      <c r="H4028" s="225"/>
      <c r="I4028" s="225"/>
      <c r="J4028" s="168" t="str">
        <f>IF(VLOOKUP($I4017&amp;RIGHT($A4028,1),Players!$A$2:$D$132,3)&lt;&gt;0,"("&amp;VLOOKUP($I4017&amp;RIGHT($A4028,1),Players!$A$2:$D$132,4)&amp;")","")</f>
        <v/>
      </c>
    </row>
    <row r="4029" spans="1:10" ht="25.5" customHeight="1" x14ac:dyDescent="0.4">
      <c r="A4029" s="37" t="str">
        <f>CONCATENATE($D4017,"6")</f>
        <v>H6</v>
      </c>
      <c r="B4029" s="222" t="str">
        <f>IF(VLOOKUP($A4029,Players!$A$2:$C$132,3)&lt;&gt;0,VLOOKUP($A4029,Players!$A$2:$C$132,3),"")</f>
        <v/>
      </c>
      <c r="C4029" s="222"/>
      <c r="D4029" s="222"/>
      <c r="E4029" s="222"/>
      <c r="F4029" s="222"/>
      <c r="G4029" s="225" t="str">
        <f>IF(VLOOKUP($I4017&amp;RIGHT($A4029,1),Players!$A$2:$D$132,3)&lt;&gt;0,VLOOKUP($I4017&amp;RIGHT($A4029,1),Players!$A$2:$D$132,3),"")</f>
        <v/>
      </c>
      <c r="H4029" s="225"/>
      <c r="I4029" s="225"/>
      <c r="J4029" s="168" t="str">
        <f>IF(VLOOKUP($I4017&amp;RIGHT($A4029,1),Players!$A$2:$D$132,3)&lt;&gt;0,"("&amp;VLOOKUP($I4017&amp;RIGHT($A4029,1),Players!$A$2:$D$132,4)&amp;")","")</f>
        <v/>
      </c>
    </row>
    <row r="4030" spans="1:10" ht="25.5" customHeight="1" x14ac:dyDescent="0.4">
      <c r="A4030" s="37" t="str">
        <f>CONCATENATE($D4017,"7")</f>
        <v>H7</v>
      </c>
      <c r="B4030" s="222" t="str">
        <f>IF(VLOOKUP($A4030,Players!$A$2:$C$132,3)&lt;&gt;0,VLOOKUP($A4030,Players!$A$2:$C$132,3),"")</f>
        <v/>
      </c>
      <c r="C4030" s="222"/>
      <c r="D4030" s="222"/>
      <c r="E4030" s="222"/>
      <c r="F4030" s="222"/>
      <c r="G4030" s="225" t="str">
        <f>IF(VLOOKUP($I4017&amp;RIGHT($A4030,1),Players!$A$2:$D$132,3)&lt;&gt;0,VLOOKUP($I4017&amp;RIGHT($A4030,1),Players!$A$2:$D$132,3),"")</f>
        <v/>
      </c>
      <c r="H4030" s="225"/>
      <c r="I4030" s="225"/>
      <c r="J4030" s="168" t="str">
        <f>IF(VLOOKUP($I4017&amp;RIGHT($A4030,1),Players!$A$2:$D$132,3)&lt;&gt;0,"("&amp;VLOOKUP($I4017&amp;RIGHT($A4030,1),Players!$A$2:$D$132,4)&amp;")","")</f>
        <v/>
      </c>
    </row>
    <row r="4031" spans="1:10" ht="25.5" customHeight="1" x14ac:dyDescent="0.4">
      <c r="A4031" s="37" t="str">
        <f>CONCATENATE($D4017,"8")</f>
        <v>H8</v>
      </c>
      <c r="B4031" s="222" t="str">
        <f>IF(VLOOKUP($A4031,Players!$A$2:$C$132,3)&lt;&gt;0,VLOOKUP($A4031,Players!$A$2:$C$132,3),"")</f>
        <v/>
      </c>
      <c r="C4031" s="222"/>
      <c r="D4031" s="222"/>
      <c r="E4031" s="222"/>
      <c r="F4031" s="222"/>
      <c r="G4031" s="225" t="str">
        <f>IF(VLOOKUP($I4017&amp;RIGHT($A4031,1),Players!$A$2:$D$132,3)&lt;&gt;0,VLOOKUP($I4017&amp;RIGHT($A4031,1),Players!$A$2:$D$132,3),"")</f>
        <v/>
      </c>
      <c r="H4031" s="225"/>
      <c r="I4031" s="225"/>
      <c r="J4031" s="168" t="str">
        <f>IF(VLOOKUP($I4017&amp;RIGHT($A4031,1),Players!$A$2:$D$132,3)&lt;&gt;0,"("&amp;VLOOKUP($I4017&amp;RIGHT($A4031,1),Players!$A$2:$D$132,4)&amp;")","")</f>
        <v/>
      </c>
    </row>
    <row r="4032" spans="1:10" ht="25.5" customHeight="1" x14ac:dyDescent="0.25">
      <c r="A4032" s="37"/>
      <c r="B4032" s="7"/>
      <c r="C4032" s="7"/>
      <c r="D4032" s="7"/>
      <c r="E4032" s="7"/>
    </row>
    <row r="4033" spans="1:10" x14ac:dyDescent="0.25">
      <c r="A4033" s="9" t="s">
        <v>157</v>
      </c>
    </row>
    <row r="4034" spans="1:10" x14ac:dyDescent="0.25">
      <c r="A4034" t="s">
        <v>179</v>
      </c>
    </row>
    <row r="4035" spans="1:10" x14ac:dyDescent="0.25">
      <c r="A4035" s="55" t="s">
        <v>918</v>
      </c>
    </row>
    <row r="4036" spans="1:10" x14ac:dyDescent="0.25">
      <c r="A4036" t="s">
        <v>919</v>
      </c>
    </row>
    <row r="4037" spans="1:10" ht="25.5" customHeight="1" thickBot="1" x14ac:dyDescent="0.3">
      <c r="A4037" s="37"/>
    </row>
    <row r="4038" spans="1:10" x14ac:dyDescent="0.25">
      <c r="B4038" s="213"/>
      <c r="C4038" s="214"/>
      <c r="D4038" s="214"/>
      <c r="E4038" s="214"/>
      <c r="F4038" s="215"/>
    </row>
    <row r="4039" spans="1:10" ht="13.8" thickBot="1" x14ac:dyDescent="0.3">
      <c r="B4039" s="216"/>
      <c r="C4039" s="217"/>
      <c r="D4039" s="217"/>
      <c r="E4039" s="217"/>
      <c r="F4039" s="218"/>
    </row>
    <row r="4043" spans="1:10" ht="25.5" customHeight="1" x14ac:dyDescent="0.25">
      <c r="A4043" s="36"/>
      <c r="B4043" s="36"/>
      <c r="C4043" s="36"/>
      <c r="D4043" s="36"/>
      <c r="E4043" s="36"/>
      <c r="G4043" s="38"/>
      <c r="H4043" s="227" t="s">
        <v>159</v>
      </c>
      <c r="I4043" s="228"/>
    </row>
    <row r="4044" spans="1:10" x14ac:dyDescent="0.25">
      <c r="A4044" t="s">
        <v>158</v>
      </c>
    </row>
    <row r="4046" spans="1:10" x14ac:dyDescent="0.25">
      <c r="E4046" s="219" t="str">
        <f>CONCATENATE("(",$D4017," vs ",$I4017,")")</f>
        <v>(H vs I)</v>
      </c>
      <c r="F4046" s="219"/>
    </row>
    <row r="4047" spans="1:10" ht="15.6" x14ac:dyDescent="0.3">
      <c r="A4047" s="33" t="s">
        <v>155</v>
      </c>
      <c r="J4047" s="82" t="s">
        <v>590</v>
      </c>
    </row>
    <row r="4048" spans="1:10" ht="12.75" customHeight="1" x14ac:dyDescent="0.3">
      <c r="A4048" s="33"/>
      <c r="G4048" t="str">
        <f ca="1">Team_Matches!$J$6</f>
        <v>[NCTTA Teams Template (v3.4).xlsx]</v>
      </c>
      <c r="J4048" s="55"/>
    </row>
    <row r="4049" spans="1:10" ht="12.75" customHeight="1" x14ac:dyDescent="0.3">
      <c r="A4049" s="33"/>
      <c r="G4049" s="229" t="str">
        <f>Team_Matches!$J3016</f>
        <v>Round 10, Match 6</v>
      </c>
      <c r="H4049" s="229"/>
      <c r="I4049" s="127" t="str">
        <f>Team_Matches!$M3016</f>
        <v/>
      </c>
      <c r="J4049" s="127"/>
    </row>
    <row r="4050" spans="1:10" ht="15.6" x14ac:dyDescent="0.3">
      <c r="A4050" s="33"/>
    </row>
    <row r="4051" spans="1:10" x14ac:dyDescent="0.25">
      <c r="C4051" s="7" t="s">
        <v>160</v>
      </c>
      <c r="D4051" s="39" t="str">
        <f>Team_Matches!$B3018</f>
        <v>H</v>
      </c>
      <c r="F4051" s="83" t="str">
        <f>CONCATENATE($D4051,"-",$I4051)</f>
        <v>H-I</v>
      </c>
      <c r="H4051" s="7" t="s">
        <v>160</v>
      </c>
      <c r="I4051" s="3" t="str">
        <f>Team_Matches!$K3018</f>
        <v>I</v>
      </c>
    </row>
    <row r="4052" spans="1:10" ht="25.5" customHeight="1" x14ac:dyDescent="0.25">
      <c r="A4052" s="34"/>
      <c r="B4052" s="223" t="str">
        <f>IF(VLOOKUP($D4051,Draw!$A$4:$B$27,2)&lt;&gt;0,VLOOKUP($D4051,Draw!$A$4:$B$27,2),"")</f>
        <v/>
      </c>
      <c r="C4052" s="223"/>
      <c r="D4052" s="223"/>
      <c r="E4052" s="224"/>
      <c r="F4052" s="35"/>
      <c r="G4052" s="220" t="str">
        <f>IF(VLOOKUP($I4051,Draw!$A$4:$B$27,2)&lt;&gt;0,VLOOKUP($I4051,Draw!$A$4:$B$27,2),"")</f>
        <v/>
      </c>
      <c r="H4052" s="220"/>
      <c r="I4052" s="220"/>
      <c r="J4052" s="221"/>
    </row>
    <row r="4053" spans="1:10" ht="25.5" customHeight="1" x14ac:dyDescent="0.25"/>
    <row r="4054" spans="1:10" ht="25.5" customHeight="1" x14ac:dyDescent="0.25"/>
    <row r="4055" spans="1:10" ht="24" customHeight="1" x14ac:dyDescent="0.25">
      <c r="A4055" s="9" t="s">
        <v>178</v>
      </c>
    </row>
    <row r="4056" spans="1:10" ht="24" customHeight="1" x14ac:dyDescent="0.25">
      <c r="A4056" s="9"/>
    </row>
    <row r="4057" spans="1:10" x14ac:dyDescent="0.25">
      <c r="A4057" s="9" t="s">
        <v>156</v>
      </c>
      <c r="G4057" s="226" t="s">
        <v>873</v>
      </c>
      <c r="H4057" s="226"/>
      <c r="I4057" s="226"/>
      <c r="J4057" s="226"/>
    </row>
    <row r="4058" spans="1:10" ht="24" customHeight="1" x14ac:dyDescent="0.4">
      <c r="A4058" s="37" t="str">
        <f>CONCATENATE($I4051,"1")</f>
        <v>I1</v>
      </c>
      <c r="B4058" s="222" t="str">
        <f>IF(VLOOKUP($A4058,Players!$A$2:$C$132,3)&lt;&gt;0,VLOOKUP($A4058,Players!$A$2:$C$132,3),"")</f>
        <v/>
      </c>
      <c r="C4058" s="222"/>
      <c r="D4058" s="222"/>
      <c r="E4058" s="222"/>
      <c r="F4058" s="222"/>
      <c r="G4058" s="225" t="str">
        <f>IF(VLOOKUP($D4051&amp;RIGHT($A4058,1),Players!$A$2:$D$132,3)&lt;&gt;0,VLOOKUP($D4051&amp;RIGHT($A4058,1),Players!$A$2:$D$132,3),"")</f>
        <v/>
      </c>
      <c r="H4058" s="225"/>
      <c r="I4058" s="225"/>
      <c r="J4058" s="168" t="str">
        <f>IF(VLOOKUP($D4051&amp;RIGHT($A4058,1),Players!$A$2:$D$132,3)&lt;&gt;0,"("&amp;VLOOKUP($D4051&amp;RIGHT($A4058,1),Players!$A$2:$D$132,4)&amp;")","")</f>
        <v/>
      </c>
    </row>
    <row r="4059" spans="1:10" ht="25.5" customHeight="1" x14ac:dyDescent="0.4">
      <c r="A4059" s="37" t="str">
        <f>CONCATENATE($I4051,"2")</f>
        <v>I2</v>
      </c>
      <c r="B4059" s="222" t="str">
        <f>IF(VLOOKUP($A4059,Players!$A$2:$C$132,3)&lt;&gt;0,VLOOKUP($A4059,Players!$A$2:$C$132,3),"")</f>
        <v/>
      </c>
      <c r="C4059" s="222"/>
      <c r="D4059" s="222"/>
      <c r="E4059" s="222"/>
      <c r="F4059" s="222"/>
      <c r="G4059" s="225" t="str">
        <f>IF(VLOOKUP($D4051&amp;RIGHT($A4059,1),Players!$A$2:$D$132,3)&lt;&gt;0,VLOOKUP($D4051&amp;RIGHT($A4059,1),Players!$A$2:$D$132,3),"")</f>
        <v/>
      </c>
      <c r="H4059" s="225"/>
      <c r="I4059" s="225"/>
      <c r="J4059" s="168" t="str">
        <f>IF(VLOOKUP($D4051&amp;RIGHT($A4059,1),Players!$A$2:$D$132,3)&lt;&gt;0,"("&amp;VLOOKUP($D4051&amp;RIGHT($A4059,1),Players!$A$2:$D$132,4)&amp;")","")</f>
        <v/>
      </c>
    </row>
    <row r="4060" spans="1:10" ht="25.5" customHeight="1" x14ac:dyDescent="0.4">
      <c r="A4060" s="37" t="str">
        <f>CONCATENATE($I4051,"3")</f>
        <v>I3</v>
      </c>
      <c r="B4060" s="222" t="str">
        <f>IF(VLOOKUP($A4060,Players!$A$2:$C$132,3)&lt;&gt;0,VLOOKUP($A4060,Players!$A$2:$C$132,3),"")</f>
        <v/>
      </c>
      <c r="C4060" s="222"/>
      <c r="D4060" s="222"/>
      <c r="E4060" s="222"/>
      <c r="F4060" s="222"/>
      <c r="G4060" s="225" t="str">
        <f>IF(VLOOKUP($D4051&amp;RIGHT($A4060,1),Players!$A$2:$D$132,3)&lt;&gt;0,VLOOKUP($D4051&amp;RIGHT($A4060,1),Players!$A$2:$D$132,3),"")</f>
        <v/>
      </c>
      <c r="H4060" s="225"/>
      <c r="I4060" s="225"/>
      <c r="J4060" s="168" t="str">
        <f>IF(VLOOKUP($D4051&amp;RIGHT($A4060,1),Players!$A$2:$D$132,3)&lt;&gt;0,"("&amp;VLOOKUP($D4051&amp;RIGHT($A4060,1),Players!$A$2:$D$132,4)&amp;")","")</f>
        <v/>
      </c>
    </row>
    <row r="4061" spans="1:10" ht="25.5" customHeight="1" x14ac:dyDescent="0.4">
      <c r="A4061" s="37" t="str">
        <f>CONCATENATE($I4051,"4")</f>
        <v>I4</v>
      </c>
      <c r="B4061" s="222" t="str">
        <f>IF(VLOOKUP($A4061,Players!$A$2:$C$132,3)&lt;&gt;0,VLOOKUP($A4061,Players!$A$2:$C$132,3),"")</f>
        <v/>
      </c>
      <c r="C4061" s="222"/>
      <c r="D4061" s="222"/>
      <c r="E4061" s="222"/>
      <c r="F4061" s="222"/>
      <c r="G4061" s="225" t="str">
        <f>IF(VLOOKUP($D4051&amp;RIGHT($A4061,1),Players!$A$2:$D$132,3)&lt;&gt;0,VLOOKUP($D4051&amp;RIGHT($A4061,1),Players!$A$2:$D$132,3),"")</f>
        <v/>
      </c>
      <c r="H4061" s="225"/>
      <c r="I4061" s="225"/>
      <c r="J4061" s="168" t="str">
        <f>IF(VLOOKUP($D4051&amp;RIGHT($A4061,1),Players!$A$2:$D$132,3)&lt;&gt;0,"("&amp;VLOOKUP($D4051&amp;RIGHT($A4061,1),Players!$A$2:$D$132,4)&amp;")","")</f>
        <v/>
      </c>
    </row>
    <row r="4062" spans="1:10" ht="25.5" customHeight="1" x14ac:dyDescent="0.4">
      <c r="A4062" s="37" t="str">
        <f>CONCATENATE($I4051,"5")</f>
        <v>I5</v>
      </c>
      <c r="B4062" s="222" t="str">
        <f>IF(VLOOKUP($A4062,Players!$A$2:$C$132,3)&lt;&gt;0,VLOOKUP($A4062,Players!$A$2:$C$132,3),"")</f>
        <v/>
      </c>
      <c r="C4062" s="222"/>
      <c r="D4062" s="222"/>
      <c r="E4062" s="222"/>
      <c r="F4062" s="222"/>
      <c r="G4062" s="225" t="str">
        <f>IF(VLOOKUP($D4051&amp;RIGHT($A4062,1),Players!$A$2:$D$132,3)&lt;&gt;0,VLOOKUP($D4051&amp;RIGHT($A4062,1),Players!$A$2:$D$132,3),"")</f>
        <v/>
      </c>
      <c r="H4062" s="225"/>
      <c r="I4062" s="225"/>
      <c r="J4062" s="168" t="str">
        <f>IF(VLOOKUP($D4051&amp;RIGHT($A4062,1),Players!$A$2:$D$132,3)&lt;&gt;0,"("&amp;VLOOKUP($D4051&amp;RIGHT($A4062,1),Players!$A$2:$D$132,4)&amp;")","")</f>
        <v/>
      </c>
    </row>
    <row r="4063" spans="1:10" ht="25.5" customHeight="1" x14ac:dyDescent="0.4">
      <c r="A4063" s="37" t="str">
        <f>CONCATENATE($I4051,"6")</f>
        <v>I6</v>
      </c>
      <c r="B4063" s="222" t="str">
        <f>IF(VLOOKUP($A4063,Players!$A$2:$C$132,3)&lt;&gt;0,VLOOKUP($A4063,Players!$A$2:$C$132,3),"")</f>
        <v/>
      </c>
      <c r="C4063" s="222"/>
      <c r="D4063" s="222"/>
      <c r="E4063" s="222"/>
      <c r="F4063" s="222"/>
      <c r="G4063" s="225" t="str">
        <f>IF(VLOOKUP($D4051&amp;RIGHT($A4063,1),Players!$A$2:$D$132,3)&lt;&gt;0,VLOOKUP($D4051&amp;RIGHT($A4063,1),Players!$A$2:$D$132,3),"")</f>
        <v/>
      </c>
      <c r="H4063" s="225"/>
      <c r="I4063" s="225"/>
      <c r="J4063" s="168" t="str">
        <f>IF(VLOOKUP($D4051&amp;RIGHT($A4063,1),Players!$A$2:$D$132,3)&lt;&gt;0,"("&amp;VLOOKUP($D4051&amp;RIGHT($A4063,1),Players!$A$2:$D$132,4)&amp;")","")</f>
        <v/>
      </c>
    </row>
    <row r="4064" spans="1:10" ht="25.5" customHeight="1" x14ac:dyDescent="0.4">
      <c r="A4064" s="37" t="str">
        <f>CONCATENATE($I4051,"7")</f>
        <v>I7</v>
      </c>
      <c r="B4064" s="222" t="str">
        <f>IF(VLOOKUP($A4064,Players!$A$2:$C$132,3)&lt;&gt;0,VLOOKUP($A4064,Players!$A$2:$C$132,3),"")</f>
        <v/>
      </c>
      <c r="C4064" s="222"/>
      <c r="D4064" s="222"/>
      <c r="E4064" s="222"/>
      <c r="F4064" s="222"/>
      <c r="G4064" s="225" t="str">
        <f>IF(VLOOKUP($D4051&amp;RIGHT($A4064,1),Players!$A$2:$D$132,3)&lt;&gt;0,VLOOKUP($D4051&amp;RIGHT($A4064,1),Players!$A$2:$D$132,3),"")</f>
        <v/>
      </c>
      <c r="H4064" s="225"/>
      <c r="I4064" s="225"/>
      <c r="J4064" s="168" t="str">
        <f>IF(VLOOKUP($D4051&amp;RIGHT($A4064,1),Players!$A$2:$D$132,3)&lt;&gt;0,"("&amp;VLOOKUP($D4051&amp;RIGHT($A4064,1),Players!$A$2:$D$132,4)&amp;")","")</f>
        <v/>
      </c>
    </row>
    <row r="4065" spans="1:10" ht="25.5" customHeight="1" x14ac:dyDescent="0.4">
      <c r="A4065" s="37" t="str">
        <f>CONCATENATE($I4051,"8")</f>
        <v>I8</v>
      </c>
      <c r="B4065" s="222" t="str">
        <f>IF(VLOOKUP($A4065,Players!$A$2:$C$132,3)&lt;&gt;0,VLOOKUP($A4065,Players!$A$2:$C$132,3),"")</f>
        <v/>
      </c>
      <c r="C4065" s="222"/>
      <c r="D4065" s="222"/>
      <c r="E4065" s="222"/>
      <c r="F4065" s="222"/>
      <c r="G4065" s="225" t="str">
        <f>IF(VLOOKUP($D4051&amp;RIGHT($A4065,1),Players!$A$2:$D$132,3)&lt;&gt;0,VLOOKUP($D4051&amp;RIGHT($A4065,1),Players!$A$2:$D$132,3),"")</f>
        <v/>
      </c>
      <c r="H4065" s="225"/>
      <c r="I4065" s="225"/>
      <c r="J4065" s="168" t="str">
        <f>IF(VLOOKUP($D4051&amp;RIGHT($A4065,1),Players!$A$2:$D$132,3)&lt;&gt;0,"("&amp;VLOOKUP($D4051&amp;RIGHT($A4065,1),Players!$A$2:$D$132,4)&amp;")","")</f>
        <v/>
      </c>
    </row>
    <row r="4066" spans="1:10" ht="25.5" customHeight="1" x14ac:dyDescent="0.25">
      <c r="A4066" s="37"/>
      <c r="B4066" s="7"/>
      <c r="C4066" s="7"/>
      <c r="D4066" s="7"/>
      <c r="E4066" s="7"/>
    </row>
    <row r="4067" spans="1:10" x14ac:dyDescent="0.25">
      <c r="A4067" s="9" t="s">
        <v>157</v>
      </c>
    </row>
    <row r="4068" spans="1:10" x14ac:dyDescent="0.25">
      <c r="A4068" t="s">
        <v>179</v>
      </c>
    </row>
    <row r="4069" spans="1:10" x14ac:dyDescent="0.25">
      <c r="A4069" s="55" t="s">
        <v>918</v>
      </c>
    </row>
    <row r="4070" spans="1:10" x14ac:dyDescent="0.25">
      <c r="A4070" t="s">
        <v>919</v>
      </c>
    </row>
    <row r="4071" spans="1:10" ht="25.5" customHeight="1" thickBot="1" x14ac:dyDescent="0.3">
      <c r="A4071" s="37"/>
    </row>
    <row r="4072" spans="1:10" x14ac:dyDescent="0.25">
      <c r="B4072" s="213"/>
      <c r="C4072" s="214"/>
      <c r="D4072" s="214"/>
      <c r="E4072" s="214"/>
      <c r="F4072" s="215"/>
    </row>
    <row r="4073" spans="1:10" ht="13.8" thickBot="1" x14ac:dyDescent="0.3">
      <c r="B4073" s="216"/>
      <c r="C4073" s="217"/>
      <c r="D4073" s="217"/>
      <c r="E4073" s="217"/>
      <c r="F4073" s="218"/>
    </row>
    <row r="4077" spans="1:10" ht="25.5" customHeight="1" x14ac:dyDescent="0.25">
      <c r="A4077" s="36"/>
      <c r="B4077" s="36"/>
      <c r="C4077" s="36"/>
      <c r="D4077" s="36"/>
      <c r="E4077" s="36"/>
      <c r="G4077" s="38"/>
      <c r="H4077" s="227" t="s">
        <v>159</v>
      </c>
      <c r="I4077" s="228"/>
    </row>
    <row r="4078" spans="1:10" x14ac:dyDescent="0.25">
      <c r="A4078" t="s">
        <v>158</v>
      </c>
    </row>
    <row r="4080" spans="1:10" x14ac:dyDescent="0.25">
      <c r="E4080" s="219" t="str">
        <f>CONCATENATE("(",$D4051," vs ",$I4051,")")</f>
        <v>(H vs I)</v>
      </c>
      <c r="F4080" s="219"/>
    </row>
    <row r="4081" spans="1:10" ht="15.6" x14ac:dyDescent="0.3">
      <c r="A4081" s="33" t="s">
        <v>155</v>
      </c>
      <c r="J4081" s="82" t="s">
        <v>591</v>
      </c>
    </row>
    <row r="4082" spans="1:10" ht="12.75" customHeight="1" x14ac:dyDescent="0.3">
      <c r="A4082" s="33"/>
      <c r="G4082" t="str">
        <f ca="1">Team_Matches!$J$6</f>
        <v>[NCTTA Teams Template (v3.4).xlsx]</v>
      </c>
      <c r="J4082" s="55"/>
    </row>
    <row r="4083" spans="1:10" ht="12.75" customHeight="1" x14ac:dyDescent="0.3">
      <c r="A4083" s="33"/>
      <c r="G4083" s="229" t="str">
        <f>Team_Matches!$J3067</f>
        <v>Round 11, Match 1</v>
      </c>
      <c r="H4083" s="229"/>
      <c r="I4083" s="127" t="str">
        <f>Team_Matches!$M3067</f>
        <v/>
      </c>
      <c r="J4083" s="127"/>
    </row>
    <row r="4084" spans="1:10" ht="15.6" x14ac:dyDescent="0.3">
      <c r="A4084" s="33"/>
    </row>
    <row r="4085" spans="1:10" x14ac:dyDescent="0.25">
      <c r="C4085" s="7" t="s">
        <v>160</v>
      </c>
      <c r="D4085" s="39" t="str">
        <f>Team_Matches!$B3069</f>
        <v>A</v>
      </c>
      <c r="F4085" s="83" t="str">
        <f>CONCATENATE($D4085,"-",$I4085)</f>
        <v>A-H</v>
      </c>
      <c r="H4085" s="7" t="s">
        <v>160</v>
      </c>
      <c r="I4085" s="39" t="str">
        <f>Team_Matches!$K3069</f>
        <v>H</v>
      </c>
    </row>
    <row r="4086" spans="1:10" ht="25.5" customHeight="1" x14ac:dyDescent="0.25">
      <c r="A4086" s="34"/>
      <c r="B4086" s="220" t="str">
        <f>IF(VLOOKUP($D4085,Draw!$A$4:$B$27,2)&lt;&gt;0,VLOOKUP($D4085,Draw!$A$4:$B$27,2),"")</f>
        <v/>
      </c>
      <c r="C4086" s="220"/>
      <c r="D4086" s="220"/>
      <c r="E4086" s="221"/>
      <c r="F4086" s="35"/>
      <c r="G4086" s="223" t="str">
        <f>IF(VLOOKUP($I4085,Draw!$A$4:$B$27,2)&lt;&gt;0,VLOOKUP($I4085,Draw!$A$4:$B$27,2),"")</f>
        <v/>
      </c>
      <c r="H4086" s="223"/>
      <c r="I4086" s="223"/>
      <c r="J4086" s="224"/>
    </row>
    <row r="4087" spans="1:10" ht="25.5" customHeight="1" x14ac:dyDescent="0.25"/>
    <row r="4088" spans="1:10" ht="25.5" customHeight="1" x14ac:dyDescent="0.25"/>
    <row r="4089" spans="1:10" ht="24" customHeight="1" x14ac:dyDescent="0.25">
      <c r="A4089" s="9" t="s">
        <v>178</v>
      </c>
    </row>
    <row r="4090" spans="1:10" ht="24" customHeight="1" x14ac:dyDescent="0.25">
      <c r="A4090" s="9"/>
    </row>
    <row r="4091" spans="1:10" x14ac:dyDescent="0.25">
      <c r="A4091" s="9" t="s">
        <v>156</v>
      </c>
      <c r="G4091" s="226" t="s">
        <v>873</v>
      </c>
      <c r="H4091" s="226"/>
      <c r="I4091" s="226"/>
      <c r="J4091" s="226"/>
    </row>
    <row r="4092" spans="1:10" ht="24" customHeight="1" x14ac:dyDescent="0.4">
      <c r="A4092" s="37" t="str">
        <f>CONCATENATE($D4085,"1")</f>
        <v>A1</v>
      </c>
      <c r="B4092" s="222" t="str">
        <f>IF(VLOOKUP($A4092,Players!$A$2:$C$132,3)&lt;&gt;0,VLOOKUP($A4092,Players!$A$2:$C$132,3),"")</f>
        <v/>
      </c>
      <c r="C4092" s="222"/>
      <c r="D4092" s="222"/>
      <c r="E4092" s="222"/>
      <c r="F4092" s="222"/>
      <c r="G4092" s="225" t="str">
        <f>IF(VLOOKUP($I4085&amp;RIGHT($A4092,1),Players!$A$2:$D$132,3)&lt;&gt;0,VLOOKUP($I4085&amp;RIGHT($A4092,1),Players!$A$2:$D$132,3),"")</f>
        <v/>
      </c>
      <c r="H4092" s="225"/>
      <c r="I4092" s="225"/>
      <c r="J4092" s="168" t="str">
        <f>IF(VLOOKUP($I4085&amp;RIGHT($A4092,1),Players!$A$2:$D$132,3)&lt;&gt;0,"("&amp;VLOOKUP($I4085&amp;RIGHT($A4092,1),Players!$A$2:$D$132,4)&amp;")","")</f>
        <v/>
      </c>
    </row>
    <row r="4093" spans="1:10" ht="25.5" customHeight="1" x14ac:dyDescent="0.4">
      <c r="A4093" s="37" t="str">
        <f>CONCATENATE($D4085,"2")</f>
        <v>A2</v>
      </c>
      <c r="B4093" s="222" t="str">
        <f>IF(VLOOKUP($A4093,Players!$A$2:$C$132,3)&lt;&gt;0,VLOOKUP($A4093,Players!$A$2:$C$132,3),"")</f>
        <v/>
      </c>
      <c r="C4093" s="222"/>
      <c r="D4093" s="222"/>
      <c r="E4093" s="222"/>
      <c r="F4093" s="222"/>
      <c r="G4093" s="225" t="str">
        <f>IF(VLOOKUP($I4085&amp;RIGHT($A4093,1),Players!$A$2:$D$132,3)&lt;&gt;0,VLOOKUP($I4085&amp;RIGHT($A4093,1),Players!$A$2:$D$132,3),"")</f>
        <v/>
      </c>
      <c r="H4093" s="225"/>
      <c r="I4093" s="225"/>
      <c r="J4093" s="168" t="str">
        <f>IF(VLOOKUP($I4085&amp;RIGHT($A4093,1),Players!$A$2:$D$132,3)&lt;&gt;0,"("&amp;VLOOKUP($I4085&amp;RIGHT($A4093,1),Players!$A$2:$D$132,4)&amp;")","")</f>
        <v/>
      </c>
    </row>
    <row r="4094" spans="1:10" ht="25.5" customHeight="1" x14ac:dyDescent="0.4">
      <c r="A4094" s="37" t="str">
        <f>CONCATENATE($D4085,"3")</f>
        <v>A3</v>
      </c>
      <c r="B4094" s="222" t="str">
        <f>IF(VLOOKUP($A4094,Players!$A$2:$C$132,3)&lt;&gt;0,VLOOKUP($A4094,Players!$A$2:$C$132,3),"")</f>
        <v/>
      </c>
      <c r="C4094" s="222"/>
      <c r="D4094" s="222"/>
      <c r="E4094" s="222"/>
      <c r="F4094" s="222"/>
      <c r="G4094" s="225" t="str">
        <f>IF(VLOOKUP($I4085&amp;RIGHT($A4094,1),Players!$A$2:$D$132,3)&lt;&gt;0,VLOOKUP($I4085&amp;RIGHT($A4094,1),Players!$A$2:$D$132,3),"")</f>
        <v/>
      </c>
      <c r="H4094" s="225"/>
      <c r="I4094" s="225"/>
      <c r="J4094" s="168" t="str">
        <f>IF(VLOOKUP($I4085&amp;RIGHT($A4094,1),Players!$A$2:$D$132,3)&lt;&gt;0,"("&amp;VLOOKUP($I4085&amp;RIGHT($A4094,1),Players!$A$2:$D$132,4)&amp;")","")</f>
        <v/>
      </c>
    </row>
    <row r="4095" spans="1:10" ht="25.5" customHeight="1" x14ac:dyDescent="0.4">
      <c r="A4095" s="37" t="str">
        <f>CONCATENATE($D4085,"4")</f>
        <v>A4</v>
      </c>
      <c r="B4095" s="222" t="str">
        <f>IF(VLOOKUP($A4095,Players!$A$2:$C$132,3)&lt;&gt;0,VLOOKUP($A4095,Players!$A$2:$C$132,3),"")</f>
        <v/>
      </c>
      <c r="C4095" s="222"/>
      <c r="D4095" s="222"/>
      <c r="E4095" s="222"/>
      <c r="F4095" s="222"/>
      <c r="G4095" s="225" t="str">
        <f>IF(VLOOKUP($I4085&amp;RIGHT($A4095,1),Players!$A$2:$D$132,3)&lt;&gt;0,VLOOKUP($I4085&amp;RIGHT($A4095,1),Players!$A$2:$D$132,3),"")</f>
        <v/>
      </c>
      <c r="H4095" s="225"/>
      <c r="I4095" s="225"/>
      <c r="J4095" s="168" t="str">
        <f>IF(VLOOKUP($I4085&amp;RIGHT($A4095,1),Players!$A$2:$D$132,3)&lt;&gt;0,"("&amp;VLOOKUP($I4085&amp;RIGHT($A4095,1),Players!$A$2:$D$132,4)&amp;")","")</f>
        <v/>
      </c>
    </row>
    <row r="4096" spans="1:10" ht="25.5" customHeight="1" x14ac:dyDescent="0.4">
      <c r="A4096" s="37" t="str">
        <f>CONCATENATE($D4085,"5")</f>
        <v>A5</v>
      </c>
      <c r="B4096" s="222" t="str">
        <f>IF(VLOOKUP($A4096,Players!$A$2:$C$132,3)&lt;&gt;0,VLOOKUP($A4096,Players!$A$2:$C$132,3),"")</f>
        <v/>
      </c>
      <c r="C4096" s="222"/>
      <c r="D4096" s="222"/>
      <c r="E4096" s="222"/>
      <c r="F4096" s="222"/>
      <c r="G4096" s="225" t="str">
        <f>IF(VLOOKUP($I4085&amp;RIGHT($A4096,1),Players!$A$2:$D$132,3)&lt;&gt;0,VLOOKUP($I4085&amp;RIGHT($A4096,1),Players!$A$2:$D$132,3),"")</f>
        <v/>
      </c>
      <c r="H4096" s="225"/>
      <c r="I4096" s="225"/>
      <c r="J4096" s="168" t="str">
        <f>IF(VLOOKUP($I4085&amp;RIGHT($A4096,1),Players!$A$2:$D$132,3)&lt;&gt;0,"("&amp;VLOOKUP($I4085&amp;RIGHT($A4096,1),Players!$A$2:$D$132,4)&amp;")","")</f>
        <v/>
      </c>
    </row>
    <row r="4097" spans="1:10" ht="25.5" customHeight="1" x14ac:dyDescent="0.4">
      <c r="A4097" s="37" t="str">
        <f>CONCATENATE($D4085,"6")</f>
        <v>A6</v>
      </c>
      <c r="B4097" s="222" t="str">
        <f>IF(VLOOKUP($A4097,Players!$A$2:$C$132,3)&lt;&gt;0,VLOOKUP($A4097,Players!$A$2:$C$132,3),"")</f>
        <v/>
      </c>
      <c r="C4097" s="222"/>
      <c r="D4097" s="222"/>
      <c r="E4097" s="222"/>
      <c r="F4097" s="222"/>
      <c r="G4097" s="225" t="str">
        <f>IF(VLOOKUP($I4085&amp;RIGHT($A4097,1),Players!$A$2:$D$132,3)&lt;&gt;0,VLOOKUP($I4085&amp;RIGHT($A4097,1),Players!$A$2:$D$132,3),"")</f>
        <v/>
      </c>
      <c r="H4097" s="225"/>
      <c r="I4097" s="225"/>
      <c r="J4097" s="168" t="str">
        <f>IF(VLOOKUP($I4085&amp;RIGHT($A4097,1),Players!$A$2:$D$132,3)&lt;&gt;0,"("&amp;VLOOKUP($I4085&amp;RIGHT($A4097,1),Players!$A$2:$D$132,4)&amp;")","")</f>
        <v/>
      </c>
    </row>
    <row r="4098" spans="1:10" ht="25.5" customHeight="1" x14ac:dyDescent="0.4">
      <c r="A4098" s="37" t="str">
        <f>CONCATENATE($D4085,"7")</f>
        <v>A7</v>
      </c>
      <c r="B4098" s="222" t="str">
        <f>IF(VLOOKUP($A4098,Players!$A$2:$C$132,3)&lt;&gt;0,VLOOKUP($A4098,Players!$A$2:$C$132,3),"")</f>
        <v/>
      </c>
      <c r="C4098" s="222"/>
      <c r="D4098" s="222"/>
      <c r="E4098" s="222"/>
      <c r="F4098" s="222"/>
      <c r="G4098" s="225" t="str">
        <f>IF(VLOOKUP($I4085&amp;RIGHT($A4098,1),Players!$A$2:$D$132,3)&lt;&gt;0,VLOOKUP($I4085&amp;RIGHT($A4098,1),Players!$A$2:$D$132,3),"")</f>
        <v/>
      </c>
      <c r="H4098" s="225"/>
      <c r="I4098" s="225"/>
      <c r="J4098" s="168" t="str">
        <f>IF(VLOOKUP($I4085&amp;RIGHT($A4098,1),Players!$A$2:$D$132,3)&lt;&gt;0,"("&amp;VLOOKUP($I4085&amp;RIGHT($A4098,1),Players!$A$2:$D$132,4)&amp;")","")</f>
        <v/>
      </c>
    </row>
    <row r="4099" spans="1:10" ht="25.5" customHeight="1" x14ac:dyDescent="0.4">
      <c r="A4099" s="37" t="str">
        <f>CONCATENATE($D4085,"8")</f>
        <v>A8</v>
      </c>
      <c r="B4099" s="222" t="str">
        <f>IF(VLOOKUP($A4099,Players!$A$2:$C$132,3)&lt;&gt;0,VLOOKUP($A4099,Players!$A$2:$C$132,3),"")</f>
        <v/>
      </c>
      <c r="C4099" s="222"/>
      <c r="D4099" s="222"/>
      <c r="E4099" s="222"/>
      <c r="F4099" s="222"/>
      <c r="G4099" s="225" t="str">
        <f>IF(VLOOKUP($I4085&amp;RIGHT($A4099,1),Players!$A$2:$D$132,3)&lt;&gt;0,VLOOKUP($I4085&amp;RIGHT($A4099,1),Players!$A$2:$D$132,3),"")</f>
        <v/>
      </c>
      <c r="H4099" s="225"/>
      <c r="I4099" s="225"/>
      <c r="J4099" s="168" t="str">
        <f>IF(VLOOKUP($I4085&amp;RIGHT($A4099,1),Players!$A$2:$D$132,3)&lt;&gt;0,"("&amp;VLOOKUP($I4085&amp;RIGHT($A4099,1),Players!$A$2:$D$132,4)&amp;")","")</f>
        <v/>
      </c>
    </row>
    <row r="4100" spans="1:10" ht="25.5" customHeight="1" x14ac:dyDescent="0.25">
      <c r="A4100" s="37"/>
      <c r="B4100" s="7"/>
      <c r="C4100" s="7"/>
      <c r="D4100" s="7"/>
      <c r="E4100" s="7"/>
    </row>
    <row r="4101" spans="1:10" x14ac:dyDescent="0.25">
      <c r="A4101" s="9" t="s">
        <v>157</v>
      </c>
    </row>
    <row r="4102" spans="1:10" x14ac:dyDescent="0.25">
      <c r="A4102" t="s">
        <v>179</v>
      </c>
    </row>
    <row r="4103" spans="1:10" x14ac:dyDescent="0.25">
      <c r="A4103" s="55" t="s">
        <v>918</v>
      </c>
    </row>
    <row r="4104" spans="1:10" x14ac:dyDescent="0.25">
      <c r="A4104" t="s">
        <v>919</v>
      </c>
    </row>
    <row r="4105" spans="1:10" ht="25.5" customHeight="1" thickBot="1" x14ac:dyDescent="0.3">
      <c r="A4105" s="37"/>
    </row>
    <row r="4106" spans="1:10" x14ac:dyDescent="0.25">
      <c r="B4106" s="213"/>
      <c r="C4106" s="214"/>
      <c r="D4106" s="214"/>
      <c r="E4106" s="214"/>
      <c r="F4106" s="215"/>
    </row>
    <row r="4107" spans="1:10" ht="13.8" thickBot="1" x14ac:dyDescent="0.3">
      <c r="B4107" s="216"/>
      <c r="C4107" s="217"/>
      <c r="D4107" s="217"/>
      <c r="E4107" s="217"/>
      <c r="F4107" s="218"/>
    </row>
    <row r="4111" spans="1:10" ht="25.5" customHeight="1" x14ac:dyDescent="0.25">
      <c r="A4111" s="36"/>
      <c r="B4111" s="36"/>
      <c r="C4111" s="36"/>
      <c r="D4111" s="36"/>
      <c r="E4111" s="36"/>
      <c r="G4111" s="38"/>
      <c r="H4111" s="227" t="s">
        <v>159</v>
      </c>
      <c r="I4111" s="228"/>
    </row>
    <row r="4112" spans="1:10" x14ac:dyDescent="0.25">
      <c r="A4112" t="s">
        <v>158</v>
      </c>
    </row>
    <row r="4114" spans="1:10" x14ac:dyDescent="0.25">
      <c r="E4114" s="219" t="str">
        <f>CONCATENATE("(",$D4085," vs ",$I4085,")")</f>
        <v>(A vs H)</v>
      </c>
      <c r="F4114" s="219"/>
    </row>
    <row r="4115" spans="1:10" ht="15.6" x14ac:dyDescent="0.3">
      <c r="A4115" s="33" t="s">
        <v>155</v>
      </c>
      <c r="J4115" s="82" t="s">
        <v>592</v>
      </c>
    </row>
    <row r="4116" spans="1:10" ht="12.75" customHeight="1" x14ac:dyDescent="0.3">
      <c r="A4116" s="33"/>
      <c r="G4116" t="str">
        <f ca="1">Team_Matches!$J$6</f>
        <v>[NCTTA Teams Template (v3.4).xlsx]</v>
      </c>
      <c r="J4116" s="55"/>
    </row>
    <row r="4117" spans="1:10" ht="12.75" customHeight="1" x14ac:dyDescent="0.3">
      <c r="A4117" s="33"/>
      <c r="G4117" s="229" t="str">
        <f>Team_Matches!$J3067</f>
        <v>Round 11, Match 1</v>
      </c>
      <c r="H4117" s="229"/>
      <c r="I4117" s="127" t="str">
        <f>Team_Matches!$M3067</f>
        <v/>
      </c>
      <c r="J4117" s="127"/>
    </row>
    <row r="4118" spans="1:10" ht="15.6" x14ac:dyDescent="0.3">
      <c r="A4118" s="33"/>
    </row>
    <row r="4119" spans="1:10" x14ac:dyDescent="0.25">
      <c r="C4119" s="7" t="s">
        <v>160</v>
      </c>
      <c r="D4119" s="39" t="str">
        <f>Team_Matches!$B3069</f>
        <v>A</v>
      </c>
      <c r="F4119" s="83" t="str">
        <f>CONCATENATE($D4119,"-",$I4119)</f>
        <v>A-H</v>
      </c>
      <c r="H4119" s="7" t="s">
        <v>160</v>
      </c>
      <c r="I4119" s="39" t="str">
        <f>Team_Matches!$K3069</f>
        <v>H</v>
      </c>
    </row>
    <row r="4120" spans="1:10" ht="25.5" customHeight="1" x14ac:dyDescent="0.25">
      <c r="A4120" s="34"/>
      <c r="B4120" s="223" t="str">
        <f>IF(VLOOKUP($D4119,Draw!$A$4:$B$27,2)&lt;&gt;0,VLOOKUP($D4119,Draw!$A$4:$B$27,2),"")</f>
        <v/>
      </c>
      <c r="C4120" s="223"/>
      <c r="D4120" s="223"/>
      <c r="E4120" s="224"/>
      <c r="F4120" s="35"/>
      <c r="G4120" s="220" t="str">
        <f>IF(VLOOKUP($I4119,Draw!$A$4:$B$27,2)&lt;&gt;0,VLOOKUP($I4119,Draw!$A$4:$B$27,2),"")</f>
        <v/>
      </c>
      <c r="H4120" s="220"/>
      <c r="I4120" s="220"/>
      <c r="J4120" s="221"/>
    </row>
    <row r="4121" spans="1:10" ht="25.5" customHeight="1" x14ac:dyDescent="0.25"/>
    <row r="4122" spans="1:10" ht="25.5" customHeight="1" x14ac:dyDescent="0.25"/>
    <row r="4123" spans="1:10" ht="24" customHeight="1" x14ac:dyDescent="0.25">
      <c r="A4123" s="9" t="s">
        <v>178</v>
      </c>
    </row>
    <row r="4124" spans="1:10" ht="24" customHeight="1" x14ac:dyDescent="0.25">
      <c r="A4124" s="9"/>
    </row>
    <row r="4125" spans="1:10" x14ac:dyDescent="0.25">
      <c r="A4125" s="9" t="s">
        <v>156</v>
      </c>
      <c r="G4125" s="226" t="s">
        <v>873</v>
      </c>
      <c r="H4125" s="226"/>
      <c r="I4125" s="226"/>
      <c r="J4125" s="226"/>
    </row>
    <row r="4126" spans="1:10" ht="24" customHeight="1" x14ac:dyDescent="0.4">
      <c r="A4126" s="37" t="str">
        <f>CONCATENATE($I4119,"1")</f>
        <v>H1</v>
      </c>
      <c r="B4126" s="222" t="str">
        <f>IF(VLOOKUP($A4126,Players!$A$2:$C$132,3)&lt;&gt;0,VLOOKUP($A4126,Players!$A$2:$C$132,3),"")</f>
        <v/>
      </c>
      <c r="C4126" s="222"/>
      <c r="D4126" s="222"/>
      <c r="E4126" s="222"/>
      <c r="F4126" s="222"/>
      <c r="G4126" s="225" t="str">
        <f>IF(VLOOKUP($D4119&amp;RIGHT($A4126,1),Players!$A$2:$D$132,3)&lt;&gt;0,VLOOKUP($D4119&amp;RIGHT($A4126,1),Players!$A$2:$D$132,3),"")</f>
        <v/>
      </c>
      <c r="H4126" s="225"/>
      <c r="I4126" s="225"/>
      <c r="J4126" s="168" t="str">
        <f>IF(VLOOKUP($D4119&amp;RIGHT($A4126,1),Players!$A$2:$D$132,3)&lt;&gt;0,"("&amp;VLOOKUP($D4119&amp;RIGHT($A4126,1),Players!$A$2:$D$132,4)&amp;")","")</f>
        <v/>
      </c>
    </row>
    <row r="4127" spans="1:10" ht="25.5" customHeight="1" x14ac:dyDescent="0.4">
      <c r="A4127" s="37" t="str">
        <f>CONCATENATE($I4119,"2")</f>
        <v>H2</v>
      </c>
      <c r="B4127" s="222" t="str">
        <f>IF(VLOOKUP($A4127,Players!$A$2:$C$132,3)&lt;&gt;0,VLOOKUP($A4127,Players!$A$2:$C$132,3),"")</f>
        <v/>
      </c>
      <c r="C4127" s="222"/>
      <c r="D4127" s="222"/>
      <c r="E4127" s="222"/>
      <c r="F4127" s="222"/>
      <c r="G4127" s="225" t="str">
        <f>IF(VLOOKUP($D4119&amp;RIGHT($A4127,1),Players!$A$2:$D$132,3)&lt;&gt;0,VLOOKUP($D4119&amp;RIGHT($A4127,1),Players!$A$2:$D$132,3),"")</f>
        <v/>
      </c>
      <c r="H4127" s="225"/>
      <c r="I4127" s="225"/>
      <c r="J4127" s="168" t="str">
        <f>IF(VLOOKUP($D4119&amp;RIGHT($A4127,1),Players!$A$2:$D$132,3)&lt;&gt;0,"("&amp;VLOOKUP($D4119&amp;RIGHT($A4127,1),Players!$A$2:$D$132,4)&amp;")","")</f>
        <v/>
      </c>
    </row>
    <row r="4128" spans="1:10" ht="25.5" customHeight="1" x14ac:dyDescent="0.4">
      <c r="A4128" s="37" t="str">
        <f>CONCATENATE($I4119,"3")</f>
        <v>H3</v>
      </c>
      <c r="B4128" s="222" t="str">
        <f>IF(VLOOKUP($A4128,Players!$A$2:$C$132,3)&lt;&gt;0,VLOOKUP($A4128,Players!$A$2:$C$132,3),"")</f>
        <v/>
      </c>
      <c r="C4128" s="222"/>
      <c r="D4128" s="222"/>
      <c r="E4128" s="222"/>
      <c r="F4128" s="222"/>
      <c r="G4128" s="225" t="str">
        <f>IF(VLOOKUP($D4119&amp;RIGHT($A4128,1),Players!$A$2:$D$132,3)&lt;&gt;0,VLOOKUP($D4119&amp;RIGHT($A4128,1),Players!$A$2:$D$132,3),"")</f>
        <v/>
      </c>
      <c r="H4128" s="225"/>
      <c r="I4128" s="225"/>
      <c r="J4128" s="168" t="str">
        <f>IF(VLOOKUP($D4119&amp;RIGHT($A4128,1),Players!$A$2:$D$132,3)&lt;&gt;0,"("&amp;VLOOKUP($D4119&amp;RIGHT($A4128,1),Players!$A$2:$D$132,4)&amp;")","")</f>
        <v/>
      </c>
    </row>
    <row r="4129" spans="1:10" ht="25.5" customHeight="1" x14ac:dyDescent="0.4">
      <c r="A4129" s="37" t="str">
        <f>CONCATENATE($I4119,"4")</f>
        <v>H4</v>
      </c>
      <c r="B4129" s="222" t="str">
        <f>IF(VLOOKUP($A4129,Players!$A$2:$C$132,3)&lt;&gt;0,VLOOKUP($A4129,Players!$A$2:$C$132,3),"")</f>
        <v/>
      </c>
      <c r="C4129" s="222"/>
      <c r="D4129" s="222"/>
      <c r="E4129" s="222"/>
      <c r="F4129" s="222"/>
      <c r="G4129" s="225" t="str">
        <f>IF(VLOOKUP($D4119&amp;RIGHT($A4129,1),Players!$A$2:$D$132,3)&lt;&gt;0,VLOOKUP($D4119&amp;RIGHT($A4129,1),Players!$A$2:$D$132,3),"")</f>
        <v/>
      </c>
      <c r="H4129" s="225"/>
      <c r="I4129" s="225"/>
      <c r="J4129" s="168" t="str">
        <f>IF(VLOOKUP($D4119&amp;RIGHT($A4129,1),Players!$A$2:$D$132,3)&lt;&gt;0,"("&amp;VLOOKUP($D4119&amp;RIGHT($A4129,1),Players!$A$2:$D$132,4)&amp;")","")</f>
        <v/>
      </c>
    </row>
    <row r="4130" spans="1:10" ht="25.5" customHeight="1" x14ac:dyDescent="0.4">
      <c r="A4130" s="37" t="str">
        <f>CONCATENATE($I4119,"5")</f>
        <v>H5</v>
      </c>
      <c r="B4130" s="222" t="str">
        <f>IF(VLOOKUP($A4130,Players!$A$2:$C$132,3)&lt;&gt;0,VLOOKUP($A4130,Players!$A$2:$C$132,3),"")</f>
        <v/>
      </c>
      <c r="C4130" s="222"/>
      <c r="D4130" s="222"/>
      <c r="E4130" s="222"/>
      <c r="F4130" s="222"/>
      <c r="G4130" s="225" t="str">
        <f>IF(VLOOKUP($D4119&amp;RIGHT($A4130,1),Players!$A$2:$D$132,3)&lt;&gt;0,VLOOKUP($D4119&amp;RIGHT($A4130,1),Players!$A$2:$D$132,3),"")</f>
        <v/>
      </c>
      <c r="H4130" s="225"/>
      <c r="I4130" s="225"/>
      <c r="J4130" s="168" t="str">
        <f>IF(VLOOKUP($D4119&amp;RIGHT($A4130,1),Players!$A$2:$D$132,3)&lt;&gt;0,"("&amp;VLOOKUP($D4119&amp;RIGHT($A4130,1),Players!$A$2:$D$132,4)&amp;")","")</f>
        <v/>
      </c>
    </row>
    <row r="4131" spans="1:10" ht="25.5" customHeight="1" x14ac:dyDescent="0.4">
      <c r="A4131" s="37" t="str">
        <f>CONCATENATE($I4119,"6")</f>
        <v>H6</v>
      </c>
      <c r="B4131" s="222" t="str">
        <f>IF(VLOOKUP($A4131,Players!$A$2:$C$132,3)&lt;&gt;0,VLOOKUP($A4131,Players!$A$2:$C$132,3),"")</f>
        <v/>
      </c>
      <c r="C4131" s="222"/>
      <c r="D4131" s="222"/>
      <c r="E4131" s="222"/>
      <c r="F4131" s="222"/>
      <c r="G4131" s="225" t="str">
        <f>IF(VLOOKUP($D4119&amp;RIGHT($A4131,1),Players!$A$2:$D$132,3)&lt;&gt;0,VLOOKUP($D4119&amp;RIGHT($A4131,1),Players!$A$2:$D$132,3),"")</f>
        <v/>
      </c>
      <c r="H4131" s="225"/>
      <c r="I4131" s="225"/>
      <c r="J4131" s="168" t="str">
        <f>IF(VLOOKUP($D4119&amp;RIGHT($A4131,1),Players!$A$2:$D$132,3)&lt;&gt;0,"("&amp;VLOOKUP($D4119&amp;RIGHT($A4131,1),Players!$A$2:$D$132,4)&amp;")","")</f>
        <v/>
      </c>
    </row>
    <row r="4132" spans="1:10" ht="25.5" customHeight="1" x14ac:dyDescent="0.4">
      <c r="A4132" s="37" t="str">
        <f>CONCATENATE($I4119,"7")</f>
        <v>H7</v>
      </c>
      <c r="B4132" s="222" t="str">
        <f>IF(VLOOKUP($A4132,Players!$A$2:$C$132,3)&lt;&gt;0,VLOOKUP($A4132,Players!$A$2:$C$132,3),"")</f>
        <v/>
      </c>
      <c r="C4132" s="222"/>
      <c r="D4132" s="222"/>
      <c r="E4132" s="222"/>
      <c r="F4132" s="222"/>
      <c r="G4132" s="225" t="str">
        <f>IF(VLOOKUP($D4119&amp;RIGHT($A4132,1),Players!$A$2:$D$132,3)&lt;&gt;0,VLOOKUP($D4119&amp;RIGHT($A4132,1),Players!$A$2:$D$132,3),"")</f>
        <v/>
      </c>
      <c r="H4132" s="225"/>
      <c r="I4132" s="225"/>
      <c r="J4132" s="168" t="str">
        <f>IF(VLOOKUP($D4119&amp;RIGHT($A4132,1),Players!$A$2:$D$132,3)&lt;&gt;0,"("&amp;VLOOKUP($D4119&amp;RIGHT($A4132,1),Players!$A$2:$D$132,4)&amp;")","")</f>
        <v/>
      </c>
    </row>
    <row r="4133" spans="1:10" ht="25.5" customHeight="1" x14ac:dyDescent="0.4">
      <c r="A4133" s="37" t="str">
        <f>CONCATENATE($I4119,"8")</f>
        <v>H8</v>
      </c>
      <c r="B4133" s="222" t="str">
        <f>IF(VLOOKUP($A4133,Players!$A$2:$C$132,3)&lt;&gt;0,VLOOKUP($A4133,Players!$A$2:$C$132,3),"")</f>
        <v/>
      </c>
      <c r="C4133" s="222"/>
      <c r="D4133" s="222"/>
      <c r="E4133" s="222"/>
      <c r="F4133" s="222"/>
      <c r="G4133" s="225" t="str">
        <f>IF(VLOOKUP($D4119&amp;RIGHT($A4133,1),Players!$A$2:$D$132,3)&lt;&gt;0,VLOOKUP($D4119&amp;RIGHT($A4133,1),Players!$A$2:$D$132,3),"")</f>
        <v/>
      </c>
      <c r="H4133" s="225"/>
      <c r="I4133" s="225"/>
      <c r="J4133" s="168" t="str">
        <f>IF(VLOOKUP($D4119&amp;RIGHT($A4133,1),Players!$A$2:$D$132,3)&lt;&gt;0,"("&amp;VLOOKUP($D4119&amp;RIGHT($A4133,1),Players!$A$2:$D$132,4)&amp;")","")</f>
        <v/>
      </c>
    </row>
    <row r="4134" spans="1:10" ht="25.5" customHeight="1" x14ac:dyDescent="0.25">
      <c r="A4134" s="37"/>
      <c r="B4134" s="7"/>
      <c r="C4134" s="7"/>
      <c r="D4134" s="7"/>
      <c r="E4134" s="7"/>
    </row>
    <row r="4135" spans="1:10" x14ac:dyDescent="0.25">
      <c r="A4135" s="9" t="s">
        <v>157</v>
      </c>
    </row>
    <row r="4136" spans="1:10" x14ac:dyDescent="0.25">
      <c r="A4136" t="s">
        <v>179</v>
      </c>
    </row>
    <row r="4137" spans="1:10" x14ac:dyDescent="0.25">
      <c r="A4137" s="55" t="s">
        <v>918</v>
      </c>
    </row>
    <row r="4138" spans="1:10" x14ac:dyDescent="0.25">
      <c r="A4138" t="s">
        <v>919</v>
      </c>
    </row>
    <row r="4139" spans="1:10" ht="25.5" customHeight="1" thickBot="1" x14ac:dyDescent="0.3">
      <c r="A4139" s="37"/>
    </row>
    <row r="4140" spans="1:10" x14ac:dyDescent="0.25">
      <c r="B4140" s="213"/>
      <c r="C4140" s="214"/>
      <c r="D4140" s="214"/>
      <c r="E4140" s="214"/>
      <c r="F4140" s="215"/>
    </row>
    <row r="4141" spans="1:10" ht="13.8" thickBot="1" x14ac:dyDescent="0.3">
      <c r="B4141" s="216"/>
      <c r="C4141" s="217"/>
      <c r="D4141" s="217"/>
      <c r="E4141" s="217"/>
      <c r="F4141" s="218"/>
    </row>
    <row r="4145" spans="1:10" ht="25.5" customHeight="1" x14ac:dyDescent="0.25">
      <c r="A4145" s="36"/>
      <c r="B4145" s="36"/>
      <c r="C4145" s="36"/>
      <c r="D4145" s="36"/>
      <c r="E4145" s="36"/>
      <c r="G4145" s="38"/>
      <c r="H4145" s="227" t="s">
        <v>159</v>
      </c>
      <c r="I4145" s="228"/>
    </row>
    <row r="4146" spans="1:10" x14ac:dyDescent="0.25">
      <c r="A4146" t="s">
        <v>158</v>
      </c>
    </row>
    <row r="4148" spans="1:10" x14ac:dyDescent="0.25">
      <c r="E4148" s="219" t="str">
        <f>CONCATENATE("(",$D4119," vs ",$I4119,")")</f>
        <v>(A vs H)</v>
      </c>
      <c r="F4148" s="219"/>
    </row>
    <row r="4149" spans="1:10" ht="15.6" x14ac:dyDescent="0.3">
      <c r="A4149" s="33" t="s">
        <v>155</v>
      </c>
      <c r="J4149" s="82" t="s">
        <v>593</v>
      </c>
    </row>
    <row r="4150" spans="1:10" ht="12.75" customHeight="1" x14ac:dyDescent="0.3">
      <c r="A4150" s="33"/>
      <c r="G4150" t="str">
        <f ca="1">Team_Matches!$J$6</f>
        <v>[NCTTA Teams Template (v3.4).xlsx]</v>
      </c>
      <c r="J4150" s="55"/>
    </row>
    <row r="4151" spans="1:10" ht="12.75" customHeight="1" x14ac:dyDescent="0.3">
      <c r="A4151" s="33"/>
      <c r="G4151" s="229" t="str">
        <f>Team_Matches!$J3118</f>
        <v>Round 11, Match 2</v>
      </c>
      <c r="H4151" s="229"/>
      <c r="I4151" s="127" t="str">
        <f>Team_Matches!$M3118</f>
        <v/>
      </c>
      <c r="J4151" s="127"/>
    </row>
    <row r="4152" spans="1:10" ht="15.6" x14ac:dyDescent="0.3">
      <c r="A4152" s="33"/>
    </row>
    <row r="4153" spans="1:10" x14ac:dyDescent="0.25">
      <c r="C4153" s="7" t="s">
        <v>160</v>
      </c>
      <c r="D4153" s="39" t="str">
        <f>Team_Matches!$B3120</f>
        <v>G</v>
      </c>
      <c r="F4153" s="83" t="str">
        <f>CONCATENATE($D4153,"-",$I4153)</f>
        <v>G-I</v>
      </c>
      <c r="H4153" s="7" t="s">
        <v>160</v>
      </c>
      <c r="I4153" s="39" t="str">
        <f>Team_Matches!$K3120</f>
        <v>I</v>
      </c>
    </row>
    <row r="4154" spans="1:10" ht="25.5" customHeight="1" x14ac:dyDescent="0.25">
      <c r="A4154" s="34"/>
      <c r="B4154" s="220" t="str">
        <f>IF(VLOOKUP($D4153,Draw!$A$4:$B$27,2)&lt;&gt;0,VLOOKUP($D4153,Draw!$A$4:$B$27,2),"")</f>
        <v/>
      </c>
      <c r="C4154" s="220"/>
      <c r="D4154" s="220"/>
      <c r="E4154" s="221"/>
      <c r="F4154" s="35"/>
      <c r="G4154" s="223" t="str">
        <f>IF(VLOOKUP($I4153,Draw!$A$4:$B$27,2)&lt;&gt;0,VLOOKUP($I4153,Draw!$A$4:$B$27,2),"")</f>
        <v/>
      </c>
      <c r="H4154" s="223"/>
      <c r="I4154" s="223"/>
      <c r="J4154" s="224"/>
    </row>
    <row r="4155" spans="1:10" ht="25.5" customHeight="1" x14ac:dyDescent="0.25"/>
    <row r="4156" spans="1:10" ht="25.5" customHeight="1" x14ac:dyDescent="0.25"/>
    <row r="4157" spans="1:10" ht="24" customHeight="1" x14ac:dyDescent="0.25">
      <c r="A4157" s="9" t="s">
        <v>178</v>
      </c>
    </row>
    <row r="4158" spans="1:10" ht="24" customHeight="1" x14ac:dyDescent="0.25">
      <c r="A4158" s="9"/>
    </row>
    <row r="4159" spans="1:10" x14ac:dyDescent="0.25">
      <c r="A4159" s="9" t="s">
        <v>156</v>
      </c>
      <c r="G4159" s="226" t="s">
        <v>873</v>
      </c>
      <c r="H4159" s="226"/>
      <c r="I4159" s="226"/>
      <c r="J4159" s="226"/>
    </row>
    <row r="4160" spans="1:10" ht="24" customHeight="1" x14ac:dyDescent="0.4">
      <c r="A4160" s="37" t="str">
        <f>CONCATENATE($D4153,"1")</f>
        <v>G1</v>
      </c>
      <c r="B4160" s="222" t="str">
        <f>IF(VLOOKUP($A4160,Players!$A$2:$C$132,3)&lt;&gt;0,VLOOKUP($A4160,Players!$A$2:$C$132,3),"")</f>
        <v/>
      </c>
      <c r="C4160" s="222"/>
      <c r="D4160" s="222"/>
      <c r="E4160" s="222"/>
      <c r="F4160" s="222"/>
      <c r="G4160" s="225" t="str">
        <f>IF(VLOOKUP($I4153&amp;RIGHT($A4160,1),Players!$A$2:$D$132,3)&lt;&gt;0,VLOOKUP($I4153&amp;RIGHT($A4160,1),Players!$A$2:$D$132,3),"")</f>
        <v/>
      </c>
      <c r="H4160" s="225"/>
      <c r="I4160" s="225"/>
      <c r="J4160" s="168" t="str">
        <f>IF(VLOOKUP($I4153&amp;RIGHT($A4160,1),Players!$A$2:$D$132,3)&lt;&gt;0,"("&amp;VLOOKUP($I4153&amp;RIGHT($A4160,1),Players!$A$2:$D$132,4)&amp;")","")</f>
        <v/>
      </c>
    </row>
    <row r="4161" spans="1:10" ht="25.5" customHeight="1" x14ac:dyDescent="0.4">
      <c r="A4161" s="37" t="str">
        <f>CONCATENATE($D4153,"2")</f>
        <v>G2</v>
      </c>
      <c r="B4161" s="222" t="str">
        <f>IF(VLOOKUP($A4161,Players!$A$2:$C$132,3)&lt;&gt;0,VLOOKUP($A4161,Players!$A$2:$C$132,3),"")</f>
        <v/>
      </c>
      <c r="C4161" s="222"/>
      <c r="D4161" s="222"/>
      <c r="E4161" s="222"/>
      <c r="F4161" s="222"/>
      <c r="G4161" s="225" t="str">
        <f>IF(VLOOKUP($I4153&amp;RIGHT($A4161,1),Players!$A$2:$D$132,3)&lt;&gt;0,VLOOKUP($I4153&amp;RIGHT($A4161,1),Players!$A$2:$D$132,3),"")</f>
        <v/>
      </c>
      <c r="H4161" s="225"/>
      <c r="I4161" s="225"/>
      <c r="J4161" s="168" t="str">
        <f>IF(VLOOKUP($I4153&amp;RIGHT($A4161,1),Players!$A$2:$D$132,3)&lt;&gt;0,"("&amp;VLOOKUP($I4153&amp;RIGHT($A4161,1),Players!$A$2:$D$132,4)&amp;")","")</f>
        <v/>
      </c>
    </row>
    <row r="4162" spans="1:10" ht="25.5" customHeight="1" x14ac:dyDescent="0.4">
      <c r="A4162" s="37" t="str">
        <f>CONCATENATE($D4153,"3")</f>
        <v>G3</v>
      </c>
      <c r="B4162" s="222" t="str">
        <f>IF(VLOOKUP($A4162,Players!$A$2:$C$132,3)&lt;&gt;0,VLOOKUP($A4162,Players!$A$2:$C$132,3),"")</f>
        <v/>
      </c>
      <c r="C4162" s="222"/>
      <c r="D4162" s="222"/>
      <c r="E4162" s="222"/>
      <c r="F4162" s="222"/>
      <c r="G4162" s="225" t="str">
        <f>IF(VLOOKUP($I4153&amp;RIGHT($A4162,1),Players!$A$2:$D$132,3)&lt;&gt;0,VLOOKUP($I4153&amp;RIGHT($A4162,1),Players!$A$2:$D$132,3),"")</f>
        <v/>
      </c>
      <c r="H4162" s="225"/>
      <c r="I4162" s="225"/>
      <c r="J4162" s="168" t="str">
        <f>IF(VLOOKUP($I4153&amp;RIGHT($A4162,1),Players!$A$2:$D$132,3)&lt;&gt;0,"("&amp;VLOOKUP($I4153&amp;RIGHT($A4162,1),Players!$A$2:$D$132,4)&amp;")","")</f>
        <v/>
      </c>
    </row>
    <row r="4163" spans="1:10" ht="25.5" customHeight="1" x14ac:dyDescent="0.4">
      <c r="A4163" s="37" t="str">
        <f>CONCATENATE($D4153,"4")</f>
        <v>G4</v>
      </c>
      <c r="B4163" s="222" t="str">
        <f>IF(VLOOKUP($A4163,Players!$A$2:$C$132,3)&lt;&gt;0,VLOOKUP($A4163,Players!$A$2:$C$132,3),"")</f>
        <v/>
      </c>
      <c r="C4163" s="222"/>
      <c r="D4163" s="222"/>
      <c r="E4163" s="222"/>
      <c r="F4163" s="222"/>
      <c r="G4163" s="225" t="str">
        <f>IF(VLOOKUP($I4153&amp;RIGHT($A4163,1),Players!$A$2:$D$132,3)&lt;&gt;0,VLOOKUP($I4153&amp;RIGHT($A4163,1),Players!$A$2:$D$132,3),"")</f>
        <v/>
      </c>
      <c r="H4163" s="225"/>
      <c r="I4163" s="225"/>
      <c r="J4163" s="168" t="str">
        <f>IF(VLOOKUP($I4153&amp;RIGHT($A4163,1),Players!$A$2:$D$132,3)&lt;&gt;0,"("&amp;VLOOKUP($I4153&amp;RIGHT($A4163,1),Players!$A$2:$D$132,4)&amp;")","")</f>
        <v/>
      </c>
    </row>
    <row r="4164" spans="1:10" ht="25.5" customHeight="1" x14ac:dyDescent="0.4">
      <c r="A4164" s="37" t="str">
        <f>CONCATENATE($D4153,"5")</f>
        <v>G5</v>
      </c>
      <c r="B4164" s="222" t="str">
        <f>IF(VLOOKUP($A4164,Players!$A$2:$C$132,3)&lt;&gt;0,VLOOKUP($A4164,Players!$A$2:$C$132,3),"")</f>
        <v/>
      </c>
      <c r="C4164" s="222"/>
      <c r="D4164" s="222"/>
      <c r="E4164" s="222"/>
      <c r="F4164" s="222"/>
      <c r="G4164" s="225" t="str">
        <f>IF(VLOOKUP($I4153&amp;RIGHT($A4164,1),Players!$A$2:$D$132,3)&lt;&gt;0,VLOOKUP($I4153&amp;RIGHT($A4164,1),Players!$A$2:$D$132,3),"")</f>
        <v/>
      </c>
      <c r="H4164" s="225"/>
      <c r="I4164" s="225"/>
      <c r="J4164" s="168" t="str">
        <f>IF(VLOOKUP($I4153&amp;RIGHT($A4164,1),Players!$A$2:$D$132,3)&lt;&gt;0,"("&amp;VLOOKUP($I4153&amp;RIGHT($A4164,1),Players!$A$2:$D$132,4)&amp;")","")</f>
        <v/>
      </c>
    </row>
    <row r="4165" spans="1:10" ht="25.5" customHeight="1" x14ac:dyDescent="0.4">
      <c r="A4165" s="37" t="str">
        <f>CONCATENATE($D4153,"6")</f>
        <v>G6</v>
      </c>
      <c r="B4165" s="222" t="str">
        <f>IF(VLOOKUP($A4165,Players!$A$2:$C$132,3)&lt;&gt;0,VLOOKUP($A4165,Players!$A$2:$C$132,3),"")</f>
        <v/>
      </c>
      <c r="C4165" s="222"/>
      <c r="D4165" s="222"/>
      <c r="E4165" s="222"/>
      <c r="F4165" s="222"/>
      <c r="G4165" s="225" t="str">
        <f>IF(VLOOKUP($I4153&amp;RIGHT($A4165,1),Players!$A$2:$D$132,3)&lt;&gt;0,VLOOKUP($I4153&amp;RIGHT($A4165,1),Players!$A$2:$D$132,3),"")</f>
        <v/>
      </c>
      <c r="H4165" s="225"/>
      <c r="I4165" s="225"/>
      <c r="J4165" s="168" t="str">
        <f>IF(VLOOKUP($I4153&amp;RIGHT($A4165,1),Players!$A$2:$D$132,3)&lt;&gt;0,"("&amp;VLOOKUP($I4153&amp;RIGHT($A4165,1),Players!$A$2:$D$132,4)&amp;")","")</f>
        <v/>
      </c>
    </row>
    <row r="4166" spans="1:10" ht="25.5" customHeight="1" x14ac:dyDescent="0.4">
      <c r="A4166" s="37" t="str">
        <f>CONCATENATE($D4153,"7")</f>
        <v>G7</v>
      </c>
      <c r="B4166" s="222" t="str">
        <f>IF(VLOOKUP($A4166,Players!$A$2:$C$132,3)&lt;&gt;0,VLOOKUP($A4166,Players!$A$2:$C$132,3),"")</f>
        <v/>
      </c>
      <c r="C4166" s="222"/>
      <c r="D4166" s="222"/>
      <c r="E4166" s="222"/>
      <c r="F4166" s="222"/>
      <c r="G4166" s="225" t="str">
        <f>IF(VLOOKUP($I4153&amp;RIGHT($A4166,1),Players!$A$2:$D$132,3)&lt;&gt;0,VLOOKUP($I4153&amp;RIGHT($A4166,1),Players!$A$2:$D$132,3),"")</f>
        <v/>
      </c>
      <c r="H4166" s="225"/>
      <c r="I4166" s="225"/>
      <c r="J4166" s="168" t="str">
        <f>IF(VLOOKUP($I4153&amp;RIGHT($A4166,1),Players!$A$2:$D$132,3)&lt;&gt;0,"("&amp;VLOOKUP($I4153&amp;RIGHT($A4166,1),Players!$A$2:$D$132,4)&amp;")","")</f>
        <v/>
      </c>
    </row>
    <row r="4167" spans="1:10" ht="25.5" customHeight="1" x14ac:dyDescent="0.4">
      <c r="A4167" s="37" t="str">
        <f>CONCATENATE($D4153,"8")</f>
        <v>G8</v>
      </c>
      <c r="B4167" s="222" t="str">
        <f>IF(VLOOKUP($A4167,Players!$A$2:$C$132,3)&lt;&gt;0,VLOOKUP($A4167,Players!$A$2:$C$132,3),"")</f>
        <v/>
      </c>
      <c r="C4167" s="222"/>
      <c r="D4167" s="222"/>
      <c r="E4167" s="222"/>
      <c r="F4167" s="222"/>
      <c r="G4167" s="225" t="str">
        <f>IF(VLOOKUP($I4153&amp;RIGHT($A4167,1),Players!$A$2:$D$132,3)&lt;&gt;0,VLOOKUP($I4153&amp;RIGHT($A4167,1),Players!$A$2:$D$132,3),"")</f>
        <v/>
      </c>
      <c r="H4167" s="225"/>
      <c r="I4167" s="225"/>
      <c r="J4167" s="168" t="str">
        <f>IF(VLOOKUP($I4153&amp;RIGHT($A4167,1),Players!$A$2:$D$132,3)&lt;&gt;0,"("&amp;VLOOKUP($I4153&amp;RIGHT($A4167,1),Players!$A$2:$D$132,4)&amp;")","")</f>
        <v/>
      </c>
    </row>
    <row r="4168" spans="1:10" ht="25.5" customHeight="1" x14ac:dyDescent="0.25">
      <c r="A4168" s="37"/>
      <c r="B4168" s="7"/>
      <c r="C4168" s="7"/>
      <c r="D4168" s="7"/>
      <c r="E4168" s="7"/>
    </row>
    <row r="4169" spans="1:10" x14ac:dyDescent="0.25">
      <c r="A4169" s="9" t="s">
        <v>157</v>
      </c>
    </row>
    <row r="4170" spans="1:10" x14ac:dyDescent="0.25">
      <c r="A4170" t="s">
        <v>179</v>
      </c>
    </row>
    <row r="4171" spans="1:10" x14ac:dyDescent="0.25">
      <c r="A4171" s="55" t="s">
        <v>918</v>
      </c>
    </row>
    <row r="4172" spans="1:10" x14ac:dyDescent="0.25">
      <c r="A4172" t="s">
        <v>919</v>
      </c>
    </row>
    <row r="4173" spans="1:10" ht="25.5" customHeight="1" thickBot="1" x14ac:dyDescent="0.3">
      <c r="A4173" s="37"/>
    </row>
    <row r="4174" spans="1:10" x14ac:dyDescent="0.25">
      <c r="B4174" s="213"/>
      <c r="C4174" s="214"/>
      <c r="D4174" s="214"/>
      <c r="E4174" s="214"/>
      <c r="F4174" s="215"/>
    </row>
    <row r="4175" spans="1:10" ht="13.8" thickBot="1" x14ac:dyDescent="0.3">
      <c r="B4175" s="216"/>
      <c r="C4175" s="217"/>
      <c r="D4175" s="217"/>
      <c r="E4175" s="217"/>
      <c r="F4175" s="218"/>
    </row>
    <row r="4179" spans="1:10" ht="25.5" customHeight="1" x14ac:dyDescent="0.25">
      <c r="A4179" s="36"/>
      <c r="B4179" s="36"/>
      <c r="C4179" s="36"/>
      <c r="D4179" s="36"/>
      <c r="E4179" s="36"/>
      <c r="G4179" s="38"/>
      <c r="H4179" s="227" t="s">
        <v>159</v>
      </c>
      <c r="I4179" s="228"/>
    </row>
    <row r="4180" spans="1:10" x14ac:dyDescent="0.25">
      <c r="A4180" t="s">
        <v>158</v>
      </c>
    </row>
    <row r="4182" spans="1:10" x14ac:dyDescent="0.25">
      <c r="E4182" s="219" t="str">
        <f>CONCATENATE("(",$D4153," vs ",$I4153,")")</f>
        <v>(G vs I)</v>
      </c>
      <c r="F4182" s="219"/>
    </row>
    <row r="4183" spans="1:10" ht="15.6" x14ac:dyDescent="0.3">
      <c r="A4183" s="33" t="s">
        <v>155</v>
      </c>
      <c r="J4183" s="82" t="s">
        <v>594</v>
      </c>
    </row>
    <row r="4184" spans="1:10" ht="12.75" customHeight="1" x14ac:dyDescent="0.3">
      <c r="A4184" s="33"/>
      <c r="G4184" t="str">
        <f ca="1">Team_Matches!$J$6</f>
        <v>[NCTTA Teams Template (v3.4).xlsx]</v>
      </c>
      <c r="J4184" s="55"/>
    </row>
    <row r="4185" spans="1:10" ht="12.75" customHeight="1" x14ac:dyDescent="0.3">
      <c r="A4185" s="33"/>
      <c r="G4185" s="229" t="str">
        <f>Team_Matches!$J3118</f>
        <v>Round 11, Match 2</v>
      </c>
      <c r="H4185" s="229"/>
      <c r="I4185" s="127" t="str">
        <f>Team_Matches!$M3118</f>
        <v/>
      </c>
      <c r="J4185" s="127"/>
    </row>
    <row r="4186" spans="1:10" ht="15.6" x14ac:dyDescent="0.3">
      <c r="A4186" s="33"/>
    </row>
    <row r="4187" spans="1:10" x14ac:dyDescent="0.25">
      <c r="C4187" s="7" t="s">
        <v>160</v>
      </c>
      <c r="D4187" s="39" t="str">
        <f>Team_Matches!$B3120</f>
        <v>G</v>
      </c>
      <c r="F4187" s="83" t="str">
        <f>CONCATENATE($D4187,"-",$I4187)</f>
        <v>G-I</v>
      </c>
      <c r="H4187" s="7" t="s">
        <v>160</v>
      </c>
      <c r="I4187" s="39" t="str">
        <f>Team_Matches!$K3120</f>
        <v>I</v>
      </c>
    </row>
    <row r="4188" spans="1:10" ht="25.5" customHeight="1" x14ac:dyDescent="0.25">
      <c r="A4188" s="34"/>
      <c r="B4188" s="223" t="str">
        <f>IF(VLOOKUP($D4187,Draw!$A$4:$B$27,2)&lt;&gt;0,VLOOKUP($D4187,Draw!$A$4:$B$27,2),"")</f>
        <v/>
      </c>
      <c r="C4188" s="223"/>
      <c r="D4188" s="223"/>
      <c r="E4188" s="224"/>
      <c r="F4188" s="35"/>
      <c r="G4188" s="220" t="str">
        <f>IF(VLOOKUP($I4187,Draw!$A$4:$B$27,2)&lt;&gt;0,VLOOKUP($I4187,Draw!$A$4:$B$27,2),"")</f>
        <v/>
      </c>
      <c r="H4188" s="220"/>
      <c r="I4188" s="220"/>
      <c r="J4188" s="221"/>
    </row>
    <row r="4189" spans="1:10" ht="25.5" customHeight="1" x14ac:dyDescent="0.25"/>
    <row r="4190" spans="1:10" ht="25.5" customHeight="1" x14ac:dyDescent="0.25"/>
    <row r="4191" spans="1:10" ht="24" customHeight="1" x14ac:dyDescent="0.25">
      <c r="A4191" s="9" t="s">
        <v>178</v>
      </c>
    </row>
    <row r="4192" spans="1:10" ht="24" customHeight="1" x14ac:dyDescent="0.25">
      <c r="A4192" s="9"/>
    </row>
    <row r="4193" spans="1:10" x14ac:dyDescent="0.25">
      <c r="A4193" s="9" t="s">
        <v>156</v>
      </c>
      <c r="G4193" s="226" t="s">
        <v>873</v>
      </c>
      <c r="H4193" s="226"/>
      <c r="I4193" s="226"/>
      <c r="J4193" s="226"/>
    </row>
    <row r="4194" spans="1:10" ht="24" customHeight="1" x14ac:dyDescent="0.4">
      <c r="A4194" s="37" t="str">
        <f>CONCATENATE($I4187,"1")</f>
        <v>I1</v>
      </c>
      <c r="B4194" s="222" t="str">
        <f>IF(VLOOKUP($A4194,Players!$A$2:$C$132,3)&lt;&gt;0,VLOOKUP($A4194,Players!$A$2:$C$132,3),"")</f>
        <v/>
      </c>
      <c r="C4194" s="222"/>
      <c r="D4194" s="222"/>
      <c r="E4194" s="222"/>
      <c r="F4194" s="222"/>
      <c r="G4194" s="225" t="str">
        <f>IF(VLOOKUP($D4187&amp;RIGHT($A4194,1),Players!$A$2:$D$132,3)&lt;&gt;0,VLOOKUP($D4187&amp;RIGHT($A4194,1),Players!$A$2:$D$132,3),"")</f>
        <v/>
      </c>
      <c r="H4194" s="225"/>
      <c r="I4194" s="225"/>
      <c r="J4194" s="168" t="str">
        <f>IF(VLOOKUP($D4187&amp;RIGHT($A4194,1),Players!$A$2:$D$132,3)&lt;&gt;0,"("&amp;VLOOKUP($D4187&amp;RIGHT($A4194,1),Players!$A$2:$D$132,4)&amp;")","")</f>
        <v/>
      </c>
    </row>
    <row r="4195" spans="1:10" ht="25.5" customHeight="1" x14ac:dyDescent="0.4">
      <c r="A4195" s="37" t="str">
        <f>CONCATENATE($I4187,"2")</f>
        <v>I2</v>
      </c>
      <c r="B4195" s="222" t="str">
        <f>IF(VLOOKUP($A4195,Players!$A$2:$C$132,3)&lt;&gt;0,VLOOKUP($A4195,Players!$A$2:$C$132,3),"")</f>
        <v/>
      </c>
      <c r="C4195" s="222"/>
      <c r="D4195" s="222"/>
      <c r="E4195" s="222"/>
      <c r="F4195" s="222"/>
      <c r="G4195" s="225" t="str">
        <f>IF(VLOOKUP($D4187&amp;RIGHT($A4195,1),Players!$A$2:$D$132,3)&lt;&gt;0,VLOOKUP($D4187&amp;RIGHT($A4195,1),Players!$A$2:$D$132,3),"")</f>
        <v/>
      </c>
      <c r="H4195" s="225"/>
      <c r="I4195" s="225"/>
      <c r="J4195" s="168" t="str">
        <f>IF(VLOOKUP($D4187&amp;RIGHT($A4195,1),Players!$A$2:$D$132,3)&lt;&gt;0,"("&amp;VLOOKUP($D4187&amp;RIGHT($A4195,1),Players!$A$2:$D$132,4)&amp;")","")</f>
        <v/>
      </c>
    </row>
    <row r="4196" spans="1:10" ht="25.5" customHeight="1" x14ac:dyDescent="0.4">
      <c r="A4196" s="37" t="str">
        <f>CONCATENATE($I4187,"3")</f>
        <v>I3</v>
      </c>
      <c r="B4196" s="222" t="str">
        <f>IF(VLOOKUP($A4196,Players!$A$2:$C$132,3)&lt;&gt;0,VLOOKUP($A4196,Players!$A$2:$C$132,3),"")</f>
        <v/>
      </c>
      <c r="C4196" s="222"/>
      <c r="D4196" s="222"/>
      <c r="E4196" s="222"/>
      <c r="F4196" s="222"/>
      <c r="G4196" s="225" t="str">
        <f>IF(VLOOKUP($D4187&amp;RIGHT($A4196,1),Players!$A$2:$D$132,3)&lt;&gt;0,VLOOKUP($D4187&amp;RIGHT($A4196,1),Players!$A$2:$D$132,3),"")</f>
        <v/>
      </c>
      <c r="H4196" s="225"/>
      <c r="I4196" s="225"/>
      <c r="J4196" s="168" t="str">
        <f>IF(VLOOKUP($D4187&amp;RIGHT($A4196,1),Players!$A$2:$D$132,3)&lt;&gt;0,"("&amp;VLOOKUP($D4187&amp;RIGHT($A4196,1),Players!$A$2:$D$132,4)&amp;")","")</f>
        <v/>
      </c>
    </row>
    <row r="4197" spans="1:10" ht="25.5" customHeight="1" x14ac:dyDescent="0.4">
      <c r="A4197" s="37" t="str">
        <f>CONCATENATE($I4187,"4")</f>
        <v>I4</v>
      </c>
      <c r="B4197" s="222" t="str">
        <f>IF(VLOOKUP($A4197,Players!$A$2:$C$132,3)&lt;&gt;0,VLOOKUP($A4197,Players!$A$2:$C$132,3),"")</f>
        <v/>
      </c>
      <c r="C4197" s="222"/>
      <c r="D4197" s="222"/>
      <c r="E4197" s="222"/>
      <c r="F4197" s="222"/>
      <c r="G4197" s="225" t="str">
        <f>IF(VLOOKUP($D4187&amp;RIGHT($A4197,1),Players!$A$2:$D$132,3)&lt;&gt;0,VLOOKUP($D4187&amp;RIGHT($A4197,1),Players!$A$2:$D$132,3),"")</f>
        <v/>
      </c>
      <c r="H4197" s="225"/>
      <c r="I4197" s="225"/>
      <c r="J4197" s="168" t="str">
        <f>IF(VLOOKUP($D4187&amp;RIGHT($A4197,1),Players!$A$2:$D$132,3)&lt;&gt;0,"("&amp;VLOOKUP($D4187&amp;RIGHT($A4197,1),Players!$A$2:$D$132,4)&amp;")","")</f>
        <v/>
      </c>
    </row>
    <row r="4198" spans="1:10" ht="25.5" customHeight="1" x14ac:dyDescent="0.4">
      <c r="A4198" s="37" t="str">
        <f>CONCATENATE($I4187,"5")</f>
        <v>I5</v>
      </c>
      <c r="B4198" s="222" t="str">
        <f>IF(VLOOKUP($A4198,Players!$A$2:$C$132,3)&lt;&gt;0,VLOOKUP($A4198,Players!$A$2:$C$132,3),"")</f>
        <v/>
      </c>
      <c r="C4198" s="222"/>
      <c r="D4198" s="222"/>
      <c r="E4198" s="222"/>
      <c r="F4198" s="222"/>
      <c r="G4198" s="225" t="str">
        <f>IF(VLOOKUP($D4187&amp;RIGHT($A4198,1),Players!$A$2:$D$132,3)&lt;&gt;0,VLOOKUP($D4187&amp;RIGHT($A4198,1),Players!$A$2:$D$132,3),"")</f>
        <v/>
      </c>
      <c r="H4198" s="225"/>
      <c r="I4198" s="225"/>
      <c r="J4198" s="168" t="str">
        <f>IF(VLOOKUP($D4187&amp;RIGHT($A4198,1),Players!$A$2:$D$132,3)&lt;&gt;0,"("&amp;VLOOKUP($D4187&amp;RIGHT($A4198,1),Players!$A$2:$D$132,4)&amp;")","")</f>
        <v/>
      </c>
    </row>
    <row r="4199" spans="1:10" ht="25.5" customHeight="1" x14ac:dyDescent="0.4">
      <c r="A4199" s="37" t="str">
        <f>CONCATENATE($I4187,"6")</f>
        <v>I6</v>
      </c>
      <c r="B4199" s="222" t="str">
        <f>IF(VLOOKUP($A4199,Players!$A$2:$C$132,3)&lt;&gt;0,VLOOKUP($A4199,Players!$A$2:$C$132,3),"")</f>
        <v/>
      </c>
      <c r="C4199" s="222"/>
      <c r="D4199" s="222"/>
      <c r="E4199" s="222"/>
      <c r="F4199" s="222"/>
      <c r="G4199" s="225" t="str">
        <f>IF(VLOOKUP($D4187&amp;RIGHT($A4199,1),Players!$A$2:$D$132,3)&lt;&gt;0,VLOOKUP($D4187&amp;RIGHT($A4199,1),Players!$A$2:$D$132,3),"")</f>
        <v/>
      </c>
      <c r="H4199" s="225"/>
      <c r="I4199" s="225"/>
      <c r="J4199" s="168" t="str">
        <f>IF(VLOOKUP($D4187&amp;RIGHT($A4199,1),Players!$A$2:$D$132,3)&lt;&gt;0,"("&amp;VLOOKUP($D4187&amp;RIGHT($A4199,1),Players!$A$2:$D$132,4)&amp;")","")</f>
        <v/>
      </c>
    </row>
    <row r="4200" spans="1:10" ht="25.5" customHeight="1" x14ac:dyDescent="0.4">
      <c r="A4200" s="37" t="str">
        <f>CONCATENATE($I4187,"7")</f>
        <v>I7</v>
      </c>
      <c r="B4200" s="222" t="str">
        <f>IF(VLOOKUP($A4200,Players!$A$2:$C$132,3)&lt;&gt;0,VLOOKUP($A4200,Players!$A$2:$C$132,3),"")</f>
        <v/>
      </c>
      <c r="C4200" s="222"/>
      <c r="D4200" s="222"/>
      <c r="E4200" s="222"/>
      <c r="F4200" s="222"/>
      <c r="G4200" s="225" t="str">
        <f>IF(VLOOKUP($D4187&amp;RIGHT($A4200,1),Players!$A$2:$D$132,3)&lt;&gt;0,VLOOKUP($D4187&amp;RIGHT($A4200,1),Players!$A$2:$D$132,3),"")</f>
        <v/>
      </c>
      <c r="H4200" s="225"/>
      <c r="I4200" s="225"/>
      <c r="J4200" s="168" t="str">
        <f>IF(VLOOKUP($D4187&amp;RIGHT($A4200,1),Players!$A$2:$D$132,3)&lt;&gt;0,"("&amp;VLOOKUP($D4187&amp;RIGHT($A4200,1),Players!$A$2:$D$132,4)&amp;")","")</f>
        <v/>
      </c>
    </row>
    <row r="4201" spans="1:10" ht="25.5" customHeight="1" x14ac:dyDescent="0.4">
      <c r="A4201" s="37" t="str">
        <f>CONCATENATE($I4187,"8")</f>
        <v>I8</v>
      </c>
      <c r="B4201" s="222" t="str">
        <f>IF(VLOOKUP($A4201,Players!$A$2:$C$132,3)&lt;&gt;0,VLOOKUP($A4201,Players!$A$2:$C$132,3),"")</f>
        <v/>
      </c>
      <c r="C4201" s="222"/>
      <c r="D4201" s="222"/>
      <c r="E4201" s="222"/>
      <c r="F4201" s="222"/>
      <c r="G4201" s="225" t="str">
        <f>IF(VLOOKUP($D4187&amp;RIGHT($A4201,1),Players!$A$2:$D$132,3)&lt;&gt;0,VLOOKUP($D4187&amp;RIGHT($A4201,1),Players!$A$2:$D$132,3),"")</f>
        <v/>
      </c>
      <c r="H4201" s="225"/>
      <c r="I4201" s="225"/>
      <c r="J4201" s="168" t="str">
        <f>IF(VLOOKUP($D4187&amp;RIGHT($A4201,1),Players!$A$2:$D$132,3)&lt;&gt;0,"("&amp;VLOOKUP($D4187&amp;RIGHT($A4201,1),Players!$A$2:$D$132,4)&amp;")","")</f>
        <v/>
      </c>
    </row>
    <row r="4202" spans="1:10" ht="25.5" customHeight="1" x14ac:dyDescent="0.25">
      <c r="A4202" s="37"/>
      <c r="B4202" s="7"/>
      <c r="C4202" s="7"/>
      <c r="D4202" s="7"/>
      <c r="E4202" s="7"/>
    </row>
    <row r="4203" spans="1:10" x14ac:dyDescent="0.25">
      <c r="A4203" s="9" t="s">
        <v>157</v>
      </c>
    </row>
    <row r="4204" spans="1:10" x14ac:dyDescent="0.25">
      <c r="A4204" t="s">
        <v>179</v>
      </c>
    </row>
    <row r="4205" spans="1:10" x14ac:dyDescent="0.25">
      <c r="A4205" s="55" t="s">
        <v>918</v>
      </c>
    </row>
    <row r="4206" spans="1:10" x14ac:dyDescent="0.25">
      <c r="A4206" t="s">
        <v>919</v>
      </c>
    </row>
    <row r="4207" spans="1:10" ht="25.5" customHeight="1" thickBot="1" x14ac:dyDescent="0.3">
      <c r="A4207" s="37"/>
    </row>
    <row r="4208" spans="1:10" x14ac:dyDescent="0.25">
      <c r="B4208" s="213"/>
      <c r="C4208" s="214"/>
      <c r="D4208" s="214"/>
      <c r="E4208" s="214"/>
      <c r="F4208" s="215"/>
    </row>
    <row r="4209" spans="1:10" ht="13.8" thickBot="1" x14ac:dyDescent="0.3">
      <c r="B4209" s="216"/>
      <c r="C4209" s="217"/>
      <c r="D4209" s="217"/>
      <c r="E4209" s="217"/>
      <c r="F4209" s="218"/>
    </row>
    <row r="4213" spans="1:10" ht="25.5" customHeight="1" x14ac:dyDescent="0.25">
      <c r="A4213" s="36"/>
      <c r="B4213" s="36"/>
      <c r="C4213" s="36"/>
      <c r="D4213" s="36"/>
      <c r="E4213" s="36"/>
      <c r="G4213" s="38"/>
      <c r="H4213" s="227" t="s">
        <v>159</v>
      </c>
      <c r="I4213" s="228"/>
    </row>
    <row r="4214" spans="1:10" x14ac:dyDescent="0.25">
      <c r="A4214" t="s">
        <v>158</v>
      </c>
    </row>
    <row r="4216" spans="1:10" x14ac:dyDescent="0.25">
      <c r="E4216" s="219" t="str">
        <f>CONCATENATE("(",$D4187," vs ",$I4187,")")</f>
        <v>(G vs I)</v>
      </c>
      <c r="F4216" s="219"/>
    </row>
    <row r="4217" spans="1:10" ht="15.6" x14ac:dyDescent="0.3">
      <c r="A4217" s="33" t="s">
        <v>155</v>
      </c>
      <c r="J4217" s="82" t="s">
        <v>595</v>
      </c>
    </row>
    <row r="4218" spans="1:10" ht="12.75" customHeight="1" x14ac:dyDescent="0.3">
      <c r="A4218" s="33"/>
      <c r="G4218" t="str">
        <f ca="1">Team_Matches!$J$6</f>
        <v>[NCTTA Teams Template (v3.4).xlsx]</v>
      </c>
      <c r="J4218" s="55"/>
    </row>
    <row r="4219" spans="1:10" ht="12.75" customHeight="1" x14ac:dyDescent="0.3">
      <c r="A4219" s="33"/>
      <c r="G4219" s="229" t="str">
        <f>Team_Matches!$J3169</f>
        <v>Round 11, Match 3</v>
      </c>
      <c r="H4219" s="229"/>
      <c r="I4219" s="127" t="str">
        <f>Team_Matches!$M3169</f>
        <v/>
      </c>
      <c r="J4219" s="127"/>
    </row>
    <row r="4220" spans="1:10" ht="15.6" x14ac:dyDescent="0.3">
      <c r="A4220" s="33"/>
    </row>
    <row r="4221" spans="1:10" x14ac:dyDescent="0.25">
      <c r="C4221" s="7" t="s">
        <v>160</v>
      </c>
      <c r="D4221" s="39" t="str">
        <f>Team_Matches!$B3171</f>
        <v>F</v>
      </c>
      <c r="F4221" s="83" t="str">
        <f>CONCATENATE($D4221,"-",$I4221)</f>
        <v>F-J</v>
      </c>
      <c r="H4221" s="7" t="s">
        <v>160</v>
      </c>
      <c r="I4221" s="3" t="str">
        <f>Team_Matches!$K3171</f>
        <v>J</v>
      </c>
    </row>
    <row r="4222" spans="1:10" ht="25.5" customHeight="1" x14ac:dyDescent="0.25">
      <c r="A4222" s="34"/>
      <c r="B4222" s="220" t="str">
        <f>IF(VLOOKUP($D4221,Draw!$A$4:$B$27,2)&lt;&gt;0,VLOOKUP($D4221,Draw!$A$4:$B$27,2),"")</f>
        <v/>
      </c>
      <c r="C4222" s="220"/>
      <c r="D4222" s="220"/>
      <c r="E4222" s="221"/>
      <c r="F4222" s="35"/>
      <c r="G4222" s="223" t="str">
        <f>IF(VLOOKUP($I4221,Draw!$A$4:$B$27,2)&lt;&gt;0,VLOOKUP($I4221,Draw!$A$4:$B$27,2),"")</f>
        <v/>
      </c>
      <c r="H4222" s="223"/>
      <c r="I4222" s="223"/>
      <c r="J4222" s="224"/>
    </row>
    <row r="4223" spans="1:10" ht="25.5" customHeight="1" x14ac:dyDescent="0.25"/>
    <row r="4224" spans="1:10" ht="25.5" customHeight="1" x14ac:dyDescent="0.25"/>
    <row r="4225" spans="1:10" ht="24" customHeight="1" x14ac:dyDescent="0.25">
      <c r="A4225" s="9" t="s">
        <v>178</v>
      </c>
    </row>
    <row r="4226" spans="1:10" ht="24" customHeight="1" x14ac:dyDescent="0.25">
      <c r="A4226" s="9"/>
    </row>
    <row r="4227" spans="1:10" x14ac:dyDescent="0.25">
      <c r="A4227" s="9" t="s">
        <v>156</v>
      </c>
      <c r="G4227" s="226" t="s">
        <v>873</v>
      </c>
      <c r="H4227" s="226"/>
      <c r="I4227" s="226"/>
      <c r="J4227" s="226"/>
    </row>
    <row r="4228" spans="1:10" ht="24" customHeight="1" x14ac:dyDescent="0.4">
      <c r="A4228" s="37" t="str">
        <f>CONCATENATE($D4221,"1")</f>
        <v>F1</v>
      </c>
      <c r="B4228" s="222" t="str">
        <f>IF(VLOOKUP($A4228,Players!$A$2:$C$132,3)&lt;&gt;0,VLOOKUP($A4228,Players!$A$2:$C$132,3),"")</f>
        <v/>
      </c>
      <c r="C4228" s="222"/>
      <c r="D4228" s="222"/>
      <c r="E4228" s="222"/>
      <c r="F4228" s="222"/>
      <c r="G4228" s="225" t="str">
        <f>IF(VLOOKUP($I4221&amp;RIGHT($A4228,1),Players!$A$2:$D$132,3)&lt;&gt;0,VLOOKUP($I4221&amp;RIGHT($A4228,1),Players!$A$2:$D$132,3),"")</f>
        <v/>
      </c>
      <c r="H4228" s="225"/>
      <c r="I4228" s="225"/>
      <c r="J4228" s="168" t="str">
        <f>IF(VLOOKUP($I4221&amp;RIGHT($A4228,1),Players!$A$2:$D$132,3)&lt;&gt;0,"("&amp;VLOOKUP($I4221&amp;RIGHT($A4228,1),Players!$A$2:$D$132,4)&amp;")","")</f>
        <v/>
      </c>
    </row>
    <row r="4229" spans="1:10" ht="25.5" customHeight="1" x14ac:dyDescent="0.4">
      <c r="A4229" s="37" t="str">
        <f>CONCATENATE($D4221,"2")</f>
        <v>F2</v>
      </c>
      <c r="B4229" s="222" t="str">
        <f>IF(VLOOKUP($A4229,Players!$A$2:$C$132,3)&lt;&gt;0,VLOOKUP($A4229,Players!$A$2:$C$132,3),"")</f>
        <v/>
      </c>
      <c r="C4229" s="222"/>
      <c r="D4229" s="222"/>
      <c r="E4229" s="222"/>
      <c r="F4229" s="222"/>
      <c r="G4229" s="225" t="str">
        <f>IF(VLOOKUP($I4221&amp;RIGHT($A4229,1),Players!$A$2:$D$132,3)&lt;&gt;0,VLOOKUP($I4221&amp;RIGHT($A4229,1),Players!$A$2:$D$132,3),"")</f>
        <v/>
      </c>
      <c r="H4229" s="225"/>
      <c r="I4229" s="225"/>
      <c r="J4229" s="168" t="str">
        <f>IF(VLOOKUP($I4221&amp;RIGHT($A4229,1),Players!$A$2:$D$132,3)&lt;&gt;0,"("&amp;VLOOKUP($I4221&amp;RIGHT($A4229,1),Players!$A$2:$D$132,4)&amp;")","")</f>
        <v/>
      </c>
    </row>
    <row r="4230" spans="1:10" ht="25.5" customHeight="1" x14ac:dyDescent="0.4">
      <c r="A4230" s="37" t="str">
        <f>CONCATENATE($D4221,"3")</f>
        <v>F3</v>
      </c>
      <c r="B4230" s="222" t="str">
        <f>IF(VLOOKUP($A4230,Players!$A$2:$C$132,3)&lt;&gt;0,VLOOKUP($A4230,Players!$A$2:$C$132,3),"")</f>
        <v/>
      </c>
      <c r="C4230" s="222"/>
      <c r="D4230" s="222"/>
      <c r="E4230" s="222"/>
      <c r="F4230" s="222"/>
      <c r="G4230" s="225" t="str">
        <f>IF(VLOOKUP($I4221&amp;RIGHT($A4230,1),Players!$A$2:$D$132,3)&lt;&gt;0,VLOOKUP($I4221&amp;RIGHT($A4230,1),Players!$A$2:$D$132,3),"")</f>
        <v/>
      </c>
      <c r="H4230" s="225"/>
      <c r="I4230" s="225"/>
      <c r="J4230" s="168" t="str">
        <f>IF(VLOOKUP($I4221&amp;RIGHT($A4230,1),Players!$A$2:$D$132,3)&lt;&gt;0,"("&amp;VLOOKUP($I4221&amp;RIGHT($A4230,1),Players!$A$2:$D$132,4)&amp;")","")</f>
        <v/>
      </c>
    </row>
    <row r="4231" spans="1:10" ht="25.5" customHeight="1" x14ac:dyDescent="0.4">
      <c r="A4231" s="37" t="str">
        <f>CONCATENATE($D4221,"4")</f>
        <v>F4</v>
      </c>
      <c r="B4231" s="222" t="str">
        <f>IF(VLOOKUP($A4231,Players!$A$2:$C$132,3)&lt;&gt;0,VLOOKUP($A4231,Players!$A$2:$C$132,3),"")</f>
        <v/>
      </c>
      <c r="C4231" s="222"/>
      <c r="D4231" s="222"/>
      <c r="E4231" s="222"/>
      <c r="F4231" s="222"/>
      <c r="G4231" s="225" t="str">
        <f>IF(VLOOKUP($I4221&amp;RIGHT($A4231,1),Players!$A$2:$D$132,3)&lt;&gt;0,VLOOKUP($I4221&amp;RIGHT($A4231,1),Players!$A$2:$D$132,3),"")</f>
        <v/>
      </c>
      <c r="H4231" s="225"/>
      <c r="I4231" s="225"/>
      <c r="J4231" s="168" t="str">
        <f>IF(VLOOKUP($I4221&amp;RIGHT($A4231,1),Players!$A$2:$D$132,3)&lt;&gt;0,"("&amp;VLOOKUP($I4221&amp;RIGHT($A4231,1),Players!$A$2:$D$132,4)&amp;")","")</f>
        <v/>
      </c>
    </row>
    <row r="4232" spans="1:10" ht="25.5" customHeight="1" x14ac:dyDescent="0.4">
      <c r="A4232" s="37" t="str">
        <f>CONCATENATE($D4221,"5")</f>
        <v>F5</v>
      </c>
      <c r="B4232" s="222" t="str">
        <f>IF(VLOOKUP($A4232,Players!$A$2:$C$132,3)&lt;&gt;0,VLOOKUP($A4232,Players!$A$2:$C$132,3),"")</f>
        <v/>
      </c>
      <c r="C4232" s="222"/>
      <c r="D4232" s="222"/>
      <c r="E4232" s="222"/>
      <c r="F4232" s="222"/>
      <c r="G4232" s="225" t="str">
        <f>IF(VLOOKUP($I4221&amp;RIGHT($A4232,1),Players!$A$2:$D$132,3)&lt;&gt;0,VLOOKUP($I4221&amp;RIGHT($A4232,1),Players!$A$2:$D$132,3),"")</f>
        <v/>
      </c>
      <c r="H4232" s="225"/>
      <c r="I4232" s="225"/>
      <c r="J4232" s="168" t="str">
        <f>IF(VLOOKUP($I4221&amp;RIGHT($A4232,1),Players!$A$2:$D$132,3)&lt;&gt;0,"("&amp;VLOOKUP($I4221&amp;RIGHT($A4232,1),Players!$A$2:$D$132,4)&amp;")","")</f>
        <v/>
      </c>
    </row>
    <row r="4233" spans="1:10" ht="25.5" customHeight="1" x14ac:dyDescent="0.4">
      <c r="A4233" s="37" t="str">
        <f>CONCATENATE($D4221,"6")</f>
        <v>F6</v>
      </c>
      <c r="B4233" s="222" t="str">
        <f>IF(VLOOKUP($A4233,Players!$A$2:$C$132,3)&lt;&gt;0,VLOOKUP($A4233,Players!$A$2:$C$132,3),"")</f>
        <v/>
      </c>
      <c r="C4233" s="222"/>
      <c r="D4233" s="222"/>
      <c r="E4233" s="222"/>
      <c r="F4233" s="222"/>
      <c r="G4233" s="225" t="str">
        <f>IF(VLOOKUP($I4221&amp;RIGHT($A4233,1),Players!$A$2:$D$132,3)&lt;&gt;0,VLOOKUP($I4221&amp;RIGHT($A4233,1),Players!$A$2:$D$132,3),"")</f>
        <v/>
      </c>
      <c r="H4233" s="225"/>
      <c r="I4233" s="225"/>
      <c r="J4233" s="168" t="str">
        <f>IF(VLOOKUP($I4221&amp;RIGHT($A4233,1),Players!$A$2:$D$132,3)&lt;&gt;0,"("&amp;VLOOKUP($I4221&amp;RIGHT($A4233,1),Players!$A$2:$D$132,4)&amp;")","")</f>
        <v/>
      </c>
    </row>
    <row r="4234" spans="1:10" ht="25.5" customHeight="1" x14ac:dyDescent="0.4">
      <c r="A4234" s="37" t="str">
        <f>CONCATENATE($D4221,"7")</f>
        <v>F7</v>
      </c>
      <c r="B4234" s="222" t="str">
        <f>IF(VLOOKUP($A4234,Players!$A$2:$C$132,3)&lt;&gt;0,VLOOKUP($A4234,Players!$A$2:$C$132,3),"")</f>
        <v/>
      </c>
      <c r="C4234" s="222"/>
      <c r="D4234" s="222"/>
      <c r="E4234" s="222"/>
      <c r="F4234" s="222"/>
      <c r="G4234" s="225" t="str">
        <f>IF(VLOOKUP($I4221&amp;RIGHT($A4234,1),Players!$A$2:$D$132,3)&lt;&gt;0,VLOOKUP($I4221&amp;RIGHT($A4234,1),Players!$A$2:$D$132,3),"")</f>
        <v/>
      </c>
      <c r="H4234" s="225"/>
      <c r="I4234" s="225"/>
      <c r="J4234" s="168" t="str">
        <f>IF(VLOOKUP($I4221&amp;RIGHT($A4234,1),Players!$A$2:$D$132,3)&lt;&gt;0,"("&amp;VLOOKUP($I4221&amp;RIGHT($A4234,1),Players!$A$2:$D$132,4)&amp;")","")</f>
        <v/>
      </c>
    </row>
    <row r="4235" spans="1:10" ht="25.5" customHeight="1" x14ac:dyDescent="0.4">
      <c r="A4235" s="37" t="str">
        <f>CONCATENATE($D4221,"8")</f>
        <v>F8</v>
      </c>
      <c r="B4235" s="222" t="str">
        <f>IF(VLOOKUP($A4235,Players!$A$2:$C$132,3)&lt;&gt;0,VLOOKUP($A4235,Players!$A$2:$C$132,3),"")</f>
        <v/>
      </c>
      <c r="C4235" s="222"/>
      <c r="D4235" s="222"/>
      <c r="E4235" s="222"/>
      <c r="F4235" s="222"/>
      <c r="G4235" s="225" t="str">
        <f>IF(VLOOKUP($I4221&amp;RIGHT($A4235,1),Players!$A$2:$D$132,3)&lt;&gt;0,VLOOKUP($I4221&amp;RIGHT($A4235,1),Players!$A$2:$D$132,3),"")</f>
        <v/>
      </c>
      <c r="H4235" s="225"/>
      <c r="I4235" s="225"/>
      <c r="J4235" s="168" t="str">
        <f>IF(VLOOKUP($I4221&amp;RIGHT($A4235,1),Players!$A$2:$D$132,3)&lt;&gt;0,"("&amp;VLOOKUP($I4221&amp;RIGHT($A4235,1),Players!$A$2:$D$132,4)&amp;")","")</f>
        <v/>
      </c>
    </row>
    <row r="4236" spans="1:10" ht="25.5" customHeight="1" x14ac:dyDescent="0.25">
      <c r="A4236" s="37"/>
      <c r="B4236" s="7"/>
      <c r="C4236" s="7"/>
      <c r="D4236" s="7"/>
      <c r="E4236" s="7"/>
    </row>
    <row r="4237" spans="1:10" x14ac:dyDescent="0.25">
      <c r="A4237" s="9" t="s">
        <v>157</v>
      </c>
    </row>
    <row r="4238" spans="1:10" x14ac:dyDescent="0.25">
      <c r="A4238" t="s">
        <v>179</v>
      </c>
    </row>
    <row r="4239" spans="1:10" x14ac:dyDescent="0.25">
      <c r="A4239" s="55" t="s">
        <v>918</v>
      </c>
    </row>
    <row r="4240" spans="1:10" x14ac:dyDescent="0.25">
      <c r="A4240" t="s">
        <v>919</v>
      </c>
    </row>
    <row r="4241" spans="1:10" ht="25.5" customHeight="1" thickBot="1" x14ac:dyDescent="0.3">
      <c r="A4241" s="37"/>
    </row>
    <row r="4242" spans="1:10" x14ac:dyDescent="0.25">
      <c r="B4242" s="213"/>
      <c r="C4242" s="214"/>
      <c r="D4242" s="214"/>
      <c r="E4242" s="214"/>
      <c r="F4242" s="215"/>
    </row>
    <row r="4243" spans="1:10" ht="13.8" thickBot="1" x14ac:dyDescent="0.3">
      <c r="B4243" s="216"/>
      <c r="C4243" s="217"/>
      <c r="D4243" s="217"/>
      <c r="E4243" s="217"/>
      <c r="F4243" s="218"/>
    </row>
    <row r="4247" spans="1:10" ht="25.5" customHeight="1" x14ac:dyDescent="0.25">
      <c r="A4247" s="36"/>
      <c r="B4247" s="36"/>
      <c r="C4247" s="36"/>
      <c r="D4247" s="36"/>
      <c r="E4247" s="36"/>
      <c r="G4247" s="38"/>
      <c r="H4247" s="227" t="s">
        <v>159</v>
      </c>
      <c r="I4247" s="228"/>
    </row>
    <row r="4248" spans="1:10" x14ac:dyDescent="0.25">
      <c r="A4248" t="s">
        <v>158</v>
      </c>
    </row>
    <row r="4250" spans="1:10" x14ac:dyDescent="0.25">
      <c r="E4250" s="219" t="str">
        <f>CONCATENATE("(",$D4221," vs ",$I4221,")")</f>
        <v>(F vs J)</v>
      </c>
      <c r="F4250" s="219"/>
    </row>
    <row r="4251" spans="1:10" ht="15.6" x14ac:dyDescent="0.3">
      <c r="A4251" s="33" t="s">
        <v>155</v>
      </c>
      <c r="J4251" s="82" t="s">
        <v>596</v>
      </c>
    </row>
    <row r="4252" spans="1:10" ht="12.75" customHeight="1" x14ac:dyDescent="0.3">
      <c r="A4252" s="33"/>
      <c r="G4252" t="str">
        <f ca="1">Team_Matches!$J$6</f>
        <v>[NCTTA Teams Template (v3.4).xlsx]</v>
      </c>
      <c r="J4252" s="55"/>
    </row>
    <row r="4253" spans="1:10" ht="12.75" customHeight="1" x14ac:dyDescent="0.3">
      <c r="A4253" s="33"/>
      <c r="G4253" s="229" t="str">
        <f>Team_Matches!$J3169</f>
        <v>Round 11, Match 3</v>
      </c>
      <c r="H4253" s="229"/>
      <c r="I4253" s="127" t="str">
        <f>Team_Matches!$M3169</f>
        <v/>
      </c>
      <c r="J4253" s="127"/>
    </row>
    <row r="4254" spans="1:10" ht="15.6" x14ac:dyDescent="0.3">
      <c r="A4254" s="33"/>
    </row>
    <row r="4255" spans="1:10" x14ac:dyDescent="0.25">
      <c r="C4255" s="7" t="s">
        <v>160</v>
      </c>
      <c r="D4255" s="39" t="str">
        <f>Team_Matches!$B3171</f>
        <v>F</v>
      </c>
      <c r="F4255" s="83" t="str">
        <f>CONCATENATE($D4255,"-",$I4255)</f>
        <v>F-J</v>
      </c>
      <c r="H4255" s="7" t="s">
        <v>160</v>
      </c>
      <c r="I4255" s="3" t="str">
        <f>Team_Matches!$K3171</f>
        <v>J</v>
      </c>
    </row>
    <row r="4256" spans="1:10" ht="25.5" customHeight="1" x14ac:dyDescent="0.25">
      <c r="A4256" s="34"/>
      <c r="B4256" s="223" t="str">
        <f>IF(VLOOKUP($D4255,Draw!$A$4:$B$27,2)&lt;&gt;0,VLOOKUP($D4255,Draw!$A$4:$B$27,2),"")</f>
        <v/>
      </c>
      <c r="C4256" s="223"/>
      <c r="D4256" s="223"/>
      <c r="E4256" s="224"/>
      <c r="F4256" s="35"/>
      <c r="G4256" s="220" t="str">
        <f>IF(VLOOKUP($I4255,Draw!$A$4:$B$27,2)&lt;&gt;0,VLOOKUP($I4255,Draw!$A$4:$B$27,2),"")</f>
        <v/>
      </c>
      <c r="H4256" s="220"/>
      <c r="I4256" s="220"/>
      <c r="J4256" s="221"/>
    </row>
    <row r="4257" spans="1:10" ht="25.5" customHeight="1" x14ac:dyDescent="0.25"/>
    <row r="4258" spans="1:10" ht="25.5" customHeight="1" x14ac:dyDescent="0.25"/>
    <row r="4259" spans="1:10" ht="24" customHeight="1" x14ac:dyDescent="0.25">
      <c r="A4259" s="9" t="s">
        <v>178</v>
      </c>
    </row>
    <row r="4260" spans="1:10" ht="24" customHeight="1" x14ac:dyDescent="0.25">
      <c r="A4260" s="9"/>
    </row>
    <row r="4261" spans="1:10" x14ac:dyDescent="0.25">
      <c r="A4261" s="9" t="s">
        <v>156</v>
      </c>
      <c r="G4261" s="226" t="s">
        <v>873</v>
      </c>
      <c r="H4261" s="226"/>
      <c r="I4261" s="226"/>
      <c r="J4261" s="226"/>
    </row>
    <row r="4262" spans="1:10" ht="24" customHeight="1" x14ac:dyDescent="0.4">
      <c r="A4262" s="37" t="str">
        <f>CONCATENATE($I4255,"1")</f>
        <v>J1</v>
      </c>
      <c r="B4262" s="222" t="str">
        <f>IF(VLOOKUP($A4262,Players!$A$2:$C$132,3)&lt;&gt;0,VLOOKUP($A4262,Players!$A$2:$C$132,3),"")</f>
        <v/>
      </c>
      <c r="C4262" s="222"/>
      <c r="D4262" s="222"/>
      <c r="E4262" s="222"/>
      <c r="F4262" s="222"/>
      <c r="G4262" s="225" t="str">
        <f>IF(VLOOKUP($D4255&amp;RIGHT($A4262,1),Players!$A$2:$D$132,3)&lt;&gt;0,VLOOKUP($D4255&amp;RIGHT($A4262,1),Players!$A$2:$D$132,3),"")</f>
        <v/>
      </c>
      <c r="H4262" s="225"/>
      <c r="I4262" s="225"/>
      <c r="J4262" s="168" t="str">
        <f>IF(VLOOKUP($D4255&amp;RIGHT($A4262,1),Players!$A$2:$D$132,3)&lt;&gt;0,"("&amp;VLOOKUP($D4255&amp;RIGHT($A4262,1),Players!$A$2:$D$132,4)&amp;")","")</f>
        <v/>
      </c>
    </row>
    <row r="4263" spans="1:10" ht="25.5" customHeight="1" x14ac:dyDescent="0.4">
      <c r="A4263" s="37" t="str">
        <f>CONCATENATE($I4255,"2")</f>
        <v>J2</v>
      </c>
      <c r="B4263" s="222" t="str">
        <f>IF(VLOOKUP($A4263,Players!$A$2:$C$132,3)&lt;&gt;0,VLOOKUP($A4263,Players!$A$2:$C$132,3),"")</f>
        <v/>
      </c>
      <c r="C4263" s="222"/>
      <c r="D4263" s="222"/>
      <c r="E4263" s="222"/>
      <c r="F4263" s="222"/>
      <c r="G4263" s="225" t="str">
        <f>IF(VLOOKUP($D4255&amp;RIGHT($A4263,1),Players!$A$2:$D$132,3)&lt;&gt;0,VLOOKUP($D4255&amp;RIGHT($A4263,1),Players!$A$2:$D$132,3),"")</f>
        <v/>
      </c>
      <c r="H4263" s="225"/>
      <c r="I4263" s="225"/>
      <c r="J4263" s="168" t="str">
        <f>IF(VLOOKUP($D4255&amp;RIGHT($A4263,1),Players!$A$2:$D$132,3)&lt;&gt;0,"("&amp;VLOOKUP($D4255&amp;RIGHT($A4263,1),Players!$A$2:$D$132,4)&amp;")","")</f>
        <v/>
      </c>
    </row>
    <row r="4264" spans="1:10" ht="25.5" customHeight="1" x14ac:dyDescent="0.4">
      <c r="A4264" s="37" t="str">
        <f>CONCATENATE($I4255,"3")</f>
        <v>J3</v>
      </c>
      <c r="B4264" s="222" t="str">
        <f>IF(VLOOKUP($A4264,Players!$A$2:$C$132,3)&lt;&gt;0,VLOOKUP($A4264,Players!$A$2:$C$132,3),"")</f>
        <v/>
      </c>
      <c r="C4264" s="222"/>
      <c r="D4264" s="222"/>
      <c r="E4264" s="222"/>
      <c r="F4264" s="222"/>
      <c r="G4264" s="225" t="str">
        <f>IF(VLOOKUP($D4255&amp;RIGHT($A4264,1),Players!$A$2:$D$132,3)&lt;&gt;0,VLOOKUP($D4255&amp;RIGHT($A4264,1),Players!$A$2:$D$132,3),"")</f>
        <v/>
      </c>
      <c r="H4264" s="225"/>
      <c r="I4264" s="225"/>
      <c r="J4264" s="168" t="str">
        <f>IF(VLOOKUP($D4255&amp;RIGHT($A4264,1),Players!$A$2:$D$132,3)&lt;&gt;0,"("&amp;VLOOKUP($D4255&amp;RIGHT($A4264,1),Players!$A$2:$D$132,4)&amp;")","")</f>
        <v/>
      </c>
    </row>
    <row r="4265" spans="1:10" ht="25.5" customHeight="1" x14ac:dyDescent="0.4">
      <c r="A4265" s="37" t="str">
        <f>CONCATENATE($I4255,"4")</f>
        <v>J4</v>
      </c>
      <c r="B4265" s="222" t="str">
        <f>IF(VLOOKUP($A4265,Players!$A$2:$C$132,3)&lt;&gt;0,VLOOKUP($A4265,Players!$A$2:$C$132,3),"")</f>
        <v/>
      </c>
      <c r="C4265" s="222"/>
      <c r="D4265" s="222"/>
      <c r="E4265" s="222"/>
      <c r="F4265" s="222"/>
      <c r="G4265" s="225" t="str">
        <f>IF(VLOOKUP($D4255&amp;RIGHT($A4265,1),Players!$A$2:$D$132,3)&lt;&gt;0,VLOOKUP($D4255&amp;RIGHT($A4265,1),Players!$A$2:$D$132,3),"")</f>
        <v/>
      </c>
      <c r="H4265" s="225"/>
      <c r="I4265" s="225"/>
      <c r="J4265" s="168" t="str">
        <f>IF(VLOOKUP($D4255&amp;RIGHT($A4265,1),Players!$A$2:$D$132,3)&lt;&gt;0,"("&amp;VLOOKUP($D4255&amp;RIGHT($A4265,1),Players!$A$2:$D$132,4)&amp;")","")</f>
        <v/>
      </c>
    </row>
    <row r="4266" spans="1:10" ht="25.5" customHeight="1" x14ac:dyDescent="0.4">
      <c r="A4266" s="37" t="str">
        <f>CONCATENATE($I4255,"5")</f>
        <v>J5</v>
      </c>
      <c r="B4266" s="222" t="str">
        <f>IF(VLOOKUP($A4266,Players!$A$2:$C$132,3)&lt;&gt;0,VLOOKUP($A4266,Players!$A$2:$C$132,3),"")</f>
        <v/>
      </c>
      <c r="C4266" s="222"/>
      <c r="D4266" s="222"/>
      <c r="E4266" s="222"/>
      <c r="F4266" s="222"/>
      <c r="G4266" s="225" t="str">
        <f>IF(VLOOKUP($D4255&amp;RIGHT($A4266,1),Players!$A$2:$D$132,3)&lt;&gt;0,VLOOKUP($D4255&amp;RIGHT($A4266,1),Players!$A$2:$D$132,3),"")</f>
        <v/>
      </c>
      <c r="H4266" s="225"/>
      <c r="I4266" s="225"/>
      <c r="J4266" s="168" t="str">
        <f>IF(VLOOKUP($D4255&amp;RIGHT($A4266,1),Players!$A$2:$D$132,3)&lt;&gt;0,"("&amp;VLOOKUP($D4255&amp;RIGHT($A4266,1),Players!$A$2:$D$132,4)&amp;")","")</f>
        <v/>
      </c>
    </row>
    <row r="4267" spans="1:10" ht="25.5" customHeight="1" x14ac:dyDescent="0.4">
      <c r="A4267" s="37" t="str">
        <f>CONCATENATE($I4255,"6")</f>
        <v>J6</v>
      </c>
      <c r="B4267" s="222" t="str">
        <f>IF(VLOOKUP($A4267,Players!$A$2:$C$132,3)&lt;&gt;0,VLOOKUP($A4267,Players!$A$2:$C$132,3),"")</f>
        <v/>
      </c>
      <c r="C4267" s="222"/>
      <c r="D4267" s="222"/>
      <c r="E4267" s="222"/>
      <c r="F4267" s="222"/>
      <c r="G4267" s="225" t="str">
        <f>IF(VLOOKUP($D4255&amp;RIGHT($A4267,1),Players!$A$2:$D$132,3)&lt;&gt;0,VLOOKUP($D4255&amp;RIGHT($A4267,1),Players!$A$2:$D$132,3),"")</f>
        <v/>
      </c>
      <c r="H4267" s="225"/>
      <c r="I4267" s="225"/>
      <c r="J4267" s="168" t="str">
        <f>IF(VLOOKUP($D4255&amp;RIGHT($A4267,1),Players!$A$2:$D$132,3)&lt;&gt;0,"("&amp;VLOOKUP($D4255&amp;RIGHT($A4267,1),Players!$A$2:$D$132,4)&amp;")","")</f>
        <v/>
      </c>
    </row>
    <row r="4268" spans="1:10" ht="25.5" customHeight="1" x14ac:dyDescent="0.4">
      <c r="A4268" s="37" t="str">
        <f>CONCATENATE($I4255,"7")</f>
        <v>J7</v>
      </c>
      <c r="B4268" s="222" t="str">
        <f>IF(VLOOKUP($A4268,Players!$A$2:$C$132,3)&lt;&gt;0,VLOOKUP($A4268,Players!$A$2:$C$132,3),"")</f>
        <v/>
      </c>
      <c r="C4268" s="222"/>
      <c r="D4268" s="222"/>
      <c r="E4268" s="222"/>
      <c r="F4268" s="222"/>
      <c r="G4268" s="225" t="str">
        <f>IF(VLOOKUP($D4255&amp;RIGHT($A4268,1),Players!$A$2:$D$132,3)&lt;&gt;0,VLOOKUP($D4255&amp;RIGHT($A4268,1),Players!$A$2:$D$132,3),"")</f>
        <v/>
      </c>
      <c r="H4268" s="225"/>
      <c r="I4268" s="225"/>
      <c r="J4268" s="168" t="str">
        <f>IF(VLOOKUP($D4255&amp;RIGHT($A4268,1),Players!$A$2:$D$132,3)&lt;&gt;0,"("&amp;VLOOKUP($D4255&amp;RIGHT($A4268,1),Players!$A$2:$D$132,4)&amp;")","")</f>
        <v/>
      </c>
    </row>
    <row r="4269" spans="1:10" ht="25.5" customHeight="1" x14ac:dyDescent="0.4">
      <c r="A4269" s="37" t="str">
        <f>CONCATENATE($I4255,"8")</f>
        <v>J8</v>
      </c>
      <c r="B4269" s="222" t="str">
        <f>IF(VLOOKUP($A4269,Players!$A$2:$C$132,3)&lt;&gt;0,VLOOKUP($A4269,Players!$A$2:$C$132,3),"")</f>
        <v/>
      </c>
      <c r="C4269" s="222"/>
      <c r="D4269" s="222"/>
      <c r="E4269" s="222"/>
      <c r="F4269" s="222"/>
      <c r="G4269" s="225" t="str">
        <f>IF(VLOOKUP($D4255&amp;RIGHT($A4269,1),Players!$A$2:$D$132,3)&lt;&gt;0,VLOOKUP($D4255&amp;RIGHT($A4269,1),Players!$A$2:$D$132,3),"")</f>
        <v/>
      </c>
      <c r="H4269" s="225"/>
      <c r="I4269" s="225"/>
      <c r="J4269" s="168" t="str">
        <f>IF(VLOOKUP($D4255&amp;RIGHT($A4269,1),Players!$A$2:$D$132,3)&lt;&gt;0,"("&amp;VLOOKUP($D4255&amp;RIGHT($A4269,1),Players!$A$2:$D$132,4)&amp;")","")</f>
        <v/>
      </c>
    </row>
    <row r="4270" spans="1:10" ht="25.5" customHeight="1" x14ac:dyDescent="0.25">
      <c r="A4270" s="37"/>
      <c r="B4270" s="7"/>
      <c r="C4270" s="7"/>
      <c r="D4270" s="7"/>
      <c r="E4270" s="7"/>
    </row>
    <row r="4271" spans="1:10" x14ac:dyDescent="0.25">
      <c r="A4271" s="9" t="s">
        <v>157</v>
      </c>
    </row>
    <row r="4272" spans="1:10" x14ac:dyDescent="0.25">
      <c r="A4272" t="s">
        <v>179</v>
      </c>
    </row>
    <row r="4273" spans="1:10" x14ac:dyDescent="0.25">
      <c r="A4273" s="55" t="s">
        <v>918</v>
      </c>
    </row>
    <row r="4274" spans="1:10" x14ac:dyDescent="0.25">
      <c r="A4274" t="s">
        <v>919</v>
      </c>
    </row>
    <row r="4275" spans="1:10" ht="25.5" customHeight="1" thickBot="1" x14ac:dyDescent="0.3">
      <c r="A4275" s="37"/>
    </row>
    <row r="4276" spans="1:10" x14ac:dyDescent="0.25">
      <c r="B4276" s="213"/>
      <c r="C4276" s="214"/>
      <c r="D4276" s="214"/>
      <c r="E4276" s="214"/>
      <c r="F4276" s="215"/>
    </row>
    <row r="4277" spans="1:10" ht="13.8" thickBot="1" x14ac:dyDescent="0.3">
      <c r="B4277" s="216"/>
      <c r="C4277" s="217"/>
      <c r="D4277" s="217"/>
      <c r="E4277" s="217"/>
      <c r="F4277" s="218"/>
    </row>
    <row r="4281" spans="1:10" ht="25.5" customHeight="1" x14ac:dyDescent="0.25">
      <c r="A4281" s="36"/>
      <c r="B4281" s="36"/>
      <c r="C4281" s="36"/>
      <c r="D4281" s="36"/>
      <c r="E4281" s="36"/>
      <c r="G4281" s="38"/>
      <c r="H4281" s="227" t="s">
        <v>159</v>
      </c>
      <c r="I4281" s="228"/>
    </row>
    <row r="4282" spans="1:10" x14ac:dyDescent="0.25">
      <c r="A4282" t="s">
        <v>158</v>
      </c>
    </row>
    <row r="4284" spans="1:10" x14ac:dyDescent="0.25">
      <c r="E4284" s="219" t="str">
        <f>CONCATENATE("(",$D4255," vs ",$I4255,")")</f>
        <v>(F vs J)</v>
      </c>
      <c r="F4284" s="219"/>
    </row>
    <row r="4285" spans="1:10" ht="15.6" x14ac:dyDescent="0.3">
      <c r="A4285" s="33" t="s">
        <v>155</v>
      </c>
      <c r="J4285" s="82" t="s">
        <v>597</v>
      </c>
    </row>
    <row r="4286" spans="1:10" ht="12.75" customHeight="1" x14ac:dyDescent="0.3">
      <c r="A4286" s="33"/>
      <c r="G4286" t="str">
        <f ca="1">Team_Matches!$J$6</f>
        <v>[NCTTA Teams Template (v3.4).xlsx]</v>
      </c>
      <c r="J4286" s="55"/>
    </row>
    <row r="4287" spans="1:10" ht="12.75" customHeight="1" x14ac:dyDescent="0.3">
      <c r="A4287" s="33"/>
      <c r="G4287" s="229" t="str">
        <f>Team_Matches!$J3220</f>
        <v>Round 11, Match 4</v>
      </c>
      <c r="H4287" s="229"/>
      <c r="I4287" s="127" t="str">
        <f>Team_Matches!$M3220</f>
        <v/>
      </c>
      <c r="J4287" s="127"/>
    </row>
    <row r="4288" spans="1:10" ht="15.6" x14ac:dyDescent="0.3">
      <c r="A4288" s="33"/>
    </row>
    <row r="4289" spans="1:10" x14ac:dyDescent="0.25">
      <c r="C4289" s="7" t="s">
        <v>160</v>
      </c>
      <c r="D4289" s="39" t="str">
        <f>Team_Matches!$B3222</f>
        <v>E</v>
      </c>
      <c r="F4289" s="83" t="str">
        <f>CONCATENATE($D4289,"-",$I4289)</f>
        <v>E-K</v>
      </c>
      <c r="H4289" s="7" t="s">
        <v>160</v>
      </c>
      <c r="I4289" s="39" t="str">
        <f>Team_Matches!$K3222</f>
        <v>K</v>
      </c>
    </row>
    <row r="4290" spans="1:10" ht="25.5" customHeight="1" x14ac:dyDescent="0.25">
      <c r="A4290" s="34"/>
      <c r="B4290" s="220" t="str">
        <f>IF(VLOOKUP($D4289,Draw!$A$4:$B$27,2)&lt;&gt;0,VLOOKUP($D4289,Draw!$A$4:$B$27,2),"")</f>
        <v/>
      </c>
      <c r="C4290" s="220"/>
      <c r="D4290" s="220"/>
      <c r="E4290" s="221"/>
      <c r="F4290" s="35"/>
      <c r="G4290" s="223" t="str">
        <f>IF(VLOOKUP($I4289,Draw!$A$4:$B$27,2)&lt;&gt;0,VLOOKUP($I4289,Draw!$A$4:$B$27,2),"")</f>
        <v/>
      </c>
      <c r="H4290" s="223"/>
      <c r="I4290" s="223"/>
      <c r="J4290" s="224"/>
    </row>
    <row r="4291" spans="1:10" ht="25.5" customHeight="1" x14ac:dyDescent="0.25"/>
    <row r="4292" spans="1:10" ht="25.5" customHeight="1" x14ac:dyDescent="0.25"/>
    <row r="4293" spans="1:10" ht="24" customHeight="1" x14ac:dyDescent="0.25">
      <c r="A4293" s="9" t="s">
        <v>178</v>
      </c>
    </row>
    <row r="4294" spans="1:10" ht="24" customHeight="1" x14ac:dyDescent="0.25">
      <c r="A4294" s="9"/>
    </row>
    <row r="4295" spans="1:10" x14ac:dyDescent="0.25">
      <c r="A4295" s="9" t="s">
        <v>156</v>
      </c>
      <c r="G4295" s="226" t="s">
        <v>873</v>
      </c>
      <c r="H4295" s="226"/>
      <c r="I4295" s="226"/>
      <c r="J4295" s="226"/>
    </row>
    <row r="4296" spans="1:10" ht="24" customHeight="1" x14ac:dyDescent="0.4">
      <c r="A4296" s="37" t="str">
        <f>CONCATENATE($D4289,"1")</f>
        <v>E1</v>
      </c>
      <c r="B4296" s="222" t="str">
        <f>IF(VLOOKUP($A4296,Players!$A$2:$C$132,3)&lt;&gt;0,VLOOKUP($A4296,Players!$A$2:$C$132,3),"")</f>
        <v/>
      </c>
      <c r="C4296" s="222"/>
      <c r="D4296" s="222"/>
      <c r="E4296" s="222"/>
      <c r="F4296" s="222"/>
      <c r="G4296" s="225" t="str">
        <f>IF(VLOOKUP($I4289&amp;RIGHT($A4296,1),Players!$A$2:$D$132,3)&lt;&gt;0,VLOOKUP($I4289&amp;RIGHT($A4296,1),Players!$A$2:$D$132,3),"")</f>
        <v/>
      </c>
      <c r="H4296" s="225"/>
      <c r="I4296" s="225"/>
      <c r="J4296" s="168" t="str">
        <f>IF(VLOOKUP($I4289&amp;RIGHT($A4296,1),Players!$A$2:$D$132,3)&lt;&gt;0,"("&amp;VLOOKUP($I4289&amp;RIGHT($A4296,1),Players!$A$2:$D$132,4)&amp;")","")</f>
        <v/>
      </c>
    </row>
    <row r="4297" spans="1:10" ht="25.5" customHeight="1" x14ac:dyDescent="0.4">
      <c r="A4297" s="37" t="str">
        <f>CONCATENATE($D4289,"2")</f>
        <v>E2</v>
      </c>
      <c r="B4297" s="222" t="str">
        <f>IF(VLOOKUP($A4297,Players!$A$2:$C$132,3)&lt;&gt;0,VLOOKUP($A4297,Players!$A$2:$C$132,3),"")</f>
        <v/>
      </c>
      <c r="C4297" s="222"/>
      <c r="D4297" s="222"/>
      <c r="E4297" s="222"/>
      <c r="F4297" s="222"/>
      <c r="G4297" s="225" t="str">
        <f>IF(VLOOKUP($I4289&amp;RIGHT($A4297,1),Players!$A$2:$D$132,3)&lt;&gt;0,VLOOKUP($I4289&amp;RIGHT($A4297,1),Players!$A$2:$D$132,3),"")</f>
        <v/>
      </c>
      <c r="H4297" s="225"/>
      <c r="I4297" s="225"/>
      <c r="J4297" s="168" t="str">
        <f>IF(VLOOKUP($I4289&amp;RIGHT($A4297,1),Players!$A$2:$D$132,3)&lt;&gt;0,"("&amp;VLOOKUP($I4289&amp;RIGHT($A4297,1),Players!$A$2:$D$132,4)&amp;")","")</f>
        <v/>
      </c>
    </row>
    <row r="4298" spans="1:10" ht="25.5" customHeight="1" x14ac:dyDescent="0.4">
      <c r="A4298" s="37" t="str">
        <f>CONCATENATE($D4289,"3")</f>
        <v>E3</v>
      </c>
      <c r="B4298" s="222" t="str">
        <f>IF(VLOOKUP($A4298,Players!$A$2:$C$132,3)&lt;&gt;0,VLOOKUP($A4298,Players!$A$2:$C$132,3),"")</f>
        <v/>
      </c>
      <c r="C4298" s="222"/>
      <c r="D4298" s="222"/>
      <c r="E4298" s="222"/>
      <c r="F4298" s="222"/>
      <c r="G4298" s="225" t="str">
        <f>IF(VLOOKUP($I4289&amp;RIGHT($A4298,1),Players!$A$2:$D$132,3)&lt;&gt;0,VLOOKUP($I4289&amp;RIGHT($A4298,1),Players!$A$2:$D$132,3),"")</f>
        <v/>
      </c>
      <c r="H4298" s="225"/>
      <c r="I4298" s="225"/>
      <c r="J4298" s="168" t="str">
        <f>IF(VLOOKUP($I4289&amp;RIGHT($A4298,1),Players!$A$2:$D$132,3)&lt;&gt;0,"("&amp;VLOOKUP($I4289&amp;RIGHT($A4298,1),Players!$A$2:$D$132,4)&amp;")","")</f>
        <v/>
      </c>
    </row>
    <row r="4299" spans="1:10" ht="25.5" customHeight="1" x14ac:dyDescent="0.4">
      <c r="A4299" s="37" t="str">
        <f>CONCATENATE($D4289,"4")</f>
        <v>E4</v>
      </c>
      <c r="B4299" s="222" t="str">
        <f>IF(VLOOKUP($A4299,Players!$A$2:$C$132,3)&lt;&gt;0,VLOOKUP($A4299,Players!$A$2:$C$132,3),"")</f>
        <v/>
      </c>
      <c r="C4299" s="222"/>
      <c r="D4299" s="222"/>
      <c r="E4299" s="222"/>
      <c r="F4299" s="222"/>
      <c r="G4299" s="225" t="str">
        <f>IF(VLOOKUP($I4289&amp;RIGHT($A4299,1),Players!$A$2:$D$132,3)&lt;&gt;0,VLOOKUP($I4289&amp;RIGHT($A4299,1),Players!$A$2:$D$132,3),"")</f>
        <v/>
      </c>
      <c r="H4299" s="225"/>
      <c r="I4299" s="225"/>
      <c r="J4299" s="168" t="str">
        <f>IF(VLOOKUP($I4289&amp;RIGHT($A4299,1),Players!$A$2:$D$132,3)&lt;&gt;0,"("&amp;VLOOKUP($I4289&amp;RIGHT($A4299,1),Players!$A$2:$D$132,4)&amp;")","")</f>
        <v/>
      </c>
    </row>
    <row r="4300" spans="1:10" ht="25.5" customHeight="1" x14ac:dyDescent="0.4">
      <c r="A4300" s="37" t="str">
        <f>CONCATENATE($D4289,"5")</f>
        <v>E5</v>
      </c>
      <c r="B4300" s="222" t="str">
        <f>IF(VLOOKUP($A4300,Players!$A$2:$C$132,3)&lt;&gt;0,VLOOKUP($A4300,Players!$A$2:$C$132,3),"")</f>
        <v/>
      </c>
      <c r="C4300" s="222"/>
      <c r="D4300" s="222"/>
      <c r="E4300" s="222"/>
      <c r="F4300" s="222"/>
      <c r="G4300" s="225" t="str">
        <f>IF(VLOOKUP($I4289&amp;RIGHT($A4300,1),Players!$A$2:$D$132,3)&lt;&gt;0,VLOOKUP($I4289&amp;RIGHT($A4300,1),Players!$A$2:$D$132,3),"")</f>
        <v/>
      </c>
      <c r="H4300" s="225"/>
      <c r="I4300" s="225"/>
      <c r="J4300" s="168" t="str">
        <f>IF(VLOOKUP($I4289&amp;RIGHT($A4300,1),Players!$A$2:$D$132,3)&lt;&gt;0,"("&amp;VLOOKUP($I4289&amp;RIGHT($A4300,1),Players!$A$2:$D$132,4)&amp;")","")</f>
        <v/>
      </c>
    </row>
    <row r="4301" spans="1:10" ht="25.5" customHeight="1" x14ac:dyDescent="0.4">
      <c r="A4301" s="37" t="str">
        <f>CONCATENATE($D4289,"6")</f>
        <v>E6</v>
      </c>
      <c r="B4301" s="222" t="str">
        <f>IF(VLOOKUP($A4301,Players!$A$2:$C$132,3)&lt;&gt;0,VLOOKUP($A4301,Players!$A$2:$C$132,3),"")</f>
        <v/>
      </c>
      <c r="C4301" s="222"/>
      <c r="D4301" s="222"/>
      <c r="E4301" s="222"/>
      <c r="F4301" s="222"/>
      <c r="G4301" s="225" t="str">
        <f>IF(VLOOKUP($I4289&amp;RIGHT($A4301,1),Players!$A$2:$D$132,3)&lt;&gt;0,VLOOKUP($I4289&amp;RIGHT($A4301,1),Players!$A$2:$D$132,3),"")</f>
        <v/>
      </c>
      <c r="H4301" s="225"/>
      <c r="I4301" s="225"/>
      <c r="J4301" s="168" t="str">
        <f>IF(VLOOKUP($I4289&amp;RIGHT($A4301,1),Players!$A$2:$D$132,3)&lt;&gt;0,"("&amp;VLOOKUP($I4289&amp;RIGHT($A4301,1),Players!$A$2:$D$132,4)&amp;")","")</f>
        <v/>
      </c>
    </row>
    <row r="4302" spans="1:10" ht="25.5" customHeight="1" x14ac:dyDescent="0.4">
      <c r="A4302" s="37" t="str">
        <f>CONCATENATE($D4289,"7")</f>
        <v>E7</v>
      </c>
      <c r="B4302" s="222" t="str">
        <f>IF(VLOOKUP($A4302,Players!$A$2:$C$132,3)&lt;&gt;0,VLOOKUP($A4302,Players!$A$2:$C$132,3),"")</f>
        <v/>
      </c>
      <c r="C4302" s="222"/>
      <c r="D4302" s="222"/>
      <c r="E4302" s="222"/>
      <c r="F4302" s="222"/>
      <c r="G4302" s="225" t="str">
        <f>IF(VLOOKUP($I4289&amp;RIGHT($A4302,1),Players!$A$2:$D$132,3)&lt;&gt;0,VLOOKUP($I4289&amp;RIGHT($A4302,1),Players!$A$2:$D$132,3),"")</f>
        <v/>
      </c>
      <c r="H4302" s="225"/>
      <c r="I4302" s="225"/>
      <c r="J4302" s="168" t="str">
        <f>IF(VLOOKUP($I4289&amp;RIGHT($A4302,1),Players!$A$2:$D$132,3)&lt;&gt;0,"("&amp;VLOOKUP($I4289&amp;RIGHT($A4302,1),Players!$A$2:$D$132,4)&amp;")","")</f>
        <v/>
      </c>
    </row>
    <row r="4303" spans="1:10" ht="25.5" customHeight="1" x14ac:dyDescent="0.4">
      <c r="A4303" s="37" t="str">
        <f>CONCATENATE($D4289,"8")</f>
        <v>E8</v>
      </c>
      <c r="B4303" s="222" t="str">
        <f>IF(VLOOKUP($A4303,Players!$A$2:$C$132,3)&lt;&gt;0,VLOOKUP($A4303,Players!$A$2:$C$132,3),"")</f>
        <v/>
      </c>
      <c r="C4303" s="222"/>
      <c r="D4303" s="222"/>
      <c r="E4303" s="222"/>
      <c r="F4303" s="222"/>
      <c r="G4303" s="225" t="str">
        <f>IF(VLOOKUP($I4289&amp;RIGHT($A4303,1),Players!$A$2:$D$132,3)&lt;&gt;0,VLOOKUP($I4289&amp;RIGHT($A4303,1),Players!$A$2:$D$132,3),"")</f>
        <v/>
      </c>
      <c r="H4303" s="225"/>
      <c r="I4303" s="225"/>
      <c r="J4303" s="168" t="str">
        <f>IF(VLOOKUP($I4289&amp;RIGHT($A4303,1),Players!$A$2:$D$132,3)&lt;&gt;0,"("&amp;VLOOKUP($I4289&amp;RIGHT($A4303,1),Players!$A$2:$D$132,4)&amp;")","")</f>
        <v/>
      </c>
    </row>
    <row r="4304" spans="1:10" ht="25.5" customHeight="1" x14ac:dyDescent="0.25">
      <c r="A4304" s="37"/>
      <c r="B4304" s="7"/>
      <c r="C4304" s="7"/>
      <c r="D4304" s="7"/>
      <c r="E4304" s="7"/>
    </row>
    <row r="4305" spans="1:10" x14ac:dyDescent="0.25">
      <c r="A4305" s="9" t="s">
        <v>157</v>
      </c>
    </row>
    <row r="4306" spans="1:10" x14ac:dyDescent="0.25">
      <c r="A4306" t="s">
        <v>179</v>
      </c>
    </row>
    <row r="4307" spans="1:10" x14ac:dyDescent="0.25">
      <c r="A4307" s="55" t="s">
        <v>918</v>
      </c>
    </row>
    <row r="4308" spans="1:10" x14ac:dyDescent="0.25">
      <c r="A4308" t="s">
        <v>919</v>
      </c>
    </row>
    <row r="4309" spans="1:10" ht="25.5" customHeight="1" thickBot="1" x14ac:dyDescent="0.3">
      <c r="A4309" s="37"/>
    </row>
    <row r="4310" spans="1:10" x14ac:dyDescent="0.25">
      <c r="B4310" s="213"/>
      <c r="C4310" s="214"/>
      <c r="D4310" s="214"/>
      <c r="E4310" s="214"/>
      <c r="F4310" s="215"/>
    </row>
    <row r="4311" spans="1:10" ht="13.8" thickBot="1" x14ac:dyDescent="0.3">
      <c r="B4311" s="216"/>
      <c r="C4311" s="217"/>
      <c r="D4311" s="217"/>
      <c r="E4311" s="217"/>
      <c r="F4311" s="218"/>
    </row>
    <row r="4315" spans="1:10" ht="25.5" customHeight="1" x14ac:dyDescent="0.25">
      <c r="A4315" s="36"/>
      <c r="B4315" s="36"/>
      <c r="C4315" s="36"/>
      <c r="D4315" s="36"/>
      <c r="E4315" s="36"/>
      <c r="G4315" s="38"/>
      <c r="H4315" s="227" t="s">
        <v>159</v>
      </c>
      <c r="I4315" s="228"/>
    </row>
    <row r="4316" spans="1:10" x14ac:dyDescent="0.25">
      <c r="A4316" t="s">
        <v>158</v>
      </c>
    </row>
    <row r="4318" spans="1:10" x14ac:dyDescent="0.25">
      <c r="E4318" s="219" t="str">
        <f>CONCATENATE("(",$D4289," vs ",$I4289,")")</f>
        <v>(E vs K)</v>
      </c>
      <c r="F4318" s="219"/>
    </row>
    <row r="4319" spans="1:10" ht="15.6" x14ac:dyDescent="0.3">
      <c r="A4319" s="33" t="s">
        <v>155</v>
      </c>
      <c r="J4319" s="82" t="s">
        <v>598</v>
      </c>
    </row>
    <row r="4320" spans="1:10" ht="12.75" customHeight="1" x14ac:dyDescent="0.3">
      <c r="A4320" s="33"/>
      <c r="G4320" t="str">
        <f ca="1">Team_Matches!$J$6</f>
        <v>[NCTTA Teams Template (v3.4).xlsx]</v>
      </c>
      <c r="J4320" s="55"/>
    </row>
    <row r="4321" spans="1:10" ht="12.75" customHeight="1" x14ac:dyDescent="0.3">
      <c r="A4321" s="33"/>
      <c r="G4321" s="229" t="str">
        <f>Team_Matches!$J3220</f>
        <v>Round 11, Match 4</v>
      </c>
      <c r="H4321" s="229"/>
      <c r="I4321" s="127" t="str">
        <f>Team_Matches!$M3220</f>
        <v/>
      </c>
      <c r="J4321" s="127"/>
    </row>
    <row r="4322" spans="1:10" ht="15.6" x14ac:dyDescent="0.3">
      <c r="A4322" s="33"/>
    </row>
    <row r="4323" spans="1:10" x14ac:dyDescent="0.25">
      <c r="C4323" s="7" t="s">
        <v>160</v>
      </c>
      <c r="D4323" s="39" t="str">
        <f>Team_Matches!$B3222</f>
        <v>E</v>
      </c>
      <c r="F4323" s="83" t="str">
        <f>CONCATENATE($D4323,"-",$I4323)</f>
        <v>E-K</v>
      </c>
      <c r="H4323" s="7" t="s">
        <v>160</v>
      </c>
      <c r="I4323" s="39" t="str">
        <f>Team_Matches!$K3222</f>
        <v>K</v>
      </c>
    </row>
    <row r="4324" spans="1:10" ht="25.5" customHeight="1" x14ac:dyDescent="0.25">
      <c r="A4324" s="34"/>
      <c r="B4324" s="223" t="str">
        <f>IF(VLOOKUP($D4323,Draw!$A$4:$B$27,2)&lt;&gt;0,VLOOKUP($D4323,Draw!$A$4:$B$27,2),"")</f>
        <v/>
      </c>
      <c r="C4324" s="223"/>
      <c r="D4324" s="223"/>
      <c r="E4324" s="224"/>
      <c r="F4324" s="35"/>
      <c r="G4324" s="220" t="str">
        <f>IF(VLOOKUP($I4323,Draw!$A$4:$B$27,2)&lt;&gt;0,VLOOKUP($I4323,Draw!$A$4:$B$27,2),"")</f>
        <v/>
      </c>
      <c r="H4324" s="220"/>
      <c r="I4324" s="220"/>
      <c r="J4324" s="221"/>
    </row>
    <row r="4325" spans="1:10" ht="25.5" customHeight="1" x14ac:dyDescent="0.25"/>
    <row r="4326" spans="1:10" ht="25.5" customHeight="1" x14ac:dyDescent="0.25"/>
    <row r="4327" spans="1:10" ht="24" customHeight="1" x14ac:dyDescent="0.25">
      <c r="A4327" s="9" t="s">
        <v>178</v>
      </c>
    </row>
    <row r="4328" spans="1:10" ht="24" customHeight="1" x14ac:dyDescent="0.25">
      <c r="A4328" s="9"/>
    </row>
    <row r="4329" spans="1:10" x14ac:dyDescent="0.25">
      <c r="A4329" s="9" t="s">
        <v>156</v>
      </c>
      <c r="G4329" s="226" t="s">
        <v>873</v>
      </c>
      <c r="H4329" s="226"/>
      <c r="I4329" s="226"/>
      <c r="J4329" s="226"/>
    </row>
    <row r="4330" spans="1:10" ht="24" customHeight="1" x14ac:dyDescent="0.4">
      <c r="A4330" s="37" t="str">
        <f>CONCATENATE($I4323,"1")</f>
        <v>K1</v>
      </c>
      <c r="B4330" s="222" t="str">
        <f>IF(VLOOKUP($A4330,Players!$A$2:$C$132,3)&lt;&gt;0,VLOOKUP($A4330,Players!$A$2:$C$132,3),"")</f>
        <v/>
      </c>
      <c r="C4330" s="222"/>
      <c r="D4330" s="222"/>
      <c r="E4330" s="222"/>
      <c r="F4330" s="222"/>
      <c r="G4330" s="225" t="str">
        <f>IF(VLOOKUP($D4323&amp;RIGHT($A4330,1),Players!$A$2:$D$132,3)&lt;&gt;0,VLOOKUP($D4323&amp;RIGHT($A4330,1),Players!$A$2:$D$132,3),"")</f>
        <v/>
      </c>
      <c r="H4330" s="225"/>
      <c r="I4330" s="225"/>
      <c r="J4330" s="168" t="str">
        <f>IF(VLOOKUP($D4323&amp;RIGHT($A4330,1),Players!$A$2:$D$132,3)&lt;&gt;0,"("&amp;VLOOKUP($D4323&amp;RIGHT($A4330,1),Players!$A$2:$D$132,4)&amp;")","")</f>
        <v/>
      </c>
    </row>
    <row r="4331" spans="1:10" ht="25.5" customHeight="1" x14ac:dyDescent="0.4">
      <c r="A4331" s="37" t="str">
        <f>CONCATENATE($I4323,"2")</f>
        <v>K2</v>
      </c>
      <c r="B4331" s="222" t="str">
        <f>IF(VLOOKUP($A4331,Players!$A$2:$C$132,3)&lt;&gt;0,VLOOKUP($A4331,Players!$A$2:$C$132,3),"")</f>
        <v/>
      </c>
      <c r="C4331" s="222"/>
      <c r="D4331" s="222"/>
      <c r="E4331" s="222"/>
      <c r="F4331" s="222"/>
      <c r="G4331" s="225" t="str">
        <f>IF(VLOOKUP($D4323&amp;RIGHT($A4331,1),Players!$A$2:$D$132,3)&lt;&gt;0,VLOOKUP($D4323&amp;RIGHT($A4331,1),Players!$A$2:$D$132,3),"")</f>
        <v/>
      </c>
      <c r="H4331" s="225"/>
      <c r="I4331" s="225"/>
      <c r="J4331" s="168" t="str">
        <f>IF(VLOOKUP($D4323&amp;RIGHT($A4331,1),Players!$A$2:$D$132,3)&lt;&gt;0,"("&amp;VLOOKUP($D4323&amp;RIGHT($A4331,1),Players!$A$2:$D$132,4)&amp;")","")</f>
        <v/>
      </c>
    </row>
    <row r="4332" spans="1:10" ht="25.5" customHeight="1" x14ac:dyDescent="0.4">
      <c r="A4332" s="37" t="str">
        <f>CONCATENATE($I4323,"3")</f>
        <v>K3</v>
      </c>
      <c r="B4332" s="222" t="str">
        <f>IF(VLOOKUP($A4332,Players!$A$2:$C$132,3)&lt;&gt;0,VLOOKUP($A4332,Players!$A$2:$C$132,3),"")</f>
        <v/>
      </c>
      <c r="C4332" s="222"/>
      <c r="D4332" s="222"/>
      <c r="E4332" s="222"/>
      <c r="F4332" s="222"/>
      <c r="G4332" s="225" t="str">
        <f>IF(VLOOKUP($D4323&amp;RIGHT($A4332,1),Players!$A$2:$D$132,3)&lt;&gt;0,VLOOKUP($D4323&amp;RIGHT($A4332,1),Players!$A$2:$D$132,3),"")</f>
        <v/>
      </c>
      <c r="H4332" s="225"/>
      <c r="I4332" s="225"/>
      <c r="J4332" s="168" t="str">
        <f>IF(VLOOKUP($D4323&amp;RIGHT($A4332,1),Players!$A$2:$D$132,3)&lt;&gt;0,"("&amp;VLOOKUP($D4323&amp;RIGHT($A4332,1),Players!$A$2:$D$132,4)&amp;")","")</f>
        <v/>
      </c>
    </row>
    <row r="4333" spans="1:10" ht="25.5" customHeight="1" x14ac:dyDescent="0.4">
      <c r="A4333" s="37" t="str">
        <f>CONCATENATE($I4323,"4")</f>
        <v>K4</v>
      </c>
      <c r="B4333" s="222" t="str">
        <f>IF(VLOOKUP($A4333,Players!$A$2:$C$132,3)&lt;&gt;0,VLOOKUP($A4333,Players!$A$2:$C$132,3),"")</f>
        <v/>
      </c>
      <c r="C4333" s="222"/>
      <c r="D4333" s="222"/>
      <c r="E4333" s="222"/>
      <c r="F4333" s="222"/>
      <c r="G4333" s="225" t="str">
        <f>IF(VLOOKUP($D4323&amp;RIGHT($A4333,1),Players!$A$2:$D$132,3)&lt;&gt;0,VLOOKUP($D4323&amp;RIGHT($A4333,1),Players!$A$2:$D$132,3),"")</f>
        <v/>
      </c>
      <c r="H4333" s="225"/>
      <c r="I4333" s="225"/>
      <c r="J4333" s="168" t="str">
        <f>IF(VLOOKUP($D4323&amp;RIGHT($A4333,1),Players!$A$2:$D$132,3)&lt;&gt;0,"("&amp;VLOOKUP($D4323&amp;RIGHT($A4333,1),Players!$A$2:$D$132,4)&amp;")","")</f>
        <v/>
      </c>
    </row>
    <row r="4334" spans="1:10" ht="25.5" customHeight="1" x14ac:dyDescent="0.4">
      <c r="A4334" s="37" t="str">
        <f>CONCATENATE($I4323,"5")</f>
        <v>K5</v>
      </c>
      <c r="B4334" s="222" t="str">
        <f>IF(VLOOKUP($A4334,Players!$A$2:$C$132,3)&lt;&gt;0,VLOOKUP($A4334,Players!$A$2:$C$132,3),"")</f>
        <v/>
      </c>
      <c r="C4334" s="222"/>
      <c r="D4334" s="222"/>
      <c r="E4334" s="222"/>
      <c r="F4334" s="222"/>
      <c r="G4334" s="225" t="str">
        <f>IF(VLOOKUP($D4323&amp;RIGHT($A4334,1),Players!$A$2:$D$132,3)&lt;&gt;0,VLOOKUP($D4323&amp;RIGHT($A4334,1),Players!$A$2:$D$132,3),"")</f>
        <v/>
      </c>
      <c r="H4334" s="225"/>
      <c r="I4334" s="225"/>
      <c r="J4334" s="168" t="str">
        <f>IF(VLOOKUP($D4323&amp;RIGHT($A4334,1),Players!$A$2:$D$132,3)&lt;&gt;0,"("&amp;VLOOKUP($D4323&amp;RIGHT($A4334,1),Players!$A$2:$D$132,4)&amp;")","")</f>
        <v/>
      </c>
    </row>
    <row r="4335" spans="1:10" ht="25.5" customHeight="1" x14ac:dyDescent="0.4">
      <c r="A4335" s="37" t="str">
        <f>CONCATENATE($I4323,"6")</f>
        <v>K6</v>
      </c>
      <c r="B4335" s="222" t="str">
        <f>IF(VLOOKUP($A4335,Players!$A$2:$C$132,3)&lt;&gt;0,VLOOKUP($A4335,Players!$A$2:$C$132,3),"")</f>
        <v/>
      </c>
      <c r="C4335" s="222"/>
      <c r="D4335" s="222"/>
      <c r="E4335" s="222"/>
      <c r="F4335" s="222"/>
      <c r="G4335" s="225" t="str">
        <f>IF(VLOOKUP($D4323&amp;RIGHT($A4335,1),Players!$A$2:$D$132,3)&lt;&gt;0,VLOOKUP($D4323&amp;RIGHT($A4335,1),Players!$A$2:$D$132,3),"")</f>
        <v/>
      </c>
      <c r="H4335" s="225"/>
      <c r="I4335" s="225"/>
      <c r="J4335" s="168" t="str">
        <f>IF(VLOOKUP($D4323&amp;RIGHT($A4335,1),Players!$A$2:$D$132,3)&lt;&gt;0,"("&amp;VLOOKUP($D4323&amp;RIGHT($A4335,1),Players!$A$2:$D$132,4)&amp;")","")</f>
        <v/>
      </c>
    </row>
    <row r="4336" spans="1:10" ht="25.5" customHeight="1" x14ac:dyDescent="0.4">
      <c r="A4336" s="37" t="str">
        <f>CONCATENATE($I4323,"7")</f>
        <v>K7</v>
      </c>
      <c r="B4336" s="222" t="str">
        <f>IF(VLOOKUP($A4336,Players!$A$2:$C$132,3)&lt;&gt;0,VLOOKUP($A4336,Players!$A$2:$C$132,3),"")</f>
        <v/>
      </c>
      <c r="C4336" s="222"/>
      <c r="D4336" s="222"/>
      <c r="E4336" s="222"/>
      <c r="F4336" s="222"/>
      <c r="G4336" s="225" t="str">
        <f>IF(VLOOKUP($D4323&amp;RIGHT($A4336,1),Players!$A$2:$D$132,3)&lt;&gt;0,VLOOKUP($D4323&amp;RIGHT($A4336,1),Players!$A$2:$D$132,3),"")</f>
        <v/>
      </c>
      <c r="H4336" s="225"/>
      <c r="I4336" s="225"/>
      <c r="J4336" s="168" t="str">
        <f>IF(VLOOKUP($D4323&amp;RIGHT($A4336,1),Players!$A$2:$D$132,3)&lt;&gt;0,"("&amp;VLOOKUP($D4323&amp;RIGHT($A4336,1),Players!$A$2:$D$132,4)&amp;")","")</f>
        <v/>
      </c>
    </row>
    <row r="4337" spans="1:10" ht="25.5" customHeight="1" x14ac:dyDescent="0.4">
      <c r="A4337" s="37" t="str">
        <f>CONCATENATE($I4323,"8")</f>
        <v>K8</v>
      </c>
      <c r="B4337" s="222" t="str">
        <f>IF(VLOOKUP($A4337,Players!$A$2:$C$132,3)&lt;&gt;0,VLOOKUP($A4337,Players!$A$2:$C$132,3),"")</f>
        <v/>
      </c>
      <c r="C4337" s="222"/>
      <c r="D4337" s="222"/>
      <c r="E4337" s="222"/>
      <c r="F4337" s="222"/>
      <c r="G4337" s="225" t="str">
        <f>IF(VLOOKUP($D4323&amp;RIGHT($A4337,1),Players!$A$2:$D$132,3)&lt;&gt;0,VLOOKUP($D4323&amp;RIGHT($A4337,1),Players!$A$2:$D$132,3),"")</f>
        <v/>
      </c>
      <c r="H4337" s="225"/>
      <c r="I4337" s="225"/>
      <c r="J4337" s="168" t="str">
        <f>IF(VLOOKUP($D4323&amp;RIGHT($A4337,1),Players!$A$2:$D$132,3)&lt;&gt;0,"("&amp;VLOOKUP($D4323&amp;RIGHT($A4337,1),Players!$A$2:$D$132,4)&amp;")","")</f>
        <v/>
      </c>
    </row>
    <row r="4338" spans="1:10" ht="25.5" customHeight="1" x14ac:dyDescent="0.25">
      <c r="A4338" s="37"/>
      <c r="B4338" s="7"/>
      <c r="C4338" s="7"/>
      <c r="D4338" s="7"/>
      <c r="E4338" s="7"/>
    </row>
    <row r="4339" spans="1:10" x14ac:dyDescent="0.25">
      <c r="A4339" s="9" t="s">
        <v>157</v>
      </c>
    </row>
    <row r="4340" spans="1:10" x14ac:dyDescent="0.25">
      <c r="A4340" t="s">
        <v>179</v>
      </c>
    </row>
    <row r="4341" spans="1:10" x14ac:dyDescent="0.25">
      <c r="A4341" s="55" t="s">
        <v>918</v>
      </c>
    </row>
    <row r="4342" spans="1:10" x14ac:dyDescent="0.25">
      <c r="A4342" t="s">
        <v>919</v>
      </c>
    </row>
    <row r="4343" spans="1:10" ht="25.5" customHeight="1" thickBot="1" x14ac:dyDescent="0.3">
      <c r="A4343" s="37"/>
    </row>
    <row r="4344" spans="1:10" x14ac:dyDescent="0.25">
      <c r="B4344" s="213"/>
      <c r="C4344" s="214"/>
      <c r="D4344" s="214"/>
      <c r="E4344" s="214"/>
      <c r="F4344" s="215"/>
    </row>
    <row r="4345" spans="1:10" ht="13.8" thickBot="1" x14ac:dyDescent="0.3">
      <c r="B4345" s="216"/>
      <c r="C4345" s="217"/>
      <c r="D4345" s="217"/>
      <c r="E4345" s="217"/>
      <c r="F4345" s="218"/>
    </row>
    <row r="4349" spans="1:10" ht="25.5" customHeight="1" x14ac:dyDescent="0.25">
      <c r="A4349" s="36"/>
      <c r="B4349" s="36"/>
      <c r="C4349" s="36"/>
      <c r="D4349" s="36"/>
      <c r="E4349" s="36"/>
      <c r="G4349" s="38"/>
      <c r="H4349" s="227" t="s">
        <v>159</v>
      </c>
      <c r="I4349" s="228"/>
    </row>
    <row r="4350" spans="1:10" x14ac:dyDescent="0.25">
      <c r="A4350" t="s">
        <v>158</v>
      </c>
    </row>
    <row r="4352" spans="1:10" x14ac:dyDescent="0.25">
      <c r="E4352" s="219" t="str">
        <f>CONCATENATE("(",$D4323," vs ",$I4323,")")</f>
        <v>(E vs K)</v>
      </c>
      <c r="F4352" s="219"/>
    </row>
    <row r="4353" spans="1:10" ht="15.6" x14ac:dyDescent="0.3">
      <c r="A4353" s="33" t="s">
        <v>155</v>
      </c>
      <c r="J4353" s="82" t="s">
        <v>599</v>
      </c>
    </row>
    <row r="4354" spans="1:10" ht="12.75" customHeight="1" x14ac:dyDescent="0.3">
      <c r="A4354" s="33"/>
      <c r="G4354" t="str">
        <f ca="1">Team_Matches!$J$6</f>
        <v>[NCTTA Teams Template (v3.4).xlsx]</v>
      </c>
      <c r="J4354" s="55"/>
    </row>
    <row r="4355" spans="1:10" ht="12.75" customHeight="1" x14ac:dyDescent="0.3">
      <c r="A4355" s="33"/>
      <c r="G4355" s="229" t="str">
        <f>Team_Matches!$J3271</f>
        <v>Round 11, Match 5</v>
      </c>
      <c r="H4355" s="229"/>
      <c r="I4355" s="127" t="str">
        <f>Team_Matches!$M3271</f>
        <v/>
      </c>
      <c r="J4355" s="127"/>
    </row>
    <row r="4356" spans="1:10" ht="15.6" x14ac:dyDescent="0.3">
      <c r="A4356" s="33"/>
    </row>
    <row r="4357" spans="1:10" x14ac:dyDescent="0.25">
      <c r="C4357" s="7" t="s">
        <v>160</v>
      </c>
      <c r="D4357" s="3" t="str">
        <f>Team_Matches!$B3273</f>
        <v>D</v>
      </c>
      <c r="F4357" s="83" t="str">
        <f>CONCATENATE($D4357,"-",$I4357)</f>
        <v>D-L</v>
      </c>
      <c r="H4357" s="7" t="s">
        <v>160</v>
      </c>
      <c r="I4357" s="3" t="str">
        <f>Team_Matches!$K3273</f>
        <v>L</v>
      </c>
    </row>
    <row r="4358" spans="1:10" ht="25.5" customHeight="1" x14ac:dyDescent="0.25">
      <c r="A4358" s="34"/>
      <c r="B4358" s="220" t="str">
        <f>IF(VLOOKUP($D4357,Draw!$A$4:$B$27,2)&lt;&gt;0,VLOOKUP($D4357,Draw!$A$4:$B$27,2),"")</f>
        <v/>
      </c>
      <c r="C4358" s="220"/>
      <c r="D4358" s="220"/>
      <c r="E4358" s="221"/>
      <c r="F4358" s="35"/>
      <c r="G4358" s="223" t="str">
        <f>IF(VLOOKUP($I4357,Draw!$A$4:$B$27,2)&lt;&gt;0,VLOOKUP($I4357,Draw!$A$4:$B$27,2),"")</f>
        <v/>
      </c>
      <c r="H4358" s="223"/>
      <c r="I4358" s="223"/>
      <c r="J4358" s="224"/>
    </row>
    <row r="4359" spans="1:10" ht="25.5" customHeight="1" x14ac:dyDescent="0.25"/>
    <row r="4360" spans="1:10" ht="25.5" customHeight="1" x14ac:dyDescent="0.25"/>
    <row r="4361" spans="1:10" ht="24" customHeight="1" x14ac:dyDescent="0.25">
      <c r="A4361" s="9" t="s">
        <v>178</v>
      </c>
    </row>
    <row r="4362" spans="1:10" ht="24" customHeight="1" x14ac:dyDescent="0.25">
      <c r="A4362" s="9"/>
    </row>
    <row r="4363" spans="1:10" x14ac:dyDescent="0.25">
      <c r="A4363" s="9" t="s">
        <v>156</v>
      </c>
      <c r="G4363" s="226" t="s">
        <v>873</v>
      </c>
      <c r="H4363" s="226"/>
      <c r="I4363" s="226"/>
      <c r="J4363" s="226"/>
    </row>
    <row r="4364" spans="1:10" ht="24" customHeight="1" x14ac:dyDescent="0.4">
      <c r="A4364" s="37" t="str">
        <f>CONCATENATE($D4357,"1")</f>
        <v>D1</v>
      </c>
      <c r="B4364" s="222" t="str">
        <f>IF(VLOOKUP($A4364,Players!$A$2:$C$132,3)&lt;&gt;0,VLOOKUP($A4364,Players!$A$2:$C$132,3),"")</f>
        <v/>
      </c>
      <c r="C4364" s="222"/>
      <c r="D4364" s="222"/>
      <c r="E4364" s="222"/>
      <c r="F4364" s="222"/>
      <c r="G4364" s="225" t="str">
        <f>IF(VLOOKUP($I4357&amp;RIGHT($A4364,1),Players!$A$2:$D$132,3)&lt;&gt;0,VLOOKUP($I4357&amp;RIGHT($A4364,1),Players!$A$2:$D$132,3),"")</f>
        <v/>
      </c>
      <c r="H4364" s="225"/>
      <c r="I4364" s="225"/>
      <c r="J4364" s="168" t="str">
        <f>IF(VLOOKUP($I4357&amp;RIGHT($A4364,1),Players!$A$2:$D$132,3)&lt;&gt;0,"("&amp;VLOOKUP($I4357&amp;RIGHT($A4364,1),Players!$A$2:$D$132,4)&amp;")","")</f>
        <v/>
      </c>
    </row>
    <row r="4365" spans="1:10" ht="25.5" customHeight="1" x14ac:dyDescent="0.4">
      <c r="A4365" s="37" t="str">
        <f>CONCATENATE($D4357,"2")</f>
        <v>D2</v>
      </c>
      <c r="B4365" s="222" t="str">
        <f>IF(VLOOKUP($A4365,Players!$A$2:$C$132,3)&lt;&gt;0,VLOOKUP($A4365,Players!$A$2:$C$132,3),"")</f>
        <v/>
      </c>
      <c r="C4365" s="222"/>
      <c r="D4365" s="222"/>
      <c r="E4365" s="222"/>
      <c r="F4365" s="222"/>
      <c r="G4365" s="225" t="str">
        <f>IF(VLOOKUP($I4357&amp;RIGHT($A4365,1),Players!$A$2:$D$132,3)&lt;&gt;0,VLOOKUP($I4357&amp;RIGHT($A4365,1),Players!$A$2:$D$132,3),"")</f>
        <v/>
      </c>
      <c r="H4365" s="225"/>
      <c r="I4365" s="225"/>
      <c r="J4365" s="168" t="str">
        <f>IF(VLOOKUP($I4357&amp;RIGHT($A4365,1),Players!$A$2:$D$132,3)&lt;&gt;0,"("&amp;VLOOKUP($I4357&amp;RIGHT($A4365,1),Players!$A$2:$D$132,4)&amp;")","")</f>
        <v/>
      </c>
    </row>
    <row r="4366" spans="1:10" ht="25.5" customHeight="1" x14ac:dyDescent="0.4">
      <c r="A4366" s="37" t="str">
        <f>CONCATENATE($D4357,"3")</f>
        <v>D3</v>
      </c>
      <c r="B4366" s="222" t="str">
        <f>IF(VLOOKUP($A4366,Players!$A$2:$C$132,3)&lt;&gt;0,VLOOKUP($A4366,Players!$A$2:$C$132,3),"")</f>
        <v/>
      </c>
      <c r="C4366" s="222"/>
      <c r="D4366" s="222"/>
      <c r="E4366" s="222"/>
      <c r="F4366" s="222"/>
      <c r="G4366" s="225" t="str">
        <f>IF(VLOOKUP($I4357&amp;RIGHT($A4366,1),Players!$A$2:$D$132,3)&lt;&gt;0,VLOOKUP($I4357&amp;RIGHT($A4366,1),Players!$A$2:$D$132,3),"")</f>
        <v/>
      </c>
      <c r="H4366" s="225"/>
      <c r="I4366" s="225"/>
      <c r="J4366" s="168" t="str">
        <f>IF(VLOOKUP($I4357&amp;RIGHT($A4366,1),Players!$A$2:$D$132,3)&lt;&gt;0,"("&amp;VLOOKUP($I4357&amp;RIGHT($A4366,1),Players!$A$2:$D$132,4)&amp;")","")</f>
        <v/>
      </c>
    </row>
    <row r="4367" spans="1:10" ht="25.5" customHeight="1" x14ac:dyDescent="0.4">
      <c r="A4367" s="37" t="str">
        <f>CONCATENATE($D4357,"4")</f>
        <v>D4</v>
      </c>
      <c r="B4367" s="222" t="str">
        <f>IF(VLOOKUP($A4367,Players!$A$2:$C$132,3)&lt;&gt;0,VLOOKUP($A4367,Players!$A$2:$C$132,3),"")</f>
        <v/>
      </c>
      <c r="C4367" s="222"/>
      <c r="D4367" s="222"/>
      <c r="E4367" s="222"/>
      <c r="F4367" s="222"/>
      <c r="G4367" s="225" t="str">
        <f>IF(VLOOKUP($I4357&amp;RIGHT($A4367,1),Players!$A$2:$D$132,3)&lt;&gt;0,VLOOKUP($I4357&amp;RIGHT($A4367,1),Players!$A$2:$D$132,3),"")</f>
        <v/>
      </c>
      <c r="H4367" s="225"/>
      <c r="I4367" s="225"/>
      <c r="J4367" s="168" t="str">
        <f>IF(VLOOKUP($I4357&amp;RIGHT($A4367,1),Players!$A$2:$D$132,3)&lt;&gt;0,"("&amp;VLOOKUP($I4357&amp;RIGHT($A4367,1),Players!$A$2:$D$132,4)&amp;")","")</f>
        <v/>
      </c>
    </row>
    <row r="4368" spans="1:10" ht="25.5" customHeight="1" x14ac:dyDescent="0.4">
      <c r="A4368" s="37" t="str">
        <f>CONCATENATE($D4357,"5")</f>
        <v>D5</v>
      </c>
      <c r="B4368" s="222" t="str">
        <f>IF(VLOOKUP($A4368,Players!$A$2:$C$132,3)&lt;&gt;0,VLOOKUP($A4368,Players!$A$2:$C$132,3),"")</f>
        <v/>
      </c>
      <c r="C4368" s="222"/>
      <c r="D4368" s="222"/>
      <c r="E4368" s="222"/>
      <c r="F4368" s="222"/>
      <c r="G4368" s="225" t="str">
        <f>IF(VLOOKUP($I4357&amp;RIGHT($A4368,1),Players!$A$2:$D$132,3)&lt;&gt;0,VLOOKUP($I4357&amp;RIGHT($A4368,1),Players!$A$2:$D$132,3),"")</f>
        <v/>
      </c>
      <c r="H4368" s="225"/>
      <c r="I4368" s="225"/>
      <c r="J4368" s="168" t="str">
        <f>IF(VLOOKUP($I4357&amp;RIGHT($A4368,1),Players!$A$2:$D$132,3)&lt;&gt;0,"("&amp;VLOOKUP($I4357&amp;RIGHT($A4368,1),Players!$A$2:$D$132,4)&amp;")","")</f>
        <v/>
      </c>
    </row>
    <row r="4369" spans="1:10" ht="25.5" customHeight="1" x14ac:dyDescent="0.4">
      <c r="A4369" s="37" t="str">
        <f>CONCATENATE($D4357,"6")</f>
        <v>D6</v>
      </c>
      <c r="B4369" s="222" t="str">
        <f>IF(VLOOKUP($A4369,Players!$A$2:$C$132,3)&lt;&gt;0,VLOOKUP($A4369,Players!$A$2:$C$132,3),"")</f>
        <v/>
      </c>
      <c r="C4369" s="222"/>
      <c r="D4369" s="222"/>
      <c r="E4369" s="222"/>
      <c r="F4369" s="222"/>
      <c r="G4369" s="225" t="str">
        <f>IF(VLOOKUP($I4357&amp;RIGHT($A4369,1),Players!$A$2:$D$132,3)&lt;&gt;0,VLOOKUP($I4357&amp;RIGHT($A4369,1),Players!$A$2:$D$132,3),"")</f>
        <v/>
      </c>
      <c r="H4369" s="225"/>
      <c r="I4369" s="225"/>
      <c r="J4369" s="168" t="str">
        <f>IF(VLOOKUP($I4357&amp;RIGHT($A4369,1),Players!$A$2:$D$132,3)&lt;&gt;0,"("&amp;VLOOKUP($I4357&amp;RIGHT($A4369,1),Players!$A$2:$D$132,4)&amp;")","")</f>
        <v/>
      </c>
    </row>
    <row r="4370" spans="1:10" ht="25.5" customHeight="1" x14ac:dyDescent="0.4">
      <c r="A4370" s="37" t="str">
        <f>CONCATENATE($D4357,"7")</f>
        <v>D7</v>
      </c>
      <c r="B4370" s="222" t="str">
        <f>IF(VLOOKUP($A4370,Players!$A$2:$C$132,3)&lt;&gt;0,VLOOKUP($A4370,Players!$A$2:$C$132,3),"")</f>
        <v/>
      </c>
      <c r="C4370" s="222"/>
      <c r="D4370" s="222"/>
      <c r="E4370" s="222"/>
      <c r="F4370" s="222"/>
      <c r="G4370" s="225" t="str">
        <f>IF(VLOOKUP($I4357&amp;RIGHT($A4370,1),Players!$A$2:$D$132,3)&lt;&gt;0,VLOOKUP($I4357&amp;RIGHT($A4370,1),Players!$A$2:$D$132,3),"")</f>
        <v/>
      </c>
      <c r="H4370" s="225"/>
      <c r="I4370" s="225"/>
      <c r="J4370" s="168" t="str">
        <f>IF(VLOOKUP($I4357&amp;RIGHT($A4370,1),Players!$A$2:$D$132,3)&lt;&gt;0,"("&amp;VLOOKUP($I4357&amp;RIGHT($A4370,1),Players!$A$2:$D$132,4)&amp;")","")</f>
        <v/>
      </c>
    </row>
    <row r="4371" spans="1:10" ht="25.5" customHeight="1" x14ac:dyDescent="0.4">
      <c r="A4371" s="37" t="str">
        <f>CONCATENATE($D4357,"8")</f>
        <v>D8</v>
      </c>
      <c r="B4371" s="222" t="str">
        <f>IF(VLOOKUP($A4371,Players!$A$2:$C$132,3)&lt;&gt;0,VLOOKUP($A4371,Players!$A$2:$C$132,3),"")</f>
        <v/>
      </c>
      <c r="C4371" s="222"/>
      <c r="D4371" s="222"/>
      <c r="E4371" s="222"/>
      <c r="F4371" s="222"/>
      <c r="G4371" s="225" t="str">
        <f>IF(VLOOKUP($I4357&amp;RIGHT($A4371,1),Players!$A$2:$D$132,3)&lt;&gt;0,VLOOKUP($I4357&amp;RIGHT($A4371,1),Players!$A$2:$D$132,3),"")</f>
        <v/>
      </c>
      <c r="H4371" s="225"/>
      <c r="I4371" s="225"/>
      <c r="J4371" s="168" t="str">
        <f>IF(VLOOKUP($I4357&amp;RIGHT($A4371,1),Players!$A$2:$D$132,3)&lt;&gt;0,"("&amp;VLOOKUP($I4357&amp;RIGHT($A4371,1),Players!$A$2:$D$132,4)&amp;")","")</f>
        <v/>
      </c>
    </row>
    <row r="4372" spans="1:10" ht="25.5" customHeight="1" x14ac:dyDescent="0.25">
      <c r="A4372" s="37"/>
      <c r="B4372" s="7"/>
      <c r="C4372" s="7"/>
      <c r="D4372" s="7"/>
      <c r="E4372" s="7"/>
    </row>
    <row r="4373" spans="1:10" x14ac:dyDescent="0.25">
      <c r="A4373" s="9" t="s">
        <v>157</v>
      </c>
    </row>
    <row r="4374" spans="1:10" x14ac:dyDescent="0.25">
      <c r="A4374" t="s">
        <v>179</v>
      </c>
    </row>
    <row r="4375" spans="1:10" x14ac:dyDescent="0.25">
      <c r="A4375" s="55" t="s">
        <v>918</v>
      </c>
    </row>
    <row r="4376" spans="1:10" x14ac:dyDescent="0.25">
      <c r="A4376" t="s">
        <v>919</v>
      </c>
    </row>
    <row r="4377" spans="1:10" ht="25.5" customHeight="1" thickBot="1" x14ac:dyDescent="0.3">
      <c r="A4377" s="37"/>
    </row>
    <row r="4378" spans="1:10" x14ac:dyDescent="0.25">
      <c r="B4378" s="213"/>
      <c r="C4378" s="214"/>
      <c r="D4378" s="214"/>
      <c r="E4378" s="214"/>
      <c r="F4378" s="215"/>
    </row>
    <row r="4379" spans="1:10" ht="13.8" thickBot="1" x14ac:dyDescent="0.3">
      <c r="B4379" s="216"/>
      <c r="C4379" s="217"/>
      <c r="D4379" s="217"/>
      <c r="E4379" s="217"/>
      <c r="F4379" s="218"/>
    </row>
    <row r="4383" spans="1:10" ht="25.5" customHeight="1" x14ac:dyDescent="0.25">
      <c r="A4383" s="36"/>
      <c r="B4383" s="36"/>
      <c r="C4383" s="36"/>
      <c r="D4383" s="36"/>
      <c r="E4383" s="36"/>
      <c r="G4383" s="38"/>
      <c r="H4383" s="227" t="s">
        <v>159</v>
      </c>
      <c r="I4383" s="228"/>
    </row>
    <row r="4384" spans="1:10" x14ac:dyDescent="0.25">
      <c r="A4384" t="s">
        <v>158</v>
      </c>
    </row>
    <row r="4386" spans="1:10" x14ac:dyDescent="0.25">
      <c r="E4386" s="219" t="str">
        <f>CONCATENATE("(",$D4357," vs ",$I4357,")")</f>
        <v>(D vs L)</v>
      </c>
      <c r="F4386" s="219"/>
    </row>
    <row r="4387" spans="1:10" ht="15.6" x14ac:dyDescent="0.3">
      <c r="A4387" s="33" t="s">
        <v>155</v>
      </c>
      <c r="J4387" s="82" t="s">
        <v>600</v>
      </c>
    </row>
    <row r="4388" spans="1:10" ht="12.75" customHeight="1" x14ac:dyDescent="0.3">
      <c r="A4388" s="33"/>
      <c r="G4388" t="str">
        <f ca="1">Team_Matches!$J$6</f>
        <v>[NCTTA Teams Template (v3.4).xlsx]</v>
      </c>
      <c r="J4388" s="55"/>
    </row>
    <row r="4389" spans="1:10" ht="12.75" customHeight="1" x14ac:dyDescent="0.3">
      <c r="A4389" s="33"/>
      <c r="G4389" s="229" t="str">
        <f>Team_Matches!$J3271</f>
        <v>Round 11, Match 5</v>
      </c>
      <c r="H4389" s="229"/>
      <c r="I4389" s="127" t="str">
        <f>Team_Matches!$M3271</f>
        <v/>
      </c>
      <c r="J4389" s="127"/>
    </row>
    <row r="4390" spans="1:10" ht="15.6" x14ac:dyDescent="0.3">
      <c r="A4390" s="33"/>
    </row>
    <row r="4391" spans="1:10" x14ac:dyDescent="0.25">
      <c r="C4391" s="7" t="s">
        <v>160</v>
      </c>
      <c r="D4391" s="3" t="str">
        <f>Team_Matches!$B3273</f>
        <v>D</v>
      </c>
      <c r="F4391" s="83" t="str">
        <f>CONCATENATE($D4391,"-",$I4391)</f>
        <v>D-L</v>
      </c>
      <c r="H4391" s="7" t="s">
        <v>160</v>
      </c>
      <c r="I4391" s="3" t="str">
        <f>Team_Matches!$K3273</f>
        <v>L</v>
      </c>
    </row>
    <row r="4392" spans="1:10" ht="25.5" customHeight="1" x14ac:dyDescent="0.25">
      <c r="A4392" s="34"/>
      <c r="B4392" s="223" t="str">
        <f>IF(VLOOKUP($D4391,Draw!$A$4:$B$27,2)&lt;&gt;0,VLOOKUP($D4391,Draw!$A$4:$B$27,2),"")</f>
        <v/>
      </c>
      <c r="C4392" s="223"/>
      <c r="D4392" s="223"/>
      <c r="E4392" s="224"/>
      <c r="F4392" s="35"/>
      <c r="G4392" s="220" t="str">
        <f>IF(VLOOKUP($I4391,Draw!$A$4:$B$27,2)&lt;&gt;0,VLOOKUP($I4391,Draw!$A$4:$B$27,2),"")</f>
        <v/>
      </c>
      <c r="H4392" s="220"/>
      <c r="I4392" s="220"/>
      <c r="J4392" s="221"/>
    </row>
    <row r="4393" spans="1:10" ht="25.5" customHeight="1" x14ac:dyDescent="0.25"/>
    <row r="4394" spans="1:10" ht="25.5" customHeight="1" x14ac:dyDescent="0.25"/>
    <row r="4395" spans="1:10" ht="24" customHeight="1" x14ac:dyDescent="0.25">
      <c r="A4395" s="9" t="s">
        <v>178</v>
      </c>
    </row>
    <row r="4396" spans="1:10" ht="24" customHeight="1" x14ac:dyDescent="0.25">
      <c r="A4396" s="9"/>
    </row>
    <row r="4397" spans="1:10" x14ac:dyDescent="0.25">
      <c r="A4397" s="9" t="s">
        <v>156</v>
      </c>
      <c r="G4397" s="226" t="s">
        <v>873</v>
      </c>
      <c r="H4397" s="226"/>
      <c r="I4397" s="226"/>
      <c r="J4397" s="226"/>
    </row>
    <row r="4398" spans="1:10" ht="24" customHeight="1" x14ac:dyDescent="0.4">
      <c r="A4398" s="37" t="str">
        <f>CONCATENATE($I4391,"1")</f>
        <v>L1</v>
      </c>
      <c r="B4398" s="222" t="str">
        <f>IF(VLOOKUP($A4398,Players!$A$2:$C$132,3)&lt;&gt;0,VLOOKUP($A4398,Players!$A$2:$C$132,3),"")</f>
        <v/>
      </c>
      <c r="C4398" s="222"/>
      <c r="D4398" s="222"/>
      <c r="E4398" s="222"/>
      <c r="F4398" s="222"/>
      <c r="G4398" s="225" t="str">
        <f>IF(VLOOKUP($D4391&amp;RIGHT($A4398,1),Players!$A$2:$D$132,3)&lt;&gt;0,VLOOKUP($D4391&amp;RIGHT($A4398,1),Players!$A$2:$D$132,3),"")</f>
        <v/>
      </c>
      <c r="H4398" s="225"/>
      <c r="I4398" s="225"/>
      <c r="J4398" s="168" t="str">
        <f>IF(VLOOKUP($D4391&amp;RIGHT($A4398,1),Players!$A$2:$D$132,3)&lt;&gt;0,"("&amp;VLOOKUP($D4391&amp;RIGHT($A4398,1),Players!$A$2:$D$132,4)&amp;")","")</f>
        <v/>
      </c>
    </row>
    <row r="4399" spans="1:10" ht="25.5" customHeight="1" x14ac:dyDescent="0.4">
      <c r="A4399" s="37" t="str">
        <f>CONCATENATE($I4391,"2")</f>
        <v>L2</v>
      </c>
      <c r="B4399" s="222" t="str">
        <f>IF(VLOOKUP($A4399,Players!$A$2:$C$132,3)&lt;&gt;0,VLOOKUP($A4399,Players!$A$2:$C$132,3),"")</f>
        <v/>
      </c>
      <c r="C4399" s="222"/>
      <c r="D4399" s="222"/>
      <c r="E4399" s="222"/>
      <c r="F4399" s="222"/>
      <c r="G4399" s="225" t="str">
        <f>IF(VLOOKUP($D4391&amp;RIGHT($A4399,1),Players!$A$2:$D$132,3)&lt;&gt;0,VLOOKUP($D4391&amp;RIGHT($A4399,1),Players!$A$2:$D$132,3),"")</f>
        <v/>
      </c>
      <c r="H4399" s="225"/>
      <c r="I4399" s="225"/>
      <c r="J4399" s="168" t="str">
        <f>IF(VLOOKUP($D4391&amp;RIGHT($A4399,1),Players!$A$2:$D$132,3)&lt;&gt;0,"("&amp;VLOOKUP($D4391&amp;RIGHT($A4399,1),Players!$A$2:$D$132,4)&amp;")","")</f>
        <v/>
      </c>
    </row>
    <row r="4400" spans="1:10" ht="25.5" customHeight="1" x14ac:dyDescent="0.4">
      <c r="A4400" s="37" t="str">
        <f>CONCATENATE($I4391,"3")</f>
        <v>L3</v>
      </c>
      <c r="B4400" s="222" t="str">
        <f>IF(VLOOKUP($A4400,Players!$A$2:$C$132,3)&lt;&gt;0,VLOOKUP($A4400,Players!$A$2:$C$132,3),"")</f>
        <v/>
      </c>
      <c r="C4400" s="222"/>
      <c r="D4400" s="222"/>
      <c r="E4400" s="222"/>
      <c r="F4400" s="222"/>
      <c r="G4400" s="225" t="str">
        <f>IF(VLOOKUP($D4391&amp;RIGHT($A4400,1),Players!$A$2:$D$132,3)&lt;&gt;0,VLOOKUP($D4391&amp;RIGHT($A4400,1),Players!$A$2:$D$132,3),"")</f>
        <v/>
      </c>
      <c r="H4400" s="225"/>
      <c r="I4400" s="225"/>
      <c r="J4400" s="168" t="str">
        <f>IF(VLOOKUP($D4391&amp;RIGHT($A4400,1),Players!$A$2:$D$132,3)&lt;&gt;0,"("&amp;VLOOKUP($D4391&amp;RIGHT($A4400,1),Players!$A$2:$D$132,4)&amp;")","")</f>
        <v/>
      </c>
    </row>
    <row r="4401" spans="1:10" ht="25.5" customHeight="1" x14ac:dyDescent="0.4">
      <c r="A4401" s="37" t="str">
        <f>CONCATENATE($I4391,"4")</f>
        <v>L4</v>
      </c>
      <c r="B4401" s="222" t="str">
        <f>IF(VLOOKUP($A4401,Players!$A$2:$C$132,3)&lt;&gt;0,VLOOKUP($A4401,Players!$A$2:$C$132,3),"")</f>
        <v/>
      </c>
      <c r="C4401" s="222"/>
      <c r="D4401" s="222"/>
      <c r="E4401" s="222"/>
      <c r="F4401" s="222"/>
      <c r="G4401" s="225" t="str">
        <f>IF(VLOOKUP($D4391&amp;RIGHT($A4401,1),Players!$A$2:$D$132,3)&lt;&gt;0,VLOOKUP($D4391&amp;RIGHT($A4401,1),Players!$A$2:$D$132,3),"")</f>
        <v/>
      </c>
      <c r="H4401" s="225"/>
      <c r="I4401" s="225"/>
      <c r="J4401" s="168" t="str">
        <f>IF(VLOOKUP($D4391&amp;RIGHT($A4401,1),Players!$A$2:$D$132,3)&lt;&gt;0,"("&amp;VLOOKUP($D4391&amp;RIGHT($A4401,1),Players!$A$2:$D$132,4)&amp;")","")</f>
        <v/>
      </c>
    </row>
    <row r="4402" spans="1:10" ht="25.5" customHeight="1" x14ac:dyDescent="0.4">
      <c r="A4402" s="37" t="str">
        <f>CONCATENATE($I4391,"5")</f>
        <v>L5</v>
      </c>
      <c r="B4402" s="222" t="str">
        <f>IF(VLOOKUP($A4402,Players!$A$2:$C$132,3)&lt;&gt;0,VLOOKUP($A4402,Players!$A$2:$C$132,3),"")</f>
        <v/>
      </c>
      <c r="C4402" s="222"/>
      <c r="D4402" s="222"/>
      <c r="E4402" s="222"/>
      <c r="F4402" s="222"/>
      <c r="G4402" s="225" t="str">
        <f>IF(VLOOKUP($D4391&amp;RIGHT($A4402,1),Players!$A$2:$D$132,3)&lt;&gt;0,VLOOKUP($D4391&amp;RIGHT($A4402,1),Players!$A$2:$D$132,3),"")</f>
        <v/>
      </c>
      <c r="H4402" s="225"/>
      <c r="I4402" s="225"/>
      <c r="J4402" s="168" t="str">
        <f>IF(VLOOKUP($D4391&amp;RIGHT($A4402,1),Players!$A$2:$D$132,3)&lt;&gt;0,"("&amp;VLOOKUP($D4391&amp;RIGHT($A4402,1),Players!$A$2:$D$132,4)&amp;")","")</f>
        <v/>
      </c>
    </row>
    <row r="4403" spans="1:10" ht="25.5" customHeight="1" x14ac:dyDescent="0.4">
      <c r="A4403" s="37" t="str">
        <f>CONCATENATE($I4391,"6")</f>
        <v>L6</v>
      </c>
      <c r="B4403" s="222" t="str">
        <f>IF(VLOOKUP($A4403,Players!$A$2:$C$132,3)&lt;&gt;0,VLOOKUP($A4403,Players!$A$2:$C$132,3),"")</f>
        <v/>
      </c>
      <c r="C4403" s="222"/>
      <c r="D4403" s="222"/>
      <c r="E4403" s="222"/>
      <c r="F4403" s="222"/>
      <c r="G4403" s="225" t="str">
        <f>IF(VLOOKUP($D4391&amp;RIGHT($A4403,1),Players!$A$2:$D$132,3)&lt;&gt;0,VLOOKUP($D4391&amp;RIGHT($A4403,1),Players!$A$2:$D$132,3),"")</f>
        <v/>
      </c>
      <c r="H4403" s="225"/>
      <c r="I4403" s="225"/>
      <c r="J4403" s="168" t="str">
        <f>IF(VLOOKUP($D4391&amp;RIGHT($A4403,1),Players!$A$2:$D$132,3)&lt;&gt;0,"("&amp;VLOOKUP($D4391&amp;RIGHT($A4403,1),Players!$A$2:$D$132,4)&amp;")","")</f>
        <v/>
      </c>
    </row>
    <row r="4404" spans="1:10" ht="25.5" customHeight="1" x14ac:dyDescent="0.4">
      <c r="A4404" s="37" t="str">
        <f>CONCATENATE($I4391,"7")</f>
        <v>L7</v>
      </c>
      <c r="B4404" s="222" t="str">
        <f>IF(VLOOKUP($A4404,Players!$A$2:$C$132,3)&lt;&gt;0,VLOOKUP($A4404,Players!$A$2:$C$132,3),"")</f>
        <v/>
      </c>
      <c r="C4404" s="222"/>
      <c r="D4404" s="222"/>
      <c r="E4404" s="222"/>
      <c r="F4404" s="222"/>
      <c r="G4404" s="225" t="str">
        <f>IF(VLOOKUP($D4391&amp;RIGHT($A4404,1),Players!$A$2:$D$132,3)&lt;&gt;0,VLOOKUP($D4391&amp;RIGHT($A4404,1),Players!$A$2:$D$132,3),"")</f>
        <v/>
      </c>
      <c r="H4404" s="225"/>
      <c r="I4404" s="225"/>
      <c r="J4404" s="168" t="str">
        <f>IF(VLOOKUP($D4391&amp;RIGHT($A4404,1),Players!$A$2:$D$132,3)&lt;&gt;0,"("&amp;VLOOKUP($D4391&amp;RIGHT($A4404,1),Players!$A$2:$D$132,4)&amp;")","")</f>
        <v/>
      </c>
    </row>
    <row r="4405" spans="1:10" ht="25.5" customHeight="1" x14ac:dyDescent="0.4">
      <c r="A4405" s="37" t="str">
        <f>CONCATENATE($I4391,"8")</f>
        <v>L8</v>
      </c>
      <c r="B4405" s="222" t="str">
        <f>IF(VLOOKUP($A4405,Players!$A$2:$C$132,3)&lt;&gt;0,VLOOKUP($A4405,Players!$A$2:$C$132,3),"")</f>
        <v/>
      </c>
      <c r="C4405" s="222"/>
      <c r="D4405" s="222"/>
      <c r="E4405" s="222"/>
      <c r="F4405" s="222"/>
      <c r="G4405" s="225" t="str">
        <f>IF(VLOOKUP($D4391&amp;RIGHT($A4405,1),Players!$A$2:$D$132,3)&lt;&gt;0,VLOOKUP($D4391&amp;RIGHT($A4405,1),Players!$A$2:$D$132,3),"")</f>
        <v/>
      </c>
      <c r="H4405" s="225"/>
      <c r="I4405" s="225"/>
      <c r="J4405" s="168" t="str">
        <f>IF(VLOOKUP($D4391&amp;RIGHT($A4405,1),Players!$A$2:$D$132,3)&lt;&gt;0,"("&amp;VLOOKUP($D4391&amp;RIGHT($A4405,1),Players!$A$2:$D$132,4)&amp;")","")</f>
        <v/>
      </c>
    </row>
    <row r="4406" spans="1:10" ht="25.5" customHeight="1" x14ac:dyDescent="0.25">
      <c r="A4406" s="37"/>
      <c r="B4406" s="7"/>
      <c r="C4406" s="7"/>
      <c r="D4406" s="7"/>
      <c r="E4406" s="7"/>
    </row>
    <row r="4407" spans="1:10" x14ac:dyDescent="0.25">
      <c r="A4407" s="9" t="s">
        <v>157</v>
      </c>
    </row>
    <row r="4408" spans="1:10" x14ac:dyDescent="0.25">
      <c r="A4408" t="s">
        <v>179</v>
      </c>
    </row>
    <row r="4409" spans="1:10" x14ac:dyDescent="0.25">
      <c r="A4409" s="55" t="s">
        <v>918</v>
      </c>
    </row>
    <row r="4410" spans="1:10" x14ac:dyDescent="0.25">
      <c r="A4410" t="s">
        <v>919</v>
      </c>
    </row>
    <row r="4411" spans="1:10" ht="25.5" customHeight="1" thickBot="1" x14ac:dyDescent="0.3">
      <c r="A4411" s="37"/>
    </row>
    <row r="4412" spans="1:10" x14ac:dyDescent="0.25">
      <c r="B4412" s="213"/>
      <c r="C4412" s="214"/>
      <c r="D4412" s="214"/>
      <c r="E4412" s="214"/>
      <c r="F4412" s="215"/>
    </row>
    <row r="4413" spans="1:10" ht="13.8" thickBot="1" x14ac:dyDescent="0.3">
      <c r="B4413" s="216"/>
      <c r="C4413" s="217"/>
      <c r="D4413" s="217"/>
      <c r="E4413" s="217"/>
      <c r="F4413" s="218"/>
    </row>
    <row r="4417" spans="1:10" ht="25.5" customHeight="1" x14ac:dyDescent="0.25">
      <c r="A4417" s="36"/>
      <c r="B4417" s="36"/>
      <c r="C4417" s="36"/>
      <c r="D4417" s="36"/>
      <c r="E4417" s="36"/>
      <c r="G4417" s="38"/>
      <c r="H4417" s="227" t="s">
        <v>159</v>
      </c>
      <c r="I4417" s="228"/>
    </row>
    <row r="4418" spans="1:10" x14ac:dyDescent="0.25">
      <c r="A4418" t="s">
        <v>158</v>
      </c>
    </row>
    <row r="4420" spans="1:10" x14ac:dyDescent="0.25">
      <c r="E4420" s="219" t="str">
        <f>CONCATENATE("(",$D4391," vs ",$I4391,")")</f>
        <v>(D vs L)</v>
      </c>
      <c r="F4420" s="219"/>
    </row>
    <row r="4421" spans="1:10" ht="15.6" x14ac:dyDescent="0.3">
      <c r="A4421" s="33" t="s">
        <v>155</v>
      </c>
      <c r="J4421" s="82" t="s">
        <v>601</v>
      </c>
    </row>
    <row r="4422" spans="1:10" ht="12.75" customHeight="1" x14ac:dyDescent="0.3">
      <c r="A4422" s="33"/>
      <c r="G4422" t="str">
        <f ca="1">Team_Matches!$J$6</f>
        <v>[NCTTA Teams Template (v3.4).xlsx]</v>
      </c>
      <c r="J4422" s="55"/>
    </row>
    <row r="4423" spans="1:10" ht="12.75" customHeight="1" x14ac:dyDescent="0.3">
      <c r="A4423" s="33"/>
      <c r="G4423" s="229" t="str">
        <f>Team_Matches!$J3322</f>
        <v>Round 11, Match 6</v>
      </c>
      <c r="H4423" s="229"/>
      <c r="I4423" s="127" t="str">
        <f>Team_Matches!$M3322</f>
        <v/>
      </c>
      <c r="J4423" s="127"/>
    </row>
    <row r="4424" spans="1:10" ht="15.6" x14ac:dyDescent="0.3">
      <c r="A4424" s="33"/>
    </row>
    <row r="4425" spans="1:10" x14ac:dyDescent="0.25">
      <c r="C4425" s="7" t="s">
        <v>160</v>
      </c>
      <c r="D4425" s="3" t="str">
        <f>Team_Matches!$B3324</f>
        <v>B</v>
      </c>
      <c r="F4425" s="83" t="str">
        <f>CONCATENATE($D4425,"-",$I4425)</f>
        <v>B-C</v>
      </c>
      <c r="H4425" s="7" t="s">
        <v>160</v>
      </c>
      <c r="I4425" s="3" t="str">
        <f>Team_Matches!$K3324</f>
        <v>C</v>
      </c>
    </row>
    <row r="4426" spans="1:10" ht="25.5" customHeight="1" x14ac:dyDescent="0.25">
      <c r="A4426" s="34"/>
      <c r="B4426" s="220" t="str">
        <f>IF(VLOOKUP($D4425,Draw!$A$4:$B$27,2)&lt;&gt;0,VLOOKUP($D4425,Draw!$A$4:$B$27,2),"")</f>
        <v/>
      </c>
      <c r="C4426" s="220"/>
      <c r="D4426" s="220"/>
      <c r="E4426" s="221"/>
      <c r="F4426" s="35"/>
      <c r="G4426" s="223" t="str">
        <f>IF(VLOOKUP($I4425,Draw!$A$4:$B$27,2)&lt;&gt;0,VLOOKUP($I4425,Draw!$A$4:$B$27,2),"")</f>
        <v/>
      </c>
      <c r="H4426" s="223"/>
      <c r="I4426" s="223"/>
      <c r="J4426" s="224"/>
    </row>
    <row r="4427" spans="1:10" ht="25.5" customHeight="1" x14ac:dyDescent="0.25"/>
    <row r="4428" spans="1:10" ht="25.5" customHeight="1" x14ac:dyDescent="0.25"/>
    <row r="4429" spans="1:10" ht="24" customHeight="1" x14ac:dyDescent="0.25">
      <c r="A4429" s="9" t="s">
        <v>178</v>
      </c>
    </row>
    <row r="4430" spans="1:10" ht="24" customHeight="1" x14ac:dyDescent="0.25">
      <c r="A4430" s="9"/>
    </row>
    <row r="4431" spans="1:10" x14ac:dyDescent="0.25">
      <c r="A4431" s="9" t="s">
        <v>156</v>
      </c>
      <c r="G4431" s="226" t="s">
        <v>873</v>
      </c>
      <c r="H4431" s="226"/>
      <c r="I4431" s="226"/>
      <c r="J4431" s="226"/>
    </row>
    <row r="4432" spans="1:10" ht="24" customHeight="1" x14ac:dyDescent="0.4">
      <c r="A4432" s="37" t="str">
        <f>CONCATENATE($D4425,"1")</f>
        <v>B1</v>
      </c>
      <c r="B4432" s="222" t="str">
        <f>IF(VLOOKUP($A4432,Players!$A$2:$C$132,3)&lt;&gt;0,VLOOKUP($A4432,Players!$A$2:$C$132,3),"")</f>
        <v/>
      </c>
      <c r="C4432" s="222"/>
      <c r="D4432" s="222"/>
      <c r="E4432" s="222"/>
      <c r="F4432" s="222"/>
      <c r="G4432" s="225" t="str">
        <f>IF(VLOOKUP($I4425&amp;RIGHT($A4432,1),Players!$A$2:$D$132,3)&lt;&gt;0,VLOOKUP($I4425&amp;RIGHT($A4432,1),Players!$A$2:$D$132,3),"")</f>
        <v/>
      </c>
      <c r="H4432" s="225"/>
      <c r="I4432" s="225"/>
      <c r="J4432" s="168" t="str">
        <f>IF(VLOOKUP($I4425&amp;RIGHT($A4432,1),Players!$A$2:$D$132,3)&lt;&gt;0,"("&amp;VLOOKUP($I4425&amp;RIGHT($A4432,1),Players!$A$2:$D$132,4)&amp;")","")</f>
        <v/>
      </c>
    </row>
    <row r="4433" spans="1:10" ht="25.5" customHeight="1" x14ac:dyDescent="0.4">
      <c r="A4433" s="37" t="str">
        <f>CONCATENATE($D4425,"2")</f>
        <v>B2</v>
      </c>
      <c r="B4433" s="222" t="str">
        <f>IF(VLOOKUP($A4433,Players!$A$2:$C$132,3)&lt;&gt;0,VLOOKUP($A4433,Players!$A$2:$C$132,3),"")</f>
        <v/>
      </c>
      <c r="C4433" s="222"/>
      <c r="D4433" s="222"/>
      <c r="E4433" s="222"/>
      <c r="F4433" s="222"/>
      <c r="G4433" s="225" t="str">
        <f>IF(VLOOKUP($I4425&amp;RIGHT($A4433,1),Players!$A$2:$D$132,3)&lt;&gt;0,VLOOKUP($I4425&amp;RIGHT($A4433,1),Players!$A$2:$D$132,3),"")</f>
        <v/>
      </c>
      <c r="H4433" s="225"/>
      <c r="I4433" s="225"/>
      <c r="J4433" s="168" t="str">
        <f>IF(VLOOKUP($I4425&amp;RIGHT($A4433,1),Players!$A$2:$D$132,3)&lt;&gt;0,"("&amp;VLOOKUP($I4425&amp;RIGHT($A4433,1),Players!$A$2:$D$132,4)&amp;")","")</f>
        <v/>
      </c>
    </row>
    <row r="4434" spans="1:10" ht="25.5" customHeight="1" x14ac:dyDescent="0.4">
      <c r="A4434" s="37" t="str">
        <f>CONCATENATE($D4425,"3")</f>
        <v>B3</v>
      </c>
      <c r="B4434" s="222" t="str">
        <f>IF(VLOOKUP($A4434,Players!$A$2:$C$132,3)&lt;&gt;0,VLOOKUP($A4434,Players!$A$2:$C$132,3),"")</f>
        <v/>
      </c>
      <c r="C4434" s="222"/>
      <c r="D4434" s="222"/>
      <c r="E4434" s="222"/>
      <c r="F4434" s="222"/>
      <c r="G4434" s="225" t="str">
        <f>IF(VLOOKUP($I4425&amp;RIGHT($A4434,1),Players!$A$2:$D$132,3)&lt;&gt;0,VLOOKUP($I4425&amp;RIGHT($A4434,1),Players!$A$2:$D$132,3),"")</f>
        <v/>
      </c>
      <c r="H4434" s="225"/>
      <c r="I4434" s="225"/>
      <c r="J4434" s="168" t="str">
        <f>IF(VLOOKUP($I4425&amp;RIGHT($A4434,1),Players!$A$2:$D$132,3)&lt;&gt;0,"("&amp;VLOOKUP($I4425&amp;RIGHT($A4434,1),Players!$A$2:$D$132,4)&amp;")","")</f>
        <v/>
      </c>
    </row>
    <row r="4435" spans="1:10" ht="25.5" customHeight="1" x14ac:dyDescent="0.4">
      <c r="A4435" s="37" t="str">
        <f>CONCATENATE($D4425,"4")</f>
        <v>B4</v>
      </c>
      <c r="B4435" s="222" t="str">
        <f>IF(VLOOKUP($A4435,Players!$A$2:$C$132,3)&lt;&gt;0,VLOOKUP($A4435,Players!$A$2:$C$132,3),"")</f>
        <v/>
      </c>
      <c r="C4435" s="222"/>
      <c r="D4435" s="222"/>
      <c r="E4435" s="222"/>
      <c r="F4435" s="222"/>
      <c r="G4435" s="225" t="str">
        <f>IF(VLOOKUP($I4425&amp;RIGHT($A4435,1),Players!$A$2:$D$132,3)&lt;&gt;0,VLOOKUP($I4425&amp;RIGHT($A4435,1),Players!$A$2:$D$132,3),"")</f>
        <v/>
      </c>
      <c r="H4435" s="225"/>
      <c r="I4435" s="225"/>
      <c r="J4435" s="168" t="str">
        <f>IF(VLOOKUP($I4425&amp;RIGHT($A4435,1),Players!$A$2:$D$132,3)&lt;&gt;0,"("&amp;VLOOKUP($I4425&amp;RIGHT($A4435,1),Players!$A$2:$D$132,4)&amp;")","")</f>
        <v/>
      </c>
    </row>
    <row r="4436" spans="1:10" ht="25.5" customHeight="1" x14ac:dyDescent="0.4">
      <c r="A4436" s="37" t="str">
        <f>CONCATENATE($D4425,"5")</f>
        <v>B5</v>
      </c>
      <c r="B4436" s="222" t="str">
        <f>IF(VLOOKUP($A4436,Players!$A$2:$C$132,3)&lt;&gt;0,VLOOKUP($A4436,Players!$A$2:$C$132,3),"")</f>
        <v/>
      </c>
      <c r="C4436" s="222"/>
      <c r="D4436" s="222"/>
      <c r="E4436" s="222"/>
      <c r="F4436" s="222"/>
      <c r="G4436" s="225" t="str">
        <f>IF(VLOOKUP($I4425&amp;RIGHT($A4436,1),Players!$A$2:$D$132,3)&lt;&gt;0,VLOOKUP($I4425&amp;RIGHT($A4436,1),Players!$A$2:$D$132,3),"")</f>
        <v/>
      </c>
      <c r="H4436" s="225"/>
      <c r="I4436" s="225"/>
      <c r="J4436" s="168" t="str">
        <f>IF(VLOOKUP($I4425&amp;RIGHT($A4436,1),Players!$A$2:$D$132,3)&lt;&gt;0,"("&amp;VLOOKUP($I4425&amp;RIGHT($A4436,1),Players!$A$2:$D$132,4)&amp;")","")</f>
        <v/>
      </c>
    </row>
    <row r="4437" spans="1:10" ht="25.5" customHeight="1" x14ac:dyDescent="0.4">
      <c r="A4437" s="37" t="str">
        <f>CONCATENATE($D4425,"6")</f>
        <v>B6</v>
      </c>
      <c r="B4437" s="222" t="str">
        <f>IF(VLOOKUP($A4437,Players!$A$2:$C$132,3)&lt;&gt;0,VLOOKUP($A4437,Players!$A$2:$C$132,3),"")</f>
        <v/>
      </c>
      <c r="C4437" s="222"/>
      <c r="D4437" s="222"/>
      <c r="E4437" s="222"/>
      <c r="F4437" s="222"/>
      <c r="G4437" s="225" t="str">
        <f>IF(VLOOKUP($I4425&amp;RIGHT($A4437,1),Players!$A$2:$D$132,3)&lt;&gt;0,VLOOKUP($I4425&amp;RIGHT($A4437,1),Players!$A$2:$D$132,3),"")</f>
        <v/>
      </c>
      <c r="H4437" s="225"/>
      <c r="I4437" s="225"/>
      <c r="J4437" s="168" t="str">
        <f>IF(VLOOKUP($I4425&amp;RIGHT($A4437,1),Players!$A$2:$D$132,3)&lt;&gt;0,"("&amp;VLOOKUP($I4425&amp;RIGHT($A4437,1),Players!$A$2:$D$132,4)&amp;")","")</f>
        <v/>
      </c>
    </row>
    <row r="4438" spans="1:10" ht="25.5" customHeight="1" x14ac:dyDescent="0.4">
      <c r="A4438" s="37" t="str">
        <f>CONCATENATE($D4425,"7")</f>
        <v>B7</v>
      </c>
      <c r="B4438" s="222" t="str">
        <f>IF(VLOOKUP($A4438,Players!$A$2:$C$132,3)&lt;&gt;0,VLOOKUP($A4438,Players!$A$2:$C$132,3),"")</f>
        <v/>
      </c>
      <c r="C4438" s="222"/>
      <c r="D4438" s="222"/>
      <c r="E4438" s="222"/>
      <c r="F4438" s="222"/>
      <c r="G4438" s="225" t="str">
        <f>IF(VLOOKUP($I4425&amp;RIGHT($A4438,1),Players!$A$2:$D$132,3)&lt;&gt;0,VLOOKUP($I4425&amp;RIGHT($A4438,1),Players!$A$2:$D$132,3),"")</f>
        <v/>
      </c>
      <c r="H4438" s="225"/>
      <c r="I4438" s="225"/>
      <c r="J4438" s="168" t="str">
        <f>IF(VLOOKUP($I4425&amp;RIGHT($A4438,1),Players!$A$2:$D$132,3)&lt;&gt;0,"("&amp;VLOOKUP($I4425&amp;RIGHT($A4438,1),Players!$A$2:$D$132,4)&amp;")","")</f>
        <v/>
      </c>
    </row>
    <row r="4439" spans="1:10" ht="25.5" customHeight="1" x14ac:dyDescent="0.4">
      <c r="A4439" s="37" t="str">
        <f>CONCATENATE($D4425,"8")</f>
        <v>B8</v>
      </c>
      <c r="B4439" s="222" t="str">
        <f>IF(VLOOKUP($A4439,Players!$A$2:$C$132,3)&lt;&gt;0,VLOOKUP($A4439,Players!$A$2:$C$132,3),"")</f>
        <v/>
      </c>
      <c r="C4439" s="222"/>
      <c r="D4439" s="222"/>
      <c r="E4439" s="222"/>
      <c r="F4439" s="222"/>
      <c r="G4439" s="225" t="str">
        <f>IF(VLOOKUP($I4425&amp;RIGHT($A4439,1),Players!$A$2:$D$132,3)&lt;&gt;0,VLOOKUP($I4425&amp;RIGHT($A4439,1),Players!$A$2:$D$132,3),"")</f>
        <v/>
      </c>
      <c r="H4439" s="225"/>
      <c r="I4439" s="225"/>
      <c r="J4439" s="168" t="str">
        <f>IF(VLOOKUP($I4425&amp;RIGHT($A4439,1),Players!$A$2:$D$132,3)&lt;&gt;0,"("&amp;VLOOKUP($I4425&amp;RIGHT($A4439,1),Players!$A$2:$D$132,4)&amp;")","")</f>
        <v/>
      </c>
    </row>
    <row r="4440" spans="1:10" ht="25.5" customHeight="1" x14ac:dyDescent="0.25">
      <c r="A4440" s="37"/>
      <c r="B4440" s="7"/>
      <c r="C4440" s="7"/>
      <c r="D4440" s="7"/>
      <c r="E4440" s="7"/>
    </row>
    <row r="4441" spans="1:10" x14ac:dyDescent="0.25">
      <c r="A4441" s="9" t="s">
        <v>157</v>
      </c>
    </row>
    <row r="4442" spans="1:10" x14ac:dyDescent="0.25">
      <c r="A4442" t="s">
        <v>179</v>
      </c>
    </row>
    <row r="4443" spans="1:10" x14ac:dyDescent="0.25">
      <c r="A4443" s="55" t="s">
        <v>918</v>
      </c>
    </row>
    <row r="4444" spans="1:10" x14ac:dyDescent="0.25">
      <c r="A4444" t="s">
        <v>919</v>
      </c>
    </row>
    <row r="4445" spans="1:10" ht="25.5" customHeight="1" thickBot="1" x14ac:dyDescent="0.3">
      <c r="A4445" s="37"/>
    </row>
    <row r="4446" spans="1:10" x14ac:dyDescent="0.25">
      <c r="B4446" s="213"/>
      <c r="C4446" s="214"/>
      <c r="D4446" s="214"/>
      <c r="E4446" s="214"/>
      <c r="F4446" s="215"/>
    </row>
    <row r="4447" spans="1:10" ht="13.8" thickBot="1" x14ac:dyDescent="0.3">
      <c r="B4447" s="216"/>
      <c r="C4447" s="217"/>
      <c r="D4447" s="217"/>
      <c r="E4447" s="217"/>
      <c r="F4447" s="218"/>
    </row>
    <row r="4451" spans="1:10" ht="25.5" customHeight="1" x14ac:dyDescent="0.25">
      <c r="A4451" s="36"/>
      <c r="B4451" s="36"/>
      <c r="C4451" s="36"/>
      <c r="D4451" s="36"/>
      <c r="E4451" s="36"/>
      <c r="G4451" s="38"/>
      <c r="H4451" s="227" t="s">
        <v>159</v>
      </c>
      <c r="I4451" s="228"/>
    </row>
    <row r="4452" spans="1:10" x14ac:dyDescent="0.25">
      <c r="A4452" t="s">
        <v>158</v>
      </c>
    </row>
    <row r="4454" spans="1:10" x14ac:dyDescent="0.25">
      <c r="E4454" s="219" t="str">
        <f>CONCATENATE("(",$D4425," vs ",$I4425,")")</f>
        <v>(B vs C)</v>
      </c>
      <c r="F4454" s="219"/>
    </row>
    <row r="4455" spans="1:10" ht="15.6" x14ac:dyDescent="0.3">
      <c r="A4455" s="33" t="s">
        <v>155</v>
      </c>
      <c r="J4455" s="82" t="s">
        <v>471</v>
      </c>
    </row>
    <row r="4456" spans="1:10" ht="12.75" customHeight="1" x14ac:dyDescent="0.3">
      <c r="A4456" s="33"/>
      <c r="G4456" t="str">
        <f ca="1">Team_Matches!$J$6</f>
        <v>[NCTTA Teams Template (v3.4).xlsx]</v>
      </c>
      <c r="J4456" s="55"/>
    </row>
    <row r="4457" spans="1:10" ht="12.75" customHeight="1" x14ac:dyDescent="0.3">
      <c r="A4457" s="33"/>
      <c r="G4457" s="229" t="str">
        <f>Team_Matches!$J3322</f>
        <v>Round 11, Match 6</v>
      </c>
      <c r="H4457" s="229"/>
      <c r="I4457" s="127" t="str">
        <f>Team_Matches!$M3322</f>
        <v/>
      </c>
      <c r="J4457" s="127"/>
    </row>
    <row r="4458" spans="1:10" ht="15.6" x14ac:dyDescent="0.3">
      <c r="A4458" s="33"/>
    </row>
    <row r="4459" spans="1:10" x14ac:dyDescent="0.25">
      <c r="C4459" s="7" t="s">
        <v>160</v>
      </c>
      <c r="D4459" s="3" t="str">
        <f>Team_Matches!$B3324</f>
        <v>B</v>
      </c>
      <c r="F4459" s="83" t="str">
        <f>CONCATENATE($D4459,"-",$I4459)</f>
        <v>B-C</v>
      </c>
      <c r="H4459" s="7" t="s">
        <v>160</v>
      </c>
      <c r="I4459" s="3" t="str">
        <f>Team_Matches!$K3324</f>
        <v>C</v>
      </c>
    </row>
    <row r="4460" spans="1:10" ht="25.5" customHeight="1" x14ac:dyDescent="0.25">
      <c r="A4460" s="34"/>
      <c r="B4460" s="223" t="str">
        <f>IF(VLOOKUP($D4459,Draw!$A$4:$B$27,2)&lt;&gt;0,VLOOKUP($D4459,Draw!$A$4:$B$27,2),"")</f>
        <v/>
      </c>
      <c r="C4460" s="223"/>
      <c r="D4460" s="223"/>
      <c r="E4460" s="224"/>
      <c r="F4460" s="35"/>
      <c r="G4460" s="220" t="str">
        <f>IF(VLOOKUP($I4459,Draw!$A$4:$B$27,2)&lt;&gt;0,VLOOKUP($I4459,Draw!$A$4:$B$27,2),"")</f>
        <v/>
      </c>
      <c r="H4460" s="220"/>
      <c r="I4460" s="220"/>
      <c r="J4460" s="221"/>
    </row>
    <row r="4461" spans="1:10" ht="25.5" customHeight="1" x14ac:dyDescent="0.25"/>
    <row r="4462" spans="1:10" ht="25.5" customHeight="1" x14ac:dyDescent="0.25"/>
    <row r="4463" spans="1:10" ht="24" customHeight="1" x14ac:dyDescent="0.25">
      <c r="A4463" s="9" t="s">
        <v>178</v>
      </c>
    </row>
    <row r="4464" spans="1:10" ht="24" customHeight="1" x14ac:dyDescent="0.25">
      <c r="A4464" s="9"/>
    </row>
    <row r="4465" spans="1:10" x14ac:dyDescent="0.25">
      <c r="A4465" s="9" t="s">
        <v>156</v>
      </c>
      <c r="G4465" s="226" t="s">
        <v>873</v>
      </c>
      <c r="H4465" s="226"/>
      <c r="I4465" s="226"/>
      <c r="J4465" s="226"/>
    </row>
    <row r="4466" spans="1:10" ht="24" customHeight="1" x14ac:dyDescent="0.4">
      <c r="A4466" s="37" t="str">
        <f>CONCATENATE($I4459,"1")</f>
        <v>C1</v>
      </c>
      <c r="B4466" s="222" t="str">
        <f>IF(VLOOKUP($A4466,Players!$A$2:$C$132,3)&lt;&gt;0,VLOOKUP($A4466,Players!$A$2:$C$132,3),"")</f>
        <v/>
      </c>
      <c r="C4466" s="222"/>
      <c r="D4466" s="222"/>
      <c r="E4466" s="222"/>
      <c r="F4466" s="222"/>
      <c r="G4466" s="225" t="str">
        <f>IF(VLOOKUP($D4459&amp;RIGHT($A4466,1),Players!$A$2:$D$132,3)&lt;&gt;0,VLOOKUP($D4459&amp;RIGHT($A4466,1),Players!$A$2:$D$132,3),"")</f>
        <v/>
      </c>
      <c r="H4466" s="225"/>
      <c r="I4466" s="225"/>
      <c r="J4466" s="168" t="str">
        <f>IF(VLOOKUP($D4459&amp;RIGHT($A4466,1),Players!$A$2:$D$132,3)&lt;&gt;0,"("&amp;VLOOKUP($D4459&amp;RIGHT($A4466,1),Players!$A$2:$D$132,4)&amp;")","")</f>
        <v/>
      </c>
    </row>
    <row r="4467" spans="1:10" ht="25.5" customHeight="1" x14ac:dyDescent="0.4">
      <c r="A4467" s="37" t="str">
        <f>CONCATENATE($I4459,"2")</f>
        <v>C2</v>
      </c>
      <c r="B4467" s="222" t="str">
        <f>IF(VLOOKUP($A4467,Players!$A$2:$C$132,3)&lt;&gt;0,VLOOKUP($A4467,Players!$A$2:$C$132,3),"")</f>
        <v/>
      </c>
      <c r="C4467" s="222"/>
      <c r="D4467" s="222"/>
      <c r="E4467" s="222"/>
      <c r="F4467" s="222"/>
      <c r="G4467" s="225" t="str">
        <f>IF(VLOOKUP($D4459&amp;RIGHT($A4467,1),Players!$A$2:$D$132,3)&lt;&gt;0,VLOOKUP($D4459&amp;RIGHT($A4467,1),Players!$A$2:$D$132,3),"")</f>
        <v/>
      </c>
      <c r="H4467" s="225"/>
      <c r="I4467" s="225"/>
      <c r="J4467" s="168" t="str">
        <f>IF(VLOOKUP($D4459&amp;RIGHT($A4467,1),Players!$A$2:$D$132,3)&lt;&gt;0,"("&amp;VLOOKUP($D4459&amp;RIGHT($A4467,1),Players!$A$2:$D$132,4)&amp;")","")</f>
        <v/>
      </c>
    </row>
    <row r="4468" spans="1:10" ht="25.5" customHeight="1" x14ac:dyDescent="0.4">
      <c r="A4468" s="37" t="str">
        <f>CONCATENATE($I4459,"3")</f>
        <v>C3</v>
      </c>
      <c r="B4468" s="222" t="str">
        <f>IF(VLOOKUP($A4468,Players!$A$2:$C$132,3)&lt;&gt;0,VLOOKUP($A4468,Players!$A$2:$C$132,3),"")</f>
        <v/>
      </c>
      <c r="C4468" s="222"/>
      <c r="D4468" s="222"/>
      <c r="E4468" s="222"/>
      <c r="F4468" s="222"/>
      <c r="G4468" s="225" t="str">
        <f>IF(VLOOKUP($D4459&amp;RIGHT($A4468,1),Players!$A$2:$D$132,3)&lt;&gt;0,VLOOKUP($D4459&amp;RIGHT($A4468,1),Players!$A$2:$D$132,3),"")</f>
        <v/>
      </c>
      <c r="H4468" s="225"/>
      <c r="I4468" s="225"/>
      <c r="J4468" s="168" t="str">
        <f>IF(VLOOKUP($D4459&amp;RIGHT($A4468,1),Players!$A$2:$D$132,3)&lt;&gt;0,"("&amp;VLOOKUP($D4459&amp;RIGHT($A4468,1),Players!$A$2:$D$132,4)&amp;")","")</f>
        <v/>
      </c>
    </row>
    <row r="4469" spans="1:10" ht="25.5" customHeight="1" x14ac:dyDescent="0.4">
      <c r="A4469" s="37" t="str">
        <f>CONCATENATE($I4459,"4")</f>
        <v>C4</v>
      </c>
      <c r="B4469" s="222" t="str">
        <f>IF(VLOOKUP($A4469,Players!$A$2:$C$132,3)&lt;&gt;0,VLOOKUP($A4469,Players!$A$2:$C$132,3),"")</f>
        <v/>
      </c>
      <c r="C4469" s="222"/>
      <c r="D4469" s="222"/>
      <c r="E4469" s="222"/>
      <c r="F4469" s="222"/>
      <c r="G4469" s="225" t="str">
        <f>IF(VLOOKUP($D4459&amp;RIGHT($A4469,1),Players!$A$2:$D$132,3)&lt;&gt;0,VLOOKUP($D4459&amp;RIGHT($A4469,1),Players!$A$2:$D$132,3),"")</f>
        <v/>
      </c>
      <c r="H4469" s="225"/>
      <c r="I4469" s="225"/>
      <c r="J4469" s="168" t="str">
        <f>IF(VLOOKUP($D4459&amp;RIGHT($A4469,1),Players!$A$2:$D$132,3)&lt;&gt;0,"("&amp;VLOOKUP($D4459&amp;RIGHT($A4469,1),Players!$A$2:$D$132,4)&amp;")","")</f>
        <v/>
      </c>
    </row>
    <row r="4470" spans="1:10" ht="25.5" customHeight="1" x14ac:dyDescent="0.4">
      <c r="A4470" s="37" t="str">
        <f>CONCATENATE($I4459,"5")</f>
        <v>C5</v>
      </c>
      <c r="B4470" s="222" t="str">
        <f>IF(VLOOKUP($A4470,Players!$A$2:$C$132,3)&lt;&gt;0,VLOOKUP($A4470,Players!$A$2:$C$132,3),"")</f>
        <v/>
      </c>
      <c r="C4470" s="222"/>
      <c r="D4470" s="222"/>
      <c r="E4470" s="222"/>
      <c r="F4470" s="222"/>
      <c r="G4470" s="225" t="str">
        <f>IF(VLOOKUP($D4459&amp;RIGHT($A4470,1),Players!$A$2:$D$132,3)&lt;&gt;0,VLOOKUP($D4459&amp;RIGHT($A4470,1),Players!$A$2:$D$132,3),"")</f>
        <v/>
      </c>
      <c r="H4470" s="225"/>
      <c r="I4470" s="225"/>
      <c r="J4470" s="168" t="str">
        <f>IF(VLOOKUP($D4459&amp;RIGHT($A4470,1),Players!$A$2:$D$132,3)&lt;&gt;0,"("&amp;VLOOKUP($D4459&amp;RIGHT($A4470,1),Players!$A$2:$D$132,4)&amp;")","")</f>
        <v/>
      </c>
    </row>
    <row r="4471" spans="1:10" ht="25.5" customHeight="1" x14ac:dyDescent="0.4">
      <c r="A4471" s="37" t="str">
        <f>CONCATENATE($I4459,"6")</f>
        <v>C6</v>
      </c>
      <c r="B4471" s="222" t="str">
        <f>IF(VLOOKUP($A4471,Players!$A$2:$C$132,3)&lt;&gt;0,VLOOKUP($A4471,Players!$A$2:$C$132,3),"")</f>
        <v/>
      </c>
      <c r="C4471" s="222"/>
      <c r="D4471" s="222"/>
      <c r="E4471" s="222"/>
      <c r="F4471" s="222"/>
      <c r="G4471" s="225" t="str">
        <f>IF(VLOOKUP($D4459&amp;RIGHT($A4471,1),Players!$A$2:$D$132,3)&lt;&gt;0,VLOOKUP($D4459&amp;RIGHT($A4471,1),Players!$A$2:$D$132,3),"")</f>
        <v/>
      </c>
      <c r="H4471" s="225"/>
      <c r="I4471" s="225"/>
      <c r="J4471" s="168" t="str">
        <f>IF(VLOOKUP($D4459&amp;RIGHT($A4471,1),Players!$A$2:$D$132,3)&lt;&gt;0,"("&amp;VLOOKUP($D4459&amp;RIGHT($A4471,1),Players!$A$2:$D$132,4)&amp;")","")</f>
        <v/>
      </c>
    </row>
    <row r="4472" spans="1:10" ht="25.5" customHeight="1" x14ac:dyDescent="0.4">
      <c r="A4472" s="37" t="str">
        <f>CONCATENATE($I4459,"7")</f>
        <v>C7</v>
      </c>
      <c r="B4472" s="222" t="str">
        <f>IF(VLOOKUP($A4472,Players!$A$2:$C$132,3)&lt;&gt;0,VLOOKUP($A4472,Players!$A$2:$C$132,3),"")</f>
        <v/>
      </c>
      <c r="C4472" s="222"/>
      <c r="D4472" s="222"/>
      <c r="E4472" s="222"/>
      <c r="F4472" s="222"/>
      <c r="G4472" s="225" t="str">
        <f>IF(VLOOKUP($D4459&amp;RIGHT($A4472,1),Players!$A$2:$D$132,3)&lt;&gt;0,VLOOKUP($D4459&amp;RIGHT($A4472,1),Players!$A$2:$D$132,3),"")</f>
        <v/>
      </c>
      <c r="H4472" s="225"/>
      <c r="I4472" s="225"/>
      <c r="J4472" s="168" t="str">
        <f>IF(VLOOKUP($D4459&amp;RIGHT($A4472,1),Players!$A$2:$D$132,3)&lt;&gt;0,"("&amp;VLOOKUP($D4459&amp;RIGHT($A4472,1),Players!$A$2:$D$132,4)&amp;")","")</f>
        <v/>
      </c>
    </row>
    <row r="4473" spans="1:10" ht="25.5" customHeight="1" x14ac:dyDescent="0.4">
      <c r="A4473" s="37" t="str">
        <f>CONCATENATE($I4459,"8")</f>
        <v>C8</v>
      </c>
      <c r="B4473" s="222" t="str">
        <f>IF(VLOOKUP($A4473,Players!$A$2:$C$132,3)&lt;&gt;0,VLOOKUP($A4473,Players!$A$2:$C$132,3),"")</f>
        <v/>
      </c>
      <c r="C4473" s="222"/>
      <c r="D4473" s="222"/>
      <c r="E4473" s="222"/>
      <c r="F4473" s="222"/>
      <c r="G4473" s="225" t="str">
        <f>IF(VLOOKUP($D4459&amp;RIGHT($A4473,1),Players!$A$2:$D$132,3)&lt;&gt;0,VLOOKUP($D4459&amp;RIGHT($A4473,1),Players!$A$2:$D$132,3),"")</f>
        <v/>
      </c>
      <c r="H4473" s="225"/>
      <c r="I4473" s="225"/>
      <c r="J4473" s="168" t="str">
        <f>IF(VLOOKUP($D4459&amp;RIGHT($A4473,1),Players!$A$2:$D$132,3)&lt;&gt;0,"("&amp;VLOOKUP($D4459&amp;RIGHT($A4473,1),Players!$A$2:$D$132,4)&amp;")","")</f>
        <v/>
      </c>
    </row>
    <row r="4474" spans="1:10" ht="25.5" customHeight="1" x14ac:dyDescent="0.25">
      <c r="A4474" s="37"/>
      <c r="B4474" s="7"/>
      <c r="C4474" s="7"/>
      <c r="D4474" s="7"/>
      <c r="E4474" s="7"/>
    </row>
    <row r="4475" spans="1:10" x14ac:dyDescent="0.25">
      <c r="A4475" s="9" t="s">
        <v>157</v>
      </c>
    </row>
    <row r="4476" spans="1:10" x14ac:dyDescent="0.25">
      <c r="A4476" t="s">
        <v>179</v>
      </c>
    </row>
    <row r="4477" spans="1:10" x14ac:dyDescent="0.25">
      <c r="A4477" s="55" t="s">
        <v>918</v>
      </c>
    </row>
    <row r="4478" spans="1:10" x14ac:dyDescent="0.25">
      <c r="A4478" t="s">
        <v>919</v>
      </c>
    </row>
    <row r="4479" spans="1:10" ht="25.5" customHeight="1" thickBot="1" x14ac:dyDescent="0.3">
      <c r="A4479" s="37"/>
    </row>
    <row r="4480" spans="1:10" x14ac:dyDescent="0.25">
      <c r="B4480" s="213"/>
      <c r="C4480" s="214"/>
      <c r="D4480" s="214"/>
      <c r="E4480" s="214"/>
      <c r="F4480" s="215"/>
    </row>
    <row r="4481" spans="1:9" ht="13.8" thickBot="1" x14ac:dyDescent="0.3">
      <c r="B4481" s="216"/>
      <c r="C4481" s="217"/>
      <c r="D4481" s="217"/>
      <c r="E4481" s="217"/>
      <c r="F4481" s="218"/>
    </row>
    <row r="4485" spans="1:9" ht="25.5" customHeight="1" x14ac:dyDescent="0.25">
      <c r="A4485" s="36"/>
      <c r="B4485" s="36"/>
      <c r="C4485" s="36"/>
      <c r="D4485" s="36"/>
      <c r="E4485" s="36"/>
      <c r="G4485" s="38"/>
      <c r="H4485" s="227" t="s">
        <v>159</v>
      </c>
      <c r="I4485" s="228"/>
    </row>
    <row r="4486" spans="1:9" x14ac:dyDescent="0.25">
      <c r="A4486" t="s">
        <v>158</v>
      </c>
    </row>
    <row r="4488" spans="1:9" x14ac:dyDescent="0.25">
      <c r="E4488" s="219" t="str">
        <f>CONCATENATE("(",$D4459," vs ",$I4459,")")</f>
        <v>(B vs C)</v>
      </c>
      <c r="F4488" s="219"/>
    </row>
  </sheetData>
  <sheetProtection sheet="1" objects="1" scenarios="1"/>
  <mergeCells count="3037">
    <mergeCell ref="G4457:H4457"/>
    <mergeCell ref="G4392:J4392"/>
    <mergeCell ref="H4417:I4417"/>
    <mergeCell ref="G4426:J4426"/>
    <mergeCell ref="G2080:J2080"/>
    <mergeCell ref="G2111:H2111"/>
    <mergeCell ref="G2145:H2145"/>
    <mergeCell ref="G2179:H2179"/>
    <mergeCell ref="G2148:J2148"/>
    <mergeCell ref="H1799:I1799"/>
    <mergeCell ref="G1635:H1635"/>
    <mergeCell ref="G1638:J1638"/>
    <mergeCell ref="G2417:H2417"/>
    <mergeCell ref="G2420:J2420"/>
    <mergeCell ref="H2411:I2411"/>
    <mergeCell ref="H2615:I2615"/>
    <mergeCell ref="G2621:H2621"/>
    <mergeCell ref="H4383:I4383"/>
    <mergeCell ref="G1672:J1672"/>
    <mergeCell ref="G3346:I3346"/>
    <mergeCell ref="G2862:J2862"/>
    <mergeCell ref="G2859:H2859"/>
    <mergeCell ref="G2825:H2825"/>
    <mergeCell ref="H2105:I2105"/>
    <mergeCell ref="H3023:I3023"/>
    <mergeCell ref="G3029:H3029"/>
    <mergeCell ref="G2961:H2961"/>
    <mergeCell ref="G2964:J2964"/>
    <mergeCell ref="H2955:I2955"/>
    <mergeCell ref="H3295:I3295"/>
    <mergeCell ref="G3301:H3301"/>
    <mergeCell ref="G3655:I3655"/>
    <mergeCell ref="B1819:F1819"/>
    <mergeCell ref="G615:H615"/>
    <mergeCell ref="B1817:F1817"/>
    <mergeCell ref="B1818:F1818"/>
    <mergeCell ref="G1774:J1774"/>
    <mergeCell ref="G1023:H1023"/>
    <mergeCell ref="G1057:H1057"/>
    <mergeCell ref="G173:H173"/>
    <mergeCell ref="G207:H207"/>
    <mergeCell ref="H201:I201"/>
    <mergeCell ref="G176:J176"/>
    <mergeCell ref="G445:H445"/>
    <mergeCell ref="H541:I541"/>
    <mergeCell ref="H915:I915"/>
    <mergeCell ref="H779:I779"/>
    <mergeCell ref="G1941:H1941"/>
    <mergeCell ref="G1975:H1975"/>
    <mergeCell ref="E1836:F1836"/>
    <mergeCell ref="B1842:E1842"/>
    <mergeCell ref="G1842:J1842"/>
    <mergeCell ref="B1820:F1820"/>
    <mergeCell ref="B1821:F1821"/>
    <mergeCell ref="H1833:I1833"/>
    <mergeCell ref="B1848:F1848"/>
    <mergeCell ref="G1873:H1873"/>
    <mergeCell ref="G1808:J1808"/>
    <mergeCell ref="G1876:J1876"/>
    <mergeCell ref="G1944:J1944"/>
    <mergeCell ref="H1935:I1935"/>
    <mergeCell ref="B1816:F1816"/>
    <mergeCell ref="B1814:F1814"/>
    <mergeCell ref="G1567:H1567"/>
    <mergeCell ref="B1815:F1815"/>
    <mergeCell ref="G785:H785"/>
    <mergeCell ref="G955:H955"/>
    <mergeCell ref="G989:H989"/>
    <mergeCell ref="G1431:H1431"/>
    <mergeCell ref="G819:H819"/>
    <mergeCell ref="G853:H853"/>
    <mergeCell ref="G1091:H1091"/>
    <mergeCell ref="G1125:H1125"/>
    <mergeCell ref="B1748:F1748"/>
    <mergeCell ref="B1749:F1749"/>
    <mergeCell ref="B1783:F1783"/>
    <mergeCell ref="H1697:I1697"/>
    <mergeCell ref="E1700:F1700"/>
    <mergeCell ref="B1680:F1680"/>
    <mergeCell ref="B1681:F1681"/>
    <mergeCell ref="B1785:F1785"/>
    <mergeCell ref="B1750:F1750"/>
    <mergeCell ref="B1751:F1751"/>
    <mergeCell ref="B1753:F1753"/>
    <mergeCell ref="B1781:F1781"/>
    <mergeCell ref="G1703:H1703"/>
    <mergeCell ref="G1737:H1737"/>
    <mergeCell ref="B1706:E1706"/>
    <mergeCell ref="B1712:F1712"/>
    <mergeCell ref="B1713:F1713"/>
    <mergeCell ref="B1714:F1714"/>
    <mergeCell ref="B1715:F1715"/>
    <mergeCell ref="B1716:F1716"/>
    <mergeCell ref="B1684:F1684"/>
    <mergeCell ref="B1682:F1682"/>
    <mergeCell ref="G1601:H1601"/>
    <mergeCell ref="B1786:F1786"/>
    <mergeCell ref="B1787:F1787"/>
    <mergeCell ref="E1802:F1802"/>
    <mergeCell ref="B1808:E1808"/>
    <mergeCell ref="H949:I949"/>
    <mergeCell ref="H813:I813"/>
    <mergeCell ref="G887:H887"/>
    <mergeCell ref="G921:H921"/>
    <mergeCell ref="G547:H547"/>
    <mergeCell ref="B1784:F1784"/>
    <mergeCell ref="B1718:F1718"/>
    <mergeCell ref="B1719:F1719"/>
    <mergeCell ref="B1746:F1746"/>
    <mergeCell ref="B1747:F1747"/>
    <mergeCell ref="E1734:F1734"/>
    <mergeCell ref="B1780:F1780"/>
    <mergeCell ref="B1740:E1740"/>
    <mergeCell ref="B1717:F1717"/>
    <mergeCell ref="G1669:H1669"/>
    <mergeCell ref="G1706:J1706"/>
    <mergeCell ref="G581:H581"/>
    <mergeCell ref="G683:H683"/>
    <mergeCell ref="G717:H717"/>
    <mergeCell ref="G751:H751"/>
    <mergeCell ref="H745:I745"/>
    <mergeCell ref="G618:J618"/>
    <mergeCell ref="G652:J652"/>
    <mergeCell ref="G584:J584"/>
    <mergeCell ref="B1683:F1683"/>
    <mergeCell ref="B1650:F1650"/>
    <mergeCell ref="G1771:H1771"/>
    <mergeCell ref="G661:I661"/>
    <mergeCell ref="G662:I662"/>
    <mergeCell ref="G663:I663"/>
    <mergeCell ref="G664:I664"/>
    <mergeCell ref="G665:I665"/>
    <mergeCell ref="G453:J453"/>
    <mergeCell ref="G454:I454"/>
    <mergeCell ref="G455:I455"/>
    <mergeCell ref="G456:I456"/>
    <mergeCell ref="G457:I457"/>
    <mergeCell ref="G479:H479"/>
    <mergeCell ref="G513:H513"/>
    <mergeCell ref="G555:J555"/>
    <mergeCell ref="G556:I556"/>
    <mergeCell ref="G557:I557"/>
    <mergeCell ref="G558:I558"/>
    <mergeCell ref="G559:I559"/>
    <mergeCell ref="G560:I560"/>
    <mergeCell ref="G561:I561"/>
    <mergeCell ref="G562:I562"/>
    <mergeCell ref="G550:J550"/>
    <mergeCell ref="G658:I658"/>
    <mergeCell ref="G659:I659"/>
    <mergeCell ref="G660:I660"/>
    <mergeCell ref="B1678:F1678"/>
    <mergeCell ref="B1679:F1679"/>
    <mergeCell ref="B1685:F1685"/>
    <mergeCell ref="B1782:F1782"/>
    <mergeCell ref="B1752:F1752"/>
    <mergeCell ref="E1768:F1768"/>
    <mergeCell ref="B1774:E1774"/>
    <mergeCell ref="B1578:F1578"/>
    <mergeCell ref="B1579:F1579"/>
    <mergeCell ref="B1582:F1582"/>
    <mergeCell ref="B1583:F1583"/>
    <mergeCell ref="E1632:F1632"/>
    <mergeCell ref="B1610:F1610"/>
    <mergeCell ref="B1611:F1611"/>
    <mergeCell ref="B1614:F1614"/>
    <mergeCell ref="B1644:F1644"/>
    <mergeCell ref="B1645:F1645"/>
    <mergeCell ref="B1646:F1646"/>
    <mergeCell ref="B1647:F1647"/>
    <mergeCell ref="B1615:F1615"/>
    <mergeCell ref="B1612:F1612"/>
    <mergeCell ref="B1613:F1613"/>
    <mergeCell ref="B1616:F1616"/>
    <mergeCell ref="E1598:F1598"/>
    <mergeCell ref="B1604:E1604"/>
    <mergeCell ref="B1580:F1580"/>
    <mergeCell ref="B1581:F1581"/>
    <mergeCell ref="B1638:E1638"/>
    <mergeCell ref="E1666:F1666"/>
    <mergeCell ref="B1672:E1672"/>
    <mergeCell ref="B1648:F1648"/>
    <mergeCell ref="B1649:F1649"/>
    <mergeCell ref="B1549:F1549"/>
    <mergeCell ref="B1617:F1617"/>
    <mergeCell ref="H1629:I1629"/>
    <mergeCell ref="B1577:F1577"/>
    <mergeCell ref="B1651:F1651"/>
    <mergeCell ref="B1576:F1576"/>
    <mergeCell ref="G1583:I1583"/>
    <mergeCell ref="G1643:J1643"/>
    <mergeCell ref="G1644:I1644"/>
    <mergeCell ref="G1645:I1645"/>
    <mergeCell ref="G1646:I1646"/>
    <mergeCell ref="G1647:I1647"/>
    <mergeCell ref="G1648:I1648"/>
    <mergeCell ref="G1649:I1649"/>
    <mergeCell ref="G1650:I1650"/>
    <mergeCell ref="G1575:J1575"/>
    <mergeCell ref="G1576:I1576"/>
    <mergeCell ref="G1577:I1577"/>
    <mergeCell ref="G1578:I1578"/>
    <mergeCell ref="G1579:I1579"/>
    <mergeCell ref="G1580:I1580"/>
    <mergeCell ref="G1581:I1581"/>
    <mergeCell ref="G1582:I1582"/>
    <mergeCell ref="G1609:J1609"/>
    <mergeCell ref="G1610:I1610"/>
    <mergeCell ref="G1611:I1611"/>
    <mergeCell ref="G1612:I1612"/>
    <mergeCell ref="G1613:I1613"/>
    <mergeCell ref="H1595:I1595"/>
    <mergeCell ref="G1614:I1614"/>
    <mergeCell ref="G1615:I1615"/>
    <mergeCell ref="G1616:I1616"/>
    <mergeCell ref="B1546:F1546"/>
    <mergeCell ref="B1547:F1547"/>
    <mergeCell ref="B1570:E1570"/>
    <mergeCell ref="G1570:J1570"/>
    <mergeCell ref="G1604:J1604"/>
    <mergeCell ref="B1440:F1440"/>
    <mergeCell ref="B1441:F1441"/>
    <mergeCell ref="B1442:F1442"/>
    <mergeCell ref="B1443:F1443"/>
    <mergeCell ref="H1459:I1459"/>
    <mergeCell ref="E1462:F1462"/>
    <mergeCell ref="B1481:F1481"/>
    <mergeCell ref="H1561:I1561"/>
    <mergeCell ref="E1564:F1564"/>
    <mergeCell ref="B1544:F1544"/>
    <mergeCell ref="B1545:F1545"/>
    <mergeCell ref="B1548:F1548"/>
    <mergeCell ref="B1502:E1502"/>
    <mergeCell ref="G1502:J1502"/>
    <mergeCell ref="G1536:J1536"/>
    <mergeCell ref="B1508:F1508"/>
    <mergeCell ref="B1509:F1509"/>
    <mergeCell ref="B1510:F1510"/>
    <mergeCell ref="B1511:F1511"/>
    <mergeCell ref="H1527:I1527"/>
    <mergeCell ref="B1542:F1542"/>
    <mergeCell ref="G1465:H1465"/>
    <mergeCell ref="B1444:F1444"/>
    <mergeCell ref="B1445:F1445"/>
    <mergeCell ref="G1468:J1468"/>
    <mergeCell ref="E1530:F1530"/>
    <mergeCell ref="B1536:E1536"/>
    <mergeCell ref="B1310:F1310"/>
    <mergeCell ref="B1446:F1446"/>
    <mergeCell ref="B1447:F1447"/>
    <mergeCell ref="B1468:E1468"/>
    <mergeCell ref="H1493:I1493"/>
    <mergeCell ref="B1474:F1474"/>
    <mergeCell ref="B1475:F1475"/>
    <mergeCell ref="B1478:F1478"/>
    <mergeCell ref="B1479:F1479"/>
    <mergeCell ref="B1476:F1476"/>
    <mergeCell ref="B1477:F1477"/>
    <mergeCell ref="B1480:F1480"/>
    <mergeCell ref="B1411:F1411"/>
    <mergeCell ref="B1372:F1372"/>
    <mergeCell ref="B1373:F1373"/>
    <mergeCell ref="B1374:F1374"/>
    <mergeCell ref="B1375:F1375"/>
    <mergeCell ref="B1406:F1406"/>
    <mergeCell ref="B1407:F1407"/>
    <mergeCell ref="G1434:J1434"/>
    <mergeCell ref="B1413:F1413"/>
    <mergeCell ref="H1425:I1425"/>
    <mergeCell ref="E1428:F1428"/>
    <mergeCell ref="B1410:F1410"/>
    <mergeCell ref="B1512:F1512"/>
    <mergeCell ref="B1513:F1513"/>
    <mergeCell ref="B1514:F1514"/>
    <mergeCell ref="B1515:F1515"/>
    <mergeCell ref="E1496:F1496"/>
    <mergeCell ref="B1400:E1400"/>
    <mergeCell ref="H1391:I1391"/>
    <mergeCell ref="E1394:F1394"/>
    <mergeCell ref="B1376:F1376"/>
    <mergeCell ref="B1377:F1377"/>
    <mergeCell ref="B1378:F1378"/>
    <mergeCell ref="G1445:I1445"/>
    <mergeCell ref="G1446:I1446"/>
    <mergeCell ref="G1447:I1447"/>
    <mergeCell ref="G1329:H1329"/>
    <mergeCell ref="G1366:J1366"/>
    <mergeCell ref="G1363:H1363"/>
    <mergeCell ref="G1340:I1340"/>
    <mergeCell ref="G1341:I1341"/>
    <mergeCell ref="G1342:I1342"/>
    <mergeCell ref="G1343:I1343"/>
    <mergeCell ref="G1344:I1344"/>
    <mergeCell ref="G1345:I1345"/>
    <mergeCell ref="G1405:J1405"/>
    <mergeCell ref="G1406:I1406"/>
    <mergeCell ref="G1407:I1407"/>
    <mergeCell ref="G1408:I1408"/>
    <mergeCell ref="G1409:I1409"/>
    <mergeCell ref="G1410:I1410"/>
    <mergeCell ref="G1499:H1499"/>
    <mergeCell ref="B1298:E1298"/>
    <mergeCell ref="B1277:F1277"/>
    <mergeCell ref="H1289:I1289"/>
    <mergeCell ref="E1292:F1292"/>
    <mergeCell ref="H1323:I1323"/>
    <mergeCell ref="E1326:F1326"/>
    <mergeCell ref="B1311:F1311"/>
    <mergeCell ref="B1366:E1366"/>
    <mergeCell ref="B1345:F1345"/>
    <mergeCell ref="E1360:F1360"/>
    <mergeCell ref="B1237:F1237"/>
    <mergeCell ref="G1295:H1295"/>
    <mergeCell ref="B1308:F1308"/>
    <mergeCell ref="B1408:F1408"/>
    <mergeCell ref="G1400:J1400"/>
    <mergeCell ref="G1397:H1397"/>
    <mergeCell ref="B1342:F1342"/>
    <mergeCell ref="B1343:F1343"/>
    <mergeCell ref="H1357:I1357"/>
    <mergeCell ref="B1339:F1339"/>
    <mergeCell ref="B1332:E1332"/>
    <mergeCell ref="B1340:F1340"/>
    <mergeCell ref="B1341:F1341"/>
    <mergeCell ref="B1344:F1344"/>
    <mergeCell ref="G1298:J1298"/>
    <mergeCell ref="G1332:J1332"/>
    <mergeCell ref="B1304:F1304"/>
    <mergeCell ref="B1305:F1305"/>
    <mergeCell ref="B1306:F1306"/>
    <mergeCell ref="B1238:F1238"/>
    <mergeCell ref="B1239:F1239"/>
    <mergeCell ref="H1255:I1255"/>
    <mergeCell ref="E1258:F1258"/>
    <mergeCell ref="B1264:E1264"/>
    <mergeCell ref="B1240:F1240"/>
    <mergeCell ref="B1241:F1241"/>
    <mergeCell ref="B1172:F1172"/>
    <mergeCell ref="B1173:F1173"/>
    <mergeCell ref="B1174:F1174"/>
    <mergeCell ref="B1175:F1175"/>
    <mergeCell ref="B1230:E1230"/>
    <mergeCell ref="B1209:F1209"/>
    <mergeCell ref="E1224:F1224"/>
    <mergeCell ref="B1202:F1202"/>
    <mergeCell ref="G1261:H1261"/>
    <mergeCell ref="B1203:F1203"/>
    <mergeCell ref="B1206:F1206"/>
    <mergeCell ref="B1207:F1207"/>
    <mergeCell ref="B1204:F1204"/>
    <mergeCell ref="B1205:F1205"/>
    <mergeCell ref="B1208:F1208"/>
    <mergeCell ref="G1264:J1264"/>
    <mergeCell ref="B1236:F1236"/>
    <mergeCell ref="B1242:F1242"/>
    <mergeCell ref="B1243:F1243"/>
    <mergeCell ref="G1173:I1173"/>
    <mergeCell ref="G1174:I1174"/>
    <mergeCell ref="G1227:H1227"/>
    <mergeCell ref="H1221:I1221"/>
    <mergeCell ref="G1230:J1230"/>
    <mergeCell ref="G1235:J1235"/>
    <mergeCell ref="G1236:I1236"/>
    <mergeCell ref="G1237:I1237"/>
    <mergeCell ref="G1238:I1238"/>
    <mergeCell ref="B1162:E1162"/>
    <mergeCell ref="G1162:J1162"/>
    <mergeCell ref="G1196:J1196"/>
    <mergeCell ref="B1168:F1168"/>
    <mergeCell ref="B1169:F1169"/>
    <mergeCell ref="B1170:F1170"/>
    <mergeCell ref="B1171:F1171"/>
    <mergeCell ref="H1187:I1187"/>
    <mergeCell ref="E1190:F1190"/>
    <mergeCell ref="B1136:F1136"/>
    <mergeCell ref="B1137:F1137"/>
    <mergeCell ref="B1140:F1140"/>
    <mergeCell ref="B1138:F1138"/>
    <mergeCell ref="B1139:F1139"/>
    <mergeCell ref="B1105:F1105"/>
    <mergeCell ref="B1106:F1106"/>
    <mergeCell ref="B1107:F1107"/>
    <mergeCell ref="B1134:F1134"/>
    <mergeCell ref="G1193:H1193"/>
    <mergeCell ref="H1153:I1153"/>
    <mergeCell ref="E1156:F1156"/>
    <mergeCell ref="B1196:E1196"/>
    <mergeCell ref="G1159:H1159"/>
    <mergeCell ref="G1167:J1167"/>
    <mergeCell ref="G1168:I1168"/>
    <mergeCell ref="G1169:I1169"/>
    <mergeCell ref="G1170:I1170"/>
    <mergeCell ref="G1171:I1171"/>
    <mergeCell ref="G1172:I1172"/>
    <mergeCell ref="G1175:I1175"/>
    <mergeCell ref="G1140:I1140"/>
    <mergeCell ref="G1141:I1141"/>
    <mergeCell ref="B958:E958"/>
    <mergeCell ref="B1073:F1073"/>
    <mergeCell ref="H1085:I1085"/>
    <mergeCell ref="B999:F999"/>
    <mergeCell ref="B1002:F1002"/>
    <mergeCell ref="B1003:F1003"/>
    <mergeCell ref="B1026:E1026"/>
    <mergeCell ref="G1026:J1026"/>
    <mergeCell ref="G1060:J1060"/>
    <mergeCell ref="B1141:F1141"/>
    <mergeCell ref="B1034:F1034"/>
    <mergeCell ref="B1035:F1035"/>
    <mergeCell ref="B968:F968"/>
    <mergeCell ref="B969:F969"/>
    <mergeCell ref="B970:F970"/>
    <mergeCell ref="B971:F971"/>
    <mergeCell ref="B998:F998"/>
    <mergeCell ref="G1128:J1128"/>
    <mergeCell ref="B1100:F1100"/>
    <mergeCell ref="B1101:F1101"/>
    <mergeCell ref="B1102:F1102"/>
    <mergeCell ref="B1103:F1103"/>
    <mergeCell ref="H1119:I1119"/>
    <mergeCell ref="E1122:F1122"/>
    <mergeCell ref="B1128:E1128"/>
    <mergeCell ref="B1104:F1104"/>
    <mergeCell ref="B1094:E1094"/>
    <mergeCell ref="E1088:F1088"/>
    <mergeCell ref="B1066:F1066"/>
    <mergeCell ref="B1067:F1067"/>
    <mergeCell ref="B1135:F1135"/>
    <mergeCell ref="B1038:F1038"/>
    <mergeCell ref="B1032:F1032"/>
    <mergeCell ref="B1071:F1071"/>
    <mergeCell ref="B1068:F1068"/>
    <mergeCell ref="B1069:F1069"/>
    <mergeCell ref="B1072:F1072"/>
    <mergeCell ref="H1051:I1051"/>
    <mergeCell ref="E1054:F1054"/>
    <mergeCell ref="B1060:E1060"/>
    <mergeCell ref="B1036:F1036"/>
    <mergeCell ref="B1037:F1037"/>
    <mergeCell ref="B1005:F1005"/>
    <mergeCell ref="B1070:F1070"/>
    <mergeCell ref="B1033:F1033"/>
    <mergeCell ref="G964:I964"/>
    <mergeCell ref="G965:I965"/>
    <mergeCell ref="G966:I966"/>
    <mergeCell ref="G967:I967"/>
    <mergeCell ref="G968:I968"/>
    <mergeCell ref="G969:I969"/>
    <mergeCell ref="G970:I970"/>
    <mergeCell ref="G971:I971"/>
    <mergeCell ref="G1031:J1031"/>
    <mergeCell ref="E986:F986"/>
    <mergeCell ref="B992:E992"/>
    <mergeCell ref="B1039:F1039"/>
    <mergeCell ref="G1072:I1072"/>
    <mergeCell ref="B1046:F1047"/>
    <mergeCell ref="B898:F898"/>
    <mergeCell ref="H1017:I1017"/>
    <mergeCell ref="E1020:F1020"/>
    <mergeCell ref="B1000:F1000"/>
    <mergeCell ref="B1001:F1001"/>
    <mergeCell ref="B1004:F1004"/>
    <mergeCell ref="B890:E890"/>
    <mergeCell ref="B899:F899"/>
    <mergeCell ref="B900:F900"/>
    <mergeCell ref="B901:F901"/>
    <mergeCell ref="B937:F937"/>
    <mergeCell ref="B902:F902"/>
    <mergeCell ref="G897:I897"/>
    <mergeCell ref="G898:I898"/>
    <mergeCell ref="G899:I899"/>
    <mergeCell ref="G900:I900"/>
    <mergeCell ref="G901:I901"/>
    <mergeCell ref="G902:I902"/>
    <mergeCell ref="G903:I903"/>
    <mergeCell ref="G963:J963"/>
    <mergeCell ref="G937:I937"/>
    <mergeCell ref="G997:J997"/>
    <mergeCell ref="B910:F911"/>
    <mergeCell ref="B944:F945"/>
    <mergeCell ref="B978:F979"/>
    <mergeCell ref="B1012:F1013"/>
    <mergeCell ref="G958:J958"/>
    <mergeCell ref="G992:J992"/>
    <mergeCell ref="B964:F964"/>
    <mergeCell ref="B965:F965"/>
    <mergeCell ref="B966:F966"/>
    <mergeCell ref="B967:F967"/>
    <mergeCell ref="B762:F762"/>
    <mergeCell ref="H881:I881"/>
    <mergeCell ref="B763:F763"/>
    <mergeCell ref="B866:F866"/>
    <mergeCell ref="B869:F869"/>
    <mergeCell ref="E952:F952"/>
    <mergeCell ref="B930:F930"/>
    <mergeCell ref="B931:F931"/>
    <mergeCell ref="B934:F934"/>
    <mergeCell ref="B935:F935"/>
    <mergeCell ref="B932:F932"/>
    <mergeCell ref="B933:F933"/>
    <mergeCell ref="B936:F936"/>
    <mergeCell ref="B822:E822"/>
    <mergeCell ref="G822:J822"/>
    <mergeCell ref="G856:J856"/>
    <mergeCell ref="B828:F828"/>
    <mergeCell ref="B829:F829"/>
    <mergeCell ref="B830:F830"/>
    <mergeCell ref="B831:F831"/>
    <mergeCell ref="H847:I847"/>
    <mergeCell ref="B856:E856"/>
    <mergeCell ref="E850:F850"/>
    <mergeCell ref="B801:F801"/>
    <mergeCell ref="E816:F816"/>
    <mergeCell ref="B903:F903"/>
    <mergeCell ref="E918:F918"/>
    <mergeCell ref="B924:E924"/>
    <mergeCell ref="G890:J890"/>
    <mergeCell ref="G924:J924"/>
    <mergeCell ref="B896:F896"/>
    <mergeCell ref="B897:F897"/>
    <mergeCell ref="B728:F728"/>
    <mergeCell ref="B729:F729"/>
    <mergeCell ref="B732:F732"/>
    <mergeCell ref="B686:E686"/>
    <mergeCell ref="B692:F692"/>
    <mergeCell ref="B693:F693"/>
    <mergeCell ref="B832:F832"/>
    <mergeCell ref="B833:F833"/>
    <mergeCell ref="B664:F664"/>
    <mergeCell ref="E680:F680"/>
    <mergeCell ref="B665:F665"/>
    <mergeCell ref="B658:F658"/>
    <mergeCell ref="B659:F659"/>
    <mergeCell ref="B662:F662"/>
    <mergeCell ref="B625:F625"/>
    <mergeCell ref="B626:F626"/>
    <mergeCell ref="B627:F627"/>
    <mergeCell ref="B663:F663"/>
    <mergeCell ref="B694:F694"/>
    <mergeCell ref="B660:F660"/>
    <mergeCell ref="B661:F661"/>
    <mergeCell ref="B764:F764"/>
    <mergeCell ref="B765:F765"/>
    <mergeCell ref="B799:F799"/>
    <mergeCell ref="B796:F796"/>
    <mergeCell ref="B797:F797"/>
    <mergeCell ref="B800:F800"/>
    <mergeCell ref="B727:F727"/>
    <mergeCell ref="B730:F730"/>
    <mergeCell ref="B731:F731"/>
    <mergeCell ref="B760:F760"/>
    <mergeCell ref="B761:F761"/>
    <mergeCell ref="B557:F557"/>
    <mergeCell ref="B558:F558"/>
    <mergeCell ref="B559:F559"/>
    <mergeCell ref="G624:I624"/>
    <mergeCell ref="G625:I625"/>
    <mergeCell ref="G626:I626"/>
    <mergeCell ref="G596:I596"/>
    <mergeCell ref="G597:I597"/>
    <mergeCell ref="B652:E652"/>
    <mergeCell ref="B561:F561"/>
    <mergeCell ref="B562:F562"/>
    <mergeCell ref="B563:F563"/>
    <mergeCell ref="B590:F590"/>
    <mergeCell ref="B591:F591"/>
    <mergeCell ref="B597:F597"/>
    <mergeCell ref="B618:E618"/>
    <mergeCell ref="G649:H649"/>
    <mergeCell ref="G627:I627"/>
    <mergeCell ref="G628:I628"/>
    <mergeCell ref="G629:I629"/>
    <mergeCell ref="G630:I630"/>
    <mergeCell ref="G631:I631"/>
    <mergeCell ref="G589:J589"/>
    <mergeCell ref="G590:I590"/>
    <mergeCell ref="G591:I591"/>
    <mergeCell ref="G592:I592"/>
    <mergeCell ref="G593:I593"/>
    <mergeCell ref="G594:I594"/>
    <mergeCell ref="G595:I595"/>
    <mergeCell ref="H643:I643"/>
    <mergeCell ref="H575:I575"/>
    <mergeCell ref="H609:I609"/>
    <mergeCell ref="B556:F556"/>
    <mergeCell ref="B490:F490"/>
    <mergeCell ref="B491:F491"/>
    <mergeCell ref="E510:F510"/>
    <mergeCell ref="B516:E516"/>
    <mergeCell ref="E544:F544"/>
    <mergeCell ref="B522:F522"/>
    <mergeCell ref="E476:F476"/>
    <mergeCell ref="B492:F492"/>
    <mergeCell ref="B595:F595"/>
    <mergeCell ref="E646:F646"/>
    <mergeCell ref="B523:F523"/>
    <mergeCell ref="B526:F526"/>
    <mergeCell ref="B527:F527"/>
    <mergeCell ref="B524:F524"/>
    <mergeCell ref="B525:F525"/>
    <mergeCell ref="B528:F528"/>
    <mergeCell ref="B550:E550"/>
    <mergeCell ref="B529:F529"/>
    <mergeCell ref="E578:F578"/>
    <mergeCell ref="B584:E584"/>
    <mergeCell ref="B560:F560"/>
    <mergeCell ref="B628:F628"/>
    <mergeCell ref="B629:F629"/>
    <mergeCell ref="B630:F630"/>
    <mergeCell ref="B631:F631"/>
    <mergeCell ref="E612:F612"/>
    <mergeCell ref="B592:F592"/>
    <mergeCell ref="B593:F593"/>
    <mergeCell ref="B596:F596"/>
    <mergeCell ref="B594:F594"/>
    <mergeCell ref="B624:F624"/>
    <mergeCell ref="B80:F80"/>
    <mergeCell ref="B188:F188"/>
    <mergeCell ref="G120:I120"/>
    <mergeCell ref="G121:I121"/>
    <mergeCell ref="G380:J380"/>
    <mergeCell ref="B352:F352"/>
    <mergeCell ref="B353:F353"/>
    <mergeCell ref="B354:F354"/>
    <mergeCell ref="B355:F355"/>
    <mergeCell ref="H371:I371"/>
    <mergeCell ref="E374:F374"/>
    <mergeCell ref="B380:E380"/>
    <mergeCell ref="G414:J414"/>
    <mergeCell ref="G448:J448"/>
    <mergeCell ref="B420:F420"/>
    <mergeCell ref="B421:F421"/>
    <mergeCell ref="B422:F422"/>
    <mergeCell ref="B423:F423"/>
    <mergeCell ref="H439:I439"/>
    <mergeCell ref="E442:F442"/>
    <mergeCell ref="B448:E448"/>
    <mergeCell ref="B424:F424"/>
    <mergeCell ref="G358:I358"/>
    <mergeCell ref="G359:I359"/>
    <mergeCell ref="G391:I391"/>
    <mergeCell ref="G392:I392"/>
    <mergeCell ref="G393:I393"/>
    <mergeCell ref="E408:F408"/>
    <mergeCell ref="B386:F386"/>
    <mergeCell ref="B426:F426"/>
    <mergeCell ref="B387:F387"/>
    <mergeCell ref="B427:F427"/>
    <mergeCell ref="B83:F83"/>
    <mergeCell ref="B285:F285"/>
    <mergeCell ref="B286:F286"/>
    <mergeCell ref="B287:F287"/>
    <mergeCell ref="H269:I269"/>
    <mergeCell ref="E306:F306"/>
    <mergeCell ref="B312:E312"/>
    <mergeCell ref="G278:J278"/>
    <mergeCell ref="G312:J312"/>
    <mergeCell ref="B323:F323"/>
    <mergeCell ref="H303:I303"/>
    <mergeCell ref="E272:F272"/>
    <mergeCell ref="B250:F250"/>
    <mergeCell ref="B255:F255"/>
    <mergeCell ref="B254:F254"/>
    <mergeCell ref="B251:F251"/>
    <mergeCell ref="B252:F252"/>
    <mergeCell ref="B290:F290"/>
    <mergeCell ref="B291:F291"/>
    <mergeCell ref="B318:F318"/>
    <mergeCell ref="B319:F319"/>
    <mergeCell ref="B322:F322"/>
    <mergeCell ref="G275:H275"/>
    <mergeCell ref="G309:H309"/>
    <mergeCell ref="G181:J181"/>
    <mergeCell ref="B210:E210"/>
    <mergeCell ref="B84:F84"/>
    <mergeCell ref="B85:F85"/>
    <mergeCell ref="G119:I119"/>
    <mergeCell ref="G241:H241"/>
    <mergeCell ref="G249:J249"/>
    <mergeCell ref="G189:I189"/>
    <mergeCell ref="B74:E74"/>
    <mergeCell ref="G74:J74"/>
    <mergeCell ref="B81:F81"/>
    <mergeCell ref="G105:H105"/>
    <mergeCell ref="H65:I65"/>
    <mergeCell ref="H99:I99"/>
    <mergeCell ref="B153:F153"/>
    <mergeCell ref="B152:F152"/>
    <mergeCell ref="E170:F170"/>
    <mergeCell ref="E102:F102"/>
    <mergeCell ref="B151:F151"/>
    <mergeCell ref="H133:I133"/>
    <mergeCell ref="G210:J210"/>
    <mergeCell ref="H167:I167"/>
    <mergeCell ref="G108:J108"/>
    <mergeCell ref="G139:H139"/>
    <mergeCell ref="G80:I80"/>
    <mergeCell ref="G81:I81"/>
    <mergeCell ref="G82:I82"/>
    <mergeCell ref="G83:I83"/>
    <mergeCell ref="G84:I84"/>
    <mergeCell ref="G85:I85"/>
    <mergeCell ref="G86:I86"/>
    <mergeCell ref="G87:I87"/>
    <mergeCell ref="B149:F149"/>
    <mergeCell ref="G182:I182"/>
    <mergeCell ref="G183:I183"/>
    <mergeCell ref="G115:I115"/>
    <mergeCell ref="G116:I116"/>
    <mergeCell ref="G117:I117"/>
    <mergeCell ref="G118:I118"/>
    <mergeCell ref="B87:F87"/>
    <mergeCell ref="B40:E40"/>
    <mergeCell ref="B51:F51"/>
    <mergeCell ref="E68:F68"/>
    <mergeCell ref="B48:F48"/>
    <mergeCell ref="B49:F49"/>
    <mergeCell ref="B50:F50"/>
    <mergeCell ref="B53:F53"/>
    <mergeCell ref="G6:J6"/>
    <mergeCell ref="B12:F12"/>
    <mergeCell ref="B13:F13"/>
    <mergeCell ref="B14:F14"/>
    <mergeCell ref="B15:F15"/>
    <mergeCell ref="E34:F34"/>
    <mergeCell ref="B6:E6"/>
    <mergeCell ref="B19:F19"/>
    <mergeCell ref="B16:F16"/>
    <mergeCell ref="G37:H37"/>
    <mergeCell ref="B46:F46"/>
    <mergeCell ref="B47:F47"/>
    <mergeCell ref="B52:F52"/>
    <mergeCell ref="G11:J11"/>
    <mergeCell ref="G12:I12"/>
    <mergeCell ref="B26:F27"/>
    <mergeCell ref="B60:F61"/>
    <mergeCell ref="G40:J40"/>
    <mergeCell ref="B17:F17"/>
    <mergeCell ref="B18:F18"/>
    <mergeCell ref="H31:I31"/>
    <mergeCell ref="G13:I13"/>
    <mergeCell ref="G14:I14"/>
    <mergeCell ref="G15:I15"/>
    <mergeCell ref="G16:I16"/>
    <mergeCell ref="E1904:F1904"/>
    <mergeCell ref="B1910:E1910"/>
    <mergeCell ref="G1910:J1910"/>
    <mergeCell ref="B1916:F1916"/>
    <mergeCell ref="B1954:F1954"/>
    <mergeCell ref="B1918:F1918"/>
    <mergeCell ref="B1919:F1919"/>
    <mergeCell ref="B1953:F1953"/>
    <mergeCell ref="G142:J142"/>
    <mergeCell ref="B223:F223"/>
    <mergeCell ref="E204:F204"/>
    <mergeCell ref="B183:F183"/>
    <mergeCell ref="H235:I235"/>
    <mergeCell ref="B219:F219"/>
    <mergeCell ref="B217:F217"/>
    <mergeCell ref="B218:F218"/>
    <mergeCell ref="B220:F220"/>
    <mergeCell ref="B346:E346"/>
    <mergeCell ref="H1867:I1867"/>
    <mergeCell ref="E1870:F1870"/>
    <mergeCell ref="B1852:F1852"/>
    <mergeCell ref="B1853:F1853"/>
    <mergeCell ref="B1854:F1854"/>
    <mergeCell ref="B1855:F1855"/>
    <mergeCell ref="B1849:F1849"/>
    <mergeCell ref="B216:F216"/>
    <mergeCell ref="B244:E244"/>
    <mergeCell ref="B257:F257"/>
    <mergeCell ref="B325:F325"/>
    <mergeCell ref="B221:F221"/>
    <mergeCell ref="B222:F222"/>
    <mergeCell ref="B256:F256"/>
    <mergeCell ref="B1876:E1876"/>
    <mergeCell ref="B1882:F1882"/>
    <mergeCell ref="B1889:F1889"/>
    <mergeCell ref="B116:F116"/>
    <mergeCell ref="B117:F117"/>
    <mergeCell ref="B1850:F1850"/>
    <mergeCell ref="B114:F114"/>
    <mergeCell ref="B115:F115"/>
    <mergeCell ref="B120:F120"/>
    <mergeCell ref="B82:F82"/>
    <mergeCell ref="B108:E108"/>
    <mergeCell ref="B118:F118"/>
    <mergeCell ref="B119:F119"/>
    <mergeCell ref="B1883:F1883"/>
    <mergeCell ref="B1884:F1884"/>
    <mergeCell ref="B1885:F1885"/>
    <mergeCell ref="B1886:F1886"/>
    <mergeCell ref="B86:F86"/>
    <mergeCell ref="B1851:F1851"/>
    <mergeCell ref="B393:F393"/>
    <mergeCell ref="B425:F425"/>
    <mergeCell ref="B414:E414"/>
    <mergeCell ref="B390:F390"/>
    <mergeCell ref="B391:F391"/>
    <mergeCell ref="B388:F388"/>
    <mergeCell ref="B389:F389"/>
    <mergeCell ref="B392:F392"/>
    <mergeCell ref="B356:F356"/>
    <mergeCell ref="B357:F357"/>
    <mergeCell ref="B1887:F1887"/>
    <mergeCell ref="B1888:F1888"/>
    <mergeCell ref="B121:F121"/>
    <mergeCell ref="B1950:F1950"/>
    <mergeCell ref="B1951:F1951"/>
    <mergeCell ref="B1944:E1944"/>
    <mergeCell ref="H2037:I2037"/>
    <mergeCell ref="E2040:F2040"/>
    <mergeCell ref="E2006:F2006"/>
    <mergeCell ref="B2012:E2012"/>
    <mergeCell ref="B2022:F2022"/>
    <mergeCell ref="B2023:F2023"/>
    <mergeCell ref="B1917:F1917"/>
    <mergeCell ref="B1957:F1957"/>
    <mergeCell ref="B1921:F1921"/>
    <mergeCell ref="B1922:F1922"/>
    <mergeCell ref="E1972:F1972"/>
    <mergeCell ref="B1978:E1978"/>
    <mergeCell ref="B1920:F1920"/>
    <mergeCell ref="B1955:F1955"/>
    <mergeCell ref="B1956:F1956"/>
    <mergeCell ref="B1952:F1952"/>
    <mergeCell ref="E1938:F1938"/>
    <mergeCell ref="B1923:F1923"/>
    <mergeCell ref="B2025:F2025"/>
    <mergeCell ref="B1988:F1988"/>
    <mergeCell ref="B1989:F1989"/>
    <mergeCell ref="B1990:F1990"/>
    <mergeCell ref="B1991:F1991"/>
    <mergeCell ref="G2012:J2012"/>
    <mergeCell ref="H2003:I2003"/>
    <mergeCell ref="H1969:I1969"/>
    <mergeCell ref="B1985:F1985"/>
    <mergeCell ref="B1986:F1986"/>
    <mergeCell ref="B1987:F1987"/>
    <mergeCell ref="E2108:F2108"/>
    <mergeCell ref="B2052:F2052"/>
    <mergeCell ref="B2088:F2088"/>
    <mergeCell ref="B2089:F2089"/>
    <mergeCell ref="B2046:E2046"/>
    <mergeCell ref="B2024:F2024"/>
    <mergeCell ref="G2009:H2009"/>
    <mergeCell ref="E2074:F2074"/>
    <mergeCell ref="B2080:E2080"/>
    <mergeCell ref="B2090:F2090"/>
    <mergeCell ref="B1984:F1984"/>
    <mergeCell ref="B2018:F2018"/>
    <mergeCell ref="B2019:F2019"/>
    <mergeCell ref="B2020:F2020"/>
    <mergeCell ref="B2021:F2021"/>
    <mergeCell ref="G2043:H2043"/>
    <mergeCell ref="G2046:J2046"/>
    <mergeCell ref="B2093:F2093"/>
    <mergeCell ref="B2056:F2056"/>
    <mergeCell ref="B2057:F2057"/>
    <mergeCell ref="B2058:F2058"/>
    <mergeCell ref="B2059:F2059"/>
    <mergeCell ref="B2091:F2091"/>
    <mergeCell ref="B2053:F2053"/>
    <mergeCell ref="G2085:J2085"/>
    <mergeCell ref="G2086:I2086"/>
    <mergeCell ref="G2025:I2025"/>
    <mergeCell ref="G2087:I2087"/>
    <mergeCell ref="G2088:I2088"/>
    <mergeCell ref="G2089:I2089"/>
    <mergeCell ref="G2090:I2090"/>
    <mergeCell ref="G2091:I2091"/>
    <mergeCell ref="B2114:E2114"/>
    <mergeCell ref="G2114:J2114"/>
    <mergeCell ref="H2139:I2139"/>
    <mergeCell ref="B2054:F2054"/>
    <mergeCell ref="B2055:F2055"/>
    <mergeCell ref="H2071:I2071"/>
    <mergeCell ref="G2077:H2077"/>
    <mergeCell ref="B2092:F2092"/>
    <mergeCell ref="B2086:F2086"/>
    <mergeCell ref="B2087:F2087"/>
    <mergeCell ref="B2120:F2120"/>
    <mergeCell ref="B2154:F2154"/>
    <mergeCell ref="B2155:F2155"/>
    <mergeCell ref="B2156:F2156"/>
    <mergeCell ref="E2142:F2142"/>
    <mergeCell ref="B2148:E2148"/>
    <mergeCell ref="B2121:F2121"/>
    <mergeCell ref="B2122:F2122"/>
    <mergeCell ref="B2123:F2123"/>
    <mergeCell ref="G2056:I2056"/>
    <mergeCell ref="G2057:I2057"/>
    <mergeCell ref="G2058:I2058"/>
    <mergeCell ref="G2059:I2059"/>
    <mergeCell ref="G2119:J2119"/>
    <mergeCell ref="G2120:I2120"/>
    <mergeCell ref="G2121:I2121"/>
    <mergeCell ref="G2122:I2122"/>
    <mergeCell ref="G2123:I2123"/>
    <mergeCell ref="G2124:I2124"/>
    <mergeCell ref="G2125:I2125"/>
    <mergeCell ref="G2126:I2126"/>
    <mergeCell ref="G2127:I2127"/>
    <mergeCell ref="B2161:F2161"/>
    <mergeCell ref="B2124:F2124"/>
    <mergeCell ref="B2125:F2125"/>
    <mergeCell ref="B2126:F2126"/>
    <mergeCell ref="B2127:F2127"/>
    <mergeCell ref="B2160:F2160"/>
    <mergeCell ref="B2157:F2157"/>
    <mergeCell ref="B2158:F2158"/>
    <mergeCell ref="B2159:F2159"/>
    <mergeCell ref="B2256:F2256"/>
    <mergeCell ref="B2290:F2290"/>
    <mergeCell ref="B2291:F2291"/>
    <mergeCell ref="B2292:F2292"/>
    <mergeCell ref="E2278:F2278"/>
    <mergeCell ref="B2284:E2284"/>
    <mergeCell ref="G2284:J2284"/>
    <mergeCell ref="H2173:I2173"/>
    <mergeCell ref="E2176:F2176"/>
    <mergeCell ref="B2182:E2182"/>
    <mergeCell ref="G2182:J2182"/>
    <mergeCell ref="B2229:F2229"/>
    <mergeCell ref="B2192:F2192"/>
    <mergeCell ref="B2193:F2193"/>
    <mergeCell ref="B2194:F2194"/>
    <mergeCell ref="B2195:F2195"/>
    <mergeCell ref="B2216:E2216"/>
    <mergeCell ref="H2241:I2241"/>
    <mergeCell ref="E2244:F2244"/>
    <mergeCell ref="B2250:E2250"/>
    <mergeCell ref="G2158:I2158"/>
    <mergeCell ref="G2159:I2159"/>
    <mergeCell ref="G2160:I2160"/>
    <mergeCell ref="E2312:F2312"/>
    <mergeCell ref="B2318:E2318"/>
    <mergeCell ref="G2318:J2318"/>
    <mergeCell ref="G2315:H2315"/>
    <mergeCell ref="B2294:F2294"/>
    <mergeCell ref="B2295:F2295"/>
    <mergeCell ref="B2188:F2188"/>
    <mergeCell ref="E2210:F2210"/>
    <mergeCell ref="B2228:F2228"/>
    <mergeCell ref="B2225:F2225"/>
    <mergeCell ref="B2226:F2226"/>
    <mergeCell ref="B2227:F2227"/>
    <mergeCell ref="B2222:F2222"/>
    <mergeCell ref="B2223:F2223"/>
    <mergeCell ref="B2224:F2224"/>
    <mergeCell ref="B2259:F2259"/>
    <mergeCell ref="H2275:I2275"/>
    <mergeCell ref="G2281:H2281"/>
    <mergeCell ref="B2189:F2189"/>
    <mergeCell ref="B2190:F2190"/>
    <mergeCell ref="B2191:F2191"/>
    <mergeCell ref="H2207:I2207"/>
    <mergeCell ref="G2213:H2213"/>
    <mergeCell ref="G2216:J2216"/>
    <mergeCell ref="G2250:J2250"/>
    <mergeCell ref="G2247:H2247"/>
    <mergeCell ref="B2257:F2257"/>
    <mergeCell ref="B2258:F2258"/>
    <mergeCell ref="G2263:I2263"/>
    <mergeCell ref="G2228:I2228"/>
    <mergeCell ref="G2229:I2229"/>
    <mergeCell ref="B2392:F2392"/>
    <mergeCell ref="B2426:F2426"/>
    <mergeCell ref="B2427:F2427"/>
    <mergeCell ref="B2428:F2428"/>
    <mergeCell ref="E2414:F2414"/>
    <mergeCell ref="B2420:E2420"/>
    <mergeCell ref="B2393:F2393"/>
    <mergeCell ref="B2394:F2394"/>
    <mergeCell ref="B2395:F2395"/>
    <mergeCell ref="B2461:F2461"/>
    <mergeCell ref="H2377:I2377"/>
    <mergeCell ref="E2380:F2380"/>
    <mergeCell ref="B2386:E2386"/>
    <mergeCell ref="G2386:J2386"/>
    <mergeCell ref="G2383:H2383"/>
    <mergeCell ref="B2326:F2326"/>
    <mergeCell ref="B2327:F2327"/>
    <mergeCell ref="B2433:F2433"/>
    <mergeCell ref="B2396:F2396"/>
    <mergeCell ref="B2397:F2397"/>
    <mergeCell ref="B2398:F2398"/>
    <mergeCell ref="G2349:H2349"/>
    <mergeCell ref="G2352:J2352"/>
    <mergeCell ref="H2343:I2343"/>
    <mergeCell ref="B2365:F2365"/>
    <mergeCell ref="B2328:F2328"/>
    <mergeCell ref="B2329:F2329"/>
    <mergeCell ref="B2330:F2330"/>
    <mergeCell ref="B2331:F2331"/>
    <mergeCell ref="B2364:F2364"/>
    <mergeCell ref="B2361:F2361"/>
    <mergeCell ref="B2362:F2362"/>
    <mergeCell ref="B2399:F2399"/>
    <mergeCell ref="B2432:F2432"/>
    <mergeCell ref="B2429:F2429"/>
    <mergeCell ref="B2430:F2430"/>
    <mergeCell ref="B2431:F2431"/>
    <mergeCell ref="B2498:F2498"/>
    <mergeCell ref="B2499:F2499"/>
    <mergeCell ref="B2597:F2597"/>
    <mergeCell ref="G2590:J2590"/>
    <mergeCell ref="G2587:H2587"/>
    <mergeCell ref="B2528:F2528"/>
    <mergeCell ref="B2562:F2562"/>
    <mergeCell ref="B2563:F2563"/>
    <mergeCell ref="B2564:F2564"/>
    <mergeCell ref="E2550:F2550"/>
    <mergeCell ref="B2462:F2462"/>
    <mergeCell ref="B2463:F2463"/>
    <mergeCell ref="H2445:I2445"/>
    <mergeCell ref="E2448:F2448"/>
    <mergeCell ref="B2454:E2454"/>
    <mergeCell ref="G2454:J2454"/>
    <mergeCell ref="G2451:H2451"/>
    <mergeCell ref="B2460:F2460"/>
    <mergeCell ref="B2494:F2494"/>
    <mergeCell ref="B2495:F2495"/>
    <mergeCell ref="B2496:F2496"/>
    <mergeCell ref="B2529:F2529"/>
    <mergeCell ref="B2530:F2530"/>
    <mergeCell ref="B2531:F2531"/>
    <mergeCell ref="H2479:I2479"/>
    <mergeCell ref="H2513:I2513"/>
    <mergeCell ref="E2516:F2516"/>
    <mergeCell ref="B2556:E2556"/>
    <mergeCell ref="H2581:I2581"/>
    <mergeCell ref="E2584:F2584"/>
    <mergeCell ref="B2590:E2590"/>
    <mergeCell ref="B2634:F2634"/>
    <mergeCell ref="B2635:F2635"/>
    <mergeCell ref="G2485:H2485"/>
    <mergeCell ref="B2501:F2501"/>
    <mergeCell ref="B2464:F2464"/>
    <mergeCell ref="B2465:F2465"/>
    <mergeCell ref="B2466:F2466"/>
    <mergeCell ref="B2467:F2467"/>
    <mergeCell ref="B2500:F2500"/>
    <mergeCell ref="B2497:F2497"/>
    <mergeCell ref="G2553:H2553"/>
    <mergeCell ref="G2556:J2556"/>
    <mergeCell ref="H2547:I2547"/>
    <mergeCell ref="B2569:F2569"/>
    <mergeCell ref="B2532:F2532"/>
    <mergeCell ref="B2533:F2533"/>
    <mergeCell ref="B2534:F2534"/>
    <mergeCell ref="B2535:F2535"/>
    <mergeCell ref="B2568:F2568"/>
    <mergeCell ref="B2565:F2565"/>
    <mergeCell ref="B2566:F2566"/>
    <mergeCell ref="B2567:F2567"/>
    <mergeCell ref="B2522:E2522"/>
    <mergeCell ref="G2522:J2522"/>
    <mergeCell ref="G2519:H2519"/>
    <mergeCell ref="E2482:F2482"/>
    <mergeCell ref="B2488:E2488"/>
    <mergeCell ref="G2488:J2488"/>
    <mergeCell ref="B2665:F2665"/>
    <mergeCell ref="B2666:F2666"/>
    <mergeCell ref="B2732:F2732"/>
    <mergeCell ref="B2637:F2637"/>
    <mergeCell ref="B2600:F2600"/>
    <mergeCell ref="B2601:F2601"/>
    <mergeCell ref="B2602:F2602"/>
    <mergeCell ref="B2603:F2603"/>
    <mergeCell ref="B2636:F2636"/>
    <mergeCell ref="B2633:F2633"/>
    <mergeCell ref="B2667:F2667"/>
    <mergeCell ref="H2683:I2683"/>
    <mergeCell ref="G2689:H2689"/>
    <mergeCell ref="B2596:F2596"/>
    <mergeCell ref="B2630:F2630"/>
    <mergeCell ref="B2631:F2631"/>
    <mergeCell ref="B2632:F2632"/>
    <mergeCell ref="E2618:F2618"/>
    <mergeCell ref="B2624:E2624"/>
    <mergeCell ref="G2624:J2624"/>
    <mergeCell ref="H2649:I2649"/>
    <mergeCell ref="E2652:F2652"/>
    <mergeCell ref="B2658:E2658"/>
    <mergeCell ref="G2658:J2658"/>
    <mergeCell ref="G2655:H2655"/>
    <mergeCell ref="B2664:F2664"/>
    <mergeCell ref="B2598:F2598"/>
    <mergeCell ref="B2599:F2599"/>
    <mergeCell ref="G2669:I2669"/>
    <mergeCell ref="G2670:I2670"/>
    <mergeCell ref="G2698:I2698"/>
    <mergeCell ref="G2699:I2699"/>
    <mergeCell ref="B2733:F2733"/>
    <mergeCell ref="H2785:I2785"/>
    <mergeCell ref="E2788:F2788"/>
    <mergeCell ref="B2794:E2794"/>
    <mergeCell ref="G2794:J2794"/>
    <mergeCell ref="G2791:H2791"/>
    <mergeCell ref="B2705:F2705"/>
    <mergeCell ref="B2668:F2668"/>
    <mergeCell ref="B2669:F2669"/>
    <mergeCell ref="B2670:F2670"/>
    <mergeCell ref="B2671:F2671"/>
    <mergeCell ref="B2704:F2704"/>
    <mergeCell ref="B2701:F2701"/>
    <mergeCell ref="B2702:F2702"/>
    <mergeCell ref="B2703:F2703"/>
    <mergeCell ref="G2757:H2757"/>
    <mergeCell ref="G2760:J2760"/>
    <mergeCell ref="H2751:I2751"/>
    <mergeCell ref="B2698:F2698"/>
    <mergeCell ref="B2699:F2699"/>
    <mergeCell ref="B2700:F2700"/>
    <mergeCell ref="E2686:F2686"/>
    <mergeCell ref="B2692:E2692"/>
    <mergeCell ref="G2692:J2692"/>
    <mergeCell ref="H2717:I2717"/>
    <mergeCell ref="E2720:F2720"/>
    <mergeCell ref="B2726:E2726"/>
    <mergeCell ref="G2726:J2726"/>
    <mergeCell ref="G2723:H2723"/>
    <mergeCell ref="B2734:F2734"/>
    <mergeCell ref="B2735:F2735"/>
    <mergeCell ref="B2773:F2773"/>
    <mergeCell ref="B2736:F2736"/>
    <mergeCell ref="B2737:F2737"/>
    <mergeCell ref="B2738:F2738"/>
    <mergeCell ref="B2739:F2739"/>
    <mergeCell ref="B2772:F2772"/>
    <mergeCell ref="B2769:F2769"/>
    <mergeCell ref="B2868:F2868"/>
    <mergeCell ref="B2766:F2766"/>
    <mergeCell ref="B2767:F2767"/>
    <mergeCell ref="B2768:F2768"/>
    <mergeCell ref="E2754:F2754"/>
    <mergeCell ref="B2760:E2760"/>
    <mergeCell ref="B2804:F2804"/>
    <mergeCell ref="B2862:E2862"/>
    <mergeCell ref="B2800:F2800"/>
    <mergeCell ref="B2834:F2834"/>
    <mergeCell ref="B2835:F2835"/>
    <mergeCell ref="B2836:F2836"/>
    <mergeCell ref="B2930:E2930"/>
    <mergeCell ref="G2836:I2836"/>
    <mergeCell ref="G2837:I2837"/>
    <mergeCell ref="G2838:I2838"/>
    <mergeCell ref="G2839:I2839"/>
    <mergeCell ref="G2840:I2840"/>
    <mergeCell ref="G2841:I2841"/>
    <mergeCell ref="G2901:J2901"/>
    <mergeCell ref="B2770:F2770"/>
    <mergeCell ref="B2771:F2771"/>
    <mergeCell ref="B2869:F2869"/>
    <mergeCell ref="B2870:F2870"/>
    <mergeCell ref="B2871:F2871"/>
    <mergeCell ref="B2828:E2828"/>
    <mergeCell ref="B2801:F2801"/>
    <mergeCell ref="B2802:F2802"/>
    <mergeCell ref="B2803:F2803"/>
    <mergeCell ref="G2804:I2804"/>
    <mergeCell ref="G2805:I2805"/>
    <mergeCell ref="E2822:F2822"/>
    <mergeCell ref="B2805:F2805"/>
    <mergeCell ref="B2905:F2905"/>
    <mergeCell ref="G2771:I2771"/>
    <mergeCell ref="G2772:I2772"/>
    <mergeCell ref="G2773:I2773"/>
    <mergeCell ref="G2833:J2833"/>
    <mergeCell ref="G2902:I2902"/>
    <mergeCell ref="G2903:I2903"/>
    <mergeCell ref="G2904:I2904"/>
    <mergeCell ref="G2905:I2905"/>
    <mergeCell ref="G2867:J2867"/>
    <mergeCell ref="G2868:I2868"/>
    <mergeCell ref="B3005:F3005"/>
    <mergeCell ref="B3006:F3006"/>
    <mergeCell ref="B3007:F3007"/>
    <mergeCell ref="B2964:E2964"/>
    <mergeCell ref="B2937:F2937"/>
    <mergeCell ref="B2938:F2938"/>
    <mergeCell ref="B2939:F2939"/>
    <mergeCell ref="H2989:I2989"/>
    <mergeCell ref="E2890:F2890"/>
    <mergeCell ref="B2896:E2896"/>
    <mergeCell ref="G2896:J2896"/>
    <mergeCell ref="H2921:I2921"/>
    <mergeCell ref="E2924:F2924"/>
    <mergeCell ref="E2992:F2992"/>
    <mergeCell ref="B2998:E2998"/>
    <mergeCell ref="B2977:F2977"/>
    <mergeCell ref="B2940:F2940"/>
    <mergeCell ref="B2941:F2941"/>
    <mergeCell ref="G2976:I2976"/>
    <mergeCell ref="G2977:I2977"/>
    <mergeCell ref="B2943:F2943"/>
    <mergeCell ref="B2976:F2976"/>
    <mergeCell ref="B2973:F2973"/>
    <mergeCell ref="B2974:F2974"/>
    <mergeCell ref="B2975:F2975"/>
    <mergeCell ref="B2902:F2902"/>
    <mergeCell ref="B2903:F2903"/>
    <mergeCell ref="B2936:F2936"/>
    <mergeCell ref="B2970:F2970"/>
    <mergeCell ref="B2971:F2971"/>
    <mergeCell ref="B2972:F2972"/>
    <mergeCell ref="E2958:F2958"/>
    <mergeCell ref="B3073:F3073"/>
    <mergeCell ref="B3074:F3074"/>
    <mergeCell ref="B3140:F3140"/>
    <mergeCell ref="B3075:F3075"/>
    <mergeCell ref="H3091:I3091"/>
    <mergeCell ref="G3097:H3097"/>
    <mergeCell ref="B3004:F3004"/>
    <mergeCell ref="B3038:F3038"/>
    <mergeCell ref="B3039:F3039"/>
    <mergeCell ref="B3040:F3040"/>
    <mergeCell ref="E3026:F3026"/>
    <mergeCell ref="B3032:E3032"/>
    <mergeCell ref="G3032:J3032"/>
    <mergeCell ref="H3057:I3057"/>
    <mergeCell ref="E3060:F3060"/>
    <mergeCell ref="B3066:E3066"/>
    <mergeCell ref="G3066:J3066"/>
    <mergeCell ref="G3063:H3063"/>
    <mergeCell ref="B3008:F3008"/>
    <mergeCell ref="E3094:F3094"/>
    <mergeCell ref="B3100:E3100"/>
    <mergeCell ref="G3100:J3100"/>
    <mergeCell ref="H3125:I3125"/>
    <mergeCell ref="E3128:F3128"/>
    <mergeCell ref="B3134:E3134"/>
    <mergeCell ref="G3134:J3134"/>
    <mergeCell ref="G3131:H3131"/>
    <mergeCell ref="B3107:F3107"/>
    <mergeCell ref="B3108:F3108"/>
    <mergeCell ref="G3037:J3037"/>
    <mergeCell ref="G3038:I3038"/>
    <mergeCell ref="G3039:I3039"/>
    <mergeCell ref="B2942:F2942"/>
    <mergeCell ref="B2906:F2906"/>
    <mergeCell ref="B2907:F2907"/>
    <mergeCell ref="B3072:F3072"/>
    <mergeCell ref="B3045:F3045"/>
    <mergeCell ref="B3144:F3144"/>
    <mergeCell ref="B3009:F3009"/>
    <mergeCell ref="B3010:F3010"/>
    <mergeCell ref="B3011:F3011"/>
    <mergeCell ref="B3044:F3044"/>
    <mergeCell ref="B3041:F3041"/>
    <mergeCell ref="B3042:F3042"/>
    <mergeCell ref="B3043:F3043"/>
    <mergeCell ref="B3141:F3141"/>
    <mergeCell ref="H3193:I3193"/>
    <mergeCell ref="E3196:F3196"/>
    <mergeCell ref="B3202:E3202"/>
    <mergeCell ref="G3202:J3202"/>
    <mergeCell ref="G3199:H3199"/>
    <mergeCell ref="B3113:F3113"/>
    <mergeCell ref="B3076:F3076"/>
    <mergeCell ref="B3077:F3077"/>
    <mergeCell ref="B3078:F3078"/>
    <mergeCell ref="B3079:F3079"/>
    <mergeCell ref="B3112:F3112"/>
    <mergeCell ref="B3109:F3109"/>
    <mergeCell ref="B3110:F3110"/>
    <mergeCell ref="B3111:F3111"/>
    <mergeCell ref="G3165:H3165"/>
    <mergeCell ref="G3168:J3168"/>
    <mergeCell ref="H3159:I3159"/>
    <mergeCell ref="B3106:F3106"/>
    <mergeCell ref="B3277:F3277"/>
    <mergeCell ref="H3261:I3261"/>
    <mergeCell ref="B3270:E3270"/>
    <mergeCell ref="G3270:J3270"/>
    <mergeCell ref="G3267:H3267"/>
    <mergeCell ref="G3233:H3233"/>
    <mergeCell ref="G3236:J3236"/>
    <mergeCell ref="H3227:I3227"/>
    <mergeCell ref="B3236:E3236"/>
    <mergeCell ref="B3209:F3209"/>
    <mergeCell ref="B3210:F3210"/>
    <mergeCell ref="B3211:F3211"/>
    <mergeCell ref="G3207:J3207"/>
    <mergeCell ref="G3208:I3208"/>
    <mergeCell ref="G3209:I3209"/>
    <mergeCell ref="G3210:I3210"/>
    <mergeCell ref="G3178:I3178"/>
    <mergeCell ref="G3179:I3179"/>
    <mergeCell ref="G3180:I3180"/>
    <mergeCell ref="G3181:I3181"/>
    <mergeCell ref="G3275:J3275"/>
    <mergeCell ref="G3276:I3276"/>
    <mergeCell ref="G3277:I3277"/>
    <mergeCell ref="G3211:I3211"/>
    <mergeCell ref="G3212:I3212"/>
    <mergeCell ref="G3213:I3213"/>
    <mergeCell ref="G3214:I3214"/>
    <mergeCell ref="G3215:I3215"/>
    <mergeCell ref="B3142:F3142"/>
    <mergeCell ref="B3177:F3177"/>
    <mergeCell ref="B3276:F3276"/>
    <mergeCell ref="B3174:F3174"/>
    <mergeCell ref="B3175:F3175"/>
    <mergeCell ref="B3176:F3176"/>
    <mergeCell ref="E3162:F3162"/>
    <mergeCell ref="B3168:E3168"/>
    <mergeCell ref="B3212:F3212"/>
    <mergeCell ref="B3213:F3213"/>
    <mergeCell ref="B3214:F3214"/>
    <mergeCell ref="B3215:F3215"/>
    <mergeCell ref="B3248:F3248"/>
    <mergeCell ref="B3245:F3245"/>
    <mergeCell ref="B3246:F3246"/>
    <mergeCell ref="B3247:F3247"/>
    <mergeCell ref="E3264:F3264"/>
    <mergeCell ref="B3208:F3208"/>
    <mergeCell ref="B3242:F3242"/>
    <mergeCell ref="B3243:F3243"/>
    <mergeCell ref="B3244:F3244"/>
    <mergeCell ref="E3230:F3230"/>
    <mergeCell ref="B3178:F3178"/>
    <mergeCell ref="B3179:F3179"/>
    <mergeCell ref="B3317:F3317"/>
    <mergeCell ref="B3280:F3280"/>
    <mergeCell ref="B3281:F3281"/>
    <mergeCell ref="B3282:F3282"/>
    <mergeCell ref="B3283:F3283"/>
    <mergeCell ref="B3316:F3316"/>
    <mergeCell ref="B3278:F3278"/>
    <mergeCell ref="B3279:F3279"/>
    <mergeCell ref="B3313:F3313"/>
    <mergeCell ref="G3347:I3347"/>
    <mergeCell ref="G3348:I3348"/>
    <mergeCell ref="G3349:I3349"/>
    <mergeCell ref="G3350:I3350"/>
    <mergeCell ref="G3351:I3351"/>
    <mergeCell ref="G3315:I3315"/>
    <mergeCell ref="G3316:I3316"/>
    <mergeCell ref="G3317:I3317"/>
    <mergeCell ref="B3310:F3310"/>
    <mergeCell ref="G3304:J3304"/>
    <mergeCell ref="H3329:I3329"/>
    <mergeCell ref="E3332:F3332"/>
    <mergeCell ref="B3311:F3311"/>
    <mergeCell ref="B3312:F3312"/>
    <mergeCell ref="B3338:E3338"/>
    <mergeCell ref="G3338:J3338"/>
    <mergeCell ref="G3335:H3335"/>
    <mergeCell ref="B3314:F3314"/>
    <mergeCell ref="B3315:F3315"/>
    <mergeCell ref="G3278:I3278"/>
    <mergeCell ref="G3279:I3279"/>
    <mergeCell ref="G3280:I3280"/>
    <mergeCell ref="G3281:I3281"/>
    <mergeCell ref="E3400:F3400"/>
    <mergeCell ref="B3406:E3406"/>
    <mergeCell ref="G3406:J3406"/>
    <mergeCell ref="G3403:H3403"/>
    <mergeCell ref="B3344:F3344"/>
    <mergeCell ref="B3378:F3378"/>
    <mergeCell ref="B3379:F3379"/>
    <mergeCell ref="B3380:F3380"/>
    <mergeCell ref="E3366:F3366"/>
    <mergeCell ref="B3385:F3385"/>
    <mergeCell ref="B3348:F3348"/>
    <mergeCell ref="B3349:F3349"/>
    <mergeCell ref="B3350:F3350"/>
    <mergeCell ref="B3351:F3351"/>
    <mergeCell ref="B3384:F3384"/>
    <mergeCell ref="B3381:F3381"/>
    <mergeCell ref="B3382:F3382"/>
    <mergeCell ref="B3383:F3383"/>
    <mergeCell ref="G3377:J3377"/>
    <mergeCell ref="G3369:H3369"/>
    <mergeCell ref="G3372:J3372"/>
    <mergeCell ref="H3363:I3363"/>
    <mergeCell ref="B3372:E3372"/>
    <mergeCell ref="G3378:I3378"/>
    <mergeCell ref="G3379:I3379"/>
    <mergeCell ref="G3380:I3380"/>
    <mergeCell ref="G3381:I3381"/>
    <mergeCell ref="G3382:I3382"/>
    <mergeCell ref="G3383:I3383"/>
    <mergeCell ref="G3384:I3384"/>
    <mergeCell ref="G3385:I3385"/>
    <mergeCell ref="B3481:F3481"/>
    <mergeCell ref="B3482:F3482"/>
    <mergeCell ref="B3548:F3548"/>
    <mergeCell ref="B3483:F3483"/>
    <mergeCell ref="H3499:I3499"/>
    <mergeCell ref="G3505:H3505"/>
    <mergeCell ref="B3412:F3412"/>
    <mergeCell ref="B3446:F3446"/>
    <mergeCell ref="B3447:F3447"/>
    <mergeCell ref="B3448:F3448"/>
    <mergeCell ref="E3434:F3434"/>
    <mergeCell ref="B3440:E3440"/>
    <mergeCell ref="G3440:J3440"/>
    <mergeCell ref="H3465:I3465"/>
    <mergeCell ref="E3468:F3468"/>
    <mergeCell ref="B3474:E3474"/>
    <mergeCell ref="G3474:J3474"/>
    <mergeCell ref="G3471:H3471"/>
    <mergeCell ref="B3480:F3480"/>
    <mergeCell ref="B3453:F3453"/>
    <mergeCell ref="B3416:F3416"/>
    <mergeCell ref="B3417:F3417"/>
    <mergeCell ref="B3418:F3418"/>
    <mergeCell ref="B3419:F3419"/>
    <mergeCell ref="B3413:F3413"/>
    <mergeCell ref="B3452:F3452"/>
    <mergeCell ref="B3414:F3414"/>
    <mergeCell ref="B3415:F3415"/>
    <mergeCell ref="G3448:I3448"/>
    <mergeCell ref="G3449:I3449"/>
    <mergeCell ref="G3450:I3450"/>
    <mergeCell ref="G3451:I3451"/>
    <mergeCell ref="B3521:F3521"/>
    <mergeCell ref="B3484:F3484"/>
    <mergeCell ref="B3485:F3485"/>
    <mergeCell ref="B3486:F3486"/>
    <mergeCell ref="B3487:F3487"/>
    <mergeCell ref="B3520:F3520"/>
    <mergeCell ref="B3517:F3517"/>
    <mergeCell ref="B3518:F3518"/>
    <mergeCell ref="B3519:F3519"/>
    <mergeCell ref="G3573:H3573"/>
    <mergeCell ref="G3576:J3576"/>
    <mergeCell ref="H3567:I3567"/>
    <mergeCell ref="B3514:F3514"/>
    <mergeCell ref="B3515:F3515"/>
    <mergeCell ref="B3516:F3516"/>
    <mergeCell ref="E3502:F3502"/>
    <mergeCell ref="B3508:E3508"/>
    <mergeCell ref="G3508:J3508"/>
    <mergeCell ref="H3533:I3533"/>
    <mergeCell ref="E3536:F3536"/>
    <mergeCell ref="G3516:I3516"/>
    <mergeCell ref="G3517:I3517"/>
    <mergeCell ref="G3518:I3518"/>
    <mergeCell ref="G3519:I3519"/>
    <mergeCell ref="G3520:I3520"/>
    <mergeCell ref="G3521:I3521"/>
    <mergeCell ref="B3542:E3542"/>
    <mergeCell ref="G3542:J3542"/>
    <mergeCell ref="G3539:H3539"/>
    <mergeCell ref="B3549:F3549"/>
    <mergeCell ref="B3586:F3586"/>
    <mergeCell ref="B3587:F3587"/>
    <mergeCell ref="B3685:F3685"/>
    <mergeCell ref="B3686:F3686"/>
    <mergeCell ref="B3687:F3687"/>
    <mergeCell ref="B3644:E3644"/>
    <mergeCell ref="B3617:F3617"/>
    <mergeCell ref="B3618:F3618"/>
    <mergeCell ref="B3619:F3619"/>
    <mergeCell ref="B3550:F3550"/>
    <mergeCell ref="B3551:F3551"/>
    <mergeCell ref="B3589:F3589"/>
    <mergeCell ref="B3552:F3552"/>
    <mergeCell ref="B3553:F3553"/>
    <mergeCell ref="B3554:F3554"/>
    <mergeCell ref="B3555:F3555"/>
    <mergeCell ref="B3588:F3588"/>
    <mergeCell ref="B3585:F3585"/>
    <mergeCell ref="B3684:F3684"/>
    <mergeCell ref="B3582:F3582"/>
    <mergeCell ref="B3583:F3583"/>
    <mergeCell ref="B3584:F3584"/>
    <mergeCell ref="B3610:E3610"/>
    <mergeCell ref="E3570:F3570"/>
    <mergeCell ref="B3576:E3576"/>
    <mergeCell ref="B3620:F3620"/>
    <mergeCell ref="B3621:F3621"/>
    <mergeCell ref="B3622:F3622"/>
    <mergeCell ref="B3623:F3623"/>
    <mergeCell ref="B3656:F3656"/>
    <mergeCell ref="B3653:F3653"/>
    <mergeCell ref="B3654:F3654"/>
    <mergeCell ref="B3655:F3655"/>
    <mergeCell ref="H3669:I3669"/>
    <mergeCell ref="E3672:F3672"/>
    <mergeCell ref="B3678:E3678"/>
    <mergeCell ref="G3678:J3678"/>
    <mergeCell ref="G3675:H3675"/>
    <mergeCell ref="G3641:H3641"/>
    <mergeCell ref="G3644:J3644"/>
    <mergeCell ref="H3635:I3635"/>
    <mergeCell ref="G3622:I3622"/>
    <mergeCell ref="G3623:I3623"/>
    <mergeCell ref="G3587:I3587"/>
    <mergeCell ref="G3588:I3588"/>
    <mergeCell ref="G3589:I3589"/>
    <mergeCell ref="G3649:J3649"/>
    <mergeCell ref="G3650:I3650"/>
    <mergeCell ref="G3651:I3651"/>
    <mergeCell ref="G3652:I3652"/>
    <mergeCell ref="G3653:I3653"/>
    <mergeCell ref="G3654:I3654"/>
    <mergeCell ref="G3656:I3656"/>
    <mergeCell ref="B3616:F3616"/>
    <mergeCell ref="E3604:F3604"/>
    <mergeCell ref="B3657:F3657"/>
    <mergeCell ref="G3657:I3657"/>
    <mergeCell ref="B3650:F3650"/>
    <mergeCell ref="B3651:F3651"/>
    <mergeCell ref="B3652:F3652"/>
    <mergeCell ref="E3638:F3638"/>
    <mergeCell ref="G3610:J3610"/>
    <mergeCell ref="G3607:H3607"/>
    <mergeCell ref="B3722:F3722"/>
    <mergeCell ref="B3723:F3723"/>
    <mergeCell ref="H3703:I3703"/>
    <mergeCell ref="G3709:H3709"/>
    <mergeCell ref="B3725:F3725"/>
    <mergeCell ref="B3688:F3688"/>
    <mergeCell ref="B3689:F3689"/>
    <mergeCell ref="B3690:F3690"/>
    <mergeCell ref="B3691:F3691"/>
    <mergeCell ref="B3724:F3724"/>
    <mergeCell ref="G3683:J3683"/>
    <mergeCell ref="G3684:I3684"/>
    <mergeCell ref="G3685:I3685"/>
    <mergeCell ref="G3686:I3686"/>
    <mergeCell ref="G3687:I3687"/>
    <mergeCell ref="G3688:I3688"/>
    <mergeCell ref="G3689:I3689"/>
    <mergeCell ref="G3690:I3690"/>
    <mergeCell ref="G3691:I3691"/>
    <mergeCell ref="B3721:F3721"/>
    <mergeCell ref="G3717:J3717"/>
    <mergeCell ref="G3718:I3718"/>
    <mergeCell ref="G3719:I3719"/>
    <mergeCell ref="B3780:E3780"/>
    <mergeCell ref="B3753:F3753"/>
    <mergeCell ref="B3754:F3754"/>
    <mergeCell ref="B3755:F3755"/>
    <mergeCell ref="H3805:I3805"/>
    <mergeCell ref="E3706:F3706"/>
    <mergeCell ref="B3712:E3712"/>
    <mergeCell ref="G3712:J3712"/>
    <mergeCell ref="H3737:I3737"/>
    <mergeCell ref="E3740:F3740"/>
    <mergeCell ref="E3808:F3808"/>
    <mergeCell ref="B3814:E3814"/>
    <mergeCell ref="G3814:J3814"/>
    <mergeCell ref="G3811:H3811"/>
    <mergeCell ref="B3752:F3752"/>
    <mergeCell ref="B3786:F3786"/>
    <mergeCell ref="B3787:F3787"/>
    <mergeCell ref="B3788:F3788"/>
    <mergeCell ref="E3774:F3774"/>
    <mergeCell ref="B3793:F3793"/>
    <mergeCell ref="B3756:F3756"/>
    <mergeCell ref="B3757:F3757"/>
    <mergeCell ref="B3758:F3758"/>
    <mergeCell ref="B3759:F3759"/>
    <mergeCell ref="B3792:F3792"/>
    <mergeCell ref="B3789:F3789"/>
    <mergeCell ref="B3790:F3790"/>
    <mergeCell ref="B3791:F3791"/>
    <mergeCell ref="B3718:F3718"/>
    <mergeCell ref="B3719:F3719"/>
    <mergeCell ref="B3720:F3720"/>
    <mergeCell ref="B3746:E3746"/>
    <mergeCell ref="B3889:F3889"/>
    <mergeCell ref="B3890:F3890"/>
    <mergeCell ref="B3956:F3956"/>
    <mergeCell ref="B3891:F3891"/>
    <mergeCell ref="H3907:I3907"/>
    <mergeCell ref="G3913:H3913"/>
    <mergeCell ref="B3820:F3820"/>
    <mergeCell ref="B3854:F3854"/>
    <mergeCell ref="B3855:F3855"/>
    <mergeCell ref="B3856:F3856"/>
    <mergeCell ref="E3842:F3842"/>
    <mergeCell ref="B3848:E3848"/>
    <mergeCell ref="G3848:J3848"/>
    <mergeCell ref="H3873:I3873"/>
    <mergeCell ref="E3876:F3876"/>
    <mergeCell ref="B3882:E3882"/>
    <mergeCell ref="G3882:J3882"/>
    <mergeCell ref="G3879:H3879"/>
    <mergeCell ref="B3888:F3888"/>
    <mergeCell ref="B3861:F3861"/>
    <mergeCell ref="B3824:F3824"/>
    <mergeCell ref="B3825:F3825"/>
    <mergeCell ref="B3826:F3826"/>
    <mergeCell ref="B3827:F3827"/>
    <mergeCell ref="B3821:F3821"/>
    <mergeCell ref="B3860:F3860"/>
    <mergeCell ref="B3822:F3822"/>
    <mergeCell ref="B3823:F3823"/>
    <mergeCell ref="B3857:F3857"/>
    <mergeCell ref="B3858:F3858"/>
    <mergeCell ref="B3859:F3859"/>
    <mergeCell ref="G3822:I3822"/>
    <mergeCell ref="B3957:F3957"/>
    <mergeCell ref="H4009:I4009"/>
    <mergeCell ref="E4012:F4012"/>
    <mergeCell ref="B4018:E4018"/>
    <mergeCell ref="G4018:J4018"/>
    <mergeCell ref="G4015:H4015"/>
    <mergeCell ref="B3929:F3929"/>
    <mergeCell ref="B3892:F3892"/>
    <mergeCell ref="B3893:F3893"/>
    <mergeCell ref="B3894:F3894"/>
    <mergeCell ref="B3895:F3895"/>
    <mergeCell ref="B3928:F3928"/>
    <mergeCell ref="B3925:F3925"/>
    <mergeCell ref="B3926:F3926"/>
    <mergeCell ref="B3927:F3927"/>
    <mergeCell ref="G3981:H3981"/>
    <mergeCell ref="G3984:J3984"/>
    <mergeCell ref="H3975:I3975"/>
    <mergeCell ref="B3922:F3922"/>
    <mergeCell ref="B3923:F3923"/>
    <mergeCell ref="B3924:F3924"/>
    <mergeCell ref="E3910:F3910"/>
    <mergeCell ref="B3916:E3916"/>
    <mergeCell ref="G3916:J3916"/>
    <mergeCell ref="H3941:I3941"/>
    <mergeCell ref="E3944:F3944"/>
    <mergeCell ref="G3923:I3923"/>
    <mergeCell ref="G3924:I3924"/>
    <mergeCell ref="G3925:I3925"/>
    <mergeCell ref="B3950:E3950"/>
    <mergeCell ref="G3950:J3950"/>
    <mergeCell ref="G3947:H3947"/>
    <mergeCell ref="B3958:F3958"/>
    <mergeCell ref="B3959:F3959"/>
    <mergeCell ref="B3997:F3997"/>
    <mergeCell ref="B3960:F3960"/>
    <mergeCell ref="B3961:F3961"/>
    <mergeCell ref="B3962:F3962"/>
    <mergeCell ref="B3963:F3963"/>
    <mergeCell ref="B3996:F3996"/>
    <mergeCell ref="B3993:F3993"/>
    <mergeCell ref="B4092:F4092"/>
    <mergeCell ref="B3990:F3990"/>
    <mergeCell ref="B3991:F3991"/>
    <mergeCell ref="B3992:F3992"/>
    <mergeCell ref="B4024:F4024"/>
    <mergeCell ref="B4058:F4058"/>
    <mergeCell ref="B4059:F4059"/>
    <mergeCell ref="B4060:F4060"/>
    <mergeCell ref="E4046:F4046"/>
    <mergeCell ref="B3994:F3994"/>
    <mergeCell ref="B3995:F3995"/>
    <mergeCell ref="E3978:F3978"/>
    <mergeCell ref="B3984:E3984"/>
    <mergeCell ref="B4065:F4065"/>
    <mergeCell ref="B4028:F4028"/>
    <mergeCell ref="B4029:F4029"/>
    <mergeCell ref="B4030:F4030"/>
    <mergeCell ref="B4031:F4031"/>
    <mergeCell ref="B4064:F4064"/>
    <mergeCell ref="B4061:F4061"/>
    <mergeCell ref="B4062:F4062"/>
    <mergeCell ref="B4063:F4063"/>
    <mergeCell ref="B4052:E4052"/>
    <mergeCell ref="B4025:F4025"/>
    <mergeCell ref="B4026:F4026"/>
    <mergeCell ref="B4027:F4027"/>
    <mergeCell ref="B4093:F4093"/>
    <mergeCell ref="H4077:I4077"/>
    <mergeCell ref="E4080:F4080"/>
    <mergeCell ref="B4086:E4086"/>
    <mergeCell ref="G4086:J4086"/>
    <mergeCell ref="G4083:H4083"/>
    <mergeCell ref="G4049:H4049"/>
    <mergeCell ref="G4052:J4052"/>
    <mergeCell ref="H4043:I4043"/>
    <mergeCell ref="G4024:I4024"/>
    <mergeCell ref="G4025:I4025"/>
    <mergeCell ref="G4026:I4026"/>
    <mergeCell ref="G4027:I4027"/>
    <mergeCell ref="G4028:I4028"/>
    <mergeCell ref="G4029:I4029"/>
    <mergeCell ref="G4030:I4030"/>
    <mergeCell ref="G4031:I4031"/>
    <mergeCell ref="G4058:I4058"/>
    <mergeCell ref="G4057:J4057"/>
    <mergeCell ref="G4059:I4059"/>
    <mergeCell ref="G4060:I4060"/>
    <mergeCell ref="G4061:I4061"/>
    <mergeCell ref="G4062:I4062"/>
    <mergeCell ref="G4063:I4063"/>
    <mergeCell ref="G4064:I4064"/>
    <mergeCell ref="G4065:I4065"/>
    <mergeCell ref="G4091:J4091"/>
    <mergeCell ref="G4092:I4092"/>
    <mergeCell ref="G4093:I4093"/>
    <mergeCell ref="B4133:F4133"/>
    <mergeCell ref="B4096:F4096"/>
    <mergeCell ref="B4097:F4097"/>
    <mergeCell ref="B4098:F4098"/>
    <mergeCell ref="B4099:F4099"/>
    <mergeCell ref="B4132:F4132"/>
    <mergeCell ref="B4129:F4129"/>
    <mergeCell ref="B4094:F4094"/>
    <mergeCell ref="B4095:F4095"/>
    <mergeCell ref="B4126:F4126"/>
    <mergeCell ref="B4127:F4127"/>
    <mergeCell ref="B4128:F4128"/>
    <mergeCell ref="E4114:F4114"/>
    <mergeCell ref="B4120:E4120"/>
    <mergeCell ref="G4120:J4120"/>
    <mergeCell ref="H4145:I4145"/>
    <mergeCell ref="E4148:F4148"/>
    <mergeCell ref="G4094:I4094"/>
    <mergeCell ref="G4095:I4095"/>
    <mergeCell ref="G4096:I4096"/>
    <mergeCell ref="G4097:I4097"/>
    <mergeCell ref="G4098:I4098"/>
    <mergeCell ref="G4099:I4099"/>
    <mergeCell ref="H4111:I4111"/>
    <mergeCell ref="G4125:J4125"/>
    <mergeCell ref="G4126:I4126"/>
    <mergeCell ref="G4127:I4127"/>
    <mergeCell ref="G4128:I4128"/>
    <mergeCell ref="G4129:I4129"/>
    <mergeCell ref="G4132:I4132"/>
    <mergeCell ref="B4154:E4154"/>
    <mergeCell ref="G4154:J4154"/>
    <mergeCell ref="G4151:H4151"/>
    <mergeCell ref="B4161:F4161"/>
    <mergeCell ref="B4162:F4162"/>
    <mergeCell ref="B4163:F4163"/>
    <mergeCell ref="B4130:F4130"/>
    <mergeCell ref="B4131:F4131"/>
    <mergeCell ref="G4165:I4165"/>
    <mergeCell ref="G4133:I4133"/>
    <mergeCell ref="B4140:F4141"/>
    <mergeCell ref="G4130:I4130"/>
    <mergeCell ref="G4131:I4131"/>
    <mergeCell ref="G4117:H4117"/>
    <mergeCell ref="H4213:I4213"/>
    <mergeCell ref="E4216:F4216"/>
    <mergeCell ref="B4222:E4222"/>
    <mergeCell ref="G4222:J4222"/>
    <mergeCell ref="G4219:H4219"/>
    <mergeCell ref="B4160:F4160"/>
    <mergeCell ref="B4194:F4194"/>
    <mergeCell ref="B4201:F4201"/>
    <mergeCell ref="B4164:F4164"/>
    <mergeCell ref="B4165:F4165"/>
    <mergeCell ref="B4166:F4166"/>
    <mergeCell ref="B4167:F4167"/>
    <mergeCell ref="B4200:F4200"/>
    <mergeCell ref="B4197:F4197"/>
    <mergeCell ref="B4198:F4198"/>
    <mergeCell ref="B4199:F4199"/>
    <mergeCell ref="B4195:F4195"/>
    <mergeCell ref="B4196:F4196"/>
    <mergeCell ref="B4174:F4175"/>
    <mergeCell ref="B4208:F4209"/>
    <mergeCell ref="G4185:H4185"/>
    <mergeCell ref="G4188:J4188"/>
    <mergeCell ref="H4179:I4179"/>
    <mergeCell ref="G4166:I4166"/>
    <mergeCell ref="B4269:F4269"/>
    <mergeCell ref="B4232:F4232"/>
    <mergeCell ref="B4233:F4233"/>
    <mergeCell ref="B4234:F4234"/>
    <mergeCell ref="B4235:F4235"/>
    <mergeCell ref="B4268:F4268"/>
    <mergeCell ref="B4265:F4265"/>
    <mergeCell ref="B4266:F4266"/>
    <mergeCell ref="B4267:F4267"/>
    <mergeCell ref="G4253:H4253"/>
    <mergeCell ref="B4228:F4228"/>
    <mergeCell ref="B4262:F4262"/>
    <mergeCell ref="B4263:F4263"/>
    <mergeCell ref="B4264:F4264"/>
    <mergeCell ref="E4250:F4250"/>
    <mergeCell ref="B4256:E4256"/>
    <mergeCell ref="G4256:J4256"/>
    <mergeCell ref="B4229:F4229"/>
    <mergeCell ref="B4230:F4230"/>
    <mergeCell ref="B4231:F4231"/>
    <mergeCell ref="H4247:I4247"/>
    <mergeCell ref="B4242:F4243"/>
    <mergeCell ref="G4227:J4227"/>
    <mergeCell ref="B4298:F4298"/>
    <mergeCell ref="B4299:F4299"/>
    <mergeCell ref="B4332:F4332"/>
    <mergeCell ref="E4318:F4318"/>
    <mergeCell ref="B4324:E4324"/>
    <mergeCell ref="G4303:I4303"/>
    <mergeCell ref="G4329:J4329"/>
    <mergeCell ref="G4330:I4330"/>
    <mergeCell ref="G4331:I4331"/>
    <mergeCell ref="G4332:I4332"/>
    <mergeCell ref="G4333:I4333"/>
    <mergeCell ref="G4334:I4334"/>
    <mergeCell ref="G4335:I4335"/>
    <mergeCell ref="G4336:I4336"/>
    <mergeCell ref="G4365:I4365"/>
    <mergeCell ref="E4182:F4182"/>
    <mergeCell ref="B4188:E4188"/>
    <mergeCell ref="G4228:I4228"/>
    <mergeCell ref="G4229:I4229"/>
    <mergeCell ref="G4230:I4230"/>
    <mergeCell ref="G4231:I4231"/>
    <mergeCell ref="G4232:I4232"/>
    <mergeCell ref="G4233:I4233"/>
    <mergeCell ref="G4234:I4234"/>
    <mergeCell ref="G4235:I4235"/>
    <mergeCell ref="G4295:J4295"/>
    <mergeCell ref="G4296:I4296"/>
    <mergeCell ref="G4297:I4297"/>
    <mergeCell ref="G4298:I4298"/>
    <mergeCell ref="G4299:I4299"/>
    <mergeCell ref="G4300:I4300"/>
    <mergeCell ref="G4301:I4301"/>
    <mergeCell ref="G4437:I4437"/>
    <mergeCell ref="G4438:I4438"/>
    <mergeCell ref="G4423:H4423"/>
    <mergeCell ref="G4363:J4363"/>
    <mergeCell ref="G4364:I4364"/>
    <mergeCell ref="E4420:F4420"/>
    <mergeCell ref="B4302:F4302"/>
    <mergeCell ref="B4364:F4364"/>
    <mergeCell ref="H4315:I4315"/>
    <mergeCell ref="G4321:H4321"/>
    <mergeCell ref="G3:H3"/>
    <mergeCell ref="E4488:F4488"/>
    <mergeCell ref="B4470:F4470"/>
    <mergeCell ref="B4471:F4471"/>
    <mergeCell ref="B4472:F4472"/>
    <mergeCell ref="B4473:F4473"/>
    <mergeCell ref="B4401:F4401"/>
    <mergeCell ref="B4402:F4402"/>
    <mergeCell ref="B4398:F4398"/>
    <mergeCell ref="B4403:F4403"/>
    <mergeCell ref="H4349:I4349"/>
    <mergeCell ref="E4352:F4352"/>
    <mergeCell ref="B4358:E4358"/>
    <mergeCell ref="G4358:J4358"/>
    <mergeCell ref="G4355:H4355"/>
    <mergeCell ref="B4365:F4365"/>
    <mergeCell ref="B4366:F4366"/>
    <mergeCell ref="B4367:F4367"/>
    <mergeCell ref="B4405:F4405"/>
    <mergeCell ref="B4368:F4368"/>
    <mergeCell ref="B4369:F4369"/>
    <mergeCell ref="B4297:F4297"/>
    <mergeCell ref="H4485:I4485"/>
    <mergeCell ref="B4438:F4438"/>
    <mergeCell ref="B4439:F4439"/>
    <mergeCell ref="B4432:F4432"/>
    <mergeCell ref="B4436:F4436"/>
    <mergeCell ref="H4451:I4451"/>
    <mergeCell ref="E4454:F4454"/>
    <mergeCell ref="B4468:F4468"/>
    <mergeCell ref="B4469:F4469"/>
    <mergeCell ref="B4467:F4467"/>
    <mergeCell ref="G4389:H4389"/>
    <mergeCell ref="B4404:F4404"/>
    <mergeCell ref="B4337:F4337"/>
    <mergeCell ref="B4300:F4300"/>
    <mergeCell ref="B4301:F4301"/>
    <mergeCell ref="B4426:E4426"/>
    <mergeCell ref="B4399:F4399"/>
    <mergeCell ref="B4400:F4400"/>
    <mergeCell ref="E4386:F4386"/>
    <mergeCell ref="B4392:E4392"/>
    <mergeCell ref="G4460:J4460"/>
    <mergeCell ref="B4466:F4466"/>
    <mergeCell ref="B4460:E4460"/>
    <mergeCell ref="B4433:F4433"/>
    <mergeCell ref="B4370:F4370"/>
    <mergeCell ref="B4371:F4371"/>
    <mergeCell ref="B4303:F4303"/>
    <mergeCell ref="B4336:F4336"/>
    <mergeCell ref="B4333:F4333"/>
    <mergeCell ref="B4334:F4334"/>
    <mergeCell ref="B4335:F4335"/>
    <mergeCell ref="G4324:J4324"/>
    <mergeCell ref="G113:J113"/>
    <mergeCell ref="G114:I114"/>
    <mergeCell ref="G184:I184"/>
    <mergeCell ref="G185:I185"/>
    <mergeCell ref="G186:I186"/>
    <mergeCell ref="G187:I187"/>
    <mergeCell ref="G188:I188"/>
    <mergeCell ref="G325:I325"/>
    <mergeCell ref="G346:J346"/>
    <mergeCell ref="G343:H343"/>
    <mergeCell ref="G216:I216"/>
    <mergeCell ref="G217:I217"/>
    <mergeCell ref="G218:I218"/>
    <mergeCell ref="G219:I219"/>
    <mergeCell ref="G220:I220"/>
    <mergeCell ref="G221:I221"/>
    <mergeCell ref="G222:I222"/>
    <mergeCell ref="G215:J215"/>
    <mergeCell ref="G223:I223"/>
    <mergeCell ref="G283:J283"/>
    <mergeCell ref="G285:I285"/>
    <mergeCell ref="G286:I286"/>
    <mergeCell ref="G244:J244"/>
    <mergeCell ref="G250:I250"/>
    <mergeCell ref="G251:I251"/>
    <mergeCell ref="G252:I252"/>
    <mergeCell ref="G284:I284"/>
    <mergeCell ref="G253:I253"/>
    <mergeCell ref="G254:I254"/>
    <mergeCell ref="G255:I255"/>
    <mergeCell ref="G256:I256"/>
    <mergeCell ref="G257:I257"/>
    <mergeCell ref="G351:J351"/>
    <mergeCell ref="G147:J147"/>
    <mergeCell ref="G148:I148"/>
    <mergeCell ref="G149:I149"/>
    <mergeCell ref="G150:I150"/>
    <mergeCell ref="G151:I151"/>
    <mergeCell ref="G152:I152"/>
    <mergeCell ref="G153:I153"/>
    <mergeCell ref="G154:I154"/>
    <mergeCell ref="G155:I155"/>
    <mergeCell ref="G352:I352"/>
    <mergeCell ref="G377:H377"/>
    <mergeCell ref="G355:I355"/>
    <mergeCell ref="G356:I356"/>
    <mergeCell ref="G357:I357"/>
    <mergeCell ref="G321:I321"/>
    <mergeCell ref="G322:I322"/>
    <mergeCell ref="G323:I323"/>
    <mergeCell ref="G324:I324"/>
    <mergeCell ref="H337:I337"/>
    <mergeCell ref="G17:I17"/>
    <mergeCell ref="G18:I18"/>
    <mergeCell ref="G19:I19"/>
    <mergeCell ref="G45:J45"/>
    <mergeCell ref="G46:I46"/>
    <mergeCell ref="G47:I47"/>
    <mergeCell ref="G48:I48"/>
    <mergeCell ref="G49:I49"/>
    <mergeCell ref="G50:I50"/>
    <mergeCell ref="G51:I51"/>
    <mergeCell ref="G52:I52"/>
    <mergeCell ref="G53:I53"/>
    <mergeCell ref="G79:J79"/>
    <mergeCell ref="G71:H71"/>
    <mergeCell ref="G290:I290"/>
    <mergeCell ref="G291:I291"/>
    <mergeCell ref="G691:J691"/>
    <mergeCell ref="G390:I390"/>
    <mergeCell ref="G287:I287"/>
    <mergeCell ref="G288:I288"/>
    <mergeCell ref="G289:I289"/>
    <mergeCell ref="G353:I353"/>
    <mergeCell ref="G354:I354"/>
    <mergeCell ref="G317:J317"/>
    <mergeCell ref="G318:I318"/>
    <mergeCell ref="G319:I319"/>
    <mergeCell ref="G320:I320"/>
    <mergeCell ref="G385:J385"/>
    <mergeCell ref="G386:I386"/>
    <mergeCell ref="G387:I387"/>
    <mergeCell ref="G388:I388"/>
    <mergeCell ref="G389:I389"/>
    <mergeCell ref="G895:J895"/>
    <mergeCell ref="G896:I896"/>
    <mergeCell ref="G866:I866"/>
    <mergeCell ref="G867:I867"/>
    <mergeCell ref="G868:I868"/>
    <mergeCell ref="G869:I869"/>
    <mergeCell ref="G788:J788"/>
    <mergeCell ref="G1094:J1094"/>
    <mergeCell ref="G929:J929"/>
    <mergeCell ref="G930:I930"/>
    <mergeCell ref="G931:I931"/>
    <mergeCell ref="G932:I932"/>
    <mergeCell ref="G933:I933"/>
    <mergeCell ref="G934:I934"/>
    <mergeCell ref="G935:I935"/>
    <mergeCell ref="G936:I936"/>
    <mergeCell ref="G998:I998"/>
    <mergeCell ref="G999:I999"/>
    <mergeCell ref="G1000:I1000"/>
    <mergeCell ref="G1001:I1001"/>
    <mergeCell ref="G1002:I1002"/>
    <mergeCell ref="G1003:I1003"/>
    <mergeCell ref="G1004:I1004"/>
    <mergeCell ref="G1005:I1005"/>
    <mergeCell ref="G1065:J1065"/>
    <mergeCell ref="G1066:I1066"/>
    <mergeCell ref="G1067:I1067"/>
    <mergeCell ref="G1068:I1068"/>
    <mergeCell ref="G1069:I1069"/>
    <mergeCell ref="G1070:I1070"/>
    <mergeCell ref="G1071:I1071"/>
    <mergeCell ref="H983:I983"/>
    <mergeCell ref="G1546:I1546"/>
    <mergeCell ref="G1547:I1547"/>
    <mergeCell ref="G1481:I1481"/>
    <mergeCell ref="G1541:J1541"/>
    <mergeCell ref="G1542:I1542"/>
    <mergeCell ref="G1543:I1543"/>
    <mergeCell ref="G1544:I1544"/>
    <mergeCell ref="G1545:I1545"/>
    <mergeCell ref="G1507:J1507"/>
    <mergeCell ref="G1508:I1508"/>
    <mergeCell ref="G1509:I1509"/>
    <mergeCell ref="G1510:I1510"/>
    <mergeCell ref="G1511:I1511"/>
    <mergeCell ref="G1512:I1512"/>
    <mergeCell ref="G1513:I1513"/>
    <mergeCell ref="G1514:I1514"/>
    <mergeCell ref="G1515:I1515"/>
    <mergeCell ref="G1533:H1533"/>
    <mergeCell ref="G1548:I1548"/>
    <mergeCell ref="G1549:I1549"/>
    <mergeCell ref="G1310:I1310"/>
    <mergeCell ref="G1311:I1311"/>
    <mergeCell ref="G1371:J1371"/>
    <mergeCell ref="G1372:I1372"/>
    <mergeCell ref="G1373:I1373"/>
    <mergeCell ref="G1374:I1374"/>
    <mergeCell ref="G1375:I1375"/>
    <mergeCell ref="G1376:I1376"/>
    <mergeCell ref="G1377:I1377"/>
    <mergeCell ref="G1378:I1378"/>
    <mergeCell ref="G1379:I1379"/>
    <mergeCell ref="G1439:J1439"/>
    <mergeCell ref="G1440:I1440"/>
    <mergeCell ref="G1441:I1441"/>
    <mergeCell ref="G1442:I1442"/>
    <mergeCell ref="G1443:I1443"/>
    <mergeCell ref="G1444:I1444"/>
    <mergeCell ref="G1337:J1337"/>
    <mergeCell ref="G1338:I1338"/>
    <mergeCell ref="G1339:I1339"/>
    <mergeCell ref="G1411:I1411"/>
    <mergeCell ref="G1412:I1412"/>
    <mergeCell ref="G1413:I1413"/>
    <mergeCell ref="G1473:J1473"/>
    <mergeCell ref="G1474:I1474"/>
    <mergeCell ref="G1475:I1475"/>
    <mergeCell ref="G1476:I1476"/>
    <mergeCell ref="G1477:I1477"/>
    <mergeCell ref="G1479:I1479"/>
    <mergeCell ref="G1480:I1480"/>
    <mergeCell ref="G1907:H1907"/>
    <mergeCell ref="H1901:I1901"/>
    <mergeCell ref="G1889:I1889"/>
    <mergeCell ref="G1715:I1715"/>
    <mergeCell ref="G1716:I1716"/>
    <mergeCell ref="G1717:I1717"/>
    <mergeCell ref="G1718:I1718"/>
    <mergeCell ref="G1719:I1719"/>
    <mergeCell ref="G1779:J1779"/>
    <mergeCell ref="G1780:I1780"/>
    <mergeCell ref="G1781:I1781"/>
    <mergeCell ref="G1782:I1782"/>
    <mergeCell ref="G1783:I1783"/>
    <mergeCell ref="G1784:I1784"/>
    <mergeCell ref="G1785:I1785"/>
    <mergeCell ref="G1685:I1685"/>
    <mergeCell ref="G1745:J1745"/>
    <mergeCell ref="G1746:I1746"/>
    <mergeCell ref="G1747:I1747"/>
    <mergeCell ref="G1748:I1748"/>
    <mergeCell ref="G1749:I1749"/>
    <mergeCell ref="G1750:I1750"/>
    <mergeCell ref="G1751:I1751"/>
    <mergeCell ref="G1752:I1752"/>
    <mergeCell ref="G1753:I1753"/>
    <mergeCell ref="G1740:J1740"/>
    <mergeCell ref="H1731:I1731"/>
    <mergeCell ref="H1765:I1765"/>
    <mergeCell ref="G1805:H1805"/>
    <mergeCell ref="G1953:I1953"/>
    <mergeCell ref="G1954:I1954"/>
    <mergeCell ref="G1955:I1955"/>
    <mergeCell ref="G1956:I1956"/>
    <mergeCell ref="G1957:I1957"/>
    <mergeCell ref="G2017:J2017"/>
    <mergeCell ref="G2018:I2018"/>
    <mergeCell ref="G2019:I2019"/>
    <mergeCell ref="G2020:I2020"/>
    <mergeCell ref="G2021:I2021"/>
    <mergeCell ref="G1915:J1915"/>
    <mergeCell ref="G1916:I1916"/>
    <mergeCell ref="G1917:I1917"/>
    <mergeCell ref="G1918:I1918"/>
    <mergeCell ref="G1919:I1919"/>
    <mergeCell ref="G1920:I1920"/>
    <mergeCell ref="G1813:J1813"/>
    <mergeCell ref="G1814:I1814"/>
    <mergeCell ref="G1815:I1815"/>
    <mergeCell ref="G1816:I1816"/>
    <mergeCell ref="G1817:I1817"/>
    <mergeCell ref="G1818:I1818"/>
    <mergeCell ref="G1819:I1819"/>
    <mergeCell ref="G1820:I1820"/>
    <mergeCell ref="G1821:I1821"/>
    <mergeCell ref="G1881:J1881"/>
    <mergeCell ref="G1882:I1882"/>
    <mergeCell ref="G1883:I1883"/>
    <mergeCell ref="G1884:I1884"/>
    <mergeCell ref="G1885:I1885"/>
    <mergeCell ref="G1886:I1886"/>
    <mergeCell ref="G1839:H1839"/>
    <mergeCell ref="G2365:I2365"/>
    <mergeCell ref="G2187:J2187"/>
    <mergeCell ref="G2188:I2188"/>
    <mergeCell ref="G2189:I2189"/>
    <mergeCell ref="G2190:I2190"/>
    <mergeCell ref="G2191:I2191"/>
    <mergeCell ref="G2192:I2192"/>
    <mergeCell ref="G2193:I2193"/>
    <mergeCell ref="G2194:I2194"/>
    <mergeCell ref="G2195:I2195"/>
    <mergeCell ref="G2255:J2255"/>
    <mergeCell ref="G2256:I2256"/>
    <mergeCell ref="G2257:I2257"/>
    <mergeCell ref="G2258:I2258"/>
    <mergeCell ref="G2259:I2259"/>
    <mergeCell ref="G2260:I2260"/>
    <mergeCell ref="G2261:I2261"/>
    <mergeCell ref="G2262:I2262"/>
    <mergeCell ref="G2222:I2222"/>
    <mergeCell ref="G2223:I2223"/>
    <mergeCell ref="G2224:I2224"/>
    <mergeCell ref="G2225:I2225"/>
    <mergeCell ref="G2226:I2226"/>
    <mergeCell ref="G2227:I2227"/>
    <mergeCell ref="G2360:I2360"/>
    <mergeCell ref="G2361:I2361"/>
    <mergeCell ref="G2362:I2362"/>
    <mergeCell ref="G2363:I2363"/>
    <mergeCell ref="G2364:I2364"/>
    <mergeCell ref="H2309:I2309"/>
    <mergeCell ref="G2629:J2629"/>
    <mergeCell ref="G2630:I2630"/>
    <mergeCell ref="G2631:I2631"/>
    <mergeCell ref="G2632:I2632"/>
    <mergeCell ref="G2527:J2527"/>
    <mergeCell ref="G2528:I2528"/>
    <mergeCell ref="G2529:I2529"/>
    <mergeCell ref="G2530:I2530"/>
    <mergeCell ref="G2531:I2531"/>
    <mergeCell ref="G2532:I2532"/>
    <mergeCell ref="G2533:I2533"/>
    <mergeCell ref="G2425:J2425"/>
    <mergeCell ref="G2426:I2426"/>
    <mergeCell ref="G2427:I2427"/>
    <mergeCell ref="G2428:I2428"/>
    <mergeCell ref="G2429:I2429"/>
    <mergeCell ref="G2430:I2430"/>
    <mergeCell ref="G2431:I2431"/>
    <mergeCell ref="G2432:I2432"/>
    <mergeCell ref="G2433:I2433"/>
    <mergeCell ref="G2493:J2493"/>
    <mergeCell ref="G2494:I2494"/>
    <mergeCell ref="G2495:I2495"/>
    <mergeCell ref="G2496:I2496"/>
    <mergeCell ref="G2497:I2497"/>
    <mergeCell ref="G2498:I2498"/>
    <mergeCell ref="G2499:I2499"/>
    <mergeCell ref="G2500:I2500"/>
    <mergeCell ref="G2501:I2501"/>
    <mergeCell ref="G3011:I3011"/>
    <mergeCell ref="G2700:I2700"/>
    <mergeCell ref="G2701:I2701"/>
    <mergeCell ref="G2534:I2534"/>
    <mergeCell ref="G2535:I2535"/>
    <mergeCell ref="G2595:J2595"/>
    <mergeCell ref="G2596:I2596"/>
    <mergeCell ref="G2597:I2597"/>
    <mergeCell ref="G2598:I2598"/>
    <mergeCell ref="G2599:I2599"/>
    <mergeCell ref="G2600:I2600"/>
    <mergeCell ref="G2601:I2601"/>
    <mergeCell ref="G2602:I2602"/>
    <mergeCell ref="G2603:I2603"/>
    <mergeCell ref="G2663:J2663"/>
    <mergeCell ref="G2664:I2664"/>
    <mergeCell ref="G2665:I2665"/>
    <mergeCell ref="G2666:I2666"/>
    <mergeCell ref="G2667:I2667"/>
    <mergeCell ref="G2668:I2668"/>
    <mergeCell ref="G2634:I2634"/>
    <mergeCell ref="G2635:I2635"/>
    <mergeCell ref="G2636:I2636"/>
    <mergeCell ref="G2637:I2637"/>
    <mergeCell ref="G2561:J2561"/>
    <mergeCell ref="G2564:I2564"/>
    <mergeCell ref="G2565:I2565"/>
    <mergeCell ref="G2566:I2566"/>
    <mergeCell ref="G2633:I2633"/>
    <mergeCell ref="G2567:I2567"/>
    <mergeCell ref="G2568:I2568"/>
    <mergeCell ref="G2569:I2569"/>
    <mergeCell ref="G2935:J2935"/>
    <mergeCell ref="G2936:I2936"/>
    <mergeCell ref="G2937:I2937"/>
    <mergeCell ref="G2938:I2938"/>
    <mergeCell ref="G2939:I2939"/>
    <mergeCell ref="G2940:I2940"/>
    <mergeCell ref="G2906:I2906"/>
    <mergeCell ref="G2907:I2907"/>
    <mergeCell ref="G2908:I2908"/>
    <mergeCell ref="G2909:I2909"/>
    <mergeCell ref="G2998:J2998"/>
    <mergeCell ref="G2995:H2995"/>
    <mergeCell ref="G2930:J2930"/>
    <mergeCell ref="G2927:H2927"/>
    <mergeCell ref="G2941:I2941"/>
    <mergeCell ref="G2942:I2942"/>
    <mergeCell ref="G2943:I2943"/>
    <mergeCell ref="G2975:I2975"/>
    <mergeCell ref="G3107:I3107"/>
    <mergeCell ref="G3108:I3108"/>
    <mergeCell ref="G3109:I3109"/>
    <mergeCell ref="G3110:I3110"/>
    <mergeCell ref="G3111:I3111"/>
    <mergeCell ref="G3112:I3112"/>
    <mergeCell ref="G3113:I3113"/>
    <mergeCell ref="G3173:J3173"/>
    <mergeCell ref="G3174:I3174"/>
    <mergeCell ref="G3175:I3175"/>
    <mergeCell ref="G3176:I3176"/>
    <mergeCell ref="G3177:I3177"/>
    <mergeCell ref="G3139:J3139"/>
    <mergeCell ref="G3140:I3140"/>
    <mergeCell ref="G3141:I3141"/>
    <mergeCell ref="G3040:I3040"/>
    <mergeCell ref="G3041:I3041"/>
    <mergeCell ref="G3042:I3042"/>
    <mergeCell ref="G3142:I3142"/>
    <mergeCell ref="G3143:I3143"/>
    <mergeCell ref="G3144:I3144"/>
    <mergeCell ref="G3145:I3145"/>
    <mergeCell ref="G3146:I3146"/>
    <mergeCell ref="G3147:I3147"/>
    <mergeCell ref="G3003:J3003"/>
    <mergeCell ref="G3004:I3004"/>
    <mergeCell ref="G3005:I3005"/>
    <mergeCell ref="G3006:I3006"/>
    <mergeCell ref="G3007:I3007"/>
    <mergeCell ref="G3008:I3008"/>
    <mergeCell ref="G3009:I3009"/>
    <mergeCell ref="G3010:I3010"/>
    <mergeCell ref="G3854:I3854"/>
    <mergeCell ref="G3855:I3855"/>
    <mergeCell ref="G3789:I3789"/>
    <mergeCell ref="G3790:I3790"/>
    <mergeCell ref="G3282:I3282"/>
    <mergeCell ref="G3283:I3283"/>
    <mergeCell ref="G3343:J3343"/>
    <mergeCell ref="G3344:I3344"/>
    <mergeCell ref="G3345:I3345"/>
    <mergeCell ref="G3241:J3241"/>
    <mergeCell ref="G3242:I3242"/>
    <mergeCell ref="G3243:I3243"/>
    <mergeCell ref="G3244:I3244"/>
    <mergeCell ref="G3245:I3245"/>
    <mergeCell ref="G3246:I3246"/>
    <mergeCell ref="G3247:I3247"/>
    <mergeCell ref="G3248:I3248"/>
    <mergeCell ref="G3249:I3249"/>
    <mergeCell ref="G3309:J3309"/>
    <mergeCell ref="G3310:I3310"/>
    <mergeCell ref="G3311:I3311"/>
    <mergeCell ref="G3312:I3312"/>
    <mergeCell ref="G3313:I3313"/>
    <mergeCell ref="G3314:I3314"/>
    <mergeCell ref="G3777:H3777"/>
    <mergeCell ref="G3780:J3780"/>
    <mergeCell ref="H3771:I3771"/>
    <mergeCell ref="G3746:J3746"/>
    <mergeCell ref="G3743:H3743"/>
    <mergeCell ref="G3751:J3751"/>
    <mergeCell ref="G3752:I3752"/>
    <mergeCell ref="G3753:I3753"/>
    <mergeCell ref="G3620:I3620"/>
    <mergeCell ref="G3621:I3621"/>
    <mergeCell ref="G3513:J3513"/>
    <mergeCell ref="G3514:I3514"/>
    <mergeCell ref="G3515:I3515"/>
    <mergeCell ref="G3723:I3723"/>
    <mergeCell ref="G3724:I3724"/>
    <mergeCell ref="G3725:I3725"/>
    <mergeCell ref="G3788:I3788"/>
    <mergeCell ref="G3582:I3582"/>
    <mergeCell ref="G3583:I3583"/>
    <mergeCell ref="G3584:I3584"/>
    <mergeCell ref="G3585:I3585"/>
    <mergeCell ref="G3586:I3586"/>
    <mergeCell ref="G3617:I3617"/>
    <mergeCell ref="G3618:I3618"/>
    <mergeCell ref="G3619:I3619"/>
    <mergeCell ref="H3601:I3601"/>
    <mergeCell ref="G3581:J3581"/>
    <mergeCell ref="G3479:J3479"/>
    <mergeCell ref="G3480:I3480"/>
    <mergeCell ref="G3481:I3481"/>
    <mergeCell ref="G3482:I3482"/>
    <mergeCell ref="G3483:I3483"/>
    <mergeCell ref="G3484:I3484"/>
    <mergeCell ref="G3485:I3485"/>
    <mergeCell ref="G3486:I3486"/>
    <mergeCell ref="G3754:I3754"/>
    <mergeCell ref="G3755:I3755"/>
    <mergeCell ref="G3756:I3756"/>
    <mergeCell ref="G3757:I3757"/>
    <mergeCell ref="G3758:I3758"/>
    <mergeCell ref="G3759:I3759"/>
    <mergeCell ref="G3819:J3819"/>
    <mergeCell ref="G3820:I3820"/>
    <mergeCell ref="G3821:I3821"/>
    <mergeCell ref="G3720:I3720"/>
    <mergeCell ref="G3721:I3721"/>
    <mergeCell ref="G3722:I3722"/>
    <mergeCell ref="G3487:I3487"/>
    <mergeCell ref="G3547:J3547"/>
    <mergeCell ref="G3548:I3548"/>
    <mergeCell ref="G3549:I3549"/>
    <mergeCell ref="G3550:I3550"/>
    <mergeCell ref="G3551:I3551"/>
    <mergeCell ref="G3552:I3552"/>
    <mergeCell ref="G3553:I3553"/>
    <mergeCell ref="G3554:I3554"/>
    <mergeCell ref="G3555:I3555"/>
    <mergeCell ref="G3615:J3615"/>
    <mergeCell ref="G3616:I3616"/>
    <mergeCell ref="G3823:I3823"/>
    <mergeCell ref="G3824:I3824"/>
    <mergeCell ref="G3825:I3825"/>
    <mergeCell ref="G3826:I3826"/>
    <mergeCell ref="G3827:I3827"/>
    <mergeCell ref="G3887:J3887"/>
    <mergeCell ref="G3888:I3888"/>
    <mergeCell ref="G3791:I3791"/>
    <mergeCell ref="G3792:I3792"/>
    <mergeCell ref="G3785:J3785"/>
    <mergeCell ref="G3786:I3786"/>
    <mergeCell ref="G3787:I3787"/>
    <mergeCell ref="G3856:I3856"/>
    <mergeCell ref="G3857:I3857"/>
    <mergeCell ref="G3858:I3858"/>
    <mergeCell ref="G3859:I3859"/>
    <mergeCell ref="G3860:I3860"/>
    <mergeCell ref="G3861:I3861"/>
    <mergeCell ref="H3839:I3839"/>
    <mergeCell ref="G3845:H3845"/>
    <mergeCell ref="G3793:I3793"/>
    <mergeCell ref="G3853:J3853"/>
    <mergeCell ref="G4302:I4302"/>
    <mergeCell ref="G4261:J4261"/>
    <mergeCell ref="G4262:I4262"/>
    <mergeCell ref="G4263:I4263"/>
    <mergeCell ref="G4264:I4264"/>
    <mergeCell ref="G4265:I4265"/>
    <mergeCell ref="G4266:I4266"/>
    <mergeCell ref="G4267:I4267"/>
    <mergeCell ref="G4268:I4268"/>
    <mergeCell ref="G4269:I4269"/>
    <mergeCell ref="H4281:I4281"/>
    <mergeCell ref="G4290:J4290"/>
    <mergeCell ref="G4287:H4287"/>
    <mergeCell ref="G4159:J4159"/>
    <mergeCell ref="G4160:I4160"/>
    <mergeCell ref="G4161:I4161"/>
    <mergeCell ref="G4162:I4162"/>
    <mergeCell ref="G4163:I4163"/>
    <mergeCell ref="G4164:I4164"/>
    <mergeCell ref="G4193:J4193"/>
    <mergeCell ref="G4194:I4194"/>
    <mergeCell ref="G4195:I4195"/>
    <mergeCell ref="G4196:I4196"/>
    <mergeCell ref="G4197:I4197"/>
    <mergeCell ref="G4198:I4198"/>
    <mergeCell ref="G4199:I4199"/>
    <mergeCell ref="G4200:I4200"/>
    <mergeCell ref="G4201:I4201"/>
    <mergeCell ref="G4167:I4167"/>
    <mergeCell ref="H405:I405"/>
    <mergeCell ref="G458:I458"/>
    <mergeCell ref="G459:I459"/>
    <mergeCell ref="G460:I460"/>
    <mergeCell ref="G461:I461"/>
    <mergeCell ref="G521:J521"/>
    <mergeCell ref="G522:I522"/>
    <mergeCell ref="G523:I523"/>
    <mergeCell ref="G524:I524"/>
    <mergeCell ref="G525:I525"/>
    <mergeCell ref="G526:I526"/>
    <mergeCell ref="G527:I527"/>
    <mergeCell ref="G528:I528"/>
    <mergeCell ref="H473:I473"/>
    <mergeCell ref="G482:J482"/>
    <mergeCell ref="G516:J516"/>
    <mergeCell ref="H507:I507"/>
    <mergeCell ref="G419:J419"/>
    <mergeCell ref="G420:I420"/>
    <mergeCell ref="G421:I421"/>
    <mergeCell ref="G422:I422"/>
    <mergeCell ref="G423:I423"/>
    <mergeCell ref="G424:I424"/>
    <mergeCell ref="G425:I425"/>
    <mergeCell ref="G426:I426"/>
    <mergeCell ref="G427:I427"/>
    <mergeCell ref="G487:J487"/>
    <mergeCell ref="G488:I488"/>
    <mergeCell ref="G489:I489"/>
    <mergeCell ref="G490:I490"/>
    <mergeCell ref="G491:I491"/>
    <mergeCell ref="G411:H411"/>
    <mergeCell ref="G692:I692"/>
    <mergeCell ref="G693:I693"/>
    <mergeCell ref="G694:I694"/>
    <mergeCell ref="G695:I695"/>
    <mergeCell ref="G696:I696"/>
    <mergeCell ref="G697:I697"/>
    <mergeCell ref="G698:I698"/>
    <mergeCell ref="G699:I699"/>
    <mergeCell ref="G759:J759"/>
    <mergeCell ref="G760:I760"/>
    <mergeCell ref="G761:I761"/>
    <mergeCell ref="G529:I529"/>
    <mergeCell ref="G492:I492"/>
    <mergeCell ref="G493:I493"/>
    <mergeCell ref="G494:I494"/>
    <mergeCell ref="G495:I495"/>
    <mergeCell ref="G725:J725"/>
    <mergeCell ref="G726:I726"/>
    <mergeCell ref="G727:I727"/>
    <mergeCell ref="G728:I728"/>
    <mergeCell ref="G729:I729"/>
    <mergeCell ref="G730:I730"/>
    <mergeCell ref="G731:I731"/>
    <mergeCell ref="G732:I732"/>
    <mergeCell ref="G733:I733"/>
    <mergeCell ref="G686:J686"/>
    <mergeCell ref="G720:J720"/>
    <mergeCell ref="H711:I711"/>
    <mergeCell ref="H677:I677"/>
    <mergeCell ref="G657:J657"/>
    <mergeCell ref="G563:I563"/>
    <mergeCell ref="G623:J623"/>
    <mergeCell ref="G799:I799"/>
    <mergeCell ref="G800:I800"/>
    <mergeCell ref="G801:I801"/>
    <mergeCell ref="G861:J861"/>
    <mergeCell ref="G862:I862"/>
    <mergeCell ref="G863:I863"/>
    <mergeCell ref="G864:I864"/>
    <mergeCell ref="G865:I865"/>
    <mergeCell ref="G754:J754"/>
    <mergeCell ref="G762:I762"/>
    <mergeCell ref="G763:I763"/>
    <mergeCell ref="G764:I764"/>
    <mergeCell ref="G765:I765"/>
    <mergeCell ref="G766:I766"/>
    <mergeCell ref="G767:I767"/>
    <mergeCell ref="G827:J827"/>
    <mergeCell ref="G828:I828"/>
    <mergeCell ref="G829:I829"/>
    <mergeCell ref="G830:I830"/>
    <mergeCell ref="G831:I831"/>
    <mergeCell ref="G832:I832"/>
    <mergeCell ref="G833:I833"/>
    <mergeCell ref="G834:I834"/>
    <mergeCell ref="G835:I835"/>
    <mergeCell ref="G793:J793"/>
    <mergeCell ref="G794:I794"/>
    <mergeCell ref="G795:I795"/>
    <mergeCell ref="G796:I796"/>
    <mergeCell ref="G797:I797"/>
    <mergeCell ref="G798:I798"/>
    <mergeCell ref="G1073:I1073"/>
    <mergeCell ref="G1133:J1133"/>
    <mergeCell ref="G1134:I1134"/>
    <mergeCell ref="G1135:I1135"/>
    <mergeCell ref="G1136:I1136"/>
    <mergeCell ref="G1137:I1137"/>
    <mergeCell ref="G1138:I1138"/>
    <mergeCell ref="G1139:I1139"/>
    <mergeCell ref="G1032:I1032"/>
    <mergeCell ref="G1033:I1033"/>
    <mergeCell ref="G1034:I1034"/>
    <mergeCell ref="G1035:I1035"/>
    <mergeCell ref="G1036:I1036"/>
    <mergeCell ref="G1037:I1037"/>
    <mergeCell ref="G1038:I1038"/>
    <mergeCell ref="G1039:I1039"/>
    <mergeCell ref="G1099:J1099"/>
    <mergeCell ref="G1100:I1100"/>
    <mergeCell ref="G1101:I1101"/>
    <mergeCell ref="G1102:I1102"/>
    <mergeCell ref="G1103:I1103"/>
    <mergeCell ref="G1104:I1104"/>
    <mergeCell ref="G1105:I1105"/>
    <mergeCell ref="G1107:I1107"/>
    <mergeCell ref="G1106:I1106"/>
    <mergeCell ref="G1201:J1201"/>
    <mergeCell ref="G1202:I1202"/>
    <mergeCell ref="G1203:I1203"/>
    <mergeCell ref="G1204:I1204"/>
    <mergeCell ref="G1205:I1205"/>
    <mergeCell ref="G1206:I1206"/>
    <mergeCell ref="G1207:I1207"/>
    <mergeCell ref="G1208:I1208"/>
    <mergeCell ref="G1209:I1209"/>
    <mergeCell ref="G1269:J1269"/>
    <mergeCell ref="G1270:I1270"/>
    <mergeCell ref="G1271:I1271"/>
    <mergeCell ref="G1272:I1272"/>
    <mergeCell ref="G1273:I1273"/>
    <mergeCell ref="G1274:I1274"/>
    <mergeCell ref="G1478:I1478"/>
    <mergeCell ref="G1239:I1239"/>
    <mergeCell ref="G1240:I1240"/>
    <mergeCell ref="G1241:I1241"/>
    <mergeCell ref="G1242:I1242"/>
    <mergeCell ref="G1243:I1243"/>
    <mergeCell ref="G1303:J1303"/>
    <mergeCell ref="G1304:I1304"/>
    <mergeCell ref="G1305:I1305"/>
    <mergeCell ref="G1306:I1306"/>
    <mergeCell ref="G1307:I1307"/>
    <mergeCell ref="G1308:I1308"/>
    <mergeCell ref="G1309:I1309"/>
    <mergeCell ref="G1275:I1275"/>
    <mergeCell ref="G1276:I1276"/>
    <mergeCell ref="G1277:I1277"/>
    <mergeCell ref="G1617:I1617"/>
    <mergeCell ref="G1677:J1677"/>
    <mergeCell ref="G1678:I1678"/>
    <mergeCell ref="G1679:I1679"/>
    <mergeCell ref="G1680:I1680"/>
    <mergeCell ref="G1681:I1681"/>
    <mergeCell ref="G1682:I1682"/>
    <mergeCell ref="G1683:I1683"/>
    <mergeCell ref="G1684:I1684"/>
    <mergeCell ref="G1651:I1651"/>
    <mergeCell ref="H1663:I1663"/>
    <mergeCell ref="G1887:I1887"/>
    <mergeCell ref="G1888:I1888"/>
    <mergeCell ref="G1786:I1786"/>
    <mergeCell ref="G1787:I1787"/>
    <mergeCell ref="G1847:J1847"/>
    <mergeCell ref="G1848:I1848"/>
    <mergeCell ref="G1849:I1849"/>
    <mergeCell ref="G1850:I1850"/>
    <mergeCell ref="G1851:I1851"/>
    <mergeCell ref="G1852:I1852"/>
    <mergeCell ref="G1853:I1853"/>
    <mergeCell ref="G1854:I1854"/>
    <mergeCell ref="G1855:I1855"/>
    <mergeCell ref="G1711:J1711"/>
    <mergeCell ref="G1712:I1712"/>
    <mergeCell ref="G1713:I1713"/>
    <mergeCell ref="G1714:I1714"/>
    <mergeCell ref="G2092:I2092"/>
    <mergeCell ref="G2093:I2093"/>
    <mergeCell ref="G2153:J2153"/>
    <mergeCell ref="G2154:I2154"/>
    <mergeCell ref="G2155:I2155"/>
    <mergeCell ref="G2156:I2156"/>
    <mergeCell ref="G2157:I2157"/>
    <mergeCell ref="G1921:I1921"/>
    <mergeCell ref="G1922:I1922"/>
    <mergeCell ref="G1923:I1923"/>
    <mergeCell ref="G1983:J1983"/>
    <mergeCell ref="G1984:I1984"/>
    <mergeCell ref="G1985:I1985"/>
    <mergeCell ref="G1986:I1986"/>
    <mergeCell ref="G1987:I1987"/>
    <mergeCell ref="G1988:I1988"/>
    <mergeCell ref="G1989:I1989"/>
    <mergeCell ref="G1990:I1990"/>
    <mergeCell ref="G1991:I1991"/>
    <mergeCell ref="G2051:J2051"/>
    <mergeCell ref="G2052:I2052"/>
    <mergeCell ref="G2053:I2053"/>
    <mergeCell ref="G2054:I2054"/>
    <mergeCell ref="G2055:I2055"/>
    <mergeCell ref="G2022:I2022"/>
    <mergeCell ref="G2023:I2023"/>
    <mergeCell ref="G2024:I2024"/>
    <mergeCell ref="G1978:J1978"/>
    <mergeCell ref="G1949:J1949"/>
    <mergeCell ref="G1950:I1950"/>
    <mergeCell ref="G1951:I1951"/>
    <mergeCell ref="G1952:I1952"/>
    <mergeCell ref="G2161:I2161"/>
    <mergeCell ref="G2221:J2221"/>
    <mergeCell ref="G2289:J2289"/>
    <mergeCell ref="G2290:I2290"/>
    <mergeCell ref="G2291:I2291"/>
    <mergeCell ref="G2292:I2292"/>
    <mergeCell ref="G2293:I2293"/>
    <mergeCell ref="G2294:I2294"/>
    <mergeCell ref="G2295:I2295"/>
    <mergeCell ref="G2296:I2296"/>
    <mergeCell ref="G2297:I2297"/>
    <mergeCell ref="G2357:J2357"/>
    <mergeCell ref="G2358:I2358"/>
    <mergeCell ref="G2359:I2359"/>
    <mergeCell ref="G2323:J2323"/>
    <mergeCell ref="G2324:I2324"/>
    <mergeCell ref="G2325:I2325"/>
    <mergeCell ref="G2326:I2326"/>
    <mergeCell ref="G2327:I2327"/>
    <mergeCell ref="G2328:I2328"/>
    <mergeCell ref="G2329:I2329"/>
    <mergeCell ref="G2330:I2330"/>
    <mergeCell ref="G2331:I2331"/>
    <mergeCell ref="G2399:I2399"/>
    <mergeCell ref="G2459:J2459"/>
    <mergeCell ref="G2460:I2460"/>
    <mergeCell ref="G2461:I2461"/>
    <mergeCell ref="G2462:I2462"/>
    <mergeCell ref="G2463:I2463"/>
    <mergeCell ref="G2464:I2464"/>
    <mergeCell ref="G2465:I2465"/>
    <mergeCell ref="G2466:I2466"/>
    <mergeCell ref="G2467:I2467"/>
    <mergeCell ref="G2391:J2391"/>
    <mergeCell ref="G2392:I2392"/>
    <mergeCell ref="G2393:I2393"/>
    <mergeCell ref="G2394:I2394"/>
    <mergeCell ref="G2395:I2395"/>
    <mergeCell ref="G2562:I2562"/>
    <mergeCell ref="G2563:I2563"/>
    <mergeCell ref="G2396:I2396"/>
    <mergeCell ref="G2397:I2397"/>
    <mergeCell ref="G2398:I2398"/>
    <mergeCell ref="G2702:I2702"/>
    <mergeCell ref="G2703:I2703"/>
    <mergeCell ref="G2704:I2704"/>
    <mergeCell ref="G2705:I2705"/>
    <mergeCell ref="G2765:J2765"/>
    <mergeCell ref="G2766:I2766"/>
    <mergeCell ref="G2767:I2767"/>
    <mergeCell ref="G2768:I2768"/>
    <mergeCell ref="G2769:I2769"/>
    <mergeCell ref="G2770:I2770"/>
    <mergeCell ref="G2834:I2834"/>
    <mergeCell ref="G2835:I2835"/>
    <mergeCell ref="G2671:I2671"/>
    <mergeCell ref="G2731:J2731"/>
    <mergeCell ref="G2732:I2732"/>
    <mergeCell ref="G2733:I2733"/>
    <mergeCell ref="G2734:I2734"/>
    <mergeCell ref="G2735:I2735"/>
    <mergeCell ref="G2736:I2736"/>
    <mergeCell ref="G2737:I2737"/>
    <mergeCell ref="G2738:I2738"/>
    <mergeCell ref="G2739:I2739"/>
    <mergeCell ref="G2799:J2799"/>
    <mergeCell ref="G2800:I2800"/>
    <mergeCell ref="G2801:I2801"/>
    <mergeCell ref="G2802:I2802"/>
    <mergeCell ref="G2803:I2803"/>
    <mergeCell ref="G2697:J2697"/>
    <mergeCell ref="G2806:I2806"/>
    <mergeCell ref="G2807:I2807"/>
    <mergeCell ref="G2869:I2869"/>
    <mergeCell ref="G2870:I2870"/>
    <mergeCell ref="G2871:I2871"/>
    <mergeCell ref="G2872:I2872"/>
    <mergeCell ref="G2873:I2873"/>
    <mergeCell ref="G2874:I2874"/>
    <mergeCell ref="G2875:I2875"/>
    <mergeCell ref="G2828:J2828"/>
    <mergeCell ref="H2819:I2819"/>
    <mergeCell ref="G2893:H2893"/>
    <mergeCell ref="H2853:I2853"/>
    <mergeCell ref="H2887:I2887"/>
    <mergeCell ref="G3043:I3043"/>
    <mergeCell ref="G3044:I3044"/>
    <mergeCell ref="G3045:I3045"/>
    <mergeCell ref="G3105:J3105"/>
    <mergeCell ref="G3106:I3106"/>
    <mergeCell ref="G3076:I3076"/>
    <mergeCell ref="G3077:I3077"/>
    <mergeCell ref="G3078:I3078"/>
    <mergeCell ref="G3079:I3079"/>
    <mergeCell ref="G3071:J3071"/>
    <mergeCell ref="G3072:I3072"/>
    <mergeCell ref="G3073:I3073"/>
    <mergeCell ref="G3074:I3074"/>
    <mergeCell ref="G3075:I3075"/>
    <mergeCell ref="G2969:J2969"/>
    <mergeCell ref="G2970:I2970"/>
    <mergeCell ref="G2971:I2971"/>
    <mergeCell ref="G2972:I2972"/>
    <mergeCell ref="G2973:I2973"/>
    <mergeCell ref="G2974:I2974"/>
    <mergeCell ref="G3445:J3445"/>
    <mergeCell ref="G3446:I3446"/>
    <mergeCell ref="G3447:I3447"/>
    <mergeCell ref="G3452:I3452"/>
    <mergeCell ref="G3453:I3453"/>
    <mergeCell ref="G3411:J3411"/>
    <mergeCell ref="G3412:I3412"/>
    <mergeCell ref="G3413:I3413"/>
    <mergeCell ref="G3414:I3414"/>
    <mergeCell ref="G3415:I3415"/>
    <mergeCell ref="G3416:I3416"/>
    <mergeCell ref="G3417:I3417"/>
    <mergeCell ref="G3418:I3418"/>
    <mergeCell ref="G3419:I3419"/>
    <mergeCell ref="H3431:I3431"/>
    <mergeCell ref="G3437:H3437"/>
    <mergeCell ref="H3397:I3397"/>
    <mergeCell ref="G3889:I3889"/>
    <mergeCell ref="G3890:I3890"/>
    <mergeCell ref="G3891:I3891"/>
    <mergeCell ref="G3892:I3892"/>
    <mergeCell ref="G3893:I3893"/>
    <mergeCell ref="G3894:I3894"/>
    <mergeCell ref="G3895:I3895"/>
    <mergeCell ref="G3955:J3955"/>
    <mergeCell ref="G3956:I3956"/>
    <mergeCell ref="G3957:I3957"/>
    <mergeCell ref="G3958:I3958"/>
    <mergeCell ref="G3959:I3959"/>
    <mergeCell ref="G3960:I3960"/>
    <mergeCell ref="G3961:I3961"/>
    <mergeCell ref="G3962:I3962"/>
    <mergeCell ref="G3963:I3963"/>
    <mergeCell ref="G4023:J4023"/>
    <mergeCell ref="G3921:J3921"/>
    <mergeCell ref="G3922:I3922"/>
    <mergeCell ref="G3926:I3926"/>
    <mergeCell ref="G3927:I3927"/>
    <mergeCell ref="G3928:I3928"/>
    <mergeCell ref="G3929:I3929"/>
    <mergeCell ref="G3989:J3989"/>
    <mergeCell ref="G3990:I3990"/>
    <mergeCell ref="G3991:I3991"/>
    <mergeCell ref="G3992:I3992"/>
    <mergeCell ref="G3993:I3993"/>
    <mergeCell ref="G3994:I3994"/>
    <mergeCell ref="G3995:I3995"/>
    <mergeCell ref="G3996:I3996"/>
    <mergeCell ref="G3997:I3997"/>
    <mergeCell ref="G4472:I4472"/>
    <mergeCell ref="G4473:I4473"/>
    <mergeCell ref="G4337:I4337"/>
    <mergeCell ref="G4397:J4397"/>
    <mergeCell ref="G4398:I4398"/>
    <mergeCell ref="G4399:I4399"/>
    <mergeCell ref="G4400:I4400"/>
    <mergeCell ref="G4401:I4401"/>
    <mergeCell ref="G4402:I4402"/>
    <mergeCell ref="G4403:I4403"/>
    <mergeCell ref="G4404:I4404"/>
    <mergeCell ref="G4405:I4405"/>
    <mergeCell ref="G4465:J4465"/>
    <mergeCell ref="G4466:I4466"/>
    <mergeCell ref="G4467:I4467"/>
    <mergeCell ref="G4468:I4468"/>
    <mergeCell ref="G4469:I4469"/>
    <mergeCell ref="G4470:I4470"/>
    <mergeCell ref="G4471:I4471"/>
    <mergeCell ref="G4439:I4439"/>
    <mergeCell ref="G4366:I4366"/>
    <mergeCell ref="G4367:I4367"/>
    <mergeCell ref="G4368:I4368"/>
    <mergeCell ref="G4369:I4369"/>
    <mergeCell ref="G4370:I4370"/>
    <mergeCell ref="G4371:I4371"/>
    <mergeCell ref="G4431:J4431"/>
    <mergeCell ref="G4432:I4432"/>
    <mergeCell ref="G4433:I4433"/>
    <mergeCell ref="G4434:I4434"/>
    <mergeCell ref="G4435:I4435"/>
    <mergeCell ref="G4436:I4436"/>
    <mergeCell ref="B94:F95"/>
    <mergeCell ref="B128:F129"/>
    <mergeCell ref="B162:F163"/>
    <mergeCell ref="B196:F197"/>
    <mergeCell ref="B230:F231"/>
    <mergeCell ref="B264:F265"/>
    <mergeCell ref="B298:F299"/>
    <mergeCell ref="B332:F333"/>
    <mergeCell ref="B366:F367"/>
    <mergeCell ref="B400:F401"/>
    <mergeCell ref="B434:F435"/>
    <mergeCell ref="B468:F469"/>
    <mergeCell ref="B502:F503"/>
    <mergeCell ref="B536:F537"/>
    <mergeCell ref="B570:F571"/>
    <mergeCell ref="B604:F605"/>
    <mergeCell ref="B638:F639"/>
    <mergeCell ref="B155:F155"/>
    <mergeCell ref="B186:F186"/>
    <mergeCell ref="B182:F182"/>
    <mergeCell ref="E238:F238"/>
    <mergeCell ref="B320:F320"/>
    <mergeCell ref="B321:F321"/>
    <mergeCell ref="B278:E278"/>
    <mergeCell ref="B284:F284"/>
    <mergeCell ref="B324:F324"/>
    <mergeCell ref="B288:F288"/>
    <mergeCell ref="B289:F289"/>
    <mergeCell ref="E136:F136"/>
    <mergeCell ref="B142:E142"/>
    <mergeCell ref="B122:F122"/>
    <mergeCell ref="B154:F154"/>
    <mergeCell ref="B672:F673"/>
    <mergeCell ref="B706:F707"/>
    <mergeCell ref="B740:F741"/>
    <mergeCell ref="B774:F775"/>
    <mergeCell ref="B808:F809"/>
    <mergeCell ref="B842:F843"/>
    <mergeCell ref="B876:F877"/>
    <mergeCell ref="B189:F189"/>
    <mergeCell ref="B184:F184"/>
    <mergeCell ref="B185:F185"/>
    <mergeCell ref="B187:F187"/>
    <mergeCell ref="B150:F150"/>
    <mergeCell ref="B148:F148"/>
    <mergeCell ref="B176:E176"/>
    <mergeCell ref="E340:F340"/>
    <mergeCell ref="B253:F253"/>
    <mergeCell ref="B358:F358"/>
    <mergeCell ref="B359:F359"/>
    <mergeCell ref="B493:F493"/>
    <mergeCell ref="B494:F494"/>
    <mergeCell ref="B495:F495"/>
    <mergeCell ref="B461:F461"/>
    <mergeCell ref="B454:F454"/>
    <mergeCell ref="B455:F455"/>
    <mergeCell ref="B482:E482"/>
    <mergeCell ref="B488:F488"/>
    <mergeCell ref="B489:F489"/>
    <mergeCell ref="B456:F456"/>
    <mergeCell ref="B457:F457"/>
    <mergeCell ref="B460:F460"/>
    <mergeCell ref="B458:F458"/>
    <mergeCell ref="B459:F459"/>
    <mergeCell ref="B1080:F1081"/>
    <mergeCell ref="B1114:F1115"/>
    <mergeCell ref="B1148:F1149"/>
    <mergeCell ref="B1182:F1183"/>
    <mergeCell ref="B1216:F1217"/>
    <mergeCell ref="B695:F695"/>
    <mergeCell ref="E714:F714"/>
    <mergeCell ref="B720:E720"/>
    <mergeCell ref="B754:E754"/>
    <mergeCell ref="B696:F696"/>
    <mergeCell ref="B697:F697"/>
    <mergeCell ref="B698:F698"/>
    <mergeCell ref="B699:F699"/>
    <mergeCell ref="B726:F726"/>
    <mergeCell ref="B733:F733"/>
    <mergeCell ref="B788:E788"/>
    <mergeCell ref="B834:F834"/>
    <mergeCell ref="B835:F835"/>
    <mergeCell ref="B862:F862"/>
    <mergeCell ref="E884:F884"/>
    <mergeCell ref="B864:F864"/>
    <mergeCell ref="B865:F865"/>
    <mergeCell ref="B868:F868"/>
    <mergeCell ref="B867:F867"/>
    <mergeCell ref="B863:F863"/>
    <mergeCell ref="B766:F766"/>
    <mergeCell ref="B767:F767"/>
    <mergeCell ref="E782:F782"/>
    <mergeCell ref="B794:F794"/>
    <mergeCell ref="B795:F795"/>
    <mergeCell ref="B798:F798"/>
    <mergeCell ref="E748:F748"/>
    <mergeCell ref="B1250:F1251"/>
    <mergeCell ref="B1284:F1285"/>
    <mergeCell ref="B1318:F1319"/>
    <mergeCell ref="B1352:F1353"/>
    <mergeCell ref="B1386:F1387"/>
    <mergeCell ref="B1420:F1421"/>
    <mergeCell ref="B1454:F1455"/>
    <mergeCell ref="B1488:F1489"/>
    <mergeCell ref="B1522:F1523"/>
    <mergeCell ref="B1556:F1557"/>
    <mergeCell ref="B1590:F1591"/>
    <mergeCell ref="B1624:F1625"/>
    <mergeCell ref="B1658:F1659"/>
    <mergeCell ref="B1692:F1693"/>
    <mergeCell ref="B1726:F1727"/>
    <mergeCell ref="B1760:F1761"/>
    <mergeCell ref="B1794:F1795"/>
    <mergeCell ref="B1338:F1338"/>
    <mergeCell ref="B1543:F1543"/>
    <mergeCell ref="B1270:F1270"/>
    <mergeCell ref="B1271:F1271"/>
    <mergeCell ref="B1272:F1272"/>
    <mergeCell ref="B1273:F1273"/>
    <mergeCell ref="B1276:F1276"/>
    <mergeCell ref="B1274:F1274"/>
    <mergeCell ref="B1275:F1275"/>
    <mergeCell ref="B1307:F1307"/>
    <mergeCell ref="B1379:F1379"/>
    <mergeCell ref="B1409:F1409"/>
    <mergeCell ref="B1412:F1412"/>
    <mergeCell ref="B1434:E1434"/>
    <mergeCell ref="B1309:F1309"/>
    <mergeCell ref="B1828:F1829"/>
    <mergeCell ref="B1862:F1863"/>
    <mergeCell ref="B1896:F1897"/>
    <mergeCell ref="B1930:F1931"/>
    <mergeCell ref="B1964:F1965"/>
    <mergeCell ref="B1998:F1999"/>
    <mergeCell ref="B2032:F2033"/>
    <mergeCell ref="B2066:F2067"/>
    <mergeCell ref="B2100:F2101"/>
    <mergeCell ref="B2134:F2135"/>
    <mergeCell ref="B2168:F2169"/>
    <mergeCell ref="B2202:F2203"/>
    <mergeCell ref="B2236:F2237"/>
    <mergeCell ref="B2270:F2271"/>
    <mergeCell ref="B2304:F2305"/>
    <mergeCell ref="B2338:F2339"/>
    <mergeCell ref="B2372:F2373"/>
    <mergeCell ref="B2358:F2358"/>
    <mergeCell ref="B2359:F2359"/>
    <mergeCell ref="B2360:F2360"/>
    <mergeCell ref="E2346:F2346"/>
    <mergeCell ref="B2352:E2352"/>
    <mergeCell ref="B2325:F2325"/>
    <mergeCell ref="B2297:F2297"/>
    <mergeCell ref="B2260:F2260"/>
    <mergeCell ref="B2261:F2261"/>
    <mergeCell ref="B2262:F2262"/>
    <mergeCell ref="B2263:F2263"/>
    <mergeCell ref="B2296:F2296"/>
    <mergeCell ref="B2293:F2293"/>
    <mergeCell ref="B2363:F2363"/>
    <mergeCell ref="B2324:F2324"/>
    <mergeCell ref="B2406:F2407"/>
    <mergeCell ref="B2440:F2441"/>
    <mergeCell ref="B2474:F2475"/>
    <mergeCell ref="B2508:F2509"/>
    <mergeCell ref="B2542:F2543"/>
    <mergeCell ref="B2576:F2577"/>
    <mergeCell ref="B2610:F2611"/>
    <mergeCell ref="B2644:F2645"/>
    <mergeCell ref="B2678:F2679"/>
    <mergeCell ref="B2712:F2713"/>
    <mergeCell ref="B2746:F2747"/>
    <mergeCell ref="B2780:F2781"/>
    <mergeCell ref="B2814:F2815"/>
    <mergeCell ref="B2848:F2849"/>
    <mergeCell ref="B2882:F2883"/>
    <mergeCell ref="B2916:F2917"/>
    <mergeCell ref="B2950:F2951"/>
    <mergeCell ref="B2806:F2806"/>
    <mergeCell ref="B2807:F2807"/>
    <mergeCell ref="B2840:F2840"/>
    <mergeCell ref="B2837:F2837"/>
    <mergeCell ref="B2838:F2838"/>
    <mergeCell ref="B2839:F2839"/>
    <mergeCell ref="E2856:F2856"/>
    <mergeCell ref="B2841:F2841"/>
    <mergeCell ref="B2909:F2909"/>
    <mergeCell ref="B2872:F2872"/>
    <mergeCell ref="B2873:F2873"/>
    <mergeCell ref="B2874:F2874"/>
    <mergeCell ref="B2875:F2875"/>
    <mergeCell ref="B2908:F2908"/>
    <mergeCell ref="B2904:F2904"/>
    <mergeCell ref="B2984:F2985"/>
    <mergeCell ref="B3018:F3019"/>
    <mergeCell ref="B3052:F3053"/>
    <mergeCell ref="B3086:F3087"/>
    <mergeCell ref="B3120:F3121"/>
    <mergeCell ref="B3154:F3155"/>
    <mergeCell ref="B3188:F3189"/>
    <mergeCell ref="B3222:F3223"/>
    <mergeCell ref="B3256:F3257"/>
    <mergeCell ref="B3290:F3291"/>
    <mergeCell ref="B3324:F3325"/>
    <mergeCell ref="B3358:F3359"/>
    <mergeCell ref="B3392:F3393"/>
    <mergeCell ref="B3426:F3427"/>
    <mergeCell ref="B3460:F3461"/>
    <mergeCell ref="B3494:F3495"/>
    <mergeCell ref="B3528:F3529"/>
    <mergeCell ref="B3449:F3449"/>
    <mergeCell ref="B3450:F3450"/>
    <mergeCell ref="B3451:F3451"/>
    <mergeCell ref="B3345:F3345"/>
    <mergeCell ref="B3346:F3346"/>
    <mergeCell ref="B3347:F3347"/>
    <mergeCell ref="E3298:F3298"/>
    <mergeCell ref="B3304:E3304"/>
    <mergeCell ref="B3249:F3249"/>
    <mergeCell ref="B3143:F3143"/>
    <mergeCell ref="B3181:F3181"/>
    <mergeCell ref="B3145:F3145"/>
    <mergeCell ref="B3146:F3146"/>
    <mergeCell ref="B3147:F3147"/>
    <mergeCell ref="B3180:F3180"/>
    <mergeCell ref="B4276:F4277"/>
    <mergeCell ref="B4310:F4311"/>
    <mergeCell ref="B4344:F4345"/>
    <mergeCell ref="B4378:F4379"/>
    <mergeCell ref="B4412:F4413"/>
    <mergeCell ref="B4446:F4447"/>
    <mergeCell ref="B4480:F4481"/>
    <mergeCell ref="B3562:F3563"/>
    <mergeCell ref="B3596:F3597"/>
    <mergeCell ref="B3630:F3631"/>
    <mergeCell ref="B3664:F3665"/>
    <mergeCell ref="B3698:F3699"/>
    <mergeCell ref="B3732:F3733"/>
    <mergeCell ref="B3766:F3767"/>
    <mergeCell ref="B3800:F3801"/>
    <mergeCell ref="B3834:F3835"/>
    <mergeCell ref="B3868:F3869"/>
    <mergeCell ref="B3902:F3903"/>
    <mergeCell ref="B3936:F3937"/>
    <mergeCell ref="B3970:F3971"/>
    <mergeCell ref="B4004:F4005"/>
    <mergeCell ref="B4038:F4039"/>
    <mergeCell ref="B4072:F4073"/>
    <mergeCell ref="B4106:F4107"/>
    <mergeCell ref="E4284:F4284"/>
    <mergeCell ref="B4290:E4290"/>
    <mergeCell ref="B4296:F4296"/>
    <mergeCell ref="B4330:F4330"/>
    <mergeCell ref="B4331:F4331"/>
    <mergeCell ref="B4434:F4434"/>
    <mergeCell ref="B4435:F4435"/>
    <mergeCell ref="B4437:F4437"/>
  </mergeCells>
  <phoneticPr fontId="1" type="noConversion"/>
  <pageMargins left="0.75" right="0.75" top="1" bottom="1" header="0.5" footer="0.5"/>
  <pageSetup orientation="portrait" r:id="rId1"/>
  <headerFooter alignWithMargins="0"/>
  <rowBreaks count="131" manualBreakCount="131">
    <brk id="34" max="16383" man="1"/>
    <brk id="68" max="16383" man="1"/>
    <brk id="102" max="16383" man="1"/>
    <brk id="136" max="16383" man="1"/>
    <brk id="170" max="16383" man="1"/>
    <brk id="204" max="16383" man="1"/>
    <brk id="238" max="16383" man="1"/>
    <brk id="272" max="16383" man="1"/>
    <brk id="306" max="16383" man="1"/>
    <brk id="340" max="16383" man="1"/>
    <brk id="374" max="16383" man="1"/>
    <brk id="408" max="16383" man="1"/>
    <brk id="442" max="16383" man="1"/>
    <brk id="476" max="16383" man="1"/>
    <brk id="510" max="16383" man="1"/>
    <brk id="544" max="16383" man="1"/>
    <brk id="578" max="16383" man="1"/>
    <brk id="612" max="16383" man="1"/>
    <brk id="646" max="16383" man="1"/>
    <brk id="680" max="16383" man="1"/>
    <brk id="714" max="16383" man="1"/>
    <brk id="748" max="16383" man="1"/>
    <brk id="782" max="16383" man="1"/>
    <brk id="816" max="16383" man="1"/>
    <brk id="850" max="16383" man="1"/>
    <brk id="884" max="16383" man="1"/>
    <brk id="918" max="16383" man="1"/>
    <brk id="952" max="16383" man="1"/>
    <brk id="986" max="16383" man="1"/>
    <brk id="1020" max="16383" man="1"/>
    <brk id="1054" max="16383" man="1"/>
    <brk id="1088" max="16383" man="1"/>
    <brk id="1122" max="16383" man="1"/>
    <brk id="1156" max="16383" man="1"/>
    <brk id="1190" max="16383" man="1"/>
    <brk id="1224" max="16383" man="1"/>
    <brk id="1258" max="16383" man="1"/>
    <brk id="1292" max="16383" man="1"/>
    <brk id="1326" max="16383" man="1"/>
    <brk id="1360" max="16383" man="1"/>
    <brk id="1394" max="16383" man="1"/>
    <brk id="1428" max="16383" man="1"/>
    <brk id="1462" max="16383" man="1"/>
    <brk id="1496" max="16383" man="1"/>
    <brk id="1530" max="16383" man="1"/>
    <brk id="1564" max="16383" man="1"/>
    <brk id="1598" max="16383" man="1"/>
    <brk id="1632" max="16383" man="1"/>
    <brk id="1666" max="16383" man="1"/>
    <brk id="1700" max="16383" man="1"/>
    <brk id="1734" max="16383" man="1"/>
    <brk id="1768" max="16383" man="1"/>
    <brk id="1802" max="16383" man="1"/>
    <brk id="1836" max="16383" man="1"/>
    <brk id="1870" max="16383" man="1"/>
    <brk id="1904" max="16383" man="1"/>
    <brk id="1938" max="16383" man="1"/>
    <brk id="1972" max="16383" man="1"/>
    <brk id="2006" max="16383" man="1"/>
    <brk id="2040" max="16383" man="1"/>
    <brk id="2074" max="16383" man="1"/>
    <brk id="2108" max="16383" man="1"/>
    <brk id="2142" max="16383" man="1"/>
    <brk id="2176" max="16383" man="1"/>
    <brk id="2210" max="16383" man="1"/>
    <brk id="2244" max="16383" man="1"/>
    <brk id="2278" max="16383" man="1"/>
    <brk id="2312" max="16383" man="1"/>
    <brk id="2346" max="16383" man="1"/>
    <brk id="2380" max="16383" man="1"/>
    <brk id="2414" max="16383" man="1"/>
    <brk id="2448" max="16383" man="1"/>
    <brk id="2482" max="16383" man="1"/>
    <brk id="2516" max="16383" man="1"/>
    <brk id="2550" max="16383" man="1"/>
    <brk id="2584" max="16383" man="1"/>
    <brk id="2618" max="16383" man="1"/>
    <brk id="2652" max="16383" man="1"/>
    <brk id="2686" max="16383" man="1"/>
    <brk id="2720" max="16383" man="1"/>
    <brk id="2754" max="16383" man="1"/>
    <brk id="2788" max="16383" man="1"/>
    <brk id="2822" max="16383" man="1"/>
    <brk id="2856" max="16383" man="1"/>
    <brk id="2890" max="16383" man="1"/>
    <brk id="2924" max="16383" man="1"/>
    <brk id="2958" max="16383" man="1"/>
    <brk id="2992" max="16383" man="1"/>
    <brk id="3026" max="16383" man="1"/>
    <brk id="3060" max="16383" man="1"/>
    <brk id="3094" max="16383" man="1"/>
    <brk id="3128" max="16383" man="1"/>
    <brk id="3162" max="16383" man="1"/>
    <brk id="3196" max="16383" man="1"/>
    <brk id="3230" max="16383" man="1"/>
    <brk id="3264" max="16383" man="1"/>
    <brk id="3298" max="16383" man="1"/>
    <brk id="3332" max="16383" man="1"/>
    <brk id="3366" max="16383" man="1"/>
    <brk id="3400" max="16383" man="1"/>
    <brk id="3434" max="16383" man="1"/>
    <brk id="3468" max="16383" man="1"/>
    <brk id="3502" max="16383" man="1"/>
    <brk id="3536" max="16383" man="1"/>
    <brk id="3570" max="16383" man="1"/>
    <brk id="3604" max="16383" man="1"/>
    <brk id="3638" max="16383" man="1"/>
    <brk id="3672" max="16383" man="1"/>
    <brk id="3706" max="16383" man="1"/>
    <brk id="3740" max="16383" man="1"/>
    <brk id="3774" max="16383" man="1"/>
    <brk id="3808" max="16383" man="1"/>
    <brk id="3842" max="16383" man="1"/>
    <brk id="3876" max="16383" man="1"/>
    <brk id="3910" max="16383" man="1"/>
    <brk id="3944" max="16383" man="1"/>
    <brk id="3978" max="16383" man="1"/>
    <brk id="4012" max="16383" man="1"/>
    <brk id="4046" max="16383" man="1"/>
    <brk id="4080" max="16383" man="1"/>
    <brk id="4114" max="16383" man="1"/>
    <brk id="4148" max="16383" man="1"/>
    <brk id="4182" max="16383" man="1"/>
    <brk id="4216" max="16383" man="1"/>
    <brk id="4250" max="16383" man="1"/>
    <brk id="4284" max="16383" man="1"/>
    <brk id="4318" max="16383" man="1"/>
    <brk id="4352" max="16383" man="1"/>
    <brk id="4386" max="16383" man="1"/>
    <brk id="4420" max="16383" man="1"/>
    <brk id="4454" max="16383" man="1"/>
  </rowBreaks>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Y3366"/>
  <sheetViews>
    <sheetView zoomScaleNormal="100" workbookViewId="0">
      <selection activeCell="P1" sqref="P1"/>
    </sheetView>
  </sheetViews>
  <sheetFormatPr defaultColWidth="9.21875" defaultRowHeight="13.2" x14ac:dyDescent="0.25"/>
  <cols>
    <col min="1" max="15" width="5.6640625" style="3" customWidth="1"/>
    <col min="16" max="16" width="5.21875" style="3" customWidth="1"/>
    <col min="17" max="30" width="5.6640625" style="3" customWidth="1"/>
    <col min="31" max="31" width="5.21875" style="3" customWidth="1"/>
    <col min="32" max="32" width="5.6640625" style="3" customWidth="1"/>
    <col min="33" max="33" width="9.21875" style="3"/>
    <col min="34" max="34" width="3.5546875" style="52" bestFit="1" customWidth="1"/>
    <col min="35" max="36" width="2" style="52" bestFit="1" customWidth="1"/>
    <col min="37" max="37" width="6.33203125" style="52" bestFit="1" customWidth="1"/>
    <col min="38" max="38" width="6.33203125" style="52" customWidth="1"/>
    <col min="39" max="40" width="5.6640625" style="3" customWidth="1"/>
    <col min="41" max="49" width="9.21875" style="3"/>
    <col min="50" max="50" width="5" style="3" customWidth="1"/>
    <col min="51" max="16384" width="9.21875" style="3"/>
  </cols>
  <sheetData>
    <row r="1" spans="1:51" ht="12.75" customHeight="1" x14ac:dyDescent="0.25">
      <c r="R1" s="1"/>
      <c r="S1" s="11"/>
      <c r="T1" s="11"/>
      <c r="U1" s="11"/>
      <c r="V1" s="11"/>
      <c r="W1" s="11"/>
      <c r="AH1" s="112" t="str">
        <f>LEFT(F50,1)&amp;RIGHT(F50,1)</f>
        <v>AL</v>
      </c>
      <c r="AI1" s="112" t="str">
        <f ca="1">G50</f>
        <v/>
      </c>
      <c r="AJ1" s="112" t="str">
        <f ca="1">I50</f>
        <v/>
      </c>
      <c r="AK1" s="112" t="s">
        <v>277</v>
      </c>
      <c r="AL1" s="112" t="s">
        <v>343</v>
      </c>
      <c r="AM1" s="111" t="s">
        <v>44</v>
      </c>
      <c r="AN1" s="111">
        <v>1</v>
      </c>
      <c r="AO1" s="112" t="str">
        <f>IF(Players!$C4&lt;&gt;"",Players!$C4,"")</f>
        <v/>
      </c>
      <c r="AP1" s="112" t="str">
        <f>IF(Players!$C5&lt;&gt;"",Players!$C5,"")</f>
        <v/>
      </c>
      <c r="AQ1" s="112" t="str">
        <f>IF(Players!$C6&lt;&gt;"",Players!$C6,"")</f>
        <v/>
      </c>
      <c r="AR1" s="112" t="str">
        <f>IF(Players!$C7&lt;&gt;"",Players!$C7,"")</f>
        <v/>
      </c>
      <c r="AS1" s="112" t="str">
        <f>IF(Players!$C8&lt;&gt;"",Players!$C8,"")</f>
        <v/>
      </c>
      <c r="AT1" s="112" t="str">
        <f>IF(Players!$C9&lt;&gt;"",Players!$C9,"")</f>
        <v/>
      </c>
      <c r="AU1" s="112" t="str">
        <f>IF(Players!$C10&lt;&gt;"",Players!$C10,"")</f>
        <v/>
      </c>
      <c r="AV1" s="112" t="str">
        <f>IF(Players!$C11&lt;&gt;"",Players!$C11,"")</f>
        <v/>
      </c>
      <c r="AW1" s="112" t="b">
        <f>IF(LEN(AS1)=0,TRUE,FALSE)</f>
        <v>1</v>
      </c>
      <c r="AX1" s="131">
        <f>Players!$E2</f>
        <v>0</v>
      </c>
      <c r="AY1" s="101"/>
    </row>
    <row r="2" spans="1:51" ht="12.75" customHeight="1" x14ac:dyDescent="0.25">
      <c r="F2" s="212"/>
      <c r="G2" s="212"/>
      <c r="H2" s="212"/>
      <c r="I2" s="212"/>
      <c r="R2" s="1"/>
      <c r="S2" s="11"/>
      <c r="T2" s="11"/>
      <c r="U2" s="11"/>
      <c r="V2" s="11"/>
      <c r="W2" s="11"/>
      <c r="AH2" s="112" t="str">
        <f>LEFT(F101,1)&amp;RIGHT(F101,1)</f>
        <v>BK</v>
      </c>
      <c r="AI2" s="112" t="str">
        <f ca="1">G101</f>
        <v/>
      </c>
      <c r="AJ2" s="112" t="str">
        <f ca="1">I101</f>
        <v/>
      </c>
      <c r="AK2" s="112" t="s">
        <v>278</v>
      </c>
      <c r="AL2" s="112" t="s">
        <v>749</v>
      </c>
      <c r="AM2" s="111" t="s">
        <v>45</v>
      </c>
      <c r="AN2" s="111">
        <v>2</v>
      </c>
      <c r="AO2" s="112" t="str">
        <f>IF(Players!$C15&lt;&gt;"",Players!$C15,"")</f>
        <v/>
      </c>
      <c r="AP2" s="112" t="str">
        <f>IF(Players!$C16&lt;&gt;"",Players!$C16,"")</f>
        <v/>
      </c>
      <c r="AQ2" s="112" t="str">
        <f>IF(Players!$C17&lt;&gt;"",Players!$C17,"")</f>
        <v/>
      </c>
      <c r="AR2" s="112" t="str">
        <f>IF(Players!$C18&lt;&gt;"",Players!$C18,"")</f>
        <v/>
      </c>
      <c r="AS2" s="112" t="str">
        <f>IF(Players!$C19&lt;&gt;"",Players!$C19,"")</f>
        <v/>
      </c>
      <c r="AT2" s="112" t="str">
        <f>IF(Players!$C20&lt;&gt;"",Players!$C20,"")</f>
        <v/>
      </c>
      <c r="AU2" s="112" t="str">
        <f>IF(Players!$C21&lt;&gt;"",Players!$C21,"")</f>
        <v/>
      </c>
      <c r="AV2" s="112" t="str">
        <f>IF(Players!$C22&lt;&gt;"",Players!$C22,"")</f>
        <v/>
      </c>
      <c r="AW2" s="112" t="b">
        <f t="shared" ref="AW2:AW12" si="0">IF(LEN(AS2)=0,TRUE,FALSE)</f>
        <v>1</v>
      </c>
      <c r="AX2" s="131">
        <f>Players!$E13</f>
        <v>0</v>
      </c>
      <c r="AY2" s="101"/>
    </row>
    <row r="3" spans="1:51" ht="12.75" customHeight="1" x14ac:dyDescent="0.25">
      <c r="F3" s="212"/>
      <c r="G3" s="212"/>
      <c r="H3" s="212"/>
      <c r="I3" s="212"/>
      <c r="R3" s="1"/>
      <c r="S3" s="11"/>
      <c r="T3" s="11"/>
      <c r="U3" s="11"/>
      <c r="V3" s="11"/>
      <c r="W3" s="11"/>
      <c r="AH3" s="112" t="str">
        <f>LEFT(F152,1)&amp;RIGHT(F152,1)</f>
        <v>CJ</v>
      </c>
      <c r="AI3" s="112" t="str">
        <f ca="1">G152</f>
        <v/>
      </c>
      <c r="AJ3" s="112" t="str">
        <f ca="1">I152</f>
        <v/>
      </c>
      <c r="AK3" s="112" t="s">
        <v>279</v>
      </c>
      <c r="AL3" s="112" t="s">
        <v>750</v>
      </c>
      <c r="AM3" s="111" t="s">
        <v>46</v>
      </c>
      <c r="AN3" s="111">
        <v>3</v>
      </c>
      <c r="AO3" s="112" t="str">
        <f>IF(Players!$C26&lt;&gt;"",Players!$C26,"")</f>
        <v/>
      </c>
      <c r="AP3" s="112" t="str">
        <f>IF(Players!$C27&lt;&gt;"",Players!$C27,"")</f>
        <v/>
      </c>
      <c r="AQ3" s="112" t="str">
        <f>IF(Players!$C28&lt;&gt;"",Players!$C28,"")</f>
        <v/>
      </c>
      <c r="AR3" s="112" t="str">
        <f>IF(Players!$C29&lt;&gt;"",Players!$C29,"")</f>
        <v/>
      </c>
      <c r="AS3" s="112" t="str">
        <f>IF(Players!$C30&lt;&gt;"",Players!$C30,"")</f>
        <v/>
      </c>
      <c r="AT3" s="112" t="str">
        <f>IF(Players!$C31&lt;&gt;"",Players!$C31,"")</f>
        <v/>
      </c>
      <c r="AU3" s="112" t="str">
        <f>IF(Players!$C32&lt;&gt;"",Players!$C32,"")</f>
        <v/>
      </c>
      <c r="AV3" s="112" t="str">
        <f>IF(Players!$C33&lt;&gt;"",Players!$C33,"")</f>
        <v/>
      </c>
      <c r="AW3" s="112" t="b">
        <f t="shared" si="0"/>
        <v>1</v>
      </c>
      <c r="AX3" s="131">
        <f>Players!$E24</f>
        <v>0</v>
      </c>
      <c r="AY3" s="101"/>
    </row>
    <row r="4" spans="1:51" ht="12.75" customHeight="1" x14ac:dyDescent="0.25">
      <c r="K4" s="219" t="s">
        <v>176</v>
      </c>
      <c r="L4" s="219"/>
      <c r="M4" s="219"/>
      <c r="N4" s="219"/>
      <c r="O4" s="219"/>
      <c r="P4" s="219"/>
      <c r="R4" s="1"/>
      <c r="S4" s="11"/>
      <c r="T4" s="11"/>
      <c r="U4" s="11"/>
      <c r="V4" s="11"/>
      <c r="W4" s="11"/>
      <c r="AH4" s="112" t="str">
        <f>LEFT(F203,1)&amp;RIGHT(F203,1)</f>
        <v>DI</v>
      </c>
      <c r="AI4" s="112" t="str">
        <f ca="1">G203</f>
        <v/>
      </c>
      <c r="AJ4" s="112" t="str">
        <f ca="1">I203</f>
        <v/>
      </c>
      <c r="AK4" s="112" t="s">
        <v>280</v>
      </c>
      <c r="AL4" s="112" t="s">
        <v>751</v>
      </c>
      <c r="AM4" s="111" t="s">
        <v>47</v>
      </c>
      <c r="AN4" s="111">
        <v>4</v>
      </c>
      <c r="AO4" s="112" t="str">
        <f>IF(Players!$C37&lt;&gt;"",Players!$C37,"")</f>
        <v/>
      </c>
      <c r="AP4" s="112" t="str">
        <f>IF(Players!$C38&lt;&gt;"",Players!$C38,"")</f>
        <v/>
      </c>
      <c r="AQ4" s="112" t="str">
        <f>IF(Players!$C39&lt;&gt;"",Players!$C39,"")</f>
        <v/>
      </c>
      <c r="AR4" s="112" t="str">
        <f>IF(Players!$C40&lt;&gt;"",Players!$C40,"")</f>
        <v/>
      </c>
      <c r="AS4" s="112" t="str">
        <f>IF(Players!$C41&lt;&gt;"",Players!$C41,"")</f>
        <v/>
      </c>
      <c r="AT4" s="112" t="str">
        <f>IF(Players!$C42&lt;&gt;"",Players!$C42,"")</f>
        <v/>
      </c>
      <c r="AU4" s="112" t="str">
        <f>IF(Players!$C43&lt;&gt;"",Players!$C43,"")</f>
        <v/>
      </c>
      <c r="AV4" s="112" t="str">
        <f>IF(Players!$C44&lt;&gt;"",Players!$C44,"")</f>
        <v/>
      </c>
      <c r="AW4" s="112" t="b">
        <f t="shared" si="0"/>
        <v>1</v>
      </c>
      <c r="AX4" s="131">
        <f>Players!$E35</f>
        <v>0</v>
      </c>
      <c r="AY4" s="101"/>
    </row>
    <row r="5" spans="1:51" ht="12.75" customHeight="1" x14ac:dyDescent="0.25">
      <c r="A5" s="9" t="s">
        <v>161</v>
      </c>
      <c r="B5"/>
      <c r="C5"/>
      <c r="D5" t="str">
        <f>Draw!$B$1</f>
        <v>Enter Division Name</v>
      </c>
      <c r="E5"/>
      <c r="F5" s="6"/>
      <c r="G5" s="6"/>
      <c r="H5" s="6"/>
      <c r="I5"/>
      <c r="J5"/>
      <c r="K5"/>
      <c r="L5"/>
      <c r="N5"/>
      <c r="O5"/>
      <c r="P5"/>
      <c r="R5" s="1"/>
      <c r="S5" s="11"/>
      <c r="T5" s="11"/>
      <c r="U5" s="11"/>
      <c r="V5" s="11"/>
      <c r="W5" s="11"/>
      <c r="AH5" s="112" t="str">
        <f>LEFT(F254,1)&amp;RIGHT(F254,1)</f>
        <v>EH</v>
      </c>
      <c r="AI5" s="112" t="str">
        <f ca="1">G254</f>
        <v/>
      </c>
      <c r="AJ5" s="112" t="str">
        <f ca="1">I254</f>
        <v/>
      </c>
      <c r="AK5" s="112" t="s">
        <v>281</v>
      </c>
      <c r="AL5" s="112" t="s">
        <v>752</v>
      </c>
      <c r="AM5" s="111" t="s">
        <v>48</v>
      </c>
      <c r="AN5" s="111">
        <v>5</v>
      </c>
      <c r="AO5" s="112" t="str">
        <f>IF(Players!$C48&lt;&gt;"",Players!$C48,"")</f>
        <v/>
      </c>
      <c r="AP5" s="112" t="str">
        <f>IF(Players!$C49&lt;&gt;"",Players!$C49,"")</f>
        <v/>
      </c>
      <c r="AQ5" s="112" t="str">
        <f>IF(Players!$C50&lt;&gt;"",Players!$C50,"")</f>
        <v/>
      </c>
      <c r="AR5" s="112" t="str">
        <f>IF(Players!$C51&lt;&gt;"",Players!$C51,"")</f>
        <v/>
      </c>
      <c r="AS5" s="112" t="str">
        <f>IF(Players!$C52&lt;&gt;"",Players!$C52,"")</f>
        <v/>
      </c>
      <c r="AT5" s="112" t="str">
        <f>IF(Players!$C53&lt;&gt;"",Players!$C53,"")</f>
        <v/>
      </c>
      <c r="AU5" s="112" t="str">
        <f>IF(Players!$C54&lt;&gt;"",Players!$C54,"")</f>
        <v/>
      </c>
      <c r="AV5" s="112" t="str">
        <f>IF(Players!$C55&lt;&gt;"",Players!$C55,"")</f>
        <v/>
      </c>
      <c r="AW5" s="112" t="b">
        <f t="shared" si="0"/>
        <v>1</v>
      </c>
      <c r="AX5" s="131">
        <f>Players!$E46</f>
        <v>0</v>
      </c>
      <c r="AY5" s="101"/>
    </row>
    <row r="6" spans="1:51" x14ac:dyDescent="0.25">
      <c r="A6" s="2" t="s">
        <v>162</v>
      </c>
      <c r="D6" t="str">
        <f>Draw!$D$1</f>
        <v>Enter Hosting Location (City, ST)</v>
      </c>
      <c r="J6" t="str">
        <f ca="1">MID(CELL("filename",$J$6),SEARCH("[",CELL("filename",$J$6)),SEARCH("]",CELL("filename",$J$6))-SEARCH("[",CELL("filename",$J$6))+1)</f>
        <v>[NCTTA Teams Template (v3.4).xlsx]</v>
      </c>
      <c r="R6" s="1"/>
      <c r="S6" s="11"/>
      <c r="T6" s="11"/>
      <c r="U6" s="11"/>
      <c r="V6" s="11"/>
      <c r="W6" s="11"/>
      <c r="AH6" s="112" t="str">
        <f>LEFT(F305,1)&amp;RIGHT(F305,1)</f>
        <v>FG</v>
      </c>
      <c r="AI6" s="112" t="str">
        <f ca="1">G305</f>
        <v/>
      </c>
      <c r="AJ6" s="112" t="str">
        <f ca="1">I305</f>
        <v/>
      </c>
      <c r="AK6" s="112" t="s">
        <v>282</v>
      </c>
      <c r="AL6" s="112" t="s">
        <v>753</v>
      </c>
      <c r="AM6" s="111" t="s">
        <v>49</v>
      </c>
      <c r="AN6" s="111">
        <v>6</v>
      </c>
      <c r="AO6" s="112" t="str">
        <f>IF(Players!$C59&lt;&gt;"",Players!$C59,"")</f>
        <v/>
      </c>
      <c r="AP6" s="112" t="str">
        <f>IF(Players!$C60&lt;&gt;"",Players!$C60,"")</f>
        <v/>
      </c>
      <c r="AQ6" s="112" t="str">
        <f>IF(Players!$C61&lt;&gt;"",Players!$C61,"")</f>
        <v/>
      </c>
      <c r="AR6" s="112" t="str">
        <f>IF(Players!$C62&lt;&gt;"",Players!$C62,"")</f>
        <v/>
      </c>
      <c r="AS6" s="112" t="str">
        <f>IF(Players!$C63&lt;&gt;"",Players!$C63,"")</f>
        <v/>
      </c>
      <c r="AT6" s="112" t="str">
        <f>IF(Players!$C64&lt;&gt;"",Players!$C64,"")</f>
        <v/>
      </c>
      <c r="AU6" s="112" t="str">
        <f>IF(Players!$C65&lt;&gt;"",Players!$C65,"")</f>
        <v/>
      </c>
      <c r="AV6" s="112" t="str">
        <f>IF(Players!$C66&lt;&gt;"",Players!$C66,"")</f>
        <v/>
      </c>
      <c r="AW6" s="112" t="b">
        <f t="shared" si="0"/>
        <v>1</v>
      </c>
      <c r="AX6" s="131">
        <f>Players!$E57</f>
        <v>0</v>
      </c>
      <c r="AY6" s="101"/>
    </row>
    <row r="7" spans="1:51" ht="12.75" customHeight="1" x14ac:dyDescent="0.25">
      <c r="A7" s="2" t="s">
        <v>163</v>
      </c>
      <c r="D7" s="275" t="str">
        <f>Draw!$P$1</f>
        <v>Enter Date</v>
      </c>
      <c r="E7" s="275"/>
      <c r="F7" s="275"/>
      <c r="G7" s="275"/>
      <c r="J7" s="244" t="str">
        <f>CHOOSE(Draw!$T$1,"Round 1, Match 1","Round 1, Match 1","Round 1, Match 1","Round 1, Match 1","Round 1, Match 1","Round 1, Match 1","Round 1, Match 1","Round 1, Match 1","Round 1, Match 1","Round 1, Match 1","Round 1, Match 1")</f>
        <v>Round 1, Match 1</v>
      </c>
      <c r="K7" s="244"/>
      <c r="L7" s="244"/>
      <c r="M7" s="277" t="str">
        <f>IF(AND($J7&lt;&gt;"",Draw!$AC$10&lt;&gt;"",Draw!$AC$13&lt;&gt;""),Draw!$AC$10+TIME(0,VALUE(MID($J7,7,FIND(",",$J7)-FIND(" ",$J7)-1)-1)*Draw!$AC$13,0),"")</f>
        <v/>
      </c>
      <c r="N7" s="277"/>
      <c r="O7" s="125" t="str">
        <f>$F50</f>
        <v>A-L</v>
      </c>
      <c r="R7" s="1"/>
      <c r="S7" s="11"/>
      <c r="T7" s="11"/>
      <c r="U7" s="11"/>
      <c r="V7" s="11"/>
      <c r="W7" s="11"/>
      <c r="AH7" s="112" t="str">
        <f>LEFT(F356,1)&amp;RIGHT(F356,1)</f>
        <v>AK</v>
      </c>
      <c r="AI7" s="112" t="str">
        <f ca="1">G356</f>
        <v/>
      </c>
      <c r="AJ7" s="112" t="str">
        <f ca="1">I356</f>
        <v/>
      </c>
      <c r="AK7" s="112" t="s">
        <v>283</v>
      </c>
      <c r="AL7" s="112" t="s">
        <v>754</v>
      </c>
      <c r="AM7" s="111" t="s">
        <v>50</v>
      </c>
      <c r="AN7" s="111">
        <v>7</v>
      </c>
      <c r="AO7" s="112" t="str">
        <f>IF(Players!$C70&lt;&gt;"",Players!$C70,"")</f>
        <v/>
      </c>
      <c r="AP7" s="112" t="str">
        <f>IF(Players!$C71&lt;&gt;"",Players!$C71,"")</f>
        <v/>
      </c>
      <c r="AQ7" s="112" t="str">
        <f>IF(Players!$C72&lt;&gt;"",Players!$C72,"")</f>
        <v/>
      </c>
      <c r="AR7" s="112" t="str">
        <f>IF(Players!$C73&lt;&gt;"",Players!$C73,"")</f>
        <v/>
      </c>
      <c r="AS7" s="112" t="str">
        <f>IF(Players!$C74&lt;&gt;"",Players!$C74,"")</f>
        <v/>
      </c>
      <c r="AT7" s="112" t="str">
        <f>IF(Players!$C75&lt;&gt;"",Players!$C75,"")</f>
        <v/>
      </c>
      <c r="AU7" s="112" t="str">
        <f>IF(Players!$C76&lt;&gt;"",Players!$C76,"")</f>
        <v/>
      </c>
      <c r="AV7" s="112" t="str">
        <f>IF(Players!$C77&lt;&gt;"",Players!$C77,"")</f>
        <v/>
      </c>
      <c r="AW7" s="112" t="b">
        <f t="shared" si="0"/>
        <v>1</v>
      </c>
      <c r="AX7" s="131">
        <f>Players!$E68</f>
        <v>0</v>
      </c>
      <c r="AY7" s="101"/>
    </row>
    <row r="8" spans="1:51" ht="12.75" customHeight="1" x14ac:dyDescent="0.25">
      <c r="A8" s="6"/>
      <c r="B8"/>
      <c r="C8"/>
      <c r="D8"/>
      <c r="E8"/>
      <c r="F8" s="6"/>
      <c r="G8" s="6"/>
      <c r="H8" s="11"/>
      <c r="I8" s="6"/>
      <c r="J8"/>
      <c r="K8"/>
      <c r="L8"/>
      <c r="M8"/>
      <c r="N8"/>
      <c r="O8" s="269" t="str">
        <f>IF(OR(AND(VLOOKUP($B9,$AM$1:$AX$12,12,FALSE)="C",VLOOKUP($K9,$AM$1:$AX$12,12,FALSE)="C"),AND(VLOOKUP($B9,$AM$1:$AX$12,12,FALSE)="W",VLOOKUP($K9,$AM$1:$AX$12,12,FALSE)="W")),"Official",IF(AND($A10="",$J10=""),"","Scrimmage"))</f>
        <v/>
      </c>
      <c r="P8" s="269"/>
      <c r="R8" s="1"/>
      <c r="S8" s="11"/>
      <c r="T8" s="11"/>
      <c r="U8" s="11"/>
      <c r="V8" s="11"/>
      <c r="W8" s="11"/>
      <c r="AH8" s="112" t="str">
        <f>LEFT(F407,1)&amp;RIGHT(F407,1)</f>
        <v>JL</v>
      </c>
      <c r="AI8" s="112" t="str">
        <f ca="1">G407</f>
        <v/>
      </c>
      <c r="AJ8" s="112" t="str">
        <f ca="1">I407</f>
        <v/>
      </c>
      <c r="AK8" s="112" t="s">
        <v>284</v>
      </c>
      <c r="AL8" s="112" t="s">
        <v>755</v>
      </c>
      <c r="AM8" s="111" t="s">
        <v>51</v>
      </c>
      <c r="AN8" s="111">
        <v>8</v>
      </c>
      <c r="AO8" s="112" t="str">
        <f>IF(Players!$C81&lt;&gt;"",Players!$C81,"")</f>
        <v/>
      </c>
      <c r="AP8" s="112" t="str">
        <f>IF(Players!$C82&lt;&gt;"",Players!$C82,"")</f>
        <v/>
      </c>
      <c r="AQ8" s="112" t="str">
        <f>IF(Players!$C83&lt;&gt;"",Players!$C83,"")</f>
        <v/>
      </c>
      <c r="AR8" s="112" t="str">
        <f>IF(Players!$C84&lt;&gt;"",Players!$C84,"")</f>
        <v/>
      </c>
      <c r="AS8" s="112" t="str">
        <f>IF(Players!$C85&lt;&gt;"",Players!$C85,"")</f>
        <v/>
      </c>
      <c r="AT8" s="112" t="str">
        <f>IF(Players!$C86&lt;&gt;"",Players!$C86,"")</f>
        <v/>
      </c>
      <c r="AU8" s="112" t="str">
        <f>IF(Players!$C87&lt;&gt;"",Players!$C87,"")</f>
        <v/>
      </c>
      <c r="AV8" s="112" t="str">
        <f>IF(Players!$C88&lt;&gt;"",Players!$C88,"")</f>
        <v/>
      </c>
      <c r="AW8" s="112" t="b">
        <f t="shared" si="0"/>
        <v>1</v>
      </c>
      <c r="AX8" s="131">
        <f>Players!$E79</f>
        <v>0</v>
      </c>
      <c r="AY8" s="101"/>
    </row>
    <row r="9" spans="1:51" ht="12.75" customHeight="1" x14ac:dyDescent="0.25">
      <c r="A9" s="12" t="s">
        <v>160</v>
      </c>
      <c r="B9" s="98" t="str">
        <f>CHOOSE(Draw!$T$1,"A","A","A","A","B","A","B","A","B","A","B")</f>
        <v>A</v>
      </c>
      <c r="C9" s="109">
        <f>VLOOKUP($B9,$AM$1:$AN$12,2)</f>
        <v>1</v>
      </c>
      <c r="D9" s="10"/>
      <c r="E9" s="10"/>
      <c r="F9" s="8"/>
      <c r="H9" s="1" t="s">
        <v>164</v>
      </c>
      <c r="J9" s="12" t="s">
        <v>160</v>
      </c>
      <c r="K9" s="98" t="str">
        <f>CHOOSE(Draw!$T$1,"L","F","C","C","E","F","G","H","I","J","K")</f>
        <v>L</v>
      </c>
      <c r="L9" s="109">
        <f>VLOOKUP($K9,$AM$1:$AN$12,2)</f>
        <v>12</v>
      </c>
      <c r="M9" s="10"/>
      <c r="N9" s="10"/>
      <c r="O9" s="13"/>
      <c r="P9" s="166"/>
      <c r="Q9" s="7"/>
      <c r="R9" s="1"/>
      <c r="S9" s="11"/>
      <c r="T9" s="11"/>
      <c r="U9" s="11"/>
      <c r="V9" s="11"/>
      <c r="W9" s="11"/>
      <c r="AH9" s="112" t="str">
        <f>LEFT(F458,1)&amp;RIGHT(F458,1)</f>
        <v>BI</v>
      </c>
      <c r="AI9" s="112" t="str">
        <f ca="1">G458</f>
        <v/>
      </c>
      <c r="AJ9" s="112" t="str">
        <f ca="1">I458</f>
        <v/>
      </c>
      <c r="AK9" s="112" t="s">
        <v>285</v>
      </c>
      <c r="AL9" s="112" t="s">
        <v>756</v>
      </c>
      <c r="AM9" s="111" t="s">
        <v>52</v>
      </c>
      <c r="AN9" s="111">
        <v>9</v>
      </c>
      <c r="AO9" s="112" t="str">
        <f>IF(Players!$C92&lt;&gt;"",Players!$C92,"")</f>
        <v/>
      </c>
      <c r="AP9" s="112" t="str">
        <f>IF(Players!$C93&lt;&gt;"",Players!$C93,"")</f>
        <v/>
      </c>
      <c r="AQ9" s="112" t="str">
        <f>IF(Players!$C94&lt;&gt;"",Players!$C94,"")</f>
        <v/>
      </c>
      <c r="AR9" s="112" t="str">
        <f>IF(Players!$C95&lt;&gt;"",Players!$C95,"")</f>
        <v/>
      </c>
      <c r="AS9" s="112" t="str">
        <f>IF(Players!$C96&lt;&gt;"",Players!$C96,"")</f>
        <v/>
      </c>
      <c r="AT9" s="112" t="str">
        <f>IF(Players!$C97&lt;&gt;"",Players!$C97,"")</f>
        <v/>
      </c>
      <c r="AU9" s="112" t="str">
        <f>IF(Players!$C98&lt;&gt;"",Players!$C98,"")</f>
        <v/>
      </c>
      <c r="AV9" s="112" t="str">
        <f>IF(Players!$C99&lt;&gt;"",Players!$C99,"")</f>
        <v/>
      </c>
      <c r="AW9" s="112" t="b">
        <f t="shared" si="0"/>
        <v>1</v>
      </c>
      <c r="AX9" s="131">
        <f>Players!$E90</f>
        <v>0</v>
      </c>
    </row>
    <row r="10" spans="1:51" ht="12.75" customHeight="1" x14ac:dyDescent="0.25">
      <c r="A10" s="253" t="str">
        <f>IF(VLOOKUP($B9,Draw!$A$4:$B$27,2)&lt;&gt;0,VLOOKUP($B9,Draw!$A$4:$B$27,2),"")</f>
        <v/>
      </c>
      <c r="B10" s="254"/>
      <c r="C10" s="254"/>
      <c r="D10" s="254"/>
      <c r="E10" s="254"/>
      <c r="F10" s="255"/>
      <c r="G10" s="273" t="s">
        <v>404</v>
      </c>
      <c r="H10" s="249"/>
      <c r="I10" s="274"/>
      <c r="J10" s="253" t="str">
        <f>IF(VLOOKUP($K9,Draw!$A$4:$B$27,2)&lt;&gt;0,VLOOKUP($K9,Draw!$A$4:$B$27,2),"")</f>
        <v/>
      </c>
      <c r="K10" s="254"/>
      <c r="L10" s="254"/>
      <c r="M10" s="254"/>
      <c r="N10" s="254"/>
      <c r="O10" s="255"/>
      <c r="P10"/>
      <c r="R10" s="1"/>
      <c r="S10" s="11"/>
      <c r="T10" s="11"/>
      <c r="U10" s="11"/>
      <c r="V10" s="11"/>
      <c r="W10" s="11"/>
      <c r="AH10" s="112" t="str">
        <f>LEFT(F509,1)&amp;RIGHT(F509,1)</f>
        <v>CH</v>
      </c>
      <c r="AI10" s="112" t="str">
        <f ca="1">G509</f>
        <v/>
      </c>
      <c r="AJ10" s="112" t="str">
        <f ca="1">I509</f>
        <v/>
      </c>
      <c r="AK10" s="112" t="s">
        <v>286</v>
      </c>
      <c r="AL10" s="112" t="s">
        <v>757</v>
      </c>
      <c r="AM10" s="111" t="s">
        <v>53</v>
      </c>
      <c r="AN10" s="111">
        <v>10</v>
      </c>
      <c r="AO10" s="112" t="str">
        <f>IF(Players!$C103&lt;&gt;"",Players!$C103,"")</f>
        <v/>
      </c>
      <c r="AP10" s="112" t="str">
        <f>IF(Players!$C104&lt;&gt;"",Players!$C104,"")</f>
        <v/>
      </c>
      <c r="AQ10" s="112" t="str">
        <f>IF(Players!$C105&lt;&gt;"",Players!$C105,"")</f>
        <v/>
      </c>
      <c r="AR10" s="112" t="str">
        <f>IF(Players!$C106&lt;&gt;"",Players!$C106,"")</f>
        <v/>
      </c>
      <c r="AS10" s="112" t="str">
        <f>IF(Players!$C107&lt;&gt;"",Players!$C107,"")</f>
        <v/>
      </c>
      <c r="AT10" s="112" t="str">
        <f>IF(Players!$C108&lt;&gt;"",Players!$C108,"")</f>
        <v/>
      </c>
      <c r="AU10" s="112" t="str">
        <f>IF(Players!$C109&lt;&gt;"",Players!$C109,"")</f>
        <v/>
      </c>
      <c r="AV10" s="112" t="str">
        <f>IF(Players!$C110&lt;&gt;"",Players!$C110,"")</f>
        <v/>
      </c>
      <c r="AW10" s="112" t="b">
        <f t="shared" si="0"/>
        <v>1</v>
      </c>
      <c r="AX10" s="131">
        <f>Players!$E101</f>
        <v>0</v>
      </c>
    </row>
    <row r="11" spans="1:51" ht="12.75" customHeight="1" x14ac:dyDescent="0.25">
      <c r="A11" s="6"/>
      <c r="B11"/>
      <c r="C11"/>
      <c r="D11"/>
      <c r="E11"/>
      <c r="F11" s="6"/>
      <c r="G11" s="248" t="str">
        <f>"Page "&amp;VALUE(RIGHT($G10,LEN($G10)-SEARCH("-",$G10)))/2</f>
        <v>Page 1</v>
      </c>
      <c r="H11" s="249"/>
      <c r="I11" s="249"/>
      <c r="J11"/>
      <c r="K11"/>
      <c r="L11"/>
      <c r="M11"/>
      <c r="N11"/>
      <c r="O11" s="167"/>
      <c r="P11" s="167"/>
      <c r="R11" s="1"/>
      <c r="S11" s="11"/>
      <c r="T11" s="11"/>
      <c r="U11" s="11"/>
      <c r="V11" s="11"/>
      <c r="W11" s="11"/>
      <c r="AF11"/>
      <c r="AH11" s="112" t="str">
        <f>LEFT(F560,1)&amp;RIGHT(F560,1)</f>
        <v>DG</v>
      </c>
      <c r="AI11" s="112" t="str">
        <f ca="1">G560</f>
        <v/>
      </c>
      <c r="AJ11" s="112" t="str">
        <f ca="1">I560</f>
        <v/>
      </c>
      <c r="AK11" s="112" t="s">
        <v>287</v>
      </c>
      <c r="AL11" s="112" t="s">
        <v>758</v>
      </c>
      <c r="AM11" s="111" t="s">
        <v>54</v>
      </c>
      <c r="AN11" s="111">
        <v>11</v>
      </c>
      <c r="AO11" s="112" t="str">
        <f>IF(Players!$C114&lt;&gt;"",Players!$C114,"")</f>
        <v/>
      </c>
      <c r="AP11" s="112" t="str">
        <f>IF(Players!$C115&lt;&gt;"",Players!$C115,"")</f>
        <v/>
      </c>
      <c r="AQ11" s="112" t="str">
        <f>IF(Players!$C116&lt;&gt;"",Players!$C116,"")</f>
        <v/>
      </c>
      <c r="AR11" s="112" t="str">
        <f>IF(Players!$C117&lt;&gt;"",Players!$C117,"")</f>
        <v/>
      </c>
      <c r="AS11" s="112" t="str">
        <f>IF(Players!$C118&lt;&gt;"",Players!$C118,"")</f>
        <v/>
      </c>
      <c r="AT11" s="112" t="str">
        <f>IF(Players!$C119&lt;&gt;"",Players!$C119,"")</f>
        <v/>
      </c>
      <c r="AU11" s="112" t="str">
        <f>IF(Players!$C120&lt;&gt;"",Players!$C120,"")</f>
        <v/>
      </c>
      <c r="AV11" s="112" t="str">
        <f>IF(Players!$C121&lt;&gt;"",Players!$C121,"")</f>
        <v/>
      </c>
      <c r="AW11" s="112" t="b">
        <f t="shared" si="0"/>
        <v>1</v>
      </c>
      <c r="AX11" s="131">
        <f>Players!$E112</f>
        <v>0</v>
      </c>
    </row>
    <row r="12" spans="1:51" ht="12.75" customHeight="1" x14ac:dyDescent="0.25">
      <c r="A12" s="276" t="s">
        <v>177</v>
      </c>
      <c r="B12" s="276"/>
      <c r="C12" s="276"/>
      <c r="D12" s="276"/>
      <c r="E12" s="276"/>
      <c r="F12" s="276"/>
      <c r="G12" s="276"/>
      <c r="H12" s="276"/>
      <c r="I12" s="276"/>
      <c r="J12" s="276"/>
      <c r="K12" s="276"/>
      <c r="L12" s="276"/>
      <c r="M12" s="276"/>
      <c r="N12" s="276"/>
      <c r="O12" s="276"/>
      <c r="P12" s="276"/>
      <c r="Q12" s="6"/>
      <c r="R12" s="1"/>
      <c r="S12" s="11"/>
      <c r="T12" s="11"/>
      <c r="U12" s="11"/>
      <c r="V12" s="11"/>
      <c r="W12" s="11"/>
      <c r="AF12" s="14"/>
      <c r="AH12" s="112" t="str">
        <f>LEFT(F611,1)&amp;RIGHT(F611,1)</f>
        <v>EF</v>
      </c>
      <c r="AI12" s="112" t="str">
        <f ca="1">G611</f>
        <v/>
      </c>
      <c r="AJ12" s="112" t="str">
        <f ca="1">I611</f>
        <v/>
      </c>
      <c r="AK12" s="112" t="s">
        <v>288</v>
      </c>
      <c r="AL12" s="112" t="s">
        <v>759</v>
      </c>
      <c r="AM12" s="111" t="s">
        <v>55</v>
      </c>
      <c r="AN12" s="111">
        <v>12</v>
      </c>
      <c r="AO12" s="112" t="str">
        <f>IF(Players!$C125&lt;&gt;"",Players!$C125,"")</f>
        <v/>
      </c>
      <c r="AP12" s="112" t="str">
        <f>IF(Players!$C126&lt;&gt;"",Players!$C126,"")</f>
        <v/>
      </c>
      <c r="AQ12" s="112" t="str">
        <f>IF(Players!$C127&lt;&gt;"",Players!$C127,"")</f>
        <v/>
      </c>
      <c r="AR12" s="112" t="str">
        <f>IF(Players!$C128&lt;&gt;"",Players!$C128,"")</f>
        <v/>
      </c>
      <c r="AS12" s="112" t="str">
        <f>IF(Players!$C129&lt;&gt;"",Players!$C129,"")</f>
        <v/>
      </c>
      <c r="AT12" s="112" t="str">
        <f>IF(Players!$C130&lt;&gt;"",Players!$C130,"")</f>
        <v/>
      </c>
      <c r="AU12" s="112" t="str">
        <f>IF(Players!$C131&lt;&gt;"",Players!$C131,"")</f>
        <v/>
      </c>
      <c r="AV12" s="112" t="str">
        <f>IF(Players!$C132&lt;&gt;"",Players!$C132,"")</f>
        <v/>
      </c>
      <c r="AW12" s="112" t="b">
        <f t="shared" si="0"/>
        <v>1</v>
      </c>
      <c r="AX12" s="131">
        <f>Players!$E123</f>
        <v>0</v>
      </c>
    </row>
    <row r="13" spans="1:51" ht="12.75" customHeight="1" x14ac:dyDescent="0.25">
      <c r="A13" s="15" t="s">
        <v>165</v>
      </c>
      <c r="H13" s="110" t="str">
        <f>IF($Q15&lt;&gt;"",IF(AND(AND($H15&gt;-1,$H17&gt;-1),OR($H15&gt;10,$H17&gt;10),ABS($H15-$H17)&gt;1,IF(OR($H15&gt;11,$H17&gt;11),ABS($H15-$H17)=2,TRUE),$H15=INT($H15),$H17=INT($H17)),"","Error"),"")</f>
        <v/>
      </c>
      <c r="I13" s="110" t="str">
        <f>IF($Q15&lt;&gt;"",IF(AND(AND($I15&gt;-1,$I17&gt;-1),OR($I15&gt;10,$I17&gt;10),ABS($I15-$I17)&gt;1,IF(OR($I15&gt;11,$I17&gt;11),ABS($I15-$I17)=2,TRUE),$I15=INT($I15),$I17=INT($I17)),"","Error"),"")</f>
        <v/>
      </c>
      <c r="J13" s="110" t="str">
        <f>IF($Q15&lt;&gt;"",IF(AND(AND($J15&gt;-1,$J17&gt;-1),OR($J15&gt;10,$J17&gt;10),ABS($J15-$J17)&gt;1,IF(OR($J15&gt;11,$J17&gt;11),ABS($J15-$J17)=2,TRUE),$J15=INT($J15),$J17=INT($J17)),"","Error"),"")</f>
        <v/>
      </c>
      <c r="K13" s="110" t="str">
        <f>IF($Q15&lt;&gt;"",IF(AND($K15&lt;&gt;"",$K17&lt;&gt;""), IF(AND(AND($K15&gt;-1,$K17&gt;-1),OR($K15&gt;10,$K17&gt;10),ABS($K15-$K17)&gt;1,IF(OR($K15&gt;11,$K17&gt;11),ABS($K15-$K17)=2,TRUE),$K15=INT($K15),$K17=INT($K17)),"","Error"),""),"")</f>
        <v/>
      </c>
      <c r="L13" s="110" t="str">
        <f>IF($Q15&lt;&gt;"",IF(AND($L15&lt;&gt;"",$L17&lt;&gt;""), IF(AND(AND($L15&gt;-1,$L17&gt;-1),OR($L15&gt;10,$L17&gt;10),ABS($L15-$L17)&gt;1,IF(OR($L15&gt;11,$L17&gt;11),ABS($L15-$L17)=2,TRUE),$L15=INT($L15),$L17=INT($L17)),"","Error"),""),"")</f>
        <v/>
      </c>
      <c r="R13" s="1"/>
      <c r="S13" s="11"/>
      <c r="T13" s="11"/>
      <c r="U13" s="11"/>
      <c r="V13" s="11"/>
      <c r="W13" s="11"/>
      <c r="AH13" s="112" t="str">
        <f>LEFT(F662,1)&amp;RIGHT(F662,1)</f>
        <v>AJ</v>
      </c>
      <c r="AI13" s="112" t="str">
        <f ca="1">G662</f>
        <v/>
      </c>
      <c r="AJ13" s="112" t="str">
        <f ca="1">I662</f>
        <v/>
      </c>
      <c r="AK13" s="112" t="s">
        <v>289</v>
      </c>
      <c r="AL13" s="112" t="s">
        <v>760</v>
      </c>
      <c r="AM13" s="112"/>
      <c r="AN13" s="120"/>
      <c r="AO13" s="120"/>
      <c r="AP13" s="120"/>
      <c r="AQ13" s="120"/>
      <c r="AR13" s="120"/>
      <c r="AS13" s="120"/>
      <c r="AT13" s="120"/>
      <c r="AU13" s="120"/>
      <c r="AV13" s="120"/>
      <c r="AW13" s="120"/>
      <c r="AX13" s="116"/>
    </row>
    <row r="14" spans="1:51" ht="12.75" customHeight="1" x14ac:dyDescent="0.25">
      <c r="A14" s="5" t="s">
        <v>160</v>
      </c>
      <c r="B14" s="256" t="s">
        <v>58</v>
      </c>
      <c r="C14" s="257"/>
      <c r="D14" s="257"/>
      <c r="E14" s="257"/>
      <c r="F14" s="257"/>
      <c r="G14" s="258"/>
      <c r="H14" s="5">
        <v>1</v>
      </c>
      <c r="I14" s="5">
        <v>2</v>
      </c>
      <c r="J14" s="5">
        <v>3</v>
      </c>
      <c r="K14" s="5">
        <v>4</v>
      </c>
      <c r="L14" s="5">
        <v>5</v>
      </c>
      <c r="M14" s="270"/>
      <c r="N14" s="271"/>
      <c r="O14" s="271"/>
      <c r="P14" s="272"/>
      <c r="R14" s="1"/>
      <c r="S14" s="11"/>
      <c r="T14" s="11"/>
      <c r="U14" s="11"/>
      <c r="V14" s="11"/>
      <c r="W14" s="11"/>
      <c r="AH14" s="112" t="str">
        <f>LEFT(F713,1)&amp;RIGHT(F713,1)</f>
        <v>IK</v>
      </c>
      <c r="AI14" s="112" t="str">
        <f ca="1">G713</f>
        <v/>
      </c>
      <c r="AJ14" s="112" t="str">
        <f ca="1">I713</f>
        <v/>
      </c>
      <c r="AK14" s="112" t="s">
        <v>290</v>
      </c>
      <c r="AL14" s="112" t="s">
        <v>761</v>
      </c>
      <c r="AM14" s="112"/>
      <c r="AN14" s="120"/>
      <c r="AO14" s="120"/>
      <c r="AP14" s="120"/>
      <c r="AQ14" s="120"/>
      <c r="AR14" s="120"/>
      <c r="AS14" s="120"/>
      <c r="AT14" s="120"/>
      <c r="AU14" s="120"/>
      <c r="AV14" s="120"/>
      <c r="AW14" s="120"/>
      <c r="AX14" s="116"/>
    </row>
    <row r="15" spans="1:51" ht="12.75" customHeight="1" x14ac:dyDescent="0.25">
      <c r="A15" s="259" t="str">
        <f>B9</f>
        <v>A</v>
      </c>
      <c r="B15" s="236" t="s">
        <v>850</v>
      </c>
      <c r="C15" s="237"/>
      <c r="D15" s="237"/>
      <c r="E15" s="237"/>
      <c r="F15" s="237"/>
      <c r="G15" s="237"/>
      <c r="H15" s="233"/>
      <c r="I15" s="233"/>
      <c r="J15" s="233"/>
      <c r="K15" s="233"/>
      <c r="L15" s="233"/>
      <c r="M15" s="281"/>
      <c r="N15" s="282"/>
      <c r="O15" s="282"/>
      <c r="P15" s="283"/>
      <c r="Q15" s="40" t="str">
        <f>IF($L15=$L17,IF($K15=$K17,IF($J15&lt;&gt;"",IF($J15&gt;$J17,"W","L"),""),IF($K15&gt;$K17,"W","L")),IF($L15&gt;$L17,"W","L"))</f>
        <v/>
      </c>
      <c r="R15" s="1"/>
      <c r="S15" s="11"/>
      <c r="T15" s="11"/>
      <c r="U15" s="11"/>
      <c r="V15" s="11"/>
      <c r="W15" s="11"/>
      <c r="AH15" s="112" t="str">
        <f>LEFT(F764,1)&amp;RIGHT(F764,1)</f>
        <v>HL</v>
      </c>
      <c r="AI15" s="112" t="str">
        <f ca="1">G764</f>
        <v/>
      </c>
      <c r="AJ15" s="112" t="str">
        <f ca="1">I764</f>
        <v/>
      </c>
      <c r="AK15" s="112" t="s">
        <v>291</v>
      </c>
      <c r="AL15" s="112" t="s">
        <v>762</v>
      </c>
      <c r="AM15" s="112"/>
      <c r="AN15" s="120"/>
      <c r="AO15" s="120"/>
      <c r="AP15" s="120"/>
      <c r="AQ15" s="120"/>
      <c r="AR15" s="120"/>
      <c r="AS15" s="120"/>
      <c r="AT15" s="120"/>
      <c r="AU15" s="120"/>
      <c r="AV15" s="120"/>
      <c r="AW15" s="120"/>
      <c r="AX15" s="116"/>
    </row>
    <row r="16" spans="1:51" ht="12.75" customHeight="1" x14ac:dyDescent="0.25">
      <c r="A16" s="260"/>
      <c r="B16" s="238"/>
      <c r="C16" s="239"/>
      <c r="D16" s="239"/>
      <c r="E16" s="239"/>
      <c r="F16" s="239"/>
      <c r="G16" s="239"/>
      <c r="H16" s="234"/>
      <c r="I16" s="234"/>
      <c r="J16" s="234"/>
      <c r="K16" s="234"/>
      <c r="L16" s="234"/>
      <c r="M16" s="281"/>
      <c r="N16" s="282"/>
      <c r="O16" s="282"/>
      <c r="P16" s="283"/>
      <c r="Q16" s="110" t="str">
        <f>IF($Q15&lt;&gt;"",IF($Q15="W",IF(SUM(IF($H15&gt;$H17,1,0),IF($I15&gt;$I17,1,0),IF($J15&gt;$J17,1,0),IF($K15&gt;$K17,1,0),IF($L15&gt;$L17,1,0))&lt;&gt;3,"Error",""),""),"")</f>
        <v/>
      </c>
      <c r="R16" s="295" t="str">
        <f>$A10</f>
        <v/>
      </c>
      <c r="S16" s="295"/>
      <c r="T16" s="295"/>
      <c r="U16" s="295"/>
      <c r="V16" s="295"/>
      <c r="W16" s="295"/>
      <c r="X16" s="219" t="str">
        <f>CONCATENATE("(",$B9," vs ",$K9,")")</f>
        <v>(A vs L)</v>
      </c>
      <c r="Y16" s="219"/>
      <c r="Z16" s="295" t="str">
        <f>$J10</f>
        <v/>
      </c>
      <c r="AA16" s="295"/>
      <c r="AB16" s="295"/>
      <c r="AC16" s="295"/>
      <c r="AD16" s="295"/>
      <c r="AE16" s="295"/>
      <c r="AF16"/>
      <c r="AH16" s="112" t="str">
        <f>LEFT(F815,1)&amp;RIGHT(F815,1)</f>
        <v>BG</v>
      </c>
      <c r="AI16" s="112" t="str">
        <f ca="1">G815</f>
        <v/>
      </c>
      <c r="AJ16" s="112" t="str">
        <f ca="1">I815</f>
        <v/>
      </c>
      <c r="AK16" s="112" t="s">
        <v>292</v>
      </c>
      <c r="AL16" s="112" t="s">
        <v>763</v>
      </c>
      <c r="AM16" s="112"/>
      <c r="AN16" s="120"/>
      <c r="AO16" s="120"/>
      <c r="AP16" s="120"/>
      <c r="AQ16" s="120"/>
      <c r="AR16" s="120"/>
      <c r="AS16" s="120"/>
      <c r="AT16" s="120"/>
      <c r="AU16" s="120"/>
      <c r="AV16" s="120"/>
      <c r="AW16" s="120"/>
      <c r="AX16" s="116"/>
    </row>
    <row r="17" spans="1:50" ht="12.75" customHeight="1" x14ac:dyDescent="0.25">
      <c r="A17" s="259" t="str">
        <f>K9</f>
        <v>L</v>
      </c>
      <c r="B17" s="236" t="str">
        <f ca="1">IF(AND(OFFSET($AO$1,$L9-1,8,1,1),$A10&lt;&gt;"",$J10&lt;&gt;""),CHOOSE($L9,$AO$1,$AO$2,$AO$3,$AO$4,$AO$5,$AO$6,$AO$7,$AO$8,$AO$9,$AO$10,$AO$11,$AO$12),"")</f>
        <v/>
      </c>
      <c r="C17" s="237"/>
      <c r="D17" s="237"/>
      <c r="E17" s="237"/>
      <c r="F17" s="237"/>
      <c r="G17" s="237"/>
      <c r="H17" s="233"/>
      <c r="I17" s="233"/>
      <c r="J17" s="233"/>
      <c r="K17" s="233"/>
      <c r="L17" s="233"/>
      <c r="M17" s="250" t="s">
        <v>169</v>
      </c>
      <c r="N17" s="251"/>
      <c r="O17" s="251"/>
      <c r="P17" s="252"/>
      <c r="Q17" s="40" t="str">
        <f>IF($Q15&lt;&gt;"",IF($Q15="W","L","W"),"")</f>
        <v/>
      </c>
      <c r="R17"/>
      <c r="S17"/>
      <c r="T17"/>
      <c r="U17"/>
      <c r="V17"/>
      <c r="W17"/>
      <c r="X17"/>
      <c r="Y17"/>
      <c r="Z17"/>
      <c r="AA17"/>
      <c r="AB17"/>
      <c r="AC17"/>
      <c r="AD17"/>
      <c r="AE17"/>
      <c r="AF17"/>
      <c r="AH17" s="112" t="str">
        <f>LEFT(F866,1)&amp;RIGHT(F866,1)</f>
        <v>CF</v>
      </c>
      <c r="AI17" s="112" t="str">
        <f ca="1">G866</f>
        <v/>
      </c>
      <c r="AJ17" s="112" t="str">
        <f ca="1">I866</f>
        <v/>
      </c>
      <c r="AK17" s="112" t="s">
        <v>293</v>
      </c>
      <c r="AL17" s="112" t="s">
        <v>344</v>
      </c>
      <c r="AM17" s="112"/>
      <c r="AN17" s="120"/>
      <c r="AO17" s="120"/>
      <c r="AP17" s="120"/>
      <c r="AQ17" s="120"/>
      <c r="AR17" s="120"/>
      <c r="AS17" s="120"/>
      <c r="AT17" s="120"/>
      <c r="AU17" s="120"/>
      <c r="AV17" s="120"/>
      <c r="AW17" s="120"/>
      <c r="AX17" s="116"/>
    </row>
    <row r="18" spans="1:50" ht="12.75" customHeight="1" x14ac:dyDescent="0.25">
      <c r="A18" s="260"/>
      <c r="B18" s="238"/>
      <c r="C18" s="239"/>
      <c r="D18" s="239"/>
      <c r="E18" s="239"/>
      <c r="F18" s="239"/>
      <c r="G18" s="239"/>
      <c r="H18" s="234"/>
      <c r="I18" s="234"/>
      <c r="J18" s="235"/>
      <c r="K18" s="235"/>
      <c r="L18" s="235"/>
      <c r="M18" s="250"/>
      <c r="N18" s="251"/>
      <c r="O18" s="251"/>
      <c r="P18" s="252"/>
      <c r="Q18" s="110" t="str">
        <f>IF($Q17&lt;&gt;"",IF($Q17="W",IF(SUM(IF($H17&gt;$H15,1,0),IF($I17&gt;$I15,1,0),IF($J17&gt;$J15,1,0),IF($K17&gt;$K15,1,0),IF($L17&gt;$L15,1,0))&lt;&gt;3,"Error",""),""),"")</f>
        <v/>
      </c>
      <c r="R18" t="str">
        <f>$A20</f>
        <v>2nd Singles</v>
      </c>
      <c r="S18"/>
      <c r="T18"/>
      <c r="U18"/>
      <c r="V18"/>
      <c r="W18"/>
      <c r="X18"/>
      <c r="Y18"/>
      <c r="Z18"/>
      <c r="AA18"/>
      <c r="AB18"/>
      <c r="AC18"/>
      <c r="AD18"/>
      <c r="AE18"/>
      <c r="AF18"/>
      <c r="AH18" s="112" t="str">
        <f>LEFT(F917,1)&amp;RIGHT(F917,1)</f>
        <v>DE</v>
      </c>
      <c r="AI18" s="112" t="str">
        <f ca="1">G917</f>
        <v/>
      </c>
      <c r="AJ18" s="112" t="str">
        <f ca="1">I917</f>
        <v/>
      </c>
      <c r="AK18" s="112" t="s">
        <v>294</v>
      </c>
      <c r="AL18" s="112" t="s">
        <v>764</v>
      </c>
      <c r="AM18" s="112"/>
      <c r="AN18" s="120"/>
      <c r="AO18" s="120"/>
      <c r="AP18" s="120"/>
      <c r="AQ18" s="120"/>
      <c r="AR18" s="120"/>
      <c r="AS18" s="120"/>
      <c r="AT18" s="120"/>
      <c r="AU18" s="120"/>
      <c r="AV18" s="120"/>
      <c r="AW18" s="120"/>
      <c r="AX18" s="116"/>
    </row>
    <row r="19" spans="1:50" ht="12.75" customHeight="1" x14ac:dyDescent="0.25">
      <c r="Q19" s="6"/>
      <c r="R19" s="47" t="s">
        <v>160</v>
      </c>
      <c r="S19" s="304" t="s">
        <v>58</v>
      </c>
      <c r="T19" s="305"/>
      <c r="U19" s="305"/>
      <c r="V19" s="305"/>
      <c r="W19" s="305"/>
      <c r="X19" s="306"/>
      <c r="Y19" s="47">
        <v>1</v>
      </c>
      <c r="Z19" s="47">
        <v>2</v>
      </c>
      <c r="AA19" s="47">
        <v>3</v>
      </c>
      <c r="AB19" s="47">
        <v>4</v>
      </c>
      <c r="AC19" s="47">
        <v>5</v>
      </c>
      <c r="AD19" s="286"/>
      <c r="AE19" s="287"/>
      <c r="AF19" s="288"/>
      <c r="AH19" s="112" t="str">
        <f>LEFT(F968,1)&amp;RIGHT(F968,1)</f>
        <v>AI</v>
      </c>
      <c r="AI19" s="112" t="str">
        <f ca="1">G968</f>
        <v/>
      </c>
      <c r="AJ19" s="112" t="str">
        <f ca="1">I968</f>
        <v/>
      </c>
      <c r="AK19" s="112" t="s">
        <v>295</v>
      </c>
      <c r="AL19" s="112" t="s">
        <v>765</v>
      </c>
      <c r="AM19" s="112"/>
      <c r="AN19" s="120"/>
      <c r="AO19" s="120"/>
      <c r="AP19" s="120"/>
      <c r="AQ19" s="120"/>
      <c r="AR19" s="120"/>
      <c r="AS19" s="120"/>
      <c r="AT19" s="120"/>
      <c r="AU19" s="120"/>
      <c r="AV19" s="120"/>
      <c r="AW19" s="120"/>
      <c r="AX19" s="116"/>
    </row>
    <row r="20" spans="1:50" ht="12.75" customHeight="1" x14ac:dyDescent="0.25">
      <c r="A20" s="15" t="s">
        <v>166</v>
      </c>
      <c r="H20" s="110" t="str">
        <f>IF($Q22&lt;&gt;"",IF(AND(AND($H22&gt;-1,$H24&gt;-1),OR($H22&gt;10,$H24&gt;10),ABS($H22-$H24)&gt;1,IF(OR($H22&gt;11,$H24&gt;11),ABS($H22-$H24)=2,TRUE),$H22=INT($H22),$H24=INT($H24)),"","Error"),"")</f>
        <v/>
      </c>
      <c r="I20" s="110" t="str">
        <f>IF($Q22&lt;&gt;"",IF(AND(AND($I22&gt;-1,$I24&gt;-1),OR($I22&gt;10,$I24&gt;10),ABS($I22-$I24)&gt;1,IF(OR($I22&gt;11,$I24&gt;11),ABS($I22-$I24)=2,TRUE),$I22=INT($I22),$I24=INT($I24)),"","Error"),"")</f>
        <v/>
      </c>
      <c r="J20" s="110" t="str">
        <f>IF($Q22&lt;&gt;"",IF(AND(AND($J22&gt;-1,$J24&gt;-1),OR($J22&gt;10,$J24&gt;10),ABS($J22-$J24)&gt;1,IF(OR($J22&gt;11,$J24&gt;11),ABS($J22-$J24)=2,TRUE),$J22=INT($J22),$J24=INT($J24)),"","Error"),"")</f>
        <v/>
      </c>
      <c r="K20" s="110" t="str">
        <f>IF($Q22&lt;&gt;"",IF(AND($K22&lt;&gt;"",$K24&lt;&gt;""), IF(AND(AND($K22&gt;-1,$K24&gt;-1),OR($K22&gt;10,$K24&gt;10),ABS($K22-$K24)&gt;1,IF(OR($K22&gt;11,$K24&gt;11),ABS($K22-$K24)=2,TRUE),$K22=INT($K22),$K24=INT($K24)),"","Error"),""),"")</f>
        <v/>
      </c>
      <c r="L20" s="110" t="str">
        <f>IF($Q22&lt;&gt;"",IF(AND($L22&lt;&gt;"",$L24&lt;&gt;""), IF(AND(AND($L22&gt;-1,$L24&gt;-1),OR($L22&gt;10,$L24&gt;10),ABS($L22-$L24)&gt;1,IF(OR($L22&gt;11,$L24&gt;11),ABS($L22-$L24)=2,TRUE),$L22=INT($L22),$L24=INT($L24)),"","Error"),""),"")</f>
        <v/>
      </c>
      <c r="Q20" s="6"/>
      <c r="R20" s="259" t="str">
        <f>$B9</f>
        <v>A</v>
      </c>
      <c r="S20" s="307" t="str">
        <f>IF($B22&lt;&gt;"",$B22,"")</f>
        <v/>
      </c>
      <c r="T20" s="308"/>
      <c r="U20" s="308"/>
      <c r="V20" s="308"/>
      <c r="W20" s="308"/>
      <c r="X20" s="309"/>
      <c r="Y20" s="284"/>
      <c r="Z20" s="284"/>
      <c r="AA20" s="284"/>
      <c r="AB20" s="284"/>
      <c r="AC20" s="284"/>
      <c r="AD20" s="296"/>
      <c r="AE20" s="290"/>
      <c r="AF20" s="291"/>
      <c r="AH20" s="112" t="str">
        <f>LEFT(F1019,1)&amp;RIGHT(F1019,1)</f>
        <v>HJ</v>
      </c>
      <c r="AI20" s="112" t="str">
        <f ca="1">G1019</f>
        <v/>
      </c>
      <c r="AJ20" s="112" t="str">
        <f ca="1">I1019</f>
        <v/>
      </c>
      <c r="AK20" s="112" t="s">
        <v>296</v>
      </c>
      <c r="AL20" s="112" t="s">
        <v>766</v>
      </c>
      <c r="AM20" s="112"/>
      <c r="AN20" s="120"/>
      <c r="AO20" s="120"/>
      <c r="AP20" s="120"/>
      <c r="AQ20" s="120"/>
      <c r="AR20" s="120"/>
      <c r="AS20" s="120"/>
      <c r="AT20" s="120"/>
      <c r="AU20" s="120"/>
      <c r="AV20" s="120"/>
      <c r="AW20" s="120"/>
      <c r="AX20" s="116"/>
    </row>
    <row r="21" spans="1:50" ht="12.75" customHeight="1" x14ac:dyDescent="0.25">
      <c r="A21" s="5" t="s">
        <v>160</v>
      </c>
      <c r="B21" s="256" t="s">
        <v>58</v>
      </c>
      <c r="C21" s="257"/>
      <c r="D21" s="257"/>
      <c r="E21" s="257"/>
      <c r="F21" s="257"/>
      <c r="G21" s="258"/>
      <c r="H21" s="5">
        <v>1</v>
      </c>
      <c r="I21" s="5">
        <v>2</v>
      </c>
      <c r="J21" s="5">
        <v>3</v>
      </c>
      <c r="K21" s="5">
        <v>4</v>
      </c>
      <c r="L21" s="5">
        <v>5</v>
      </c>
      <c r="M21" s="270"/>
      <c r="N21" s="271"/>
      <c r="O21" s="271"/>
      <c r="P21" s="272"/>
      <c r="Q21" s="6"/>
      <c r="R21" s="285"/>
      <c r="S21" s="310"/>
      <c r="T21" s="311"/>
      <c r="U21" s="311"/>
      <c r="V21" s="311"/>
      <c r="W21" s="311"/>
      <c r="X21" s="312"/>
      <c r="Y21" s="285"/>
      <c r="Z21" s="285"/>
      <c r="AA21" s="285"/>
      <c r="AB21" s="285"/>
      <c r="AC21" s="285"/>
      <c r="AD21" s="292"/>
      <c r="AE21" s="293"/>
      <c r="AF21" s="294"/>
      <c r="AH21" s="112" t="str">
        <f>LEFT(F1070,1)&amp;RIGHT(F1070,1)</f>
        <v>GK</v>
      </c>
      <c r="AI21" s="112" t="str">
        <f ca="1">G1070</f>
        <v/>
      </c>
      <c r="AJ21" s="112" t="str">
        <f ca="1">I1070</f>
        <v/>
      </c>
      <c r="AK21" s="112" t="s">
        <v>297</v>
      </c>
      <c r="AL21" s="112" t="s">
        <v>767</v>
      </c>
      <c r="AM21" s="112"/>
      <c r="AN21" s="120"/>
      <c r="AO21" s="120"/>
      <c r="AP21" s="120"/>
      <c r="AQ21" s="120"/>
      <c r="AR21" s="120"/>
      <c r="AS21" s="120"/>
      <c r="AT21" s="120"/>
      <c r="AU21" s="120"/>
      <c r="AV21" s="120"/>
      <c r="AW21" s="120"/>
    </row>
    <row r="22" spans="1:50" ht="12.75" customHeight="1" x14ac:dyDescent="0.25">
      <c r="A22" s="259" t="str">
        <f>B9</f>
        <v>A</v>
      </c>
      <c r="B22" s="236" t="s">
        <v>850</v>
      </c>
      <c r="C22" s="237"/>
      <c r="D22" s="237"/>
      <c r="E22" s="237"/>
      <c r="F22" s="237"/>
      <c r="G22" s="237"/>
      <c r="H22" s="233"/>
      <c r="I22" s="233"/>
      <c r="J22" s="233"/>
      <c r="K22" s="233"/>
      <c r="L22" s="233"/>
      <c r="M22" s="245" t="str">
        <f ca="1">IF(OR(AND($B15&lt;&gt;"",$B22&lt;&gt;"",$C40&lt;=$B40),AND($B17&lt;&gt;"",$B24&lt;&gt;"",$G40&lt;=$F40)),"Invalid Lineup","")</f>
        <v/>
      </c>
      <c r="N22" s="246"/>
      <c r="O22" s="246"/>
      <c r="P22" s="247"/>
      <c r="Q22" s="40" t="str">
        <f>IF($L22=$L24,IF($K22=$K24,IF($J22&lt;&gt;"",IF($J22&gt;$J24,"W","L"),""),IF($K22&gt;$K24,"W","L")),IF($L22&gt;$L24,"W","L"))</f>
        <v/>
      </c>
      <c r="R22" s="259" t="str">
        <f>$K9</f>
        <v>L</v>
      </c>
      <c r="S22" s="307" t="str">
        <f ca="1">IF($B24&lt;&gt;"",$B24,"")</f>
        <v/>
      </c>
      <c r="T22" s="308"/>
      <c r="U22" s="308"/>
      <c r="V22" s="308"/>
      <c r="W22" s="308"/>
      <c r="X22" s="309"/>
      <c r="Y22" s="284"/>
      <c r="Z22" s="284"/>
      <c r="AA22" s="284"/>
      <c r="AB22" s="284"/>
      <c r="AC22" s="297"/>
      <c r="AD22" s="289" t="s">
        <v>169</v>
      </c>
      <c r="AE22" s="290"/>
      <c r="AF22" s="291"/>
      <c r="AH22" s="112" t="str">
        <f>LEFT(F1121,1)&amp;RIGHT(F1121,1)</f>
        <v>FL</v>
      </c>
      <c r="AI22" s="112" t="str">
        <f ca="1">G1121</f>
        <v/>
      </c>
      <c r="AJ22" s="112" t="str">
        <f ca="1">I1121</f>
        <v/>
      </c>
      <c r="AK22" s="112" t="s">
        <v>298</v>
      </c>
      <c r="AL22" s="112" t="s">
        <v>768</v>
      </c>
      <c r="AM22" s="112"/>
      <c r="AN22" s="120"/>
      <c r="AO22" s="120"/>
      <c r="AP22" s="120"/>
      <c r="AQ22" s="120"/>
      <c r="AR22" s="120"/>
      <c r="AS22" s="120"/>
      <c r="AT22" s="120"/>
      <c r="AU22" s="120"/>
      <c r="AV22" s="120"/>
      <c r="AW22" s="120"/>
    </row>
    <row r="23" spans="1:50" ht="12.75" customHeight="1" x14ac:dyDescent="0.25">
      <c r="A23" s="260"/>
      <c r="B23" s="238"/>
      <c r="C23" s="239"/>
      <c r="D23" s="239"/>
      <c r="E23" s="239"/>
      <c r="F23" s="239"/>
      <c r="G23" s="239"/>
      <c r="H23" s="234"/>
      <c r="I23" s="234"/>
      <c r="J23" s="234"/>
      <c r="K23" s="234"/>
      <c r="L23" s="234"/>
      <c r="M23" s="245"/>
      <c r="N23" s="246"/>
      <c r="O23" s="246"/>
      <c r="P23" s="247"/>
      <c r="Q23" s="110" t="str">
        <f>IF($Q22&lt;&gt;"",IF($Q22="W",IF(SUM(IF($H22&gt;$H24,1,0),IF($I22&gt;$I24,1,0),IF($J22&gt;$J24,1,0),IF($K22&gt;$K24,1,0),IF($L22&gt;$L24,1,0))&lt;&gt;3,"Error",""),""),"")</f>
        <v/>
      </c>
      <c r="R23" s="285"/>
      <c r="S23" s="310"/>
      <c r="T23" s="311"/>
      <c r="U23" s="311"/>
      <c r="V23" s="311"/>
      <c r="W23" s="311"/>
      <c r="X23" s="312"/>
      <c r="Y23" s="285"/>
      <c r="Z23" s="285"/>
      <c r="AA23" s="285"/>
      <c r="AB23" s="285"/>
      <c r="AC23" s="285"/>
      <c r="AD23" s="292"/>
      <c r="AE23" s="293"/>
      <c r="AF23" s="294"/>
      <c r="AH23" s="112" t="str">
        <f>LEFT(F1172,1)&amp;RIGHT(F1172,1)</f>
        <v>BE</v>
      </c>
      <c r="AI23" s="112" t="str">
        <f ca="1">G1172</f>
        <v/>
      </c>
      <c r="AJ23" s="112" t="str">
        <f ca="1">I1172</f>
        <v/>
      </c>
      <c r="AK23" s="112" t="s">
        <v>299</v>
      </c>
      <c r="AL23" s="112" t="s">
        <v>769</v>
      </c>
      <c r="AM23" s="112"/>
      <c r="AN23" s="120"/>
      <c r="AO23" s="120"/>
      <c r="AP23" s="120"/>
      <c r="AQ23" s="120"/>
      <c r="AR23" s="120"/>
      <c r="AS23" s="120"/>
      <c r="AT23" s="120"/>
      <c r="AU23" s="120"/>
      <c r="AV23" s="120"/>
      <c r="AW23" s="120"/>
    </row>
    <row r="24" spans="1:50" ht="12.75" customHeight="1" x14ac:dyDescent="0.25">
      <c r="A24" s="259" t="str">
        <f>K9</f>
        <v>L</v>
      </c>
      <c r="B24" s="236" t="str">
        <f ca="1">IF(AND(OFFSET($AO$1,$L9-1,8,1,1),$A10&lt;&gt;"",$J10&lt;&gt;""),CHOOSE($L9,$AP$1,$AP$2,$AP$3,$AP$4,$AP$5,$AP$6,$AP$7,$AP$8,$AP$9,$AP$10,$AP$11,$AP$12),"")</f>
        <v/>
      </c>
      <c r="C24" s="237"/>
      <c r="D24" s="237"/>
      <c r="E24" s="237"/>
      <c r="F24" s="237"/>
      <c r="G24" s="237"/>
      <c r="H24" s="233"/>
      <c r="I24" s="233"/>
      <c r="J24" s="233"/>
      <c r="K24" s="233"/>
      <c r="L24" s="233"/>
      <c r="M24" s="250" t="s">
        <v>169</v>
      </c>
      <c r="N24" s="251"/>
      <c r="O24" s="251"/>
      <c r="P24" s="252"/>
      <c r="Q24" s="40" t="str">
        <f>IF($Q22&lt;&gt;"",IF($Q22="W","L","W"),"")</f>
        <v/>
      </c>
      <c r="R24" s="14"/>
      <c r="S24" s="14"/>
      <c r="T24" s="14"/>
      <c r="U24" s="14"/>
      <c r="V24" s="14"/>
      <c r="W24" s="14"/>
      <c r="X24" s="7"/>
      <c r="Y24" s="7"/>
      <c r="Z24" s="14"/>
      <c r="AA24" s="14"/>
      <c r="AB24" s="14"/>
      <c r="AC24" s="14"/>
      <c r="AD24" s="14"/>
      <c r="AE24" s="14"/>
      <c r="AF24"/>
      <c r="AH24" s="112" t="str">
        <f>LEFT(F1223,1)&amp;RIGHT(F1223,1)</f>
        <v>CD</v>
      </c>
      <c r="AI24" s="112" t="str">
        <f ca="1">G1223</f>
        <v/>
      </c>
      <c r="AJ24" s="112" t="str">
        <f ca="1">I1223</f>
        <v/>
      </c>
      <c r="AK24" s="112" t="s">
        <v>300</v>
      </c>
      <c r="AL24" s="112" t="s">
        <v>770</v>
      </c>
      <c r="AM24" s="112"/>
      <c r="AN24" s="120"/>
      <c r="AO24" s="120"/>
      <c r="AP24" s="120"/>
      <c r="AQ24" s="120"/>
      <c r="AR24" s="120"/>
      <c r="AS24" s="120"/>
      <c r="AT24" s="120"/>
      <c r="AU24" s="120"/>
      <c r="AV24" s="120"/>
      <c r="AW24" s="120"/>
    </row>
    <row r="25" spans="1:50" ht="12.75" customHeight="1" x14ac:dyDescent="0.25">
      <c r="A25" s="260"/>
      <c r="B25" s="238"/>
      <c r="C25" s="239"/>
      <c r="D25" s="239"/>
      <c r="E25" s="239"/>
      <c r="F25" s="239"/>
      <c r="G25" s="239"/>
      <c r="H25" s="234"/>
      <c r="I25" s="234"/>
      <c r="J25" s="235"/>
      <c r="K25" s="235"/>
      <c r="L25" s="235"/>
      <c r="M25" s="250"/>
      <c r="N25" s="251"/>
      <c r="O25" s="251"/>
      <c r="P25" s="252"/>
      <c r="Q25" s="110" t="str">
        <f>IF($Q24&lt;&gt;"",IF($Q24="W",IF(SUM(IF($H24&gt;$H22,1,0),IF($I24&gt;$I22,1,0),IF($J24&gt;$J22,1,0),IF($K24&gt;$K22,1,0),IF($L24&gt;$L22,1,0))&lt;&gt;3,"Error",""),""),"")</f>
        <v/>
      </c>
      <c r="R25" s="14"/>
      <c r="S25" s="114"/>
      <c r="T25" s="14"/>
      <c r="U25" s="14"/>
      <c r="V25" s="14"/>
      <c r="W25" s="14"/>
      <c r="X25" s="7"/>
      <c r="Y25" s="7"/>
      <c r="Z25" s="14"/>
      <c r="AA25" s="14"/>
      <c r="AB25" s="14"/>
      <c r="AC25" s="14"/>
      <c r="AD25" s="14"/>
      <c r="AE25" s="14"/>
      <c r="AF25"/>
      <c r="AH25" s="112" t="str">
        <f>LEFT(F1274,1)&amp;RIGHT(F1274,1)</f>
        <v>AB</v>
      </c>
      <c r="AI25" s="112" t="str">
        <f ca="1">G1274</f>
        <v/>
      </c>
      <c r="AJ25" s="112" t="str">
        <f ca="1">I1274</f>
        <v/>
      </c>
      <c r="AK25" s="112" t="s">
        <v>301</v>
      </c>
      <c r="AL25" s="112" t="s">
        <v>771</v>
      </c>
      <c r="AM25" s="112"/>
      <c r="AN25" s="120"/>
      <c r="AO25" s="120"/>
      <c r="AP25" s="120"/>
      <c r="AQ25" s="120"/>
      <c r="AR25" s="120"/>
      <c r="AS25" s="120"/>
      <c r="AT25" s="120"/>
      <c r="AU25" s="120"/>
      <c r="AV25" s="120"/>
      <c r="AW25" s="120"/>
    </row>
    <row r="26" spans="1:50" ht="12.75" customHeight="1" x14ac:dyDescent="0.25">
      <c r="Q26" s="6"/>
      <c r="R26" s="14"/>
      <c r="S26" s="14"/>
      <c r="T26" s="14"/>
      <c r="U26" s="14"/>
      <c r="V26" s="14"/>
      <c r="W26" s="14"/>
      <c r="X26" s="7"/>
      <c r="Y26" s="7"/>
      <c r="Z26" s="14"/>
      <c r="AA26" s="14"/>
      <c r="AB26" s="14"/>
      <c r="AC26" s="14"/>
      <c r="AD26" s="14"/>
      <c r="AE26" s="14"/>
      <c r="AF26"/>
      <c r="AH26" s="112" t="str">
        <f>LEFT(F1325,1)&amp;RIGHT(F1325,1)</f>
        <v>CL</v>
      </c>
      <c r="AI26" s="112" t="str">
        <f ca="1">G1325</f>
        <v/>
      </c>
      <c r="AJ26" s="112" t="str">
        <f ca="1">I1325</f>
        <v/>
      </c>
      <c r="AK26" s="112" t="s">
        <v>302</v>
      </c>
      <c r="AL26" s="112" t="s">
        <v>772</v>
      </c>
      <c r="AM26" s="112"/>
      <c r="AN26" s="120"/>
      <c r="AO26" s="120"/>
      <c r="AP26" s="120"/>
      <c r="AQ26" s="120"/>
      <c r="AR26" s="120"/>
      <c r="AS26" s="120"/>
      <c r="AT26" s="120"/>
      <c r="AU26" s="120"/>
      <c r="AV26" s="120"/>
      <c r="AW26" s="120"/>
    </row>
    <row r="27" spans="1:50" ht="12.75" customHeight="1" x14ac:dyDescent="0.25">
      <c r="A27" s="15" t="s">
        <v>167</v>
      </c>
      <c r="H27" s="110" t="str">
        <f>IF($Q29&lt;&gt;"",IF(AND(AND($H29&gt;-1,$H31&gt;-1),OR($H29&gt;10,$H31&gt;10),ABS($H29-$H31)&gt;1,IF(OR($H29&gt;11,$H31&gt;11),ABS($H29-$H31)=2,TRUE),$H29=INT($H29),$H31=INT($H31)),"","Error"),"")</f>
        <v/>
      </c>
      <c r="I27" s="110" t="str">
        <f>IF($Q29&lt;&gt;"",IF(AND(AND($I29&gt;-1,$I31&gt;-1),OR($I29&gt;10,$I31&gt;10),ABS($I29-$I31)&gt;1,IF(OR($I29&gt;11,$I31&gt;11),ABS($I29-$I31)=2,TRUE),$I29=INT($I29),$I31=INT($I31)),"","Error"),"")</f>
        <v/>
      </c>
      <c r="J27" s="110" t="str">
        <f>IF($Q29&lt;&gt;"",IF(AND(AND($J29&gt;-1,$J31&gt;-1),OR($J29&gt;10,$J31&gt;10),ABS($J29-$J31)&gt;1,IF(OR($J29&gt;11,$J31&gt;11),ABS($J29-$J31)=2,TRUE),$J29=INT($J29),$J31=INT($J31)),"","Error"),"")</f>
        <v/>
      </c>
      <c r="K27" s="110" t="str">
        <f>IF($Q29&lt;&gt;"",IF(AND($K29&lt;&gt;"",$K31&lt;&gt;""), IF(AND(AND($K29&gt;-1,$K31&gt;-1),OR($K29&gt;10,$K31&gt;10),ABS($K29-$K31)&gt;1,IF(OR($K29&gt;11,$K31&gt;11),ABS($K29-$K31)=2,TRUE),$K29=INT($K29),$K31=INT($K31)),"","Error"),""),"")</f>
        <v/>
      </c>
      <c r="L27" s="110" t="str">
        <f>IF($Q29&lt;&gt;"",IF(AND($L29&lt;&gt;"",$L31&lt;&gt;""), IF(AND(AND($L29&gt;-1,$L31&gt;-1),OR($L29&gt;10,$L31&gt;10),ABS($L29-$L31)&gt;1,IF(OR($L29&gt;11,$L31&gt;11),ABS($L29-$L31)=2,TRUE),$L29=INT($L29),$L31=INT($L31)),"","Error"),""),"")</f>
        <v/>
      </c>
      <c r="Q27" s="6"/>
      <c r="R27" s="14"/>
      <c r="S27" s="14"/>
      <c r="T27" s="14"/>
      <c r="U27" s="14"/>
      <c r="V27" s="14"/>
      <c r="W27" s="14"/>
      <c r="X27" s="7"/>
      <c r="Y27" s="7"/>
      <c r="Z27" s="14"/>
      <c r="AA27" s="14"/>
      <c r="AB27" s="14"/>
      <c r="AC27" s="14"/>
      <c r="AD27" s="14"/>
      <c r="AE27" s="14"/>
      <c r="AF27"/>
      <c r="AH27" s="112" t="str">
        <f>LEFT(F1376,1)&amp;RIGHT(F1376,1)</f>
        <v>DK</v>
      </c>
      <c r="AI27" s="112" t="str">
        <f ca="1">G1376</f>
        <v/>
      </c>
      <c r="AJ27" s="112" t="str">
        <f ca="1">I1376</f>
        <v/>
      </c>
      <c r="AK27" s="112" t="s">
        <v>303</v>
      </c>
      <c r="AL27" s="112" t="s">
        <v>773</v>
      </c>
      <c r="AM27" s="112"/>
      <c r="AN27" s="120"/>
      <c r="AO27" s="120"/>
      <c r="AP27" s="120"/>
      <c r="AQ27" s="120"/>
      <c r="AR27" s="120"/>
      <c r="AS27" s="120"/>
      <c r="AT27" s="120"/>
      <c r="AU27" s="120"/>
      <c r="AV27" s="120"/>
      <c r="AW27" s="120"/>
    </row>
    <row r="28" spans="1:50" ht="12.75" customHeight="1" x14ac:dyDescent="0.25">
      <c r="A28" s="5" t="s">
        <v>160</v>
      </c>
      <c r="B28" s="256" t="s">
        <v>58</v>
      </c>
      <c r="C28" s="257"/>
      <c r="D28" s="257"/>
      <c r="E28" s="257"/>
      <c r="F28" s="257"/>
      <c r="G28" s="258"/>
      <c r="H28" s="5">
        <v>1</v>
      </c>
      <c r="I28" s="5">
        <v>2</v>
      </c>
      <c r="J28" s="5">
        <v>3</v>
      </c>
      <c r="K28" s="5">
        <v>4</v>
      </c>
      <c r="L28" s="5">
        <v>5</v>
      </c>
      <c r="M28" s="270"/>
      <c r="N28" s="271"/>
      <c r="O28" s="271"/>
      <c r="P28" s="272"/>
      <c r="Q28" s="6"/>
      <c r="R28" s="14"/>
      <c r="S28" s="14"/>
      <c r="T28" s="14"/>
      <c r="U28" s="14"/>
      <c r="V28" s="14"/>
      <c r="W28" s="14"/>
      <c r="X28" s="7"/>
      <c r="Y28" s="7"/>
      <c r="Z28" s="14"/>
      <c r="AA28" s="14"/>
      <c r="AB28" s="14"/>
      <c r="AC28" s="14"/>
      <c r="AD28" s="14"/>
      <c r="AE28" s="14"/>
      <c r="AF28"/>
      <c r="AH28" s="112" t="str">
        <f>LEFT(F1427,1)&amp;RIGHT(F1427,1)</f>
        <v>EJ</v>
      </c>
      <c r="AI28" s="112" t="str">
        <f ca="1">G1427</f>
        <v/>
      </c>
      <c r="AJ28" s="112" t="str">
        <f ca="1">I1427</f>
        <v/>
      </c>
      <c r="AK28" s="112" t="s">
        <v>304</v>
      </c>
      <c r="AL28" s="112" t="s">
        <v>774</v>
      </c>
      <c r="AM28" s="112"/>
      <c r="AN28" s="120"/>
      <c r="AO28" s="120"/>
      <c r="AP28" s="120"/>
      <c r="AQ28" s="120"/>
      <c r="AR28" s="120"/>
      <c r="AS28" s="120"/>
      <c r="AT28" s="120"/>
      <c r="AU28" s="120"/>
      <c r="AV28" s="120"/>
      <c r="AW28" s="120"/>
    </row>
    <row r="29" spans="1:50" ht="12.75" customHeight="1" x14ac:dyDescent="0.25">
      <c r="A29" s="259" t="str">
        <f>B9</f>
        <v>A</v>
      </c>
      <c r="B29" s="236" t="str">
        <f ca="1">IF(AND(OFFSET($AO$1,$C9-1,8,1,1),$A10&lt;&gt;"",$J10&lt;&gt;""),CHOOSE($C9,$AQ$1,$AQ$2,$AQ$3,$AQ$4,$AQ$5,$AQ$6,$AQ$7,$AQ$8,$AQ$9,$AQ$10,$AQ$11,$AQ$12),"")</f>
        <v/>
      </c>
      <c r="C29" s="237"/>
      <c r="D29" s="237"/>
      <c r="E29" s="237"/>
      <c r="F29" s="237"/>
      <c r="G29" s="237"/>
      <c r="H29" s="233"/>
      <c r="I29" s="233"/>
      <c r="J29" s="233"/>
      <c r="K29" s="233"/>
      <c r="L29" s="233"/>
      <c r="M29" s="245" t="str">
        <f ca="1">IF(OR(AND($B22&lt;&gt;"",$B29&lt;&gt;"",$D40&lt;=$C40),AND($B24&lt;&gt;"",$B31&lt;&gt;"",$H40&lt;=$G40)),"Invalid Lineup","")</f>
        <v/>
      </c>
      <c r="N29" s="246"/>
      <c r="O29" s="246"/>
      <c r="P29" s="247"/>
      <c r="Q29" s="40" t="str">
        <f>IF($L29=$L31,IF($K29=$K31,IF($J29&lt;&gt;"",IF($J29&gt;$J31,"W","L"),""),IF($K29&gt;$K31,"W","L")),IF($L29&gt;$L31,"W","L"))</f>
        <v/>
      </c>
      <c r="R29" s="14"/>
      <c r="S29" s="14"/>
      <c r="T29" s="14"/>
      <c r="U29" s="14"/>
      <c r="V29" s="14"/>
      <c r="W29" s="14"/>
      <c r="X29" s="7"/>
      <c r="Y29" s="7"/>
      <c r="Z29" s="14"/>
      <c r="AA29" s="14"/>
      <c r="AB29" s="14"/>
      <c r="AC29" s="14"/>
      <c r="AD29" s="14"/>
      <c r="AE29" s="14"/>
      <c r="AF29"/>
      <c r="AH29" s="112" t="str">
        <f>LEFT(F1478,1)&amp;RIGHT(F1478,1)</f>
        <v>FI</v>
      </c>
      <c r="AI29" s="112" t="str">
        <f ca="1">G1478</f>
        <v/>
      </c>
      <c r="AJ29" s="112" t="str">
        <f ca="1">I1478</f>
        <v/>
      </c>
      <c r="AK29" s="112" t="s">
        <v>305</v>
      </c>
      <c r="AL29" s="112" t="s">
        <v>775</v>
      </c>
      <c r="AM29" s="112"/>
      <c r="AN29" s="120"/>
      <c r="AO29" s="120"/>
      <c r="AP29" s="120"/>
      <c r="AQ29" s="120"/>
      <c r="AR29" s="120"/>
      <c r="AS29" s="120"/>
      <c r="AT29" s="120"/>
      <c r="AU29" s="120"/>
      <c r="AV29" s="120"/>
      <c r="AW29" s="120"/>
    </row>
    <row r="30" spans="1:50" ht="12.75" customHeight="1" x14ac:dyDescent="0.25">
      <c r="A30" s="260"/>
      <c r="B30" s="238"/>
      <c r="C30" s="239"/>
      <c r="D30" s="239"/>
      <c r="E30" s="239"/>
      <c r="F30" s="239"/>
      <c r="G30" s="239"/>
      <c r="H30" s="234"/>
      <c r="I30" s="234"/>
      <c r="J30" s="234"/>
      <c r="K30" s="234"/>
      <c r="L30" s="234"/>
      <c r="M30" s="245"/>
      <c r="N30" s="246"/>
      <c r="O30" s="246"/>
      <c r="P30" s="247"/>
      <c r="Q30" s="110" t="str">
        <f>IF($Q29&lt;&gt;"",IF($Q29="W",IF(SUM(IF($H29&gt;$H31,1,0),IF($I29&gt;$I31,1,0),IF($J29&gt;$J31,1,0),IF($K29&gt;$K31,1,0),IF($L29&gt;$L31,1,0))&lt;&gt;3,"Error",""),""),"")</f>
        <v/>
      </c>
      <c r="R30" s="295" t="str">
        <f>$A10</f>
        <v/>
      </c>
      <c r="S30" s="295"/>
      <c r="T30" s="295"/>
      <c r="U30" s="295"/>
      <c r="V30" s="295"/>
      <c r="W30" s="295"/>
      <c r="X30" s="219" t="str">
        <f>CONCATENATE("(",$B9," vs ",$K9,")")</f>
        <v>(A vs L)</v>
      </c>
      <c r="Y30" s="219"/>
      <c r="Z30" s="295" t="str">
        <f>$J10</f>
        <v/>
      </c>
      <c r="AA30" s="295"/>
      <c r="AB30" s="295"/>
      <c r="AC30" s="295"/>
      <c r="AD30" s="295"/>
      <c r="AE30" s="295"/>
      <c r="AF30"/>
      <c r="AH30" s="112" t="str">
        <f>LEFT(F1529,1)&amp;RIGHT(F1529,1)</f>
        <v>GH</v>
      </c>
      <c r="AI30" s="112" t="str">
        <f ca="1">G1529</f>
        <v/>
      </c>
      <c r="AJ30" s="112" t="str">
        <f ca="1">I1529</f>
        <v/>
      </c>
      <c r="AK30" s="112" t="s">
        <v>306</v>
      </c>
      <c r="AL30" s="112" t="s">
        <v>776</v>
      </c>
      <c r="AM30" s="112"/>
      <c r="AN30" s="120"/>
      <c r="AO30" s="120"/>
      <c r="AP30" s="120"/>
      <c r="AQ30" s="120"/>
      <c r="AR30" s="120"/>
      <c r="AS30" s="120"/>
      <c r="AT30" s="120"/>
      <c r="AU30" s="120"/>
      <c r="AV30" s="120"/>
      <c r="AW30" s="120"/>
    </row>
    <row r="31" spans="1:50" ht="12.75" customHeight="1" x14ac:dyDescent="0.25">
      <c r="A31" s="259" t="str">
        <f>K9</f>
        <v>L</v>
      </c>
      <c r="B31" s="236" t="str">
        <f ca="1">IF(AND(OFFSET($AO$1,$L9-1,8,1,1),$A10&lt;&gt;"",$J10&lt;&gt;""),CHOOSE($L9,$AQ$1,$AQ$2,$AQ$3,$AQ$4,$AQ$5,$AQ$6,$AQ$7,$AQ$8,$AQ$9,$AQ$10,$AQ$11,$AQ$12),"")</f>
        <v/>
      </c>
      <c r="C31" s="237"/>
      <c r="D31" s="237"/>
      <c r="E31" s="237"/>
      <c r="F31" s="237"/>
      <c r="G31" s="237"/>
      <c r="H31" s="233"/>
      <c r="I31" s="233"/>
      <c r="J31" s="233"/>
      <c r="K31" s="233"/>
      <c r="L31" s="233"/>
      <c r="M31" s="250" t="s">
        <v>169</v>
      </c>
      <c r="N31" s="251"/>
      <c r="O31" s="251"/>
      <c r="P31" s="252"/>
      <c r="Q31" s="40" t="str">
        <f>IF($Q29&lt;&gt;"",IF($Q29="W","L","W"),"")</f>
        <v/>
      </c>
      <c r="R31"/>
      <c r="S31"/>
      <c r="T31"/>
      <c r="U31"/>
      <c r="V31"/>
      <c r="W31"/>
      <c r="X31"/>
      <c r="Y31"/>
      <c r="Z31"/>
      <c r="AA31"/>
      <c r="AB31"/>
      <c r="AC31"/>
      <c r="AD31"/>
      <c r="AE31"/>
      <c r="AF31"/>
      <c r="AH31" s="112" t="str">
        <f>LEFT(F1580,1)&amp;RIGHT(F1580,1)</f>
        <v>AG</v>
      </c>
      <c r="AI31" s="112" t="str">
        <f ca="1">G1580</f>
        <v/>
      </c>
      <c r="AJ31" s="112" t="str">
        <f ca="1">I1580</f>
        <v/>
      </c>
      <c r="AK31" s="112" t="s">
        <v>307</v>
      </c>
      <c r="AL31" s="112" t="s">
        <v>777</v>
      </c>
      <c r="AM31" s="112"/>
      <c r="AN31" s="120"/>
      <c r="AO31" s="120"/>
      <c r="AP31" s="120"/>
      <c r="AQ31" s="120"/>
      <c r="AR31" s="120"/>
      <c r="AS31" s="120"/>
      <c r="AT31" s="120"/>
      <c r="AU31" s="120"/>
      <c r="AV31" s="120"/>
      <c r="AW31" s="120"/>
    </row>
    <row r="32" spans="1:50" ht="12.75" customHeight="1" x14ac:dyDescent="0.25">
      <c r="A32" s="260"/>
      <c r="B32" s="238"/>
      <c r="C32" s="239"/>
      <c r="D32" s="239"/>
      <c r="E32" s="239"/>
      <c r="F32" s="239"/>
      <c r="G32" s="239"/>
      <c r="H32" s="234"/>
      <c r="I32" s="234"/>
      <c r="J32" s="235"/>
      <c r="K32" s="235"/>
      <c r="L32" s="235"/>
      <c r="M32" s="250"/>
      <c r="N32" s="251"/>
      <c r="O32" s="251"/>
      <c r="P32" s="252"/>
      <c r="Q32" s="110" t="str">
        <f>IF($Q31&lt;&gt;"",IF($Q31="W",IF(SUM(IF($H31&gt;$H29,1,0),IF($I31&gt;$I29,1,0),IF($J31&gt;$J29,1,0),IF($K31&gt;$K29,1,0),IF($L31&gt;$L29,1,0))&lt;&gt;3,"Error",""),""),"")</f>
        <v/>
      </c>
      <c r="R32" t="str">
        <f>$A27</f>
        <v>3rd Singles</v>
      </c>
      <c r="S32"/>
      <c r="T32"/>
      <c r="U32"/>
      <c r="V32"/>
      <c r="W32"/>
      <c r="X32"/>
      <c r="Y32"/>
      <c r="Z32"/>
      <c r="AA32"/>
      <c r="AB32"/>
      <c r="AC32"/>
      <c r="AD32"/>
      <c r="AE32"/>
      <c r="AF32"/>
      <c r="AH32" s="112" t="str">
        <f>LEFT(F1631,1)&amp;RIGHT(F1631,1)</f>
        <v>FH</v>
      </c>
      <c r="AI32" s="112" t="str">
        <f ca="1">G1631</f>
        <v/>
      </c>
      <c r="AJ32" s="112" t="str">
        <f ca="1">I1631</f>
        <v/>
      </c>
      <c r="AK32" s="112" t="s">
        <v>308</v>
      </c>
      <c r="AL32" s="112" t="s">
        <v>778</v>
      </c>
      <c r="AM32" s="112"/>
      <c r="AN32" s="120"/>
      <c r="AO32" s="120"/>
      <c r="AP32" s="120"/>
      <c r="AQ32" s="120"/>
      <c r="AR32" s="120"/>
      <c r="AS32" s="120"/>
      <c r="AT32" s="120"/>
      <c r="AU32" s="120"/>
      <c r="AV32" s="120"/>
      <c r="AW32" s="120"/>
    </row>
    <row r="33" spans="1:49" ht="12.75" customHeight="1" x14ac:dyDescent="0.25">
      <c r="Q33" s="6"/>
      <c r="R33" s="47" t="s">
        <v>160</v>
      </c>
      <c r="S33" s="86" t="s">
        <v>58</v>
      </c>
      <c r="T33" s="87"/>
      <c r="U33" s="87"/>
      <c r="V33" s="87"/>
      <c r="W33" s="87"/>
      <c r="X33" s="88"/>
      <c r="Y33" s="47">
        <v>1</v>
      </c>
      <c r="Z33" s="47">
        <v>2</v>
      </c>
      <c r="AA33" s="47">
        <v>3</v>
      </c>
      <c r="AB33" s="47">
        <v>4</v>
      </c>
      <c r="AC33" s="47">
        <v>5</v>
      </c>
      <c r="AD33" s="89"/>
      <c r="AE33" s="90"/>
      <c r="AF33" s="91"/>
      <c r="AH33" s="112" t="str">
        <f>LEFT(F1682,1)&amp;RIGHT(F1682,1)</f>
        <v>EI</v>
      </c>
      <c r="AI33" s="112" t="str">
        <f ca="1">G1682</f>
        <v/>
      </c>
      <c r="AJ33" s="112" t="str">
        <f ca="1">I1682</f>
        <v/>
      </c>
      <c r="AK33" s="112" t="s">
        <v>309</v>
      </c>
      <c r="AL33" s="112" t="s">
        <v>345</v>
      </c>
      <c r="AM33" s="112"/>
      <c r="AN33" s="120"/>
      <c r="AO33" s="120"/>
      <c r="AP33" s="120"/>
      <c r="AQ33" s="120"/>
      <c r="AR33" s="120"/>
      <c r="AS33" s="120"/>
      <c r="AT33" s="120"/>
      <c r="AU33" s="120"/>
      <c r="AV33" s="120"/>
      <c r="AW33" s="120"/>
    </row>
    <row r="34" spans="1:49" ht="12.75" customHeight="1" x14ac:dyDescent="0.25">
      <c r="A34" s="15" t="s">
        <v>168</v>
      </c>
      <c r="H34" s="110" t="str">
        <f ca="1">IF($Q36&lt;&gt;"",IF(AND($B36&lt;&gt;"Missing Player",$B38&lt;&gt;"Missing Player"),IF(AND(AND($H36&gt;-1,$H38&gt;-1),OR($H36&gt;10,$H38&gt;10),ABS($H36-$H38)&gt;1,IF(OR($H36&gt;11,$H38&gt;11),ABS($H36-$H38)=2,TRUE),$H36=INT($H36),$H38=INT($H38)),"","Error"),""),"")</f>
        <v/>
      </c>
      <c r="I34" s="110" t="str">
        <f ca="1">IF($Q36&lt;&gt;"",IF(AND($B36&lt;&gt;"Missing Player",$B38&lt;&gt;"Missing Player"),IF(AND(AND($I36&gt;-1,$I38&gt;-1),OR($I36&gt;10,$I38&gt;10),ABS($I36-$I38)&gt;1,IF(OR($I36&gt;11,$I38&gt;11),ABS($I36-$I38)=2,TRUE),$I36=INT($I36),$I38=INT($I38)),"","Error"),""),"")</f>
        <v/>
      </c>
      <c r="J34" s="110" t="str">
        <f ca="1">IF($Q36&lt;&gt;"",IF(AND($B36&lt;&gt;"Missing Player",$B38&lt;&gt;"Missing Player"),IF(AND(AND($J36&gt;-1,$J38&gt;-1),OR($J36&gt;10,$J38&gt;10),ABS($J36-$J38)&gt;1,IF(OR($J36&gt;11,$J38&gt;11),ABS($J36-$J38)=2,TRUE),$J36=INT($J36),$J38=INT($J38)),"","Error"),""),"")</f>
        <v/>
      </c>
      <c r="K34" s="110" t="str">
        <f ca="1">IF($Q36&lt;&gt;"",IF(AND($K36&lt;&gt;"",$K38&lt;&gt;""), IF(AND(AND($K36&gt;-1,$K38&gt;-1),OR($K36&gt;10,$K38&gt;10),ABS($K36-$K38)&gt;1,IF(OR($K36&gt;11,$K38&gt;11),ABS($K36-$K38)=2,TRUE),$K36=INT($K36),$K38=INT($K38)),"","Error"),""),"")</f>
        <v/>
      </c>
      <c r="L34" s="110" t="str">
        <f ca="1">IF($Q36&lt;&gt;"",IF(AND($L36&lt;&gt;"",$L38&lt;&gt;""), IF(AND(AND($L36&gt;-1,$L38&gt;-1),OR($L36&gt;10,$L38&gt;10),ABS($L36-$L38)&gt;1,IF(OR($L36&gt;11,$L38&gt;11),ABS($L36-$L38)=2,TRUE),$L36=INT($L36),$L38=INT($L38)),"","Error"),""),"")</f>
        <v/>
      </c>
      <c r="Q34" s="6"/>
      <c r="R34" s="259" t="str">
        <f>$B9</f>
        <v>A</v>
      </c>
      <c r="S34" s="307" t="str">
        <f ca="1">IF($B29&lt;&gt;"",$B29,"")</f>
        <v/>
      </c>
      <c r="T34" s="308"/>
      <c r="U34" s="308"/>
      <c r="V34" s="308"/>
      <c r="W34" s="308"/>
      <c r="X34" s="309"/>
      <c r="Y34" s="284"/>
      <c r="Z34" s="284"/>
      <c r="AA34" s="284"/>
      <c r="AB34" s="284"/>
      <c r="AC34" s="284"/>
      <c r="AD34" s="296"/>
      <c r="AE34" s="290"/>
      <c r="AF34" s="291"/>
      <c r="AH34" s="112" t="str">
        <f>LEFT(F1733,1)&amp;RIGHT(F1733,1)</f>
        <v>DJ</v>
      </c>
      <c r="AI34" s="112" t="str">
        <f ca="1">G1733</f>
        <v/>
      </c>
      <c r="AJ34" s="112" t="str">
        <f ca="1">I1733</f>
        <v/>
      </c>
      <c r="AK34" s="112" t="s">
        <v>310</v>
      </c>
      <c r="AL34" s="112" t="s">
        <v>779</v>
      </c>
      <c r="AM34" s="112"/>
      <c r="AN34" s="120"/>
      <c r="AO34" s="120"/>
      <c r="AP34" s="120"/>
      <c r="AQ34" s="120"/>
      <c r="AR34" s="120"/>
      <c r="AS34" s="120"/>
      <c r="AT34" s="120"/>
      <c r="AU34" s="120"/>
      <c r="AV34" s="120"/>
      <c r="AW34" s="120"/>
    </row>
    <row r="35" spans="1:49" ht="12.75" customHeight="1" x14ac:dyDescent="0.25">
      <c r="A35" s="5" t="s">
        <v>160</v>
      </c>
      <c r="B35" s="256" t="s">
        <v>58</v>
      </c>
      <c r="C35" s="257"/>
      <c r="D35" s="257"/>
      <c r="E35" s="257"/>
      <c r="F35" s="257"/>
      <c r="G35" s="258"/>
      <c r="H35" s="5">
        <v>1</v>
      </c>
      <c r="I35" s="5">
        <v>2</v>
      </c>
      <c r="J35" s="5">
        <v>3</v>
      </c>
      <c r="K35" s="5">
        <v>4</v>
      </c>
      <c r="L35" s="5">
        <v>5</v>
      </c>
      <c r="M35" s="270"/>
      <c r="N35" s="271"/>
      <c r="O35" s="271"/>
      <c r="P35" s="272"/>
      <c r="Q35" s="6"/>
      <c r="R35" s="285"/>
      <c r="S35" s="310"/>
      <c r="T35" s="311"/>
      <c r="U35" s="311"/>
      <c r="V35" s="311"/>
      <c r="W35" s="311"/>
      <c r="X35" s="312"/>
      <c r="Y35" s="285"/>
      <c r="Z35" s="285"/>
      <c r="AA35" s="285"/>
      <c r="AB35" s="285"/>
      <c r="AC35" s="285"/>
      <c r="AD35" s="292"/>
      <c r="AE35" s="293"/>
      <c r="AF35" s="294"/>
      <c r="AH35" s="112" t="str">
        <f>LEFT(F1784,1)&amp;RIGHT(F1784,1)</f>
        <v>CK</v>
      </c>
      <c r="AI35" s="112" t="str">
        <f ca="1">G1784</f>
        <v/>
      </c>
      <c r="AJ35" s="112" t="str">
        <f ca="1">I1784</f>
        <v/>
      </c>
      <c r="AK35" s="112" t="s">
        <v>311</v>
      </c>
      <c r="AL35" s="112" t="s">
        <v>780</v>
      </c>
      <c r="AM35" s="112"/>
      <c r="AN35" s="120"/>
      <c r="AO35" s="120"/>
      <c r="AP35" s="120"/>
      <c r="AQ35" s="120"/>
      <c r="AR35" s="120"/>
      <c r="AS35" s="120"/>
      <c r="AT35" s="120"/>
      <c r="AU35" s="120"/>
      <c r="AV35" s="120"/>
      <c r="AW35" s="120"/>
    </row>
    <row r="36" spans="1:49" ht="12.75" customHeight="1" x14ac:dyDescent="0.25">
      <c r="A36" s="259" t="str">
        <f>B9</f>
        <v>A</v>
      </c>
      <c r="B36" s="236" t="str">
        <f ca="1">IF(AND(OFFSET($AO$1,$C9-1,8,1,1),$A10&lt;&gt;"",$J10&lt;&gt;""),CHOOSE($C9,$AR$1,$AR$2,$AR$3,$AR$4,$AR$5,$AR$6,$AR$7,$AR$8,$AR$9,$AR$10,$AR$11,$AR$12),"")</f>
        <v/>
      </c>
      <c r="C36" s="237"/>
      <c r="D36" s="237"/>
      <c r="E36" s="237"/>
      <c r="F36" s="237"/>
      <c r="G36" s="237"/>
      <c r="H36" s="233"/>
      <c r="I36" s="233"/>
      <c r="J36" s="233"/>
      <c r="K36" s="233"/>
      <c r="L36" s="233" t="str">
        <f ca="1">IF(AND($B36&lt;&gt;"",$Q15&lt;&gt;""),IF($B36="Missing Player",0,IF($B38="Missing Player",11,"")),"")</f>
        <v/>
      </c>
      <c r="M36" s="245" t="str">
        <f ca="1">IF(OR(AND($B29&lt;&gt;"",$B36&lt;&gt;"",$E40&lt;=$D40),AND($B31&lt;&gt;"",$B38&lt;&gt;"",$I40&lt;=$H40)),"Invalid Lineup","")</f>
        <v/>
      </c>
      <c r="N36" s="246"/>
      <c r="O36" s="246"/>
      <c r="P36" s="247"/>
      <c r="Q36" s="40" t="str">
        <f ca="1">IF($L36=$L38,IF($K36=$K38,IF($J36&lt;&gt;"",IF($J36&gt;$J38,"W","L"),""),IF($K36&gt;$K38,"W","L")),IF($L36&gt;$L38,"W","L"))</f>
        <v/>
      </c>
      <c r="R36" s="259" t="str">
        <f>$K9</f>
        <v>L</v>
      </c>
      <c r="S36" s="307" t="str">
        <f ca="1">IF($B31&lt;&gt;"",$B31,"")</f>
        <v/>
      </c>
      <c r="T36" s="308"/>
      <c r="U36" s="308"/>
      <c r="V36" s="308"/>
      <c r="W36" s="308"/>
      <c r="X36" s="309"/>
      <c r="Y36" s="284"/>
      <c r="Z36" s="284"/>
      <c r="AA36" s="284"/>
      <c r="AB36" s="284"/>
      <c r="AC36" s="297"/>
      <c r="AD36" s="289" t="s">
        <v>169</v>
      </c>
      <c r="AE36" s="290"/>
      <c r="AF36" s="291"/>
      <c r="AH36" s="112" t="str">
        <f>LEFT(F1835,1)&amp;RIGHT(F1835,1)</f>
        <v>BL</v>
      </c>
      <c r="AI36" s="112" t="str">
        <f ca="1">G1835</f>
        <v/>
      </c>
      <c r="AJ36" s="112" t="str">
        <f ca="1">I1835</f>
        <v/>
      </c>
      <c r="AK36" s="112" t="s">
        <v>312</v>
      </c>
      <c r="AL36" s="112" t="s">
        <v>781</v>
      </c>
      <c r="AM36" s="112"/>
      <c r="AN36" s="120"/>
      <c r="AO36" s="120"/>
      <c r="AP36" s="120"/>
      <c r="AQ36" s="120"/>
      <c r="AR36" s="120"/>
      <c r="AS36" s="120"/>
      <c r="AT36" s="120"/>
      <c r="AU36" s="120"/>
      <c r="AV36" s="120"/>
      <c r="AW36" s="120"/>
    </row>
    <row r="37" spans="1:49" ht="12.75" customHeight="1" x14ac:dyDescent="0.25">
      <c r="A37" s="260"/>
      <c r="B37" s="238"/>
      <c r="C37" s="239"/>
      <c r="D37" s="239"/>
      <c r="E37" s="239"/>
      <c r="F37" s="239"/>
      <c r="G37" s="239"/>
      <c r="H37" s="234"/>
      <c r="I37" s="234"/>
      <c r="J37" s="234"/>
      <c r="K37" s="234"/>
      <c r="L37" s="234"/>
      <c r="M37" s="245"/>
      <c r="N37" s="246"/>
      <c r="O37" s="246"/>
      <c r="P37" s="247"/>
      <c r="Q37" s="110" t="str">
        <f ca="1">IF($Q36&lt;&gt;"",IF($B38&lt;&gt;"Missing Player",IF($Q36="W",IF(SUM(IF($H36&gt;$H38,1,0),IF($I36&gt;$I38,1,0),IF($J36&gt;$J38,1,0),IF($K36&gt;$K38,1,0),IF($L36&gt;$L38,1,0))&lt;&gt;3,"Error",""),""),""),"")</f>
        <v/>
      </c>
      <c r="R37" s="285"/>
      <c r="S37" s="310"/>
      <c r="T37" s="311"/>
      <c r="U37" s="311"/>
      <c r="V37" s="311"/>
      <c r="W37" s="311"/>
      <c r="X37" s="312"/>
      <c r="Y37" s="285"/>
      <c r="Z37" s="285"/>
      <c r="AA37" s="285"/>
      <c r="AB37" s="285"/>
      <c r="AC37" s="285"/>
      <c r="AD37" s="292"/>
      <c r="AE37" s="293"/>
      <c r="AF37" s="294"/>
      <c r="AH37" s="112" t="str">
        <f>LEFT(F1886,1)&amp;RIGHT(F1886,1)</f>
        <v>AF</v>
      </c>
      <c r="AI37" s="112" t="str">
        <f ca="1">G1886</f>
        <v/>
      </c>
      <c r="AJ37" s="112" t="str">
        <f ca="1">I1886</f>
        <v/>
      </c>
      <c r="AK37" s="112" t="s">
        <v>313</v>
      </c>
      <c r="AL37" s="112" t="s">
        <v>782</v>
      </c>
      <c r="AM37" s="112"/>
      <c r="AN37" s="120"/>
      <c r="AO37" s="120"/>
      <c r="AP37" s="120"/>
      <c r="AQ37" s="120"/>
      <c r="AR37" s="120"/>
      <c r="AS37" s="120"/>
      <c r="AT37" s="120"/>
      <c r="AU37" s="120"/>
      <c r="AV37" s="120"/>
      <c r="AW37" s="120"/>
    </row>
    <row r="38" spans="1:49" ht="12.75" customHeight="1" x14ac:dyDescent="0.25">
      <c r="A38" s="259" t="str">
        <f>K9</f>
        <v>L</v>
      </c>
      <c r="B38" s="236" t="str">
        <f ca="1">IF(AND(OFFSET($AO$1,$L9-1,8,1,1),$A10&lt;&gt;"",$J10&lt;&gt;""),CHOOSE($L9,$AR$1,$AR$2,$AR$3,$AR$4,$AR$5,$AR$6,$AR$7,$AR$8,$AR$9,$AR$10,$AR$11,$AR$12),"")</f>
        <v/>
      </c>
      <c r="C38" s="237"/>
      <c r="D38" s="237"/>
      <c r="E38" s="237"/>
      <c r="F38" s="237"/>
      <c r="G38" s="237"/>
      <c r="H38" s="233"/>
      <c r="I38" s="233"/>
      <c r="J38" s="233"/>
      <c r="K38" s="233"/>
      <c r="L38" s="233" t="str">
        <f ca="1">IF(AND($B38&lt;&gt;"",$Q15&lt;&gt;""),IF($B38="Missing Player",0,IF($B36="Missing Player",11,"")),"")</f>
        <v/>
      </c>
      <c r="M38" s="250" t="s">
        <v>169</v>
      </c>
      <c r="N38" s="251"/>
      <c r="O38" s="251"/>
      <c r="P38" s="252"/>
      <c r="Q38" s="40" t="str">
        <f ca="1">IF($Q36&lt;&gt;"",IF($Q36="W","L","W"),"")</f>
        <v/>
      </c>
      <c r="R38" s="94"/>
      <c r="S38" s="84"/>
      <c r="T38" s="84"/>
      <c r="U38" s="84"/>
      <c r="V38" s="84"/>
      <c r="W38" s="84"/>
      <c r="X38" s="84"/>
      <c r="Y38" s="93"/>
      <c r="Z38" s="93"/>
      <c r="AA38" s="93"/>
      <c r="AB38" s="93"/>
      <c r="AC38" s="93"/>
      <c r="AD38" s="92"/>
      <c r="AE38" s="93"/>
      <c r="AF38" s="93"/>
      <c r="AH38" s="112" t="str">
        <f>LEFT(F1937,1)&amp;RIGHT(F1937,1)</f>
        <v>EG</v>
      </c>
      <c r="AI38" s="112" t="str">
        <f ca="1">G1937</f>
        <v/>
      </c>
      <c r="AJ38" s="112" t="str">
        <f ca="1">I1937</f>
        <v/>
      </c>
      <c r="AK38" s="112" t="s">
        <v>314</v>
      </c>
      <c r="AL38" s="112" t="s">
        <v>783</v>
      </c>
      <c r="AM38" s="112"/>
      <c r="AN38" s="120"/>
      <c r="AO38" s="120"/>
      <c r="AP38" s="120"/>
      <c r="AQ38" s="120"/>
      <c r="AR38" s="120"/>
      <c r="AS38" s="120"/>
      <c r="AT38" s="120"/>
      <c r="AU38" s="120"/>
      <c r="AV38" s="120"/>
      <c r="AW38" s="120"/>
    </row>
    <row r="39" spans="1:49" ht="12.75" customHeight="1" x14ac:dyDescent="0.25">
      <c r="A39" s="260"/>
      <c r="B39" s="238"/>
      <c r="C39" s="239"/>
      <c r="D39" s="239"/>
      <c r="E39" s="239"/>
      <c r="F39" s="239"/>
      <c r="G39" s="239"/>
      <c r="H39" s="234"/>
      <c r="I39" s="234"/>
      <c r="J39" s="235"/>
      <c r="K39" s="235"/>
      <c r="L39" s="235"/>
      <c r="M39" s="250"/>
      <c r="N39" s="251"/>
      <c r="O39" s="251"/>
      <c r="P39" s="252"/>
      <c r="Q39" s="110" t="str">
        <f ca="1">IF($Q38&lt;&gt;"",IF($B36&lt;&gt;"Missing Player",IF($Q38="W",IF(SUM(IF($H38&gt;$H36,1,0),IF($I38&gt;$I36,1,0),IF($J38&gt;$J36,1,0),IF($K38&gt;$K36,1,0),IF($L38&gt;$L36,1,0))&lt;&gt;3,"Error",""),""),""),"")</f>
        <v/>
      </c>
      <c r="R39" s="85"/>
      <c r="S39" s="95"/>
      <c r="T39" s="95"/>
      <c r="U39" s="95"/>
      <c r="V39" s="95"/>
      <c r="W39" s="95"/>
      <c r="X39" s="95"/>
      <c r="Y39" s="85"/>
      <c r="Z39" s="85"/>
      <c r="AA39" s="85"/>
      <c r="AB39" s="85"/>
      <c r="AC39" s="85"/>
      <c r="AD39" s="85"/>
      <c r="AE39" s="85"/>
      <c r="AF39" s="85"/>
      <c r="AH39" s="112" t="str">
        <f>LEFT(F1988,1)&amp;RIGHT(F1988,1)</f>
        <v>DH</v>
      </c>
      <c r="AI39" s="112" t="str">
        <f ca="1">G1988</f>
        <v/>
      </c>
      <c r="AJ39" s="112" t="str">
        <f ca="1">I1988</f>
        <v/>
      </c>
      <c r="AK39" s="112" t="s">
        <v>315</v>
      </c>
      <c r="AL39" s="112" t="s">
        <v>784</v>
      </c>
      <c r="AM39" s="112"/>
      <c r="AN39" s="120"/>
      <c r="AO39" s="120"/>
      <c r="AP39" s="120"/>
      <c r="AQ39" s="120"/>
      <c r="AR39" s="120"/>
      <c r="AS39" s="120"/>
      <c r="AT39" s="120"/>
      <c r="AU39" s="120"/>
      <c r="AV39" s="120"/>
      <c r="AW39" s="120"/>
    </row>
    <row r="40" spans="1:49" ht="12.75" customHeight="1" x14ac:dyDescent="0.25">
      <c r="B40" s="111" t="str">
        <f>IF(ISERROR(VLOOKUP($B15&amp;"("&amp;$B9&amp;")",Players!$S$4:$T$132,2,FALSE)),"",VLOOKUP($B15&amp;"("&amp;$B9&amp;")",Players!$S$4:$T$132,2,FALSE))</f>
        <v>A1</v>
      </c>
      <c r="C40" s="111" t="str">
        <f>IF(ISERROR(VLOOKUP($B22&amp;"("&amp;$B9&amp;")",Players!$S$4:$T$132,2,FALSE)),"",VLOOKUP($B22&amp;"("&amp;$B9&amp;")",Players!$S$4:$T$132,2,FALSE))</f>
        <v>A1</v>
      </c>
      <c r="D40" s="111" t="str">
        <f ca="1">IF(ISERROR(VLOOKUP($B29&amp;"("&amp;$B9&amp;")",Players!$S$4:$T$132,2,FALSE)),"",VLOOKUP($B29&amp;"("&amp;$B9&amp;")",Players!$S$4:$T$132,2,FALSE))</f>
        <v>A1</v>
      </c>
      <c r="E40" s="111" t="str">
        <f ca="1">IF(ISERROR(VLOOKUP($B36&amp;"("&amp;$B9&amp;")",Players!$S$4:$T$132,2,FALSE)),"",VLOOKUP($B36&amp;"("&amp;$B9&amp;")",Players!$S$4:$T$132,2,FALSE))</f>
        <v>A1</v>
      </c>
      <c r="F40" s="111" t="str">
        <f ca="1">IF(ISERROR(VLOOKUP($B17&amp;"("&amp;$K9&amp;")",Players!$S$4:$T$132,2,FALSE)),"",VLOOKUP($B17&amp;"("&amp;$K9&amp;")",Players!$S$4:$T$132,2,FALSE))</f>
        <v>L1</v>
      </c>
      <c r="G40" s="111" t="str">
        <f ca="1">IF(ISERROR(VLOOKUP($B24&amp;"("&amp;$K9&amp;")",Players!$S$4:$T$132,2,FALSE)),"",VLOOKUP($B24&amp;"("&amp;$K9&amp;")",Players!$S$4:$T$132,2,FALSE))</f>
        <v>L1</v>
      </c>
      <c r="H40" s="111" t="str">
        <f ca="1">IF(ISERROR(VLOOKUP($B31&amp;"("&amp;$K9&amp;")",Players!$S$4:$T$132,2,FALSE)),"",VLOOKUP($B31&amp;"("&amp;$K9&amp;")",Players!$S$4:$T$132,2,FALSE))</f>
        <v>L1</v>
      </c>
      <c r="I40" s="111" t="str">
        <f ca="1">IF(ISERROR(VLOOKUP($B38&amp;"("&amp;$K9&amp;")",Players!$S$4:$T$132,2,FALSE)),"",VLOOKUP($B38&amp;"("&amp;$K9&amp;")",Players!$S$4:$T$132,2,FALSE))</f>
        <v>L1</v>
      </c>
      <c r="Q40" s="6"/>
      <c r="R40" s="37"/>
      <c r="S40" s="106"/>
      <c r="T40" s="95"/>
      <c r="U40" s="95"/>
      <c r="V40" s="95"/>
      <c r="W40" s="95"/>
      <c r="X40" s="95"/>
      <c r="Y40" s="85"/>
      <c r="Z40" s="85"/>
      <c r="AA40" s="85"/>
      <c r="AB40" s="85"/>
      <c r="AC40" s="96"/>
      <c r="AD40" s="97"/>
      <c r="AE40" s="85"/>
      <c r="AF40" s="85"/>
      <c r="AH40" s="112" t="str">
        <f>LEFT(F2039,1)&amp;RIGHT(F2039,1)</f>
        <v>CI</v>
      </c>
      <c r="AI40" s="112" t="str">
        <f ca="1">G2039</f>
        <v/>
      </c>
      <c r="AJ40" s="112" t="str">
        <f ca="1">I2039</f>
        <v/>
      </c>
      <c r="AK40" s="112" t="s">
        <v>316</v>
      </c>
      <c r="AL40" s="112" t="s">
        <v>785</v>
      </c>
      <c r="AM40" s="112"/>
      <c r="AN40" s="120"/>
      <c r="AO40" s="120"/>
      <c r="AP40" s="120"/>
      <c r="AQ40" s="120"/>
      <c r="AR40" s="120"/>
      <c r="AS40" s="120"/>
      <c r="AT40" s="120"/>
      <c r="AU40" s="120"/>
      <c r="AV40" s="120"/>
      <c r="AW40" s="120"/>
    </row>
    <row r="41" spans="1:49" ht="12.75" customHeight="1" x14ac:dyDescent="0.25">
      <c r="A41" s="15" t="s">
        <v>157</v>
      </c>
      <c r="H41" s="110" t="str">
        <f ca="1">IF($Q43&lt;&gt;"",IF(AND($B44&lt;&gt;"Missing Player",$B46&lt;&gt;"Missing Player"),IF(AND(AND($H43&gt;-1,$H45&gt;-1),OR($H43&gt;10,$H45&gt;10),ABS($H43-$H45)&gt;1,IF(OR($H43&gt;11,$H45&gt;11),ABS($H43-$H45)=2,TRUE),$H43=INT($H43),$H45=INT($H45)),"","Error"),""),"")</f>
        <v/>
      </c>
      <c r="I41" s="110" t="str">
        <f ca="1">IF($Q43&lt;&gt;"",IF(AND($B44&lt;&gt;"Missing Player",$B46&lt;&gt;"Missing Player"),IF(AND(AND($I43&gt;-1,$I45&gt;-1),OR($I43&gt;10,$I45&gt;10),ABS($I43-$I45)&gt;1,IF(OR($I43&gt;11,$I45&gt;11),ABS($I43-$I45)=2,TRUE),$I43=INT($I43),$I45=INT($I45)),"","Error"),""),"")</f>
        <v/>
      </c>
      <c r="J41" s="110" t="str">
        <f ca="1">IF($Q43&lt;&gt;"",IF(AND($B44&lt;&gt;"Missing Player",$B46&lt;&gt;"Missing Player"),IF(AND(AND($J43&gt;-1,$J45&gt;-1),OR($J43&gt;10,$J45&gt;10),ABS($J43-$J45)&gt;1,IF(OR($J43&gt;11,$J45&gt;11),ABS($J43-$J45)=2,TRUE),$J43=INT($J43),$J45=INT($J45)),"","Error"),""),"")</f>
        <v/>
      </c>
      <c r="K41" s="110" t="str">
        <f ca="1">IF($Q43&lt;&gt;"",IF(AND($K43&lt;&gt;"",$K45&lt;&gt;""), IF(AND(AND($K43&gt;-1,$K45&gt;-1),OR($K43&gt;10,$K45&gt;10),ABS($K43-$K45)&gt;1,IF(OR($K43&gt;11,$K45&gt;11),ABS($K43-$K45)=2,TRUE),$K43=INT($K43),$K45=INT($K45)),"","Error"),""),"")</f>
        <v/>
      </c>
      <c r="L41" s="110" t="str">
        <f ca="1">IF($Q43&lt;&gt;"",IF(AND($L43&lt;&gt;"",$L45&lt;&gt;""), IF(AND(AND($L43&gt;-1,$L45&gt;-1),OR($L43&gt;10,$L45&gt;10),ABS($L43-$L45)&gt;1,IF(OR($L43&gt;11,$L45&gt;11),ABS($L43-$L45)=2,TRUE),$L43=INT($L43),$L45=INT($L45)),"","Error"),""),"")</f>
        <v/>
      </c>
      <c r="Q41" s="6"/>
      <c r="R41" s="85"/>
      <c r="S41" s="106"/>
      <c r="T41" s="95"/>
      <c r="U41" s="95"/>
      <c r="V41" s="95"/>
      <c r="W41" s="95"/>
      <c r="X41" s="95"/>
      <c r="Y41" s="85"/>
      <c r="Z41" s="85"/>
      <c r="AA41" s="85"/>
      <c r="AB41" s="85"/>
      <c r="AC41" s="85"/>
      <c r="AD41" s="85"/>
      <c r="AE41" s="85"/>
      <c r="AF41" s="85"/>
      <c r="AH41" s="112" t="str">
        <f>LEFT(F2090,1)&amp;RIGHT(F2090,1)</f>
        <v>BJ</v>
      </c>
      <c r="AI41" s="112" t="str">
        <f ca="1">G2090</f>
        <v/>
      </c>
      <c r="AJ41" s="112" t="str">
        <f ca="1">I2090</f>
        <v/>
      </c>
      <c r="AK41" s="112" t="s">
        <v>317</v>
      </c>
      <c r="AL41" s="112" t="s">
        <v>786</v>
      </c>
      <c r="AM41" s="112"/>
      <c r="AN41" s="120"/>
      <c r="AO41" s="120"/>
      <c r="AP41" s="120"/>
      <c r="AQ41" s="120"/>
      <c r="AR41" s="120"/>
      <c r="AS41" s="120"/>
      <c r="AT41" s="120"/>
      <c r="AU41" s="120"/>
      <c r="AV41" s="120"/>
      <c r="AW41" s="120"/>
    </row>
    <row r="42" spans="1:49" ht="12.75" customHeight="1" x14ac:dyDescent="0.25">
      <c r="A42" s="5" t="s">
        <v>160</v>
      </c>
      <c r="B42" s="256" t="s">
        <v>58</v>
      </c>
      <c r="C42" s="257"/>
      <c r="D42" s="257"/>
      <c r="E42" s="257"/>
      <c r="F42" s="257"/>
      <c r="G42" s="258"/>
      <c r="H42" s="5">
        <v>1</v>
      </c>
      <c r="I42" s="5">
        <v>2</v>
      </c>
      <c r="J42" s="5">
        <v>3</v>
      </c>
      <c r="K42" s="5">
        <v>4</v>
      </c>
      <c r="L42" s="5">
        <v>5</v>
      </c>
      <c r="M42" s="270"/>
      <c r="N42" s="271"/>
      <c r="O42" s="271"/>
      <c r="P42" s="272"/>
      <c r="Q42" s="6"/>
      <c r="T42" s="7"/>
      <c r="AH42" s="112" t="str">
        <f>LEFT(F2141,1)&amp;RIGHT(F2141,1)</f>
        <v>KL</v>
      </c>
      <c r="AI42" s="112" t="str">
        <f ca="1">G2141</f>
        <v/>
      </c>
      <c r="AJ42" s="112" t="str">
        <f ca="1">I2141</f>
        <v/>
      </c>
      <c r="AK42" s="112" t="s">
        <v>318</v>
      </c>
      <c r="AL42" s="112" t="s">
        <v>787</v>
      </c>
      <c r="AM42" s="112"/>
      <c r="AN42" s="120"/>
      <c r="AO42" s="120"/>
      <c r="AP42" s="120"/>
      <c r="AQ42" s="120"/>
      <c r="AR42" s="120"/>
      <c r="AS42" s="120"/>
      <c r="AT42" s="120"/>
      <c r="AU42" s="120"/>
      <c r="AV42" s="120"/>
      <c r="AW42" s="120"/>
    </row>
    <row r="43" spans="1:49" ht="12.75" customHeight="1" x14ac:dyDescent="0.25">
      <c r="A43" s="259" t="str">
        <f>B9</f>
        <v>A</v>
      </c>
      <c r="B43" s="230" t="str">
        <f>IF($B15&lt;&gt;"",$B15,"")</f>
        <v/>
      </c>
      <c r="C43" s="231"/>
      <c r="D43" s="231"/>
      <c r="E43" s="231"/>
      <c r="F43" s="231"/>
      <c r="G43" s="232"/>
      <c r="H43" s="233"/>
      <c r="I43" s="233"/>
      <c r="J43" s="233"/>
      <c r="K43" s="233"/>
      <c r="L43" s="233" t="str">
        <f ca="1">IF($B36&lt;&gt;"",IF(AND($B36="Missing Player",$G47=2,$J47=2),0,IF(AND($B38="Missing Player",$G47=2,$J47=2),11,"")),"")</f>
        <v/>
      </c>
      <c r="M43" s="245" t="str">
        <f ca="1">IF(OR(AND($B43&lt;&gt;"",$B44&lt;&gt;"",$B43=$B44),AND($B45&lt;&gt;"",$B46&lt;&gt;"",$B45=$B46)),"Invalid Partner","")</f>
        <v/>
      </c>
      <c r="N43" s="246"/>
      <c r="O43" s="246"/>
      <c r="P43" s="247"/>
      <c r="Q43" s="37" t="str">
        <f ca="1">IF(L43=L45,IF(K43=K45,IF(J43&lt;&gt;"",IF(J43&gt;J45,"W","L"),""),IF(K43&gt;K45,"W","L")),IF(L43&gt;L45,"W","L"))</f>
        <v/>
      </c>
      <c r="T43" s="7"/>
      <c r="AH43" s="112" t="str">
        <f>LEFT(F2192,1)&amp;RIGHT(F2192,1)</f>
        <v>AE</v>
      </c>
      <c r="AI43" s="112" t="str">
        <f ca="1">G2192</f>
        <v/>
      </c>
      <c r="AJ43" s="112" t="str">
        <f ca="1">I2192</f>
        <v/>
      </c>
      <c r="AK43" s="112" t="s">
        <v>319</v>
      </c>
      <c r="AL43" s="112" t="s">
        <v>788</v>
      </c>
      <c r="AM43" s="112"/>
      <c r="AN43" s="120"/>
      <c r="AO43" s="120"/>
      <c r="AP43" s="120"/>
      <c r="AQ43" s="120"/>
      <c r="AR43" s="120"/>
      <c r="AS43" s="120"/>
      <c r="AT43" s="120"/>
      <c r="AU43" s="120"/>
      <c r="AV43" s="120"/>
      <c r="AW43" s="120"/>
    </row>
    <row r="44" spans="1:49" ht="12.75" customHeight="1" x14ac:dyDescent="0.25">
      <c r="A44" s="260"/>
      <c r="B44" s="266" t="s">
        <v>850</v>
      </c>
      <c r="C44" s="267"/>
      <c r="D44" s="267"/>
      <c r="E44" s="267"/>
      <c r="F44" s="267"/>
      <c r="G44" s="268"/>
      <c r="H44" s="234"/>
      <c r="I44" s="234"/>
      <c r="J44" s="234"/>
      <c r="K44" s="234"/>
      <c r="L44" s="234"/>
      <c r="M44" s="245"/>
      <c r="N44" s="246"/>
      <c r="O44" s="246"/>
      <c r="P44" s="247"/>
      <c r="Q44" s="110" t="str">
        <f ca="1">IF($Q43&lt;&gt;"",IF($B46&lt;&gt;"Missing Player",IF($Q43="W",IF(SUM(IF($H43&gt;$H45,1,0),IF($I43&gt;$I45,1,0),IF($J43&gt;$J45,1,0),IF($K43&gt;$K45,1,0),IF($L43&gt;$L45,1,0))&lt;&gt;3,"Error",""),""),""),"")</f>
        <v/>
      </c>
      <c r="R44" s="295" t="str">
        <f>$A10</f>
        <v/>
      </c>
      <c r="S44" s="295"/>
      <c r="T44" s="295"/>
      <c r="U44" s="295"/>
      <c r="V44" s="295"/>
      <c r="W44" s="295"/>
      <c r="X44" s="219" t="str">
        <f>CONCATENATE("(",$B9," vs ",$K9,")")</f>
        <v>(A vs L)</v>
      </c>
      <c r="Y44" s="219"/>
      <c r="Z44" s="295" t="str">
        <f>$J10</f>
        <v/>
      </c>
      <c r="AA44" s="295"/>
      <c r="AB44" s="295"/>
      <c r="AC44" s="295"/>
      <c r="AD44" s="295"/>
      <c r="AE44" s="295"/>
      <c r="AF44"/>
      <c r="AH44" s="112" t="str">
        <f>LEFT(F2243,1)&amp;RIGHT(F2243,1)</f>
        <v>DF</v>
      </c>
      <c r="AI44" s="112" t="str">
        <f ca="1">G2243</f>
        <v/>
      </c>
      <c r="AJ44" s="112" t="str">
        <f ca="1">I2243</f>
        <v/>
      </c>
      <c r="AK44" s="112" t="s">
        <v>320</v>
      </c>
      <c r="AL44" s="112" t="s">
        <v>789</v>
      </c>
      <c r="AM44" s="112"/>
      <c r="AN44" s="120"/>
      <c r="AO44" s="120"/>
      <c r="AP44" s="120"/>
      <c r="AQ44" s="120"/>
      <c r="AR44" s="120"/>
      <c r="AS44" s="120"/>
      <c r="AT44" s="120"/>
      <c r="AU44" s="120"/>
      <c r="AV44" s="120"/>
      <c r="AW44" s="120"/>
    </row>
    <row r="45" spans="1:49" ht="12.75" customHeight="1" x14ac:dyDescent="0.25">
      <c r="A45" s="265" t="str">
        <f>K9</f>
        <v>L</v>
      </c>
      <c r="B45" s="230" t="str">
        <f ca="1">IF($B17&lt;&gt;"",$B17,"")</f>
        <v/>
      </c>
      <c r="C45" s="231"/>
      <c r="D45" s="231"/>
      <c r="E45" s="231"/>
      <c r="F45" s="231"/>
      <c r="G45" s="232"/>
      <c r="H45" s="233"/>
      <c r="I45" s="233"/>
      <c r="J45" s="233"/>
      <c r="K45" s="233"/>
      <c r="L45" s="233" t="str">
        <f ca="1">IF($B38&lt;&gt;"",IF(AND($B38="Missing Player",$G47=2,$J47=2),0,IF(AND($B36="Missing Player",$G47=2,$J47=2),11,"")),"")</f>
        <v/>
      </c>
      <c r="M45" s="250" t="s">
        <v>169</v>
      </c>
      <c r="N45" s="251"/>
      <c r="O45" s="251"/>
      <c r="P45" s="252"/>
      <c r="Q45" s="37" t="str">
        <f ca="1">IF(Q43&lt;&gt;"",IF(Q43="W","L","W"),"")</f>
        <v/>
      </c>
      <c r="R45"/>
      <c r="S45"/>
      <c r="T45"/>
      <c r="U45"/>
      <c r="V45"/>
      <c r="W45"/>
      <c r="X45"/>
      <c r="Y45"/>
      <c r="Z45"/>
      <c r="AA45"/>
      <c r="AB45"/>
      <c r="AC45"/>
      <c r="AD45"/>
      <c r="AE45"/>
      <c r="AF45"/>
      <c r="AH45" s="112" t="str">
        <f>LEFT(F2294,1)&amp;RIGHT(F2294,1)</f>
        <v>CG</v>
      </c>
      <c r="AI45" s="112" t="str">
        <f ca="1">G2294</f>
        <v/>
      </c>
      <c r="AJ45" s="112" t="str">
        <f ca="1">I2294</f>
        <v/>
      </c>
      <c r="AK45" s="112" t="s">
        <v>321</v>
      </c>
      <c r="AL45" s="112" t="s">
        <v>790</v>
      </c>
      <c r="AM45" s="112"/>
      <c r="AN45" s="120"/>
      <c r="AO45" s="120"/>
      <c r="AP45" s="120"/>
      <c r="AQ45" s="120"/>
      <c r="AR45" s="120"/>
      <c r="AS45" s="120"/>
      <c r="AT45" s="120"/>
      <c r="AU45" s="120"/>
      <c r="AV45" s="120"/>
      <c r="AW45" s="120"/>
    </row>
    <row r="46" spans="1:49" ht="12.75" customHeight="1" x14ac:dyDescent="0.25">
      <c r="A46" s="260"/>
      <c r="B46" s="266" t="str">
        <f ca="1">IF($B38="Missing Player",$B38,"")</f>
        <v/>
      </c>
      <c r="C46" s="267"/>
      <c r="D46" s="267"/>
      <c r="E46" s="267"/>
      <c r="F46" s="267"/>
      <c r="G46" s="268"/>
      <c r="H46" s="234"/>
      <c r="I46" s="234"/>
      <c r="J46" s="235"/>
      <c r="K46" s="235"/>
      <c r="L46" s="235"/>
      <c r="M46" s="250"/>
      <c r="N46" s="251"/>
      <c r="O46" s="251"/>
      <c r="P46" s="252"/>
      <c r="Q46" s="110" t="str">
        <f ca="1">IF($Q45&lt;&gt;"",IF($B44&lt;&gt;"Missing Player",IF($Q45="W",IF(SUM(IF($H45&gt;$H43,1,0),IF($I45&gt;$I43,1,0),IF($J45&gt;$J43,1,0),IF($K45&gt;$K43,1,0),IF($L45&gt;$L43,1,0))&lt;&gt;3,"Error",""),""),""),"")</f>
        <v/>
      </c>
      <c r="R46" t="str">
        <f>A34</f>
        <v>4th Singles</v>
      </c>
      <c r="S46"/>
      <c r="T46"/>
      <c r="U46"/>
      <c r="V46"/>
      <c r="W46"/>
      <c r="X46"/>
      <c r="Y46"/>
      <c r="Z46"/>
      <c r="AA46"/>
      <c r="AB46"/>
      <c r="AC46"/>
      <c r="AD46"/>
      <c r="AE46"/>
      <c r="AF46"/>
      <c r="AH46" s="112" t="str">
        <f>LEFT(F2345,1)&amp;RIGHT(F2345,1)</f>
        <v>BH</v>
      </c>
      <c r="AI46" s="112" t="str">
        <f ca="1">G2345</f>
        <v/>
      </c>
      <c r="AJ46" s="112" t="str">
        <f ca="1">I2345</f>
        <v/>
      </c>
      <c r="AK46" s="112" t="s">
        <v>322</v>
      </c>
      <c r="AL46" s="112" t="s">
        <v>791</v>
      </c>
      <c r="AM46" s="112"/>
      <c r="AN46" s="120"/>
      <c r="AO46" s="120"/>
      <c r="AP46" s="120"/>
      <c r="AQ46" s="120"/>
      <c r="AR46" s="120"/>
      <c r="AS46" s="120"/>
      <c r="AT46" s="120"/>
      <c r="AU46" s="120"/>
      <c r="AV46" s="120"/>
      <c r="AW46" s="120"/>
    </row>
    <row r="47" spans="1:49" ht="12.75" customHeight="1" x14ac:dyDescent="0.25">
      <c r="G47" s="53">
        <f ca="1">COUNTIF($Q15:$Q15,"W")+COUNTIF($Q22:$Q22,"W")+COUNTIF($Q29:$Q29,"W")+COUNTIF($Q36:$Q36,"W")</f>
        <v>0</v>
      </c>
      <c r="J47" s="53">
        <f ca="1">COUNTIF($Q17:$Q17,"W")+COUNTIF($Q24:$Q24,"W")+COUNTIF($Q31:$Q31,"W")+COUNTIF($Q38:$Q38,"W")</f>
        <v>0</v>
      </c>
      <c r="R47" s="47" t="s">
        <v>160</v>
      </c>
      <c r="S47" s="304" t="s">
        <v>58</v>
      </c>
      <c r="T47" s="305"/>
      <c r="U47" s="305"/>
      <c r="V47" s="305"/>
      <c r="W47" s="305"/>
      <c r="X47" s="306"/>
      <c r="Y47" s="47">
        <v>1</v>
      </c>
      <c r="Z47" s="47">
        <v>2</v>
      </c>
      <c r="AA47" s="47">
        <v>3</v>
      </c>
      <c r="AB47" s="47">
        <v>4</v>
      </c>
      <c r="AC47" s="47">
        <v>5</v>
      </c>
      <c r="AD47" s="286"/>
      <c r="AE47" s="287"/>
      <c r="AF47" s="288"/>
      <c r="AH47" s="112" t="str">
        <f>LEFT(F2396,1)&amp;RIGHT(F2396,1)</f>
        <v>IL</v>
      </c>
      <c r="AI47" s="112" t="str">
        <f ca="1">G2396</f>
        <v/>
      </c>
      <c r="AJ47" s="112" t="str">
        <f ca="1">I2396</f>
        <v/>
      </c>
      <c r="AK47" s="112" t="s">
        <v>323</v>
      </c>
      <c r="AL47" s="112" t="s">
        <v>792</v>
      </c>
      <c r="AM47" s="112"/>
      <c r="AN47" s="120"/>
      <c r="AO47" s="120"/>
      <c r="AP47" s="120"/>
      <c r="AQ47" s="120"/>
      <c r="AR47" s="120"/>
      <c r="AS47" s="120"/>
      <c r="AT47" s="120"/>
      <c r="AU47" s="120"/>
      <c r="AV47" s="120"/>
      <c r="AW47" s="120"/>
    </row>
    <row r="48" spans="1:49" ht="12.75" customHeight="1" thickBot="1" x14ac:dyDescent="0.3">
      <c r="F48" s="212" t="s">
        <v>170</v>
      </c>
      <c r="G48" s="212"/>
      <c r="H48" s="212"/>
      <c r="I48" s="212"/>
      <c r="J48" s="212"/>
      <c r="K48" s="212"/>
      <c r="R48" s="259" t="str">
        <f>B9</f>
        <v>A</v>
      </c>
      <c r="S48" s="307" t="str">
        <f ca="1">IF($B36&lt;&gt;"",$B36,"")</f>
        <v/>
      </c>
      <c r="T48" s="308"/>
      <c r="U48" s="308"/>
      <c r="V48" s="308"/>
      <c r="W48" s="308"/>
      <c r="X48" s="309"/>
      <c r="Y48" s="284"/>
      <c r="Z48" s="284"/>
      <c r="AA48" s="297"/>
      <c r="AB48" s="297"/>
      <c r="AC48" s="297"/>
      <c r="AD48" s="296"/>
      <c r="AE48" s="298"/>
      <c r="AF48" s="299"/>
      <c r="AH48" s="112" t="str">
        <f>LEFT(F2447,1)&amp;RIGHT(F2447,1)</f>
        <v>JK</v>
      </c>
      <c r="AI48" s="112" t="str">
        <f ca="1">G2447</f>
        <v/>
      </c>
      <c r="AJ48" s="112" t="str">
        <f ca="1">I2447</f>
        <v/>
      </c>
      <c r="AK48" s="112" t="s">
        <v>324</v>
      </c>
      <c r="AL48" s="112" t="s">
        <v>793</v>
      </c>
      <c r="AM48" s="112"/>
      <c r="AN48" s="120"/>
      <c r="AO48" s="120"/>
      <c r="AP48" s="120"/>
      <c r="AQ48" s="120"/>
      <c r="AR48" s="120"/>
      <c r="AS48" s="120"/>
      <c r="AT48" s="120"/>
      <c r="AU48" s="120"/>
      <c r="AV48" s="120"/>
      <c r="AW48" s="120"/>
    </row>
    <row r="49" spans="1:49" ht="12.75" customHeight="1" x14ac:dyDescent="0.25">
      <c r="A49" s="16"/>
      <c r="B49" s="16"/>
      <c r="C49" s="16"/>
      <c r="D49" s="16"/>
      <c r="E49" s="16"/>
      <c r="G49" s="261" t="str">
        <f>B9</f>
        <v>A</v>
      </c>
      <c r="H49" s="262"/>
      <c r="I49" s="263" t="str">
        <f>K9</f>
        <v>L</v>
      </c>
      <c r="J49" s="264"/>
      <c r="L49" s="16"/>
      <c r="M49" s="16"/>
      <c r="N49" s="16"/>
      <c r="O49" s="16"/>
      <c r="P49" s="16"/>
      <c r="R49" s="260"/>
      <c r="S49" s="310"/>
      <c r="T49" s="311"/>
      <c r="U49" s="311"/>
      <c r="V49" s="311"/>
      <c r="W49" s="311"/>
      <c r="X49" s="312"/>
      <c r="Y49" s="285"/>
      <c r="Z49" s="285"/>
      <c r="AA49" s="303"/>
      <c r="AB49" s="303"/>
      <c r="AC49" s="303"/>
      <c r="AD49" s="300"/>
      <c r="AE49" s="301"/>
      <c r="AF49" s="302"/>
      <c r="AH49" s="112" t="str">
        <f>LEFT(F2498,1)&amp;RIGHT(F2498,1)</f>
        <v>AD</v>
      </c>
      <c r="AI49" s="112" t="str">
        <f ca="1">G2498</f>
        <v/>
      </c>
      <c r="AJ49" s="112" t="str">
        <f ca="1">I2498</f>
        <v/>
      </c>
      <c r="AK49" s="112" t="s">
        <v>325</v>
      </c>
      <c r="AL49" s="112" t="s">
        <v>346</v>
      </c>
      <c r="AM49" s="112"/>
      <c r="AN49" s="120"/>
      <c r="AO49" s="120"/>
      <c r="AP49" s="120"/>
      <c r="AQ49" s="120"/>
      <c r="AR49" s="120"/>
      <c r="AS49" s="120"/>
      <c r="AT49" s="120"/>
      <c r="AU49" s="120"/>
      <c r="AV49" s="120"/>
      <c r="AW49" s="120"/>
    </row>
    <row r="50" spans="1:49" ht="12.75" customHeight="1" thickBot="1" x14ac:dyDescent="0.3">
      <c r="A50" s="2" t="s">
        <v>160</v>
      </c>
      <c r="B50" s="40" t="str">
        <f>$B9</f>
        <v>A</v>
      </c>
      <c r="C50" s="3" t="s">
        <v>158</v>
      </c>
      <c r="F50" s="53" t="str">
        <f>CONCATENATE($B9,"-",$K9)</f>
        <v>A-L</v>
      </c>
      <c r="G50" s="240" t="str">
        <f ca="1">IF(OR(Q15&lt;&gt;"",Q22&lt;&gt;"",Q29&lt;&gt;"",Q36&lt;&gt;"",Q43&lt;&gt;""),COUNTIF(Q15:Q15,"W")+COUNTIF(Q22:Q22,"W")+COUNTIF(Q29:Q29,"W")+COUNTIF(Q36:Q36,"W")+COUNTIF(Q43:Q43,"W"),"")</f>
        <v/>
      </c>
      <c r="H50" s="241"/>
      <c r="I50" s="242" t="str">
        <f ca="1">IF(OR(Q17&lt;&gt;"",Q24&lt;&gt;"",Q31&lt;&gt;"",Q38&lt;&gt;"",Q45&lt;&gt;""),COUNTIF(Q17:Q17,"W")+COUNTIF(Q24:Q24,"W")+COUNTIF(Q31:Q31,"W")+COUNTIF(Q38:Q38,"W")+COUNTIF(Q45:Q45,"W"),"")</f>
        <v/>
      </c>
      <c r="J50" s="243"/>
      <c r="L50" s="2" t="s">
        <v>160</v>
      </c>
      <c r="M50" s="40" t="str">
        <f>$K9</f>
        <v>L</v>
      </c>
      <c r="N50" s="3" t="s">
        <v>158</v>
      </c>
      <c r="R50" s="259" t="str">
        <f>K9</f>
        <v>L</v>
      </c>
      <c r="S50" s="307" t="str">
        <f ca="1">IF($B38&lt;&gt;"",$B38,"")</f>
        <v/>
      </c>
      <c r="T50" s="308"/>
      <c r="U50" s="308"/>
      <c r="V50" s="308"/>
      <c r="W50" s="308"/>
      <c r="X50" s="309"/>
      <c r="Y50" s="284"/>
      <c r="Z50" s="284"/>
      <c r="AA50" s="297"/>
      <c r="AB50" s="297"/>
      <c r="AC50" s="297"/>
      <c r="AD50" s="289" t="s">
        <v>169</v>
      </c>
      <c r="AE50" s="290"/>
      <c r="AF50" s="291"/>
      <c r="AG50"/>
      <c r="AH50" s="112" t="str">
        <f>LEFT(F2549,1)&amp;RIGHT(F2549,1)</f>
        <v>CE</v>
      </c>
      <c r="AI50" s="112" t="str">
        <f ca="1">G2549</f>
        <v/>
      </c>
      <c r="AJ50" s="112" t="str">
        <f ca="1">I2549</f>
        <v/>
      </c>
      <c r="AK50" s="112" t="s">
        <v>326</v>
      </c>
      <c r="AL50" s="112" t="s">
        <v>794</v>
      </c>
      <c r="AM50" s="112"/>
      <c r="AN50" s="120"/>
      <c r="AO50" s="120"/>
      <c r="AP50" s="120"/>
      <c r="AQ50" s="120"/>
      <c r="AR50" s="120"/>
      <c r="AS50" s="120"/>
      <c r="AT50" s="120"/>
      <c r="AU50" s="120"/>
      <c r="AV50" s="120"/>
      <c r="AW50" s="120"/>
    </row>
    <row r="51" spans="1:49" ht="12.75" customHeight="1" x14ac:dyDescent="0.35">
      <c r="F51" s="18" t="s">
        <v>403</v>
      </c>
      <c r="G51" s="17"/>
      <c r="H51" s="17"/>
      <c r="I51" s="17"/>
      <c r="J51" s="17"/>
      <c r="R51" s="285"/>
      <c r="S51" s="310"/>
      <c r="T51" s="311"/>
      <c r="U51" s="311"/>
      <c r="V51" s="311"/>
      <c r="W51" s="311"/>
      <c r="X51" s="312"/>
      <c r="Y51" s="285"/>
      <c r="Z51" s="285"/>
      <c r="AA51" s="285"/>
      <c r="AB51" s="285"/>
      <c r="AC51" s="285"/>
      <c r="AD51" s="292"/>
      <c r="AE51" s="293"/>
      <c r="AF51" s="294"/>
      <c r="AH51" s="112" t="str">
        <f>LEFT(F2600,1)&amp;RIGHT(F2600,1)</f>
        <v>BF</v>
      </c>
      <c r="AI51" s="112" t="str">
        <f ca="1">G2600</f>
        <v/>
      </c>
      <c r="AJ51" s="112" t="str">
        <f ca="1">I2600</f>
        <v/>
      </c>
      <c r="AK51" s="112" t="s">
        <v>327</v>
      </c>
      <c r="AL51" s="112" t="s">
        <v>795</v>
      </c>
      <c r="AM51" s="112"/>
      <c r="AN51" s="120"/>
      <c r="AO51" s="120"/>
      <c r="AP51" s="120"/>
      <c r="AQ51" s="120"/>
      <c r="AR51" s="120"/>
      <c r="AS51" s="120"/>
      <c r="AT51" s="120"/>
      <c r="AU51" s="120"/>
      <c r="AV51" s="120"/>
      <c r="AW51" s="120"/>
    </row>
    <row r="52" spans="1:49" ht="12.75" customHeight="1" x14ac:dyDescent="0.25">
      <c r="R52" s="1"/>
      <c r="S52" s="11"/>
      <c r="T52" s="11"/>
      <c r="U52" s="11"/>
      <c r="V52" s="11"/>
      <c r="W52" s="11"/>
      <c r="AH52" s="112" t="str">
        <f>LEFT(F2651,1)&amp;RIGHT(F2651,1)</f>
        <v>GL</v>
      </c>
      <c r="AI52" s="112" t="str">
        <f ca="1">G2651</f>
        <v/>
      </c>
      <c r="AJ52" s="112" t="str">
        <f ca="1">I2651</f>
        <v/>
      </c>
      <c r="AK52" s="112" t="s">
        <v>328</v>
      </c>
      <c r="AL52" s="112" t="s">
        <v>796</v>
      </c>
      <c r="AM52" s="112"/>
      <c r="AN52" s="120"/>
      <c r="AO52" s="120"/>
      <c r="AP52" s="120"/>
      <c r="AQ52" s="120"/>
      <c r="AR52" s="120"/>
      <c r="AS52" s="120"/>
      <c r="AT52" s="120"/>
      <c r="AU52" s="120"/>
      <c r="AV52" s="120"/>
      <c r="AW52" s="120"/>
    </row>
    <row r="53" spans="1:49" ht="12.75" customHeight="1" x14ac:dyDescent="0.25">
      <c r="F53" s="212"/>
      <c r="G53" s="212"/>
      <c r="H53" s="212"/>
      <c r="I53" s="212"/>
      <c r="R53" s="1"/>
      <c r="S53" s="11"/>
      <c r="T53" s="11"/>
      <c r="U53" s="11"/>
      <c r="V53" s="11"/>
      <c r="W53" s="11"/>
      <c r="AH53" s="112" t="str">
        <f>LEFT(F2702,1)&amp;RIGHT(F2702,1)</f>
        <v>HK</v>
      </c>
      <c r="AI53" s="112" t="str">
        <f ca="1">G2702</f>
        <v/>
      </c>
      <c r="AJ53" s="112" t="str">
        <f ca="1">I2702</f>
        <v/>
      </c>
      <c r="AK53" s="112" t="s">
        <v>329</v>
      </c>
      <c r="AL53" s="112" t="s">
        <v>797</v>
      </c>
      <c r="AM53" s="112"/>
      <c r="AN53" s="120"/>
      <c r="AO53" s="120"/>
      <c r="AP53" s="120"/>
      <c r="AQ53" s="120"/>
      <c r="AR53" s="120"/>
      <c r="AS53" s="120"/>
      <c r="AT53" s="120"/>
      <c r="AU53" s="120"/>
      <c r="AV53" s="120"/>
      <c r="AW53" s="120"/>
    </row>
    <row r="54" spans="1:49" ht="12.75" customHeight="1" x14ac:dyDescent="0.25">
      <c r="F54" s="212"/>
      <c r="G54" s="212"/>
      <c r="H54" s="212"/>
      <c r="I54" s="212"/>
      <c r="R54" s="1"/>
      <c r="S54" s="11"/>
      <c r="T54" s="11"/>
      <c r="U54" s="11"/>
      <c r="V54" s="11"/>
      <c r="W54" s="11"/>
      <c r="AH54" s="112" t="str">
        <f>LEFT(F2753,1)&amp;RIGHT(F2753,1)</f>
        <v>IJ</v>
      </c>
      <c r="AI54" s="112" t="str">
        <f ca="1">G2753</f>
        <v/>
      </c>
      <c r="AJ54" s="112" t="str">
        <f ca="1">I2753</f>
        <v/>
      </c>
      <c r="AK54" s="112" t="s">
        <v>330</v>
      </c>
      <c r="AL54" s="112" t="s">
        <v>798</v>
      </c>
      <c r="AM54" s="112"/>
      <c r="AN54" s="120"/>
      <c r="AO54" s="120"/>
      <c r="AP54" s="120"/>
      <c r="AQ54" s="120"/>
      <c r="AR54" s="120"/>
      <c r="AS54" s="120"/>
      <c r="AT54" s="120"/>
      <c r="AU54" s="120"/>
      <c r="AV54" s="120"/>
      <c r="AW54" s="120"/>
    </row>
    <row r="55" spans="1:49" ht="12.75" customHeight="1" x14ac:dyDescent="0.25">
      <c r="K55" s="219" t="s">
        <v>176</v>
      </c>
      <c r="L55" s="219"/>
      <c r="M55" s="219"/>
      <c r="N55" s="219"/>
      <c r="O55" s="219"/>
      <c r="P55" s="219"/>
      <c r="R55" s="1"/>
      <c r="S55" s="11"/>
      <c r="T55" s="11"/>
      <c r="U55" s="11"/>
      <c r="V55" s="11"/>
      <c r="W55" s="11"/>
      <c r="AH55" s="112" t="str">
        <f>LEFT(F2804,1)&amp;RIGHT(F2804,1)</f>
        <v>AC</v>
      </c>
      <c r="AI55" s="112" t="str">
        <f ca="1">G2804</f>
        <v/>
      </c>
      <c r="AJ55" s="112" t="str">
        <f ca="1">I2804</f>
        <v/>
      </c>
      <c r="AK55" s="112" t="s">
        <v>331</v>
      </c>
      <c r="AL55" s="112" t="s">
        <v>799</v>
      </c>
      <c r="AM55" s="112"/>
      <c r="AN55" s="120"/>
      <c r="AO55" s="120"/>
      <c r="AP55" s="120"/>
      <c r="AQ55" s="120"/>
      <c r="AR55" s="120"/>
      <c r="AS55" s="120"/>
      <c r="AT55" s="120"/>
      <c r="AU55" s="120"/>
      <c r="AV55" s="120"/>
      <c r="AW55" s="120"/>
    </row>
    <row r="56" spans="1:49" ht="12.75" customHeight="1" x14ac:dyDescent="0.25">
      <c r="A56" s="9" t="s">
        <v>161</v>
      </c>
      <c r="B56"/>
      <c r="C56"/>
      <c r="D56" t="str">
        <f>Draw!$B$1</f>
        <v>Enter Division Name</v>
      </c>
      <c r="E56"/>
      <c r="F56" s="6"/>
      <c r="G56" s="6"/>
      <c r="H56" s="6"/>
      <c r="I56"/>
      <c r="J56"/>
      <c r="K56"/>
      <c r="L56"/>
      <c r="M56" s="219"/>
      <c r="N56" s="219"/>
      <c r="O56" s="219"/>
      <c r="P56" s="219"/>
      <c r="R56" s="1"/>
      <c r="S56" s="11"/>
      <c r="T56" s="11"/>
      <c r="U56" s="11"/>
      <c r="V56" s="11"/>
      <c r="W56" s="11"/>
      <c r="AH56" s="112" t="str">
        <f>LEFT(F2855,1)&amp;RIGHT(F2855,1)</f>
        <v>BD</v>
      </c>
      <c r="AI56" s="112" t="str">
        <f ca="1">G2855</f>
        <v/>
      </c>
      <c r="AJ56" s="112" t="str">
        <f ca="1">I2855</f>
        <v/>
      </c>
      <c r="AK56" s="112" t="s">
        <v>332</v>
      </c>
      <c r="AL56" s="112" t="s">
        <v>800</v>
      </c>
      <c r="AM56" s="112"/>
      <c r="AN56" s="120"/>
      <c r="AO56" s="120"/>
      <c r="AP56" s="120"/>
      <c r="AQ56" s="120"/>
      <c r="AR56" s="120"/>
      <c r="AS56" s="120"/>
      <c r="AT56" s="120"/>
      <c r="AU56" s="120"/>
      <c r="AV56" s="120"/>
      <c r="AW56" s="120"/>
    </row>
    <row r="57" spans="1:49" ht="12.75" customHeight="1" x14ac:dyDescent="0.25">
      <c r="A57" s="2" t="s">
        <v>162</v>
      </c>
      <c r="D57" t="str">
        <f>Draw!$D$1</f>
        <v>Enter Hosting Location (City, ST)</v>
      </c>
      <c r="J57" t="str">
        <f ca="1">$J$6</f>
        <v>[NCTTA Teams Template (v3.4).xlsx]</v>
      </c>
      <c r="R57" s="1"/>
      <c r="S57" s="11"/>
      <c r="T57" s="11"/>
      <c r="U57" s="11"/>
      <c r="V57" s="11"/>
      <c r="W57" s="11"/>
      <c r="AH57" s="112" t="str">
        <f>LEFT(F2906,1)&amp;RIGHT(F2906,1)</f>
        <v>EL</v>
      </c>
      <c r="AI57" s="112" t="str">
        <f ca="1">G2906</f>
        <v/>
      </c>
      <c r="AJ57" s="112" t="str">
        <f ca="1">I2906</f>
        <v/>
      </c>
      <c r="AK57" s="112" t="s">
        <v>333</v>
      </c>
      <c r="AL57" s="112" t="s">
        <v>801</v>
      </c>
      <c r="AM57" s="112"/>
      <c r="AN57" s="120"/>
      <c r="AO57" s="120"/>
      <c r="AP57" s="120"/>
      <c r="AQ57" s="120"/>
      <c r="AR57" s="120"/>
      <c r="AS57" s="120"/>
      <c r="AT57" s="120"/>
      <c r="AU57" s="120"/>
      <c r="AV57" s="120"/>
      <c r="AW57" s="120"/>
    </row>
    <row r="58" spans="1:49" ht="12.75" customHeight="1" x14ac:dyDescent="0.25">
      <c r="A58" s="2" t="s">
        <v>163</v>
      </c>
      <c r="D58" s="275" t="str">
        <f>Draw!$P$1</f>
        <v>Enter Date</v>
      </c>
      <c r="E58" s="275"/>
      <c r="F58" s="275"/>
      <c r="G58" s="275"/>
      <c r="J58" s="244" t="str">
        <f>CHOOSE(Draw!$T$1,"Round 1, Match 2","Round 1, Match 2","Round 1, Match 2","Round 2, Match 1","Round 1, Match 2","Round 1, Match 2","Round 1, Match 2","Round 1, Match 2","Round 1, Match 2","Round 1, Match 2","Round 1, Match 2")</f>
        <v>Round 1, Match 2</v>
      </c>
      <c r="K58" s="244"/>
      <c r="L58" s="244"/>
      <c r="M58" s="277" t="str">
        <f>IF(AND($J58&lt;&gt;"",Draw!$AC$10&lt;&gt;"",Draw!$AC$13&lt;&gt;""),Draw!$AC$10+TIME(0,VALUE(MID($J58,7,FIND(",",$J58)-FIND(" ",$J58)-1)-1)*Draw!$AC$13,0),"")</f>
        <v/>
      </c>
      <c r="N58" s="277"/>
      <c r="O58" s="125" t="str">
        <f>$F101</f>
        <v>B-K</v>
      </c>
      <c r="R58" s="1"/>
      <c r="S58" s="11"/>
      <c r="T58" s="11"/>
      <c r="U58" s="11"/>
      <c r="V58" s="11"/>
      <c r="W58" s="11"/>
      <c r="AH58" s="112" t="str">
        <f>LEFT(F2957,1)&amp;RIGHT(F2957,1)</f>
        <v>FK</v>
      </c>
      <c r="AI58" s="112" t="str">
        <f ca="1">G2957</f>
        <v/>
      </c>
      <c r="AJ58" s="112" t="str">
        <f ca="1">I2957</f>
        <v/>
      </c>
      <c r="AK58" s="112" t="s">
        <v>334</v>
      </c>
      <c r="AL58" s="112" t="s">
        <v>802</v>
      </c>
      <c r="AM58" s="112"/>
      <c r="AN58" s="120"/>
      <c r="AO58" s="120"/>
      <c r="AP58" s="120"/>
      <c r="AQ58" s="120"/>
      <c r="AR58" s="120"/>
      <c r="AS58" s="120"/>
      <c r="AT58" s="120"/>
      <c r="AU58" s="120"/>
      <c r="AV58" s="120"/>
      <c r="AW58" s="120"/>
    </row>
    <row r="59" spans="1:49" ht="12.75" customHeight="1" x14ac:dyDescent="0.25">
      <c r="A59" s="6"/>
      <c r="B59"/>
      <c r="C59"/>
      <c r="D59"/>
      <c r="E59"/>
      <c r="F59" s="6"/>
      <c r="G59" s="6"/>
      <c r="H59" s="11"/>
      <c r="I59" s="6"/>
      <c r="J59"/>
      <c r="K59"/>
      <c r="L59"/>
      <c r="M59"/>
      <c r="N59"/>
      <c r="O59" s="269" t="str">
        <f>IF(OR(AND(VLOOKUP($B60,$AM$1:$AX$12,12,FALSE)="C",VLOOKUP($K60,$AM$1:$AX$12,12,FALSE)="C"),AND(VLOOKUP($B60,$AM$1:$AX$12,12,FALSE)="W",VLOOKUP($K60,$AM$1:$AX$12,12,FALSE)="W")),"Official",IF(AND($A61="",$J61=""),"","Scrimmage"))</f>
        <v/>
      </c>
      <c r="P59" s="269"/>
      <c r="R59" s="1"/>
      <c r="S59" s="11"/>
      <c r="T59" s="11"/>
      <c r="U59" s="11"/>
      <c r="V59" s="11"/>
      <c r="W59" s="11"/>
      <c r="AH59" s="112" t="str">
        <f>LEFT(F3008,1)&amp;RIGHT(F3008,1)</f>
        <v>GJ</v>
      </c>
      <c r="AI59" s="112" t="str">
        <f ca="1">G3008</f>
        <v/>
      </c>
      <c r="AJ59" s="112" t="str">
        <f ca="1">I3008</f>
        <v/>
      </c>
      <c r="AK59" s="112" t="s">
        <v>335</v>
      </c>
      <c r="AL59" s="112" t="s">
        <v>803</v>
      </c>
      <c r="AM59" s="112"/>
      <c r="AN59" s="120"/>
      <c r="AO59" s="120"/>
      <c r="AP59" s="120"/>
      <c r="AQ59" s="120"/>
      <c r="AR59" s="120"/>
      <c r="AS59" s="120"/>
      <c r="AT59" s="120"/>
      <c r="AU59" s="120"/>
      <c r="AV59" s="120"/>
      <c r="AW59" s="120"/>
    </row>
    <row r="60" spans="1:49" ht="12.75" customHeight="1" x14ac:dyDescent="0.25">
      <c r="A60" s="12" t="s">
        <v>160</v>
      </c>
      <c r="B60" s="98" t="str">
        <f>CHOOSE(Draw!$T$1,"B","B","B","A","C","B","C","B","C","B","C")</f>
        <v>B</v>
      </c>
      <c r="C60" s="109">
        <f>VLOOKUP($B60,$AM$1:$AN$12,2)</f>
        <v>2</v>
      </c>
      <c r="D60" s="10"/>
      <c r="E60" s="10"/>
      <c r="F60" s="8"/>
      <c r="H60" s="1" t="s">
        <v>164</v>
      </c>
      <c r="J60" s="12" t="s">
        <v>160</v>
      </c>
      <c r="K60" s="98" t="str">
        <f>CHOOSE(Draw!$T$1,"K","E","D","B","D","E","F","G","H","I","J")</f>
        <v>K</v>
      </c>
      <c r="L60" s="109">
        <f>VLOOKUP($K60,$AM$1:$AN$12,2)</f>
        <v>11</v>
      </c>
      <c r="M60" s="10"/>
      <c r="N60" s="10"/>
      <c r="O60" s="13"/>
      <c r="R60" s="1"/>
      <c r="S60" s="11"/>
      <c r="T60" s="11"/>
      <c r="U60" s="11"/>
      <c r="V60" s="11"/>
      <c r="W60" s="11"/>
      <c r="AH60" s="112" t="str">
        <f>LEFT(F3059,1)&amp;RIGHT(F3059,1)</f>
        <v>HI</v>
      </c>
      <c r="AI60" s="112" t="str">
        <f ca="1">G3059</f>
        <v/>
      </c>
      <c r="AJ60" s="112" t="str">
        <f ca="1">I3059</f>
        <v/>
      </c>
      <c r="AK60" s="112" t="s">
        <v>336</v>
      </c>
      <c r="AL60" s="112" t="s">
        <v>804</v>
      </c>
      <c r="AM60" s="112"/>
      <c r="AN60" s="120"/>
      <c r="AO60" s="120"/>
      <c r="AP60" s="120"/>
      <c r="AQ60" s="120"/>
      <c r="AR60" s="120"/>
      <c r="AS60" s="120"/>
      <c r="AT60" s="120"/>
      <c r="AU60" s="120"/>
      <c r="AV60" s="120"/>
      <c r="AW60" s="120"/>
    </row>
    <row r="61" spans="1:49" ht="12.75" customHeight="1" x14ac:dyDescent="0.25">
      <c r="A61" s="253" t="str">
        <f>IF(VLOOKUP($B60,Draw!$A$4:$B$27,2)&lt;&gt;0,VLOOKUP($B60,Draw!$A$4:$B$27,2),"")</f>
        <v/>
      </c>
      <c r="B61" s="254"/>
      <c r="C61" s="254"/>
      <c r="D61" s="254"/>
      <c r="E61" s="254"/>
      <c r="F61" s="255"/>
      <c r="G61" s="273" t="s">
        <v>405</v>
      </c>
      <c r="H61" s="248"/>
      <c r="I61" s="314"/>
      <c r="J61" s="253" t="str">
        <f>IF(VLOOKUP($K60,Draw!$A$4:$B$27,2)&lt;&gt;0,VLOOKUP($K60,Draw!$A$4:$B$27,2),"")</f>
        <v/>
      </c>
      <c r="K61" s="254"/>
      <c r="L61" s="254"/>
      <c r="M61" s="254"/>
      <c r="N61" s="254"/>
      <c r="O61" s="255"/>
      <c r="P61"/>
      <c r="R61" s="1"/>
      <c r="S61" s="11"/>
      <c r="T61" s="11"/>
      <c r="U61" s="11"/>
      <c r="V61" s="11"/>
      <c r="W61" s="11"/>
      <c r="AH61" s="112" t="str">
        <f>LEFT(F3110,1)&amp;RIGHT(F3110,1)</f>
        <v>AH</v>
      </c>
      <c r="AI61" s="112" t="str">
        <f ca="1">G3110</f>
        <v/>
      </c>
      <c r="AJ61" s="112" t="str">
        <f ca="1">I3110</f>
        <v/>
      </c>
      <c r="AK61" s="112" t="s">
        <v>337</v>
      </c>
      <c r="AL61" s="112" t="s">
        <v>805</v>
      </c>
      <c r="AM61" s="112"/>
      <c r="AN61" s="120"/>
      <c r="AO61" s="120"/>
      <c r="AP61" s="120"/>
      <c r="AQ61" s="120"/>
      <c r="AR61" s="120"/>
      <c r="AS61" s="120"/>
      <c r="AT61" s="120"/>
      <c r="AU61" s="120"/>
      <c r="AV61" s="120"/>
      <c r="AW61" s="120"/>
    </row>
    <row r="62" spans="1:49" ht="12.75" customHeight="1" x14ac:dyDescent="0.25">
      <c r="A62" s="6"/>
      <c r="B62"/>
      <c r="C62"/>
      <c r="D62"/>
      <c r="E62"/>
      <c r="F62" s="6"/>
      <c r="G62" s="248" t="str">
        <f>"Page "&amp;VALUE(RIGHT($G61,LEN($G61)-SEARCH("-",$G61)))/2</f>
        <v>Page 2</v>
      </c>
      <c r="H62" s="249"/>
      <c r="I62" s="249"/>
      <c r="J62"/>
      <c r="K62"/>
      <c r="L62"/>
      <c r="M62"/>
      <c r="N62"/>
      <c r="O62" s="167"/>
      <c r="P62" s="167"/>
      <c r="R62" s="1"/>
      <c r="S62" s="11"/>
      <c r="T62" s="11"/>
      <c r="U62" s="11"/>
      <c r="V62" s="11"/>
      <c r="W62" s="11"/>
      <c r="AF62"/>
      <c r="AH62" s="112" t="str">
        <f>LEFT(F3161,1)&amp;RIGHT(F3161,1)</f>
        <v>GI</v>
      </c>
      <c r="AI62" s="112" t="str">
        <f ca="1">G3161</f>
        <v/>
      </c>
      <c r="AJ62" s="112" t="str">
        <f ca="1">I3161</f>
        <v/>
      </c>
      <c r="AK62" s="112" t="s">
        <v>338</v>
      </c>
      <c r="AL62" s="112" t="s">
        <v>806</v>
      </c>
      <c r="AM62" s="112"/>
      <c r="AN62" s="120"/>
      <c r="AO62" s="120"/>
      <c r="AP62" s="120"/>
      <c r="AQ62" s="120"/>
      <c r="AR62" s="120"/>
      <c r="AS62" s="120"/>
      <c r="AT62" s="120"/>
      <c r="AU62" s="120"/>
      <c r="AV62" s="120"/>
      <c r="AW62" s="120"/>
    </row>
    <row r="63" spans="1:49" ht="12.75" customHeight="1" x14ac:dyDescent="0.25">
      <c r="A63" s="276" t="s">
        <v>177</v>
      </c>
      <c r="B63" s="276"/>
      <c r="C63" s="276"/>
      <c r="D63" s="276"/>
      <c r="E63" s="276"/>
      <c r="F63" s="276"/>
      <c r="G63" s="276"/>
      <c r="H63" s="276"/>
      <c r="I63" s="276"/>
      <c r="J63" s="276"/>
      <c r="K63" s="276"/>
      <c r="L63" s="276"/>
      <c r="M63" s="276"/>
      <c r="N63" s="276"/>
      <c r="O63" s="276"/>
      <c r="P63" s="276"/>
      <c r="Q63" s="6"/>
      <c r="R63" s="1"/>
      <c r="S63" s="11"/>
      <c r="T63" s="11"/>
      <c r="U63" s="11"/>
      <c r="V63" s="11"/>
      <c r="W63" s="11"/>
      <c r="AF63" s="14"/>
      <c r="AH63" s="112" t="str">
        <f>LEFT(F3212,1)&amp;RIGHT(F3212,1)</f>
        <v>FJ</v>
      </c>
      <c r="AI63" s="112" t="str">
        <f ca="1">G3212</f>
        <v/>
      </c>
      <c r="AJ63" s="112" t="str">
        <f ca="1">I3212</f>
        <v/>
      </c>
      <c r="AK63" s="112" t="s">
        <v>339</v>
      </c>
      <c r="AL63" s="112" t="s">
        <v>807</v>
      </c>
      <c r="AM63" s="112"/>
      <c r="AN63" s="120"/>
      <c r="AO63" s="120"/>
      <c r="AP63" s="120"/>
      <c r="AQ63" s="120"/>
      <c r="AR63" s="120"/>
      <c r="AS63" s="120"/>
      <c r="AT63" s="120"/>
      <c r="AU63" s="120"/>
      <c r="AV63" s="120"/>
      <c r="AW63" s="120"/>
    </row>
    <row r="64" spans="1:49" ht="12.75" customHeight="1" x14ac:dyDescent="0.25">
      <c r="A64" s="15" t="s">
        <v>165</v>
      </c>
      <c r="H64" s="110" t="str">
        <f>IF($Q66&lt;&gt;"",IF(AND(AND($H66&gt;-1,$H68&gt;-1),OR($H66&gt;10,$H68&gt;10),ABS($H66-$H68)&gt;1,IF(OR($H66&gt;11,$H68&gt;11),ABS($H66-$H68)=2,TRUE),$H66=INT($H66),$H68=INT($H68)),"","Error"),"")</f>
        <v/>
      </c>
      <c r="I64" s="110" t="str">
        <f>IF($Q66&lt;&gt;"",IF(AND(AND($I66&gt;-1,$I68&gt;-1),OR($I66&gt;10,$I68&gt;10),ABS($I66-$I68)&gt;1,IF(OR($I66&gt;11,$I68&gt;11),ABS($I66-$I68)=2,TRUE),$I66=INT($I66),$I68=INT($I68)),"","Error"),"")</f>
        <v/>
      </c>
      <c r="J64" s="110" t="str">
        <f>IF($Q66&lt;&gt;"",IF(AND(AND($J66&gt;-1,$J68&gt;-1),OR($J66&gt;10,$J68&gt;10),ABS($J66-$J68)&gt;1,IF(OR($J66&gt;11,$J68&gt;11),ABS($J66-$J68)=2,TRUE),$J66=INT($J66),$J68=INT($J68)),"","Error"),"")</f>
        <v/>
      </c>
      <c r="K64" s="110" t="str">
        <f>IF($Q66&lt;&gt;"",IF(AND($K66&lt;&gt;"",$K68&lt;&gt;""), IF(AND(AND($K66&gt;-1,$K68&gt;-1),OR($K66&gt;10,$K68&gt;10),ABS($K66-$K68)&gt;1,IF(OR($K66&gt;11,$K68&gt;11),ABS($K66-$K68)=2,TRUE),$K66=INT($K66),$K68=INT($K68)),"","Error"),""),"")</f>
        <v/>
      </c>
      <c r="L64" s="110" t="str">
        <f>IF($Q66&lt;&gt;"",IF(AND($L66&lt;&gt;"",$L68&lt;&gt;""), IF(AND(AND($L66&gt;-1,$L68&gt;-1),OR($L66&gt;10,$L68&gt;10),ABS($L66-$L68)&gt;1,IF(OR($L66&gt;11,$L68&gt;11),ABS($L66-$L68)=2,TRUE),$L66=INT($L66),$L68=INT($L68)),"","Error"),""),"")</f>
        <v/>
      </c>
      <c r="R64" s="1"/>
      <c r="S64" s="11"/>
      <c r="T64" s="11"/>
      <c r="U64" s="11"/>
      <c r="V64" s="11"/>
      <c r="W64" s="11"/>
      <c r="AH64" s="112" t="str">
        <f>LEFT(F3263,1)&amp;RIGHT(F3263,1)</f>
        <v>EK</v>
      </c>
      <c r="AI64" s="112" t="str">
        <f ca="1">G3263</f>
        <v/>
      </c>
      <c r="AJ64" s="112" t="str">
        <f ca="1">I3263</f>
        <v/>
      </c>
      <c r="AK64" s="112" t="s">
        <v>340</v>
      </c>
      <c r="AL64" s="112" t="s">
        <v>808</v>
      </c>
      <c r="AM64" s="112"/>
      <c r="AN64" s="120"/>
      <c r="AO64" s="120"/>
      <c r="AP64" s="120"/>
      <c r="AQ64" s="120"/>
      <c r="AR64" s="120"/>
      <c r="AS64" s="120"/>
      <c r="AT64" s="120"/>
      <c r="AU64" s="120"/>
      <c r="AV64" s="120"/>
      <c r="AW64" s="120"/>
    </row>
    <row r="65" spans="1:49" ht="12.75" customHeight="1" x14ac:dyDescent="0.25">
      <c r="A65" s="5" t="s">
        <v>160</v>
      </c>
      <c r="B65" s="256" t="s">
        <v>58</v>
      </c>
      <c r="C65" s="257"/>
      <c r="D65" s="257"/>
      <c r="E65" s="257"/>
      <c r="F65" s="257"/>
      <c r="G65" s="258"/>
      <c r="H65" s="5">
        <v>1</v>
      </c>
      <c r="I65" s="5">
        <v>2</v>
      </c>
      <c r="J65" s="5">
        <v>3</v>
      </c>
      <c r="K65" s="5">
        <v>4</v>
      </c>
      <c r="L65" s="5">
        <v>5</v>
      </c>
      <c r="M65" s="270"/>
      <c r="N65" s="271"/>
      <c r="O65" s="271"/>
      <c r="P65" s="272"/>
      <c r="R65" s="1"/>
      <c r="S65" s="11"/>
      <c r="T65" s="11"/>
      <c r="U65" s="11"/>
      <c r="V65" s="11"/>
      <c r="W65" s="11"/>
      <c r="AH65" s="112" t="str">
        <f>LEFT(F3314,1)&amp;RIGHT(F3314,1)</f>
        <v>DL</v>
      </c>
      <c r="AI65" s="112" t="str">
        <f ca="1">G3314</f>
        <v/>
      </c>
      <c r="AJ65" s="112" t="str">
        <f ca="1">I3314</f>
        <v/>
      </c>
      <c r="AK65" s="112" t="s">
        <v>341</v>
      </c>
      <c r="AL65" s="112" t="s">
        <v>809</v>
      </c>
      <c r="AM65" s="120"/>
      <c r="AN65" s="120"/>
      <c r="AO65" s="120"/>
      <c r="AP65" s="120"/>
      <c r="AQ65" s="120"/>
      <c r="AR65" s="120"/>
      <c r="AS65" s="120"/>
      <c r="AT65" s="120"/>
      <c r="AU65" s="120"/>
      <c r="AV65" s="120"/>
      <c r="AW65" s="120"/>
    </row>
    <row r="66" spans="1:49" ht="12.75" customHeight="1" x14ac:dyDescent="0.25">
      <c r="A66" s="259" t="str">
        <f>B60</f>
        <v>B</v>
      </c>
      <c r="B66" s="236" t="str">
        <f ca="1">IF(AND(OFFSET($AO$1,$C60-1,8,1,1),$A61&lt;&gt;"",$J61&lt;&gt;""),CHOOSE($C60,$AO$1,$AO$2,$AO$3,$AO$4,$AO$5,$AO$6,$AO$7,$AO$8,$AO$9,$AO$10,$AO$11,$AO$12),"")</f>
        <v/>
      </c>
      <c r="C66" s="237"/>
      <c r="D66" s="237"/>
      <c r="E66" s="237"/>
      <c r="F66" s="237"/>
      <c r="G66" s="237"/>
      <c r="H66" s="233"/>
      <c r="I66" s="233"/>
      <c r="J66" s="233"/>
      <c r="K66" s="233"/>
      <c r="L66" s="233"/>
      <c r="M66" s="321"/>
      <c r="N66" s="322"/>
      <c r="O66" s="322"/>
      <c r="P66" s="323"/>
      <c r="Q66" s="40" t="str">
        <f>IF($L66=$L68,IF($K66=$K68,IF($J66&lt;&gt;"",IF($J66&gt;$J68,"W","L"),""),IF($K66&gt;$K68,"W","L")),IF($L66&gt;$L68,"W","L"))</f>
        <v/>
      </c>
      <c r="R66" s="1"/>
      <c r="S66" s="11"/>
      <c r="T66" s="11"/>
      <c r="U66" s="11"/>
      <c r="V66" s="11"/>
      <c r="W66" s="11"/>
      <c r="AH66" s="112" t="str">
        <f>LEFT(F3365,1)&amp;RIGHT(F3365,1)</f>
        <v>BC</v>
      </c>
      <c r="AI66" s="112" t="str">
        <f ca="1">G3365</f>
        <v/>
      </c>
      <c r="AJ66" s="112" t="str">
        <f ca="1">I3365</f>
        <v/>
      </c>
      <c r="AK66" s="112" t="s">
        <v>342</v>
      </c>
      <c r="AL66" s="112" t="s">
        <v>810</v>
      </c>
      <c r="AM66" s="120"/>
      <c r="AN66" s="120"/>
      <c r="AO66" s="120"/>
      <c r="AP66" s="120"/>
      <c r="AQ66" s="120"/>
      <c r="AR66" s="120"/>
      <c r="AS66" s="120"/>
      <c r="AT66" s="120"/>
      <c r="AU66" s="120"/>
      <c r="AV66" s="120"/>
      <c r="AW66" s="120"/>
    </row>
    <row r="67" spans="1:49" ht="12.75" customHeight="1" x14ac:dyDescent="0.3">
      <c r="A67" s="260"/>
      <c r="B67" s="238"/>
      <c r="C67" s="239"/>
      <c r="D67" s="239"/>
      <c r="E67" s="239"/>
      <c r="F67" s="239"/>
      <c r="G67" s="239"/>
      <c r="H67" s="234"/>
      <c r="I67" s="234"/>
      <c r="J67" s="234"/>
      <c r="K67" s="234"/>
      <c r="L67" s="234"/>
      <c r="M67" s="324"/>
      <c r="N67" s="325"/>
      <c r="O67" s="325"/>
      <c r="P67" s="326"/>
      <c r="Q67" s="110" t="str">
        <f>IF($Q66&lt;&gt;"",IF($Q66="W",IF(SUM(IF($H66&gt;$H68,1,0),IF($I66&gt;$I68,1,0),IF($J66&gt;$J68,1,0),IF($K66&gt;$K68,1,0),IF($L66&gt;$L68,1,0))&lt;&gt;3,"Error",""),""),"")</f>
        <v/>
      </c>
      <c r="R67" s="295" t="str">
        <f>$A61</f>
        <v/>
      </c>
      <c r="S67" s="295"/>
      <c r="T67" s="295"/>
      <c r="U67" s="295"/>
      <c r="V67" s="295"/>
      <c r="W67" s="295"/>
      <c r="X67" s="219" t="str">
        <f>CONCATENATE("(",$B60," vs ",$K60,")")</f>
        <v>(B vs K)</v>
      </c>
      <c r="Y67" s="219"/>
      <c r="Z67" s="295" t="str">
        <f>$J61</f>
        <v/>
      </c>
      <c r="AA67" s="295"/>
      <c r="AB67" s="295"/>
      <c r="AC67" s="295"/>
      <c r="AD67" s="295"/>
      <c r="AE67" s="295"/>
      <c r="AF67"/>
      <c r="AI67" s="104"/>
      <c r="AJ67" s="104"/>
      <c r="AK67" s="104"/>
      <c r="AL67" s="104"/>
    </row>
    <row r="68" spans="1:49" ht="12.75" customHeight="1" x14ac:dyDescent="0.3">
      <c r="A68" s="259" t="str">
        <f>K60</f>
        <v>K</v>
      </c>
      <c r="B68" s="236" t="str">
        <f ca="1">IF(AND(OFFSET($AO$1,$L60-1,8,1,1),$A61&lt;&gt;"",$J61&lt;&gt;""),CHOOSE($L60,$AO$1,$AO$2,$AO$3,$AO$4,$AO$5,$AO$6,$AO$7,$AO$8,$AO$9,$AO$10,$AO$11,$AO$12),"")</f>
        <v/>
      </c>
      <c r="C68" s="237"/>
      <c r="D68" s="237"/>
      <c r="E68" s="237"/>
      <c r="F68" s="237"/>
      <c r="G68" s="237"/>
      <c r="H68" s="233"/>
      <c r="I68" s="233"/>
      <c r="J68" s="233"/>
      <c r="K68" s="233"/>
      <c r="L68" s="233"/>
      <c r="M68" s="315" t="s">
        <v>169</v>
      </c>
      <c r="N68" s="316"/>
      <c r="O68" s="316"/>
      <c r="P68" s="317"/>
      <c r="Q68" s="40" t="str">
        <f>IF($Q66&lt;&gt;"",IF($Q66="W","L","W"),"")</f>
        <v/>
      </c>
      <c r="R68"/>
      <c r="S68"/>
      <c r="T68"/>
      <c r="U68"/>
      <c r="V68"/>
      <c r="W68"/>
      <c r="X68"/>
      <c r="Y68"/>
      <c r="Z68"/>
      <c r="AA68"/>
      <c r="AB68"/>
      <c r="AC68"/>
      <c r="AD68"/>
      <c r="AE68"/>
      <c r="AF68"/>
      <c r="AI68" s="104"/>
      <c r="AJ68" s="104"/>
      <c r="AK68" s="104"/>
      <c r="AL68" s="104"/>
    </row>
    <row r="69" spans="1:49" ht="12.75" customHeight="1" x14ac:dyDescent="0.3">
      <c r="A69" s="260"/>
      <c r="B69" s="238"/>
      <c r="C69" s="239"/>
      <c r="D69" s="239"/>
      <c r="E69" s="239"/>
      <c r="F69" s="239"/>
      <c r="G69" s="239"/>
      <c r="H69" s="234"/>
      <c r="I69" s="234"/>
      <c r="J69" s="235"/>
      <c r="K69" s="235"/>
      <c r="L69" s="235"/>
      <c r="M69" s="318"/>
      <c r="N69" s="319"/>
      <c r="O69" s="319"/>
      <c r="P69" s="320"/>
      <c r="Q69" s="110" t="str">
        <f>IF($Q68&lt;&gt;"",IF($Q68="W",IF(SUM(IF($H68&gt;$H66,1,0),IF($I68&gt;$I66,1,0),IF($J68&gt;$J66,1,0),IF($K68&gt;$K66,1,0),IF($L68&gt;$L66,1,0))&lt;&gt;3,"Error",""),""),"")</f>
        <v/>
      </c>
      <c r="R69" t="str">
        <f>$A71</f>
        <v>2nd Singles</v>
      </c>
      <c r="S69"/>
      <c r="T69"/>
      <c r="U69"/>
      <c r="V69"/>
      <c r="W69"/>
      <c r="X69"/>
      <c r="Y69"/>
      <c r="Z69"/>
      <c r="AA69"/>
      <c r="AB69"/>
      <c r="AC69"/>
      <c r="AD69"/>
      <c r="AE69"/>
      <c r="AF69"/>
      <c r="AI69" s="104"/>
      <c r="AJ69" s="104"/>
      <c r="AK69" s="104"/>
      <c r="AL69" s="104"/>
    </row>
    <row r="70" spans="1:49" ht="12.75" customHeight="1" x14ac:dyDescent="0.3">
      <c r="Q70" s="6"/>
      <c r="R70" s="47" t="s">
        <v>160</v>
      </c>
      <c r="S70" s="304" t="s">
        <v>58</v>
      </c>
      <c r="T70" s="305"/>
      <c r="U70" s="305"/>
      <c r="V70" s="305"/>
      <c r="W70" s="305"/>
      <c r="X70" s="306"/>
      <c r="Y70" s="47">
        <v>1</v>
      </c>
      <c r="Z70" s="47">
        <v>2</v>
      </c>
      <c r="AA70" s="47">
        <v>3</v>
      </c>
      <c r="AB70" s="47">
        <v>4</v>
      </c>
      <c r="AC70" s="47">
        <v>5</v>
      </c>
      <c r="AD70" s="286"/>
      <c r="AE70" s="287"/>
      <c r="AF70" s="288"/>
      <c r="AI70" s="104"/>
      <c r="AJ70" s="104"/>
      <c r="AK70" s="104"/>
      <c r="AL70" s="104"/>
    </row>
    <row r="71" spans="1:49" ht="12.75" customHeight="1" x14ac:dyDescent="0.3">
      <c r="A71" s="15" t="s">
        <v>166</v>
      </c>
      <c r="H71" s="110" t="str">
        <f>IF($Q73&lt;&gt;"",IF(AND(AND($H73&gt;-1,$H75&gt;-1),OR($H73&gt;10,$H75&gt;10),ABS($H73-$H75)&gt;1,IF(OR($H73&gt;11,$H75&gt;11),ABS($H73-$H75)=2,TRUE),$H73=INT($H73),$H75=INT($H75)),"","Error"),"")</f>
        <v/>
      </c>
      <c r="I71" s="110" t="str">
        <f>IF($Q73&lt;&gt;"",IF(AND(AND($I73&gt;-1,$I75&gt;-1),OR($I73&gt;10,$I75&gt;10),ABS($I73-$I75)&gt;1,IF(OR($I73&gt;11,$I75&gt;11),ABS($I73-$I75)=2,TRUE),$I73=INT($I73),$I75=INT($I75)),"","Error"),"")</f>
        <v/>
      </c>
      <c r="J71" s="110" t="str">
        <f>IF($Q73&lt;&gt;"",IF(AND(AND($J73&gt;-1,$J75&gt;-1),OR($J73&gt;10,$J75&gt;10),ABS($J73-$J75)&gt;1,IF(OR($J73&gt;11,$J75&gt;11),ABS($J73-$J75)=2,TRUE),$J73=INT($J73),$J75=INT($J75)),"","Error"),"")</f>
        <v/>
      </c>
      <c r="K71" s="110" t="str">
        <f>IF($Q73&lt;&gt;"",IF(AND($K73&lt;&gt;"",$K75&lt;&gt;""), IF(AND(AND($K73&gt;-1,$K75&gt;-1),OR($K73&gt;10,$K75&gt;10),ABS($K73-$K75)&gt;1,IF(OR($K73&gt;11,$K75&gt;11),ABS($K73-$K75)=2,TRUE),$K73=INT($K73),$K75=INT($K75)),"","Error"),""),"")</f>
        <v/>
      </c>
      <c r="L71" s="110" t="str">
        <f>IF($Q73&lt;&gt;"",IF(AND($L73&lt;&gt;"",$L75&lt;&gt;""), IF(AND(AND($L73&gt;-1,$L75&gt;-1),OR($L73&gt;10,$L75&gt;10),ABS($L73-$L75)&gt;1,IF(OR($L73&gt;11,$L75&gt;11),ABS($L73-$L75)=2,TRUE),$L73=INT($L73),$L75=INT($L75)),"","Error"),""),"")</f>
        <v/>
      </c>
      <c r="Q71" s="6"/>
      <c r="R71" s="259" t="str">
        <f>$B60</f>
        <v>B</v>
      </c>
      <c r="S71" s="307" t="str">
        <f ca="1">IF($B73&lt;&gt;"",$B73,"")</f>
        <v/>
      </c>
      <c r="T71" s="308"/>
      <c r="U71" s="308"/>
      <c r="V71" s="308"/>
      <c r="W71" s="308"/>
      <c r="X71" s="309"/>
      <c r="Y71" s="284"/>
      <c r="Z71" s="284"/>
      <c r="AA71" s="284"/>
      <c r="AB71" s="284"/>
      <c r="AC71" s="284"/>
      <c r="AD71" s="296"/>
      <c r="AE71" s="290"/>
      <c r="AF71" s="291"/>
      <c r="AI71" s="104"/>
      <c r="AJ71" s="104"/>
      <c r="AK71" s="104"/>
      <c r="AL71" s="104"/>
    </row>
    <row r="72" spans="1:49" ht="12.75" customHeight="1" x14ac:dyDescent="0.3">
      <c r="A72" s="5" t="s">
        <v>160</v>
      </c>
      <c r="B72" s="256" t="s">
        <v>58</v>
      </c>
      <c r="C72" s="257"/>
      <c r="D72" s="257"/>
      <c r="E72" s="257"/>
      <c r="F72" s="257"/>
      <c r="G72" s="258"/>
      <c r="H72" s="5">
        <v>1</v>
      </c>
      <c r="I72" s="5">
        <v>2</v>
      </c>
      <c r="J72" s="5">
        <v>3</v>
      </c>
      <c r="K72" s="5">
        <v>4</v>
      </c>
      <c r="L72" s="5">
        <v>5</v>
      </c>
      <c r="M72" s="270"/>
      <c r="N72" s="271"/>
      <c r="O72" s="271"/>
      <c r="P72" s="272"/>
      <c r="Q72" s="6"/>
      <c r="R72" s="285"/>
      <c r="S72" s="310"/>
      <c r="T72" s="311"/>
      <c r="U72" s="311"/>
      <c r="V72" s="311"/>
      <c r="W72" s="311"/>
      <c r="X72" s="312"/>
      <c r="Y72" s="285"/>
      <c r="Z72" s="285"/>
      <c r="AA72" s="285"/>
      <c r="AB72" s="285"/>
      <c r="AC72" s="285"/>
      <c r="AD72" s="292"/>
      <c r="AE72" s="293"/>
      <c r="AF72" s="294"/>
      <c r="AI72" s="104"/>
      <c r="AJ72" s="104"/>
      <c r="AK72" s="104"/>
      <c r="AL72" s="104"/>
    </row>
    <row r="73" spans="1:49" ht="12.75" customHeight="1" x14ac:dyDescent="0.3">
      <c r="A73" s="259" t="str">
        <f>B60</f>
        <v>B</v>
      </c>
      <c r="B73" s="236" t="str">
        <f ca="1">IF(AND(OFFSET($AO$1,$C60-1,8,1,1),$A61&lt;&gt;"",$J61&lt;&gt;""),CHOOSE($C60,$AP$1,$AP$2,$AP$3,$AP$4,$AP$5,$AP$6,$AP$7,$AP$8,$AP$9,$AP$10,$AP$11,$AP$12),"")</f>
        <v/>
      </c>
      <c r="C73" s="237"/>
      <c r="D73" s="237"/>
      <c r="E73" s="237"/>
      <c r="F73" s="237"/>
      <c r="G73" s="237"/>
      <c r="H73" s="233"/>
      <c r="I73" s="233"/>
      <c r="J73" s="233"/>
      <c r="K73" s="233"/>
      <c r="L73" s="233"/>
      <c r="M73" s="245" t="str">
        <f ca="1">IF(OR(AND($B66&lt;&gt;"",$B73&lt;&gt;"",$C91&lt;=$B91),AND($B68&lt;&gt;"",$B75&lt;&gt;"",$G91&lt;=$F91)),"Invalid Lineup","")</f>
        <v/>
      </c>
      <c r="N73" s="246"/>
      <c r="O73" s="246"/>
      <c r="P73" s="247"/>
      <c r="Q73" s="40" t="str">
        <f>IF($L73=$L75,IF($K73=$K75,IF($J73&lt;&gt;"",IF($J73&gt;$J75,"W","L"),""),IF($K73&gt;$K75,"W","L")),IF($L73&gt;$L75,"W","L"))</f>
        <v/>
      </c>
      <c r="R73" s="259" t="str">
        <f>$K60</f>
        <v>K</v>
      </c>
      <c r="S73" s="307" t="str">
        <f ca="1">IF($B75&lt;&gt;"",$B75,"")</f>
        <v/>
      </c>
      <c r="T73" s="308"/>
      <c r="U73" s="308"/>
      <c r="V73" s="308"/>
      <c r="W73" s="308"/>
      <c r="X73" s="309"/>
      <c r="Y73" s="284"/>
      <c r="Z73" s="284"/>
      <c r="AA73" s="284"/>
      <c r="AB73" s="284"/>
      <c r="AC73" s="297"/>
      <c r="AD73" s="289" t="s">
        <v>169</v>
      </c>
      <c r="AE73" s="290"/>
      <c r="AF73" s="291"/>
      <c r="AI73" s="104"/>
      <c r="AJ73" s="104"/>
      <c r="AK73" s="104"/>
      <c r="AL73" s="104"/>
    </row>
    <row r="74" spans="1:49" ht="12.75" customHeight="1" x14ac:dyDescent="0.3">
      <c r="A74" s="260"/>
      <c r="B74" s="238"/>
      <c r="C74" s="239"/>
      <c r="D74" s="239"/>
      <c r="E74" s="239"/>
      <c r="F74" s="239"/>
      <c r="G74" s="239"/>
      <c r="H74" s="234"/>
      <c r="I74" s="234"/>
      <c r="J74" s="234"/>
      <c r="K74" s="234"/>
      <c r="L74" s="234"/>
      <c r="M74" s="245"/>
      <c r="N74" s="246"/>
      <c r="O74" s="246"/>
      <c r="P74" s="247"/>
      <c r="Q74" s="110" t="str">
        <f>IF($Q73&lt;&gt;"",IF($Q73="W",IF(SUM(IF($H73&gt;$H75,1,0),IF($I73&gt;$I75,1,0),IF($J73&gt;$J75,1,0),IF($K73&gt;$K75,1,0),IF($L73&gt;$L75,1,0))&lt;&gt;3,"Error",""),""),"")</f>
        <v/>
      </c>
      <c r="R74" s="285"/>
      <c r="S74" s="310"/>
      <c r="T74" s="311"/>
      <c r="U74" s="311"/>
      <c r="V74" s="311"/>
      <c r="W74" s="311"/>
      <c r="X74" s="312"/>
      <c r="Y74" s="285"/>
      <c r="Z74" s="285"/>
      <c r="AA74" s="285"/>
      <c r="AB74" s="285"/>
      <c r="AC74" s="285"/>
      <c r="AD74" s="292"/>
      <c r="AE74" s="293"/>
      <c r="AF74" s="294"/>
      <c r="AI74" s="104"/>
      <c r="AJ74" s="104"/>
      <c r="AK74" s="104"/>
      <c r="AL74" s="104"/>
    </row>
    <row r="75" spans="1:49" ht="12.75" customHeight="1" x14ac:dyDescent="0.3">
      <c r="A75" s="259" t="str">
        <f>K60</f>
        <v>K</v>
      </c>
      <c r="B75" s="236" t="str">
        <f ca="1">IF(AND(OFFSET($AO$1,$L60-1,8,1,1),$A61&lt;&gt;"",$J61&lt;&gt;""),CHOOSE($L60,$AP$1,$AP$2,$AP$3,$AP$4,$AP$5,$AP$6,$AP$7,$AP$8,$AP$9,$AP$10,$AP$11,$AP$12),"")</f>
        <v/>
      </c>
      <c r="C75" s="237"/>
      <c r="D75" s="237"/>
      <c r="E75" s="237"/>
      <c r="F75" s="237"/>
      <c r="G75" s="237"/>
      <c r="H75" s="233"/>
      <c r="I75" s="233"/>
      <c r="J75" s="233"/>
      <c r="K75" s="233"/>
      <c r="L75" s="233"/>
      <c r="M75" s="250" t="s">
        <v>169</v>
      </c>
      <c r="N75" s="251"/>
      <c r="O75" s="251"/>
      <c r="P75" s="252"/>
      <c r="Q75" s="40" t="str">
        <f>IF($Q73&lt;&gt;"",IF($Q73="W","L","W"),"")</f>
        <v/>
      </c>
      <c r="R75" s="14"/>
      <c r="S75" s="14"/>
      <c r="T75" s="14"/>
      <c r="U75" s="14"/>
      <c r="V75" s="14"/>
      <c r="W75" s="14"/>
      <c r="X75" s="7"/>
      <c r="Y75" s="7"/>
      <c r="Z75" s="14"/>
      <c r="AA75" s="14"/>
      <c r="AB75" s="14"/>
      <c r="AC75" s="14"/>
      <c r="AD75" s="14"/>
      <c r="AE75" s="14"/>
      <c r="AF75"/>
      <c r="AI75" s="104"/>
      <c r="AJ75" s="104"/>
      <c r="AK75" s="104"/>
      <c r="AL75" s="104"/>
    </row>
    <row r="76" spans="1:49" ht="12.75" customHeight="1" x14ac:dyDescent="0.3">
      <c r="A76" s="260"/>
      <c r="B76" s="238"/>
      <c r="C76" s="239"/>
      <c r="D76" s="239"/>
      <c r="E76" s="239"/>
      <c r="F76" s="239"/>
      <c r="G76" s="239"/>
      <c r="H76" s="234"/>
      <c r="I76" s="234"/>
      <c r="J76" s="235"/>
      <c r="K76" s="235"/>
      <c r="L76" s="235"/>
      <c r="M76" s="250"/>
      <c r="N76" s="251"/>
      <c r="O76" s="251"/>
      <c r="P76" s="252"/>
      <c r="Q76" s="110" t="str">
        <f>IF($Q75&lt;&gt;"",IF($Q75="W",IF(SUM(IF($H75&gt;$H73,1,0),IF($I75&gt;$I73,1,0),IF($J75&gt;$J73,1,0),IF($K75&gt;$K73,1,0),IF($L75&gt;$L73,1,0))&lt;&gt;3,"Error",""),""),"")</f>
        <v/>
      </c>
      <c r="R76" s="14"/>
      <c r="S76" s="14"/>
      <c r="T76" s="14"/>
      <c r="U76" s="14"/>
      <c r="V76" s="14"/>
      <c r="W76" s="14"/>
      <c r="X76" s="7"/>
      <c r="Y76" s="7"/>
      <c r="Z76" s="14"/>
      <c r="AA76" s="14"/>
      <c r="AB76" s="14"/>
      <c r="AC76" s="14"/>
      <c r="AD76" s="14"/>
      <c r="AE76" s="14"/>
      <c r="AF76"/>
      <c r="AI76" s="104"/>
      <c r="AJ76" s="104"/>
      <c r="AK76" s="104"/>
      <c r="AL76" s="104"/>
    </row>
    <row r="77" spans="1:49" ht="12.75" customHeight="1" x14ac:dyDescent="0.3">
      <c r="Q77" s="6"/>
      <c r="R77" s="14"/>
      <c r="S77" s="14"/>
      <c r="T77" s="14"/>
      <c r="U77" s="14"/>
      <c r="V77" s="14"/>
      <c r="W77" s="14"/>
      <c r="X77" s="7"/>
      <c r="Y77" s="7"/>
      <c r="Z77" s="14"/>
      <c r="AA77" s="14"/>
      <c r="AB77" s="14"/>
      <c r="AC77" s="14"/>
      <c r="AD77" s="14"/>
      <c r="AE77" s="14"/>
      <c r="AF77"/>
      <c r="AI77" s="104"/>
      <c r="AJ77" s="104"/>
      <c r="AK77" s="104"/>
      <c r="AL77" s="104"/>
    </row>
    <row r="78" spans="1:49" ht="12.75" customHeight="1" x14ac:dyDescent="0.3">
      <c r="A78" s="15" t="s">
        <v>167</v>
      </c>
      <c r="H78" s="110" t="str">
        <f>IF($Q80&lt;&gt;"",IF(AND(AND($H80&gt;-1,$H82&gt;-1),OR($H80&gt;10,$H82&gt;10),ABS($H80-$H82)&gt;1,IF(OR($H80&gt;11,$H82&gt;11),ABS($H80-$H82)=2,TRUE),$H80=INT($H80),$H82=INT($H82)),"","Error"),"")</f>
        <v/>
      </c>
      <c r="I78" s="110" t="str">
        <f>IF($Q80&lt;&gt;"",IF(AND(AND($I80&gt;-1,$I82&gt;-1),OR($I80&gt;10,$I82&gt;10),ABS($I80-$I82)&gt;1,IF(OR($I80&gt;11,$I82&gt;11),ABS($I80-$I82)=2,TRUE),$I80=INT($I80),$I82=INT($I82)),"","Error"),"")</f>
        <v/>
      </c>
      <c r="J78" s="110" t="str">
        <f>IF($Q80&lt;&gt;"",IF(AND(AND($J80&gt;-1,$J82&gt;-1),OR($J80&gt;10,$J82&gt;10),ABS($J80-$J82)&gt;1,IF(OR($J80&gt;11,$J82&gt;11),ABS($J80-$J82)=2,TRUE),$J80=INT($J80),$J82=INT($J82)),"","Error"),"")</f>
        <v/>
      </c>
      <c r="K78" s="110" t="str">
        <f>IF($Q80&lt;&gt;"",IF(AND($K80&lt;&gt;"",$K82&lt;&gt;""), IF(AND(AND($K80&gt;-1,$K82&gt;-1),OR($K80&gt;10,$K82&gt;10),ABS($K80-$K82)&gt;1,IF(OR($K80&gt;11,$K82&gt;11),ABS($K80-$K82)=2,TRUE),$K80=INT($K80),$K82=INT($K82)),"","Error"),""),"")</f>
        <v/>
      </c>
      <c r="L78" s="110" t="str">
        <f>IF($Q80&lt;&gt;"",IF(AND($L80&lt;&gt;"",$L82&lt;&gt;""), IF(AND(AND($L80&gt;-1,$L82&gt;-1),OR($L80&gt;10,$L82&gt;10),ABS($L80-$L82)&gt;1,IF(OR($L80&gt;11,$L82&gt;11),ABS($L80-$L82)=2,TRUE),$L80=INT($L80),$L82=INT($L82)),"","Error"),""),"")</f>
        <v/>
      </c>
      <c r="Q78" s="6"/>
      <c r="R78" s="14"/>
      <c r="S78" s="14"/>
      <c r="T78" s="14"/>
      <c r="U78" s="14"/>
      <c r="V78" s="14"/>
      <c r="W78" s="14"/>
      <c r="X78" s="7"/>
      <c r="Y78" s="7"/>
      <c r="Z78" s="14"/>
      <c r="AA78" s="14"/>
      <c r="AB78" s="14"/>
      <c r="AC78" s="14"/>
      <c r="AD78" s="14"/>
      <c r="AE78" s="14"/>
      <c r="AF78"/>
      <c r="AI78" s="104"/>
      <c r="AJ78" s="104"/>
      <c r="AK78" s="104"/>
      <c r="AL78" s="104"/>
    </row>
    <row r="79" spans="1:49" ht="12.75" customHeight="1" x14ac:dyDescent="0.25">
      <c r="A79" s="5" t="s">
        <v>160</v>
      </c>
      <c r="B79" s="256" t="s">
        <v>58</v>
      </c>
      <c r="C79" s="257"/>
      <c r="D79" s="257"/>
      <c r="E79" s="257"/>
      <c r="F79" s="257"/>
      <c r="G79" s="258"/>
      <c r="H79" s="5">
        <v>1</v>
      </c>
      <c r="I79" s="5">
        <v>2</v>
      </c>
      <c r="J79" s="5">
        <v>3</v>
      </c>
      <c r="K79" s="5">
        <v>4</v>
      </c>
      <c r="L79" s="5">
        <v>5</v>
      </c>
      <c r="M79" s="270"/>
      <c r="N79" s="271"/>
      <c r="O79" s="271"/>
      <c r="P79" s="272"/>
      <c r="Q79" s="6"/>
      <c r="R79" s="14"/>
      <c r="S79" s="14"/>
      <c r="T79" s="14"/>
      <c r="U79" s="14"/>
      <c r="V79" s="14"/>
      <c r="W79" s="14"/>
      <c r="X79" s="7"/>
      <c r="Y79" s="7"/>
      <c r="Z79" s="14"/>
      <c r="AA79" s="14"/>
      <c r="AB79" s="14"/>
      <c r="AC79" s="14"/>
      <c r="AD79" s="14"/>
      <c r="AE79" s="14"/>
      <c r="AF79"/>
      <c r="AI79" s="105"/>
      <c r="AJ79" s="103"/>
      <c r="AK79" s="103"/>
      <c r="AL79" s="103"/>
    </row>
    <row r="80" spans="1:49" ht="12.75" customHeight="1" x14ac:dyDescent="0.25">
      <c r="A80" s="259" t="str">
        <f>B60</f>
        <v>B</v>
      </c>
      <c r="B80" s="236" t="str">
        <f ca="1">IF(AND(OFFSET($AO$1,$C60-1,8,1,1),$A61&lt;&gt;"",$J61&lt;&gt;""),CHOOSE($C60,$AQ$1,$AQ$2,$AQ$3,$AQ$4,$AQ$5,$AQ$6,$AQ$7,$AQ$8,$AQ$9,$AQ$10,$AQ$11,$AQ$12),"")</f>
        <v/>
      </c>
      <c r="C80" s="237"/>
      <c r="D80" s="237"/>
      <c r="E80" s="237"/>
      <c r="F80" s="237"/>
      <c r="G80" s="237"/>
      <c r="H80" s="233"/>
      <c r="I80" s="233"/>
      <c r="J80" s="233"/>
      <c r="K80" s="233"/>
      <c r="L80" s="233"/>
      <c r="M80" s="245" t="str">
        <f ca="1">IF(OR(AND($B73&lt;&gt;"",$B80&lt;&gt;"",$D91&lt;=$C91),AND($B75&lt;&gt;"",$B82&lt;&gt;"",$H91&lt;=$G91)),"Invalid Lineup","")</f>
        <v/>
      </c>
      <c r="N80" s="246"/>
      <c r="O80" s="246"/>
      <c r="P80" s="247"/>
      <c r="Q80" s="40" t="str">
        <f>IF($L80=$L82,IF($K80=$K82,IF($J80&lt;&gt;"",IF($J80&gt;$J82,"W","L"),""),IF($K80&gt;$K82,"W","L")),IF($L80&gt;$L82,"W","L"))</f>
        <v/>
      </c>
      <c r="R80" s="14"/>
      <c r="S80" s="14"/>
      <c r="T80" s="14"/>
      <c r="U80" s="14"/>
      <c r="V80" s="14"/>
      <c r="W80" s="14"/>
      <c r="X80" s="7"/>
      <c r="Y80" s="7"/>
      <c r="Z80" s="14"/>
      <c r="AA80" s="14"/>
      <c r="AB80" s="14"/>
      <c r="AC80" s="14"/>
      <c r="AD80" s="14"/>
      <c r="AE80" s="14"/>
      <c r="AF80"/>
    </row>
    <row r="81" spans="1:32" ht="12.75" customHeight="1" x14ac:dyDescent="0.25">
      <c r="A81" s="260"/>
      <c r="B81" s="238"/>
      <c r="C81" s="239"/>
      <c r="D81" s="239"/>
      <c r="E81" s="239"/>
      <c r="F81" s="239"/>
      <c r="G81" s="239"/>
      <c r="H81" s="234"/>
      <c r="I81" s="234"/>
      <c r="J81" s="234"/>
      <c r="K81" s="234"/>
      <c r="L81" s="234"/>
      <c r="M81" s="245"/>
      <c r="N81" s="246"/>
      <c r="O81" s="246"/>
      <c r="P81" s="247"/>
      <c r="Q81" s="110" t="str">
        <f>IF($Q80&lt;&gt;"",IF($Q80="W",IF(SUM(IF($H80&gt;$H82,1,0),IF($I80&gt;$I82,1,0),IF($J80&gt;$J82,1,0),IF($K80&gt;$K82,1,0),IF($L80&gt;$L82,1,0))&lt;&gt;3,"Error",""),""),"")</f>
        <v/>
      </c>
      <c r="R81" s="295" t="str">
        <f>$A61</f>
        <v/>
      </c>
      <c r="S81" s="295"/>
      <c r="T81" s="295"/>
      <c r="U81" s="295"/>
      <c r="V81" s="295"/>
      <c r="W81" s="295"/>
      <c r="X81" s="219" t="str">
        <f>CONCATENATE("(",$B60," vs ",$K60,")")</f>
        <v>(B vs K)</v>
      </c>
      <c r="Y81" s="219"/>
      <c r="Z81" s="295" t="str">
        <f>$J61</f>
        <v/>
      </c>
      <c r="AA81" s="295"/>
      <c r="AB81" s="295"/>
      <c r="AC81" s="295"/>
      <c r="AD81" s="295"/>
      <c r="AE81" s="295"/>
      <c r="AF81"/>
    </row>
    <row r="82" spans="1:32" ht="12.75" customHeight="1" x14ac:dyDescent="0.25">
      <c r="A82" s="259" t="str">
        <f>K60</f>
        <v>K</v>
      </c>
      <c r="B82" s="236" t="str">
        <f ca="1">IF(AND(OFFSET($AO$1,$L60-1,8,1,1),$A61&lt;&gt;"",$J61&lt;&gt;""),CHOOSE($L60,$AQ$1,$AQ$2,$AQ$3,$AQ$4,$AQ$5,$AQ$6,$AQ$7,$AQ$8,$AQ$9,$AQ$10,$AQ$11,$AQ$12),"")</f>
        <v/>
      </c>
      <c r="C82" s="237"/>
      <c r="D82" s="237"/>
      <c r="E82" s="237"/>
      <c r="F82" s="237"/>
      <c r="G82" s="237"/>
      <c r="H82" s="233"/>
      <c r="I82" s="233"/>
      <c r="J82" s="233"/>
      <c r="K82" s="233"/>
      <c r="L82" s="233"/>
      <c r="M82" s="250" t="s">
        <v>169</v>
      </c>
      <c r="N82" s="251"/>
      <c r="O82" s="251"/>
      <c r="P82" s="252"/>
      <c r="Q82" s="40" t="str">
        <f>IF($Q80&lt;&gt;"",IF($Q80="W","L","W"),"")</f>
        <v/>
      </c>
      <c r="R82"/>
      <c r="S82"/>
      <c r="T82"/>
      <c r="U82"/>
      <c r="V82"/>
      <c r="W82"/>
      <c r="X82"/>
      <c r="Y82"/>
      <c r="Z82"/>
      <c r="AA82"/>
      <c r="AB82"/>
      <c r="AC82"/>
      <c r="AD82"/>
      <c r="AE82"/>
      <c r="AF82"/>
    </row>
    <row r="83" spans="1:32" ht="12.75" customHeight="1" x14ac:dyDescent="0.25">
      <c r="A83" s="260"/>
      <c r="B83" s="238"/>
      <c r="C83" s="239"/>
      <c r="D83" s="239"/>
      <c r="E83" s="239"/>
      <c r="F83" s="239"/>
      <c r="G83" s="239"/>
      <c r="H83" s="234"/>
      <c r="I83" s="234"/>
      <c r="J83" s="235"/>
      <c r="K83" s="235"/>
      <c r="L83" s="235"/>
      <c r="M83" s="250"/>
      <c r="N83" s="251"/>
      <c r="O83" s="251"/>
      <c r="P83" s="252"/>
      <c r="Q83" s="110" t="str">
        <f>IF($Q82&lt;&gt;"",IF($Q82="W",IF(SUM(IF($H82&gt;$H80,1,0),IF($I82&gt;$I80,1,0),IF($J82&gt;$J80,1,0),IF($K82&gt;$K80,1,0),IF($L82&gt;$L80,1,0))&lt;&gt;3,"Error",""),""),"")</f>
        <v/>
      </c>
      <c r="R83" t="str">
        <f>$A78</f>
        <v>3rd Singles</v>
      </c>
      <c r="S83"/>
      <c r="T83"/>
      <c r="U83"/>
      <c r="V83"/>
      <c r="W83"/>
      <c r="X83"/>
      <c r="Y83"/>
      <c r="Z83"/>
      <c r="AA83"/>
      <c r="AB83"/>
      <c r="AC83"/>
      <c r="AD83"/>
      <c r="AE83"/>
      <c r="AF83"/>
    </row>
    <row r="84" spans="1:32" ht="12.75" customHeight="1" x14ac:dyDescent="0.25">
      <c r="Q84" s="6"/>
      <c r="R84" s="47" t="s">
        <v>160</v>
      </c>
      <c r="S84" s="86" t="s">
        <v>58</v>
      </c>
      <c r="T84" s="87"/>
      <c r="U84" s="87"/>
      <c r="V84" s="87"/>
      <c r="W84" s="87"/>
      <c r="X84" s="88"/>
      <c r="Y84" s="47">
        <v>1</v>
      </c>
      <c r="Z84" s="47">
        <v>2</v>
      </c>
      <c r="AA84" s="47">
        <v>3</v>
      </c>
      <c r="AB84" s="47">
        <v>4</v>
      </c>
      <c r="AC84" s="47">
        <v>5</v>
      </c>
      <c r="AD84" s="89"/>
      <c r="AE84" s="90"/>
      <c r="AF84" s="91"/>
    </row>
    <row r="85" spans="1:32" ht="12.75" customHeight="1" x14ac:dyDescent="0.25">
      <c r="A85" s="15" t="s">
        <v>168</v>
      </c>
      <c r="H85" s="110" t="str">
        <f ca="1">IF($Q87&lt;&gt;"",IF(AND($B87&lt;&gt;"Missing Player",$B89&lt;&gt;"Missing Player"),IF(AND(AND($H87&gt;-1,$H89&gt;-1),OR($H87&gt;10,$H89&gt;10),ABS($H87-$H89)&gt;1,IF(OR($H87&gt;11,$H89&gt;11),ABS($H87-$H89)=2,TRUE),$H87=INT($H87),$H89=INT($H89)),"","Error"),""),"")</f>
        <v/>
      </c>
      <c r="I85" s="110" t="str">
        <f ca="1">IF($Q87&lt;&gt;"",IF(AND($B87&lt;&gt;"Missing Player",$B89&lt;&gt;"Missing Player"),IF(AND(AND($I87&gt;-1,$I89&gt;-1),OR($I87&gt;10,$I89&gt;10),ABS($I87-$I89)&gt;1,IF(OR($I87&gt;11,$I89&gt;11),ABS($I87-$I89)=2,TRUE),$I87=INT($I87),$I89=INT($I89)),"","Error"),""),"")</f>
        <v/>
      </c>
      <c r="J85" s="110" t="str">
        <f ca="1">IF($Q87&lt;&gt;"",IF(AND($B87&lt;&gt;"Missing Player",$B89&lt;&gt;"Missing Player"),IF(AND(AND($J87&gt;-1,$J89&gt;-1),OR($J87&gt;10,$J89&gt;10),ABS($J87-$J89)&gt;1,IF(OR($J87&gt;11,$J89&gt;11),ABS($J87-$J89)=2,TRUE),$J87=INT($J87),$J89=INT($J89)),"","Error"),""),"")</f>
        <v/>
      </c>
      <c r="K85" s="110" t="str">
        <f ca="1">IF($Q87&lt;&gt;"",IF(AND($K87&lt;&gt;"",$K89&lt;&gt;""), IF(AND(AND($K87&gt;-1,$K89&gt;-1),OR($K87&gt;10,$K89&gt;10),ABS($K87-$K89)&gt;1,IF(OR($K87&gt;11,$K89&gt;11),ABS($K87-$K89)=2,TRUE),$K87=INT($K87),$K89=INT($K89)),"","Error"),""),"")</f>
        <v/>
      </c>
      <c r="L85" s="110" t="str">
        <f ca="1">IF($Q87&lt;&gt;"",IF(AND($L87&lt;&gt;"",$L89&lt;&gt;""), IF(AND(AND($L87&gt;-1,$L89&gt;-1),OR($L87&gt;10,$L89&gt;10),ABS($L87-$L89)&gt;1,IF(OR($L87&gt;11,$L89&gt;11),ABS($L87-$L89)=2,TRUE),$L87=INT($L87),$L89=INT($L89)),"","Error"),""),"")</f>
        <v/>
      </c>
      <c r="Q85" s="6"/>
      <c r="R85" s="259" t="str">
        <f>$B60</f>
        <v>B</v>
      </c>
      <c r="S85" s="307" t="str">
        <f ca="1">IF($B80&lt;&gt;"",$B80,"")</f>
        <v/>
      </c>
      <c r="T85" s="308"/>
      <c r="U85" s="308"/>
      <c r="V85" s="308"/>
      <c r="W85" s="308"/>
      <c r="X85" s="309"/>
      <c r="Y85" s="284"/>
      <c r="Z85" s="284"/>
      <c r="AA85" s="284"/>
      <c r="AB85" s="284"/>
      <c r="AC85" s="284"/>
      <c r="AD85" s="296"/>
      <c r="AE85" s="290"/>
      <c r="AF85" s="291"/>
    </row>
    <row r="86" spans="1:32" ht="12.75" customHeight="1" x14ac:dyDescent="0.25">
      <c r="A86" s="5" t="s">
        <v>160</v>
      </c>
      <c r="B86" s="256" t="s">
        <v>58</v>
      </c>
      <c r="C86" s="257"/>
      <c r="D86" s="257"/>
      <c r="E86" s="257"/>
      <c r="F86" s="257"/>
      <c r="G86" s="258"/>
      <c r="H86" s="5">
        <v>1</v>
      </c>
      <c r="I86" s="5">
        <v>2</v>
      </c>
      <c r="J86" s="5">
        <v>3</v>
      </c>
      <c r="K86" s="5">
        <v>4</v>
      </c>
      <c r="L86" s="5">
        <v>5</v>
      </c>
      <c r="M86" s="270"/>
      <c r="N86" s="271"/>
      <c r="O86" s="271"/>
      <c r="P86" s="272"/>
      <c r="Q86" s="6"/>
      <c r="R86" s="285"/>
      <c r="S86" s="310"/>
      <c r="T86" s="311"/>
      <c r="U86" s="311"/>
      <c r="V86" s="311"/>
      <c r="W86" s="311"/>
      <c r="X86" s="312"/>
      <c r="Y86" s="285"/>
      <c r="Z86" s="285"/>
      <c r="AA86" s="285"/>
      <c r="AB86" s="285"/>
      <c r="AC86" s="285"/>
      <c r="AD86" s="292"/>
      <c r="AE86" s="293"/>
      <c r="AF86" s="294"/>
    </row>
    <row r="87" spans="1:32" ht="12.75" customHeight="1" x14ac:dyDescent="0.25">
      <c r="A87" s="259" t="str">
        <f>B60</f>
        <v>B</v>
      </c>
      <c r="B87" s="236" t="str">
        <f ca="1">IF(AND(OFFSET($AO$1,$C60-1,8,1,1),$A61&lt;&gt;"",$J61&lt;&gt;""),CHOOSE($C60,$AR$1,$AR$2,$AR$3,$AR$4,$AR$5,$AR$6,$AR$7,$AR$8,$AR$9,$AR$10,$AR$11,$AR$12),"")</f>
        <v/>
      </c>
      <c r="C87" s="237"/>
      <c r="D87" s="237"/>
      <c r="E87" s="237"/>
      <c r="F87" s="237"/>
      <c r="G87" s="237"/>
      <c r="H87" s="233"/>
      <c r="I87" s="233"/>
      <c r="J87" s="233"/>
      <c r="K87" s="233"/>
      <c r="L87" s="233" t="str">
        <f ca="1">IF(AND($B87&lt;&gt;"",$Q66&lt;&gt;""),IF($B87="Missing Player",0,IF($B89="Missing Player",11,"")),"")</f>
        <v/>
      </c>
      <c r="M87" s="245" t="str">
        <f ca="1">IF(OR(AND($B80&lt;&gt;"",$B87&lt;&gt;"",$E91&lt;=$D91),AND($B82&lt;&gt;"",$B89&lt;&gt;"",$I91&lt;=$H91)),"Invalid Lineup","")</f>
        <v/>
      </c>
      <c r="N87" s="246"/>
      <c r="O87" s="246"/>
      <c r="P87" s="247"/>
      <c r="Q87" s="40" t="str">
        <f ca="1">IF($L87=$L89,IF($K87=$K89,IF($J87&lt;&gt;"",IF($J87&gt;$J89,"W","L"),""),IF($K87&gt;$K89,"W","L")),IF($L87&gt;$L89,"W","L"))</f>
        <v/>
      </c>
      <c r="R87" s="259" t="str">
        <f>$K60</f>
        <v>K</v>
      </c>
      <c r="S87" s="307" t="str">
        <f ca="1">IF($B82&lt;&gt;"",$B82,"")</f>
        <v/>
      </c>
      <c r="T87" s="308"/>
      <c r="U87" s="308"/>
      <c r="V87" s="308"/>
      <c r="W87" s="308"/>
      <c r="X87" s="309"/>
      <c r="Y87" s="284"/>
      <c r="Z87" s="284"/>
      <c r="AA87" s="284"/>
      <c r="AB87" s="284"/>
      <c r="AC87" s="297"/>
      <c r="AD87" s="289" t="s">
        <v>169</v>
      </c>
      <c r="AE87" s="290"/>
      <c r="AF87" s="291"/>
    </row>
    <row r="88" spans="1:32" ht="12.75" customHeight="1" x14ac:dyDescent="0.25">
      <c r="A88" s="260"/>
      <c r="B88" s="238"/>
      <c r="C88" s="239"/>
      <c r="D88" s="239"/>
      <c r="E88" s="239"/>
      <c r="F88" s="239"/>
      <c r="G88" s="239"/>
      <c r="H88" s="234"/>
      <c r="I88" s="234"/>
      <c r="J88" s="234"/>
      <c r="K88" s="234"/>
      <c r="L88" s="234"/>
      <c r="M88" s="245"/>
      <c r="N88" s="246"/>
      <c r="O88" s="246"/>
      <c r="P88" s="247"/>
      <c r="Q88" s="110" t="str">
        <f ca="1">IF($Q87&lt;&gt;"",IF($B89&lt;&gt;"Missing Player",IF($Q87="W",IF(SUM(IF($H87&gt;$H89,1,0),IF($I87&gt;$I89,1,0),IF($J87&gt;$J89,1,0),IF($K87&gt;$K89,1,0),IF($L87&gt;$L89,1,0))&lt;&gt;3,"Error",""),""),""),"")</f>
        <v/>
      </c>
      <c r="R88" s="285"/>
      <c r="S88" s="310"/>
      <c r="T88" s="311"/>
      <c r="U88" s="311"/>
      <c r="V88" s="311"/>
      <c r="W88" s="311"/>
      <c r="X88" s="312"/>
      <c r="Y88" s="285"/>
      <c r="Z88" s="285"/>
      <c r="AA88" s="285"/>
      <c r="AB88" s="285"/>
      <c r="AC88" s="285"/>
      <c r="AD88" s="292"/>
      <c r="AE88" s="293"/>
      <c r="AF88" s="294"/>
    </row>
    <row r="89" spans="1:32" ht="12.75" customHeight="1" x14ac:dyDescent="0.25">
      <c r="A89" s="259" t="str">
        <f>K60</f>
        <v>K</v>
      </c>
      <c r="B89" s="236" t="str">
        <f ca="1">IF(AND(OFFSET($AO$1,$L60-1,8,1,1),$A61&lt;&gt;"",$J61&lt;&gt;""),CHOOSE($L60,$AR$1,$AR$2,$AR$3,$AR$4,$AR$5,$AR$6,$AR$7,$AR$8,$AR$9,$AR$10,$AR$11,$AR$12),"")</f>
        <v/>
      </c>
      <c r="C89" s="237"/>
      <c r="D89" s="237"/>
      <c r="E89" s="237"/>
      <c r="F89" s="237"/>
      <c r="G89" s="237"/>
      <c r="H89" s="233"/>
      <c r="I89" s="233"/>
      <c r="J89" s="233"/>
      <c r="K89" s="233"/>
      <c r="L89" s="233" t="str">
        <f ca="1">IF(AND($B89&lt;&gt;"",$Q66&lt;&gt;""),IF($B89="Missing Player",0,IF($B87="Missing Player",11,"")),"")</f>
        <v/>
      </c>
      <c r="M89" s="250" t="s">
        <v>169</v>
      </c>
      <c r="N89" s="251"/>
      <c r="O89" s="251"/>
      <c r="P89" s="252"/>
      <c r="Q89" s="40" t="str">
        <f ca="1">IF($Q87&lt;&gt;"",IF($Q87="W","L","W"),"")</f>
        <v/>
      </c>
      <c r="R89" s="94"/>
      <c r="S89" s="84"/>
      <c r="T89" s="84"/>
      <c r="U89" s="84"/>
      <c r="V89" s="84"/>
      <c r="W89" s="84"/>
      <c r="X89" s="84"/>
      <c r="Y89" s="93"/>
      <c r="Z89" s="93"/>
      <c r="AA89" s="93"/>
      <c r="AB89" s="93"/>
      <c r="AC89" s="93"/>
      <c r="AD89" s="92"/>
      <c r="AE89" s="93"/>
      <c r="AF89" s="93"/>
    </row>
    <row r="90" spans="1:32" ht="12.75" customHeight="1" x14ac:dyDescent="0.25">
      <c r="A90" s="260"/>
      <c r="B90" s="238"/>
      <c r="C90" s="239"/>
      <c r="D90" s="239"/>
      <c r="E90" s="239"/>
      <c r="F90" s="239"/>
      <c r="G90" s="239"/>
      <c r="H90" s="234"/>
      <c r="I90" s="234"/>
      <c r="J90" s="235"/>
      <c r="K90" s="235"/>
      <c r="L90" s="235"/>
      <c r="M90" s="250"/>
      <c r="N90" s="251"/>
      <c r="O90" s="251"/>
      <c r="P90" s="252"/>
      <c r="Q90" s="110" t="str">
        <f ca="1">IF($Q89&lt;&gt;"",IF($B87&lt;&gt;"Missing Player",IF($Q89="W",IF(SUM(IF($H89&gt;$H87,1,0),IF($I89&gt;$I87,1,0),IF($J89&gt;$J87,1,0),IF($K89&gt;$K87,1,0),IF($L89&gt;$L87,1,0))&lt;&gt;3,"Error",""),""),""),"")</f>
        <v/>
      </c>
      <c r="R90" s="85"/>
      <c r="S90" s="95"/>
      <c r="T90" s="95"/>
      <c r="U90" s="95"/>
      <c r="V90" s="95"/>
      <c r="W90" s="95"/>
      <c r="X90" s="95"/>
      <c r="Y90" s="85"/>
      <c r="Z90" s="85"/>
      <c r="AA90" s="85"/>
      <c r="AB90" s="85"/>
      <c r="AC90" s="85"/>
      <c r="AD90" s="85"/>
      <c r="AE90" s="85"/>
      <c r="AF90" s="85"/>
    </row>
    <row r="91" spans="1:32" ht="12.75" customHeight="1" x14ac:dyDescent="0.25">
      <c r="B91" s="111" t="str">
        <f ca="1">IF(ISERROR(VLOOKUP($B66&amp;"("&amp;$B60&amp;")",Players!$S$4:$T$132,2,FALSE)),"",VLOOKUP($B66&amp;"("&amp;$B60&amp;")",Players!$S$4:$T$132,2,FALSE))</f>
        <v>B1</v>
      </c>
      <c r="C91" s="111" t="str">
        <f ca="1">IF(ISERROR(VLOOKUP($B73&amp;"("&amp;$B60&amp;")",Players!$S$4:$T$132,2,FALSE)),"",VLOOKUP($B73&amp;"("&amp;$B60&amp;")",Players!$S$4:$T$132,2,FALSE))</f>
        <v>B1</v>
      </c>
      <c r="D91" s="111" t="str">
        <f ca="1">IF(ISERROR(VLOOKUP($B80&amp;"("&amp;$B60&amp;")",Players!$S$4:$T$132,2,FALSE)),"",VLOOKUP($B80&amp;"("&amp;$B60&amp;")",Players!$S$4:$T$132,2,FALSE))</f>
        <v>B1</v>
      </c>
      <c r="E91" s="111" t="str">
        <f ca="1">IF(ISERROR(VLOOKUP($B87&amp;"("&amp;$B60&amp;")",Players!$S$4:$T$132,2,FALSE)),"",VLOOKUP($B87&amp;"("&amp;$B60&amp;")",Players!$S$4:$T$132,2,FALSE))</f>
        <v>B1</v>
      </c>
      <c r="F91" s="111" t="str">
        <f ca="1">IF(ISERROR(VLOOKUP($B68&amp;"("&amp;$K60&amp;")",Players!$S$4:$T$132,2,FALSE)),"",VLOOKUP($B68&amp;"("&amp;$K60&amp;")",Players!$S$4:$T$132,2,FALSE))</f>
        <v>K1</v>
      </c>
      <c r="G91" s="111" t="str">
        <f ca="1">IF(ISERROR(VLOOKUP($B75&amp;"("&amp;$K60&amp;")",Players!$S$4:$T$132,2,FALSE)),"",VLOOKUP($B75&amp;"("&amp;$K60&amp;")",Players!$S$4:$T$132,2,FALSE))</f>
        <v>K1</v>
      </c>
      <c r="H91" s="111" t="str">
        <f ca="1">IF(ISERROR(VLOOKUP($B82&amp;"("&amp;$K60&amp;")",Players!$S$4:$T$132,2,FALSE)),"",VLOOKUP($B82&amp;"("&amp;$K60&amp;")",Players!$S$4:$T$132,2,FALSE))</f>
        <v>K1</v>
      </c>
      <c r="I91" s="111" t="str">
        <f ca="1">IF(ISERROR(VLOOKUP($B89&amp;"("&amp;$K60&amp;")",Players!$S$4:$T$132,2,FALSE)),"",VLOOKUP($B89&amp;"("&amp;$K60&amp;")",Players!$S$4:$T$132,2,FALSE))</f>
        <v>K1</v>
      </c>
      <c r="Q91" s="6"/>
      <c r="R91" s="37"/>
      <c r="S91" s="95"/>
      <c r="T91" s="95"/>
      <c r="U91" s="95"/>
      <c r="V91" s="95"/>
      <c r="W91" s="95"/>
      <c r="X91" s="95"/>
      <c r="Y91" s="85"/>
      <c r="Z91" s="85"/>
      <c r="AA91" s="85"/>
      <c r="AB91" s="85"/>
      <c r="AC91" s="96"/>
      <c r="AD91" s="97"/>
      <c r="AE91" s="85"/>
      <c r="AF91" s="85"/>
    </row>
    <row r="92" spans="1:32" ht="12.75" customHeight="1" x14ac:dyDescent="0.25">
      <c r="A92" s="15" t="s">
        <v>157</v>
      </c>
      <c r="H92" s="110" t="str">
        <f ca="1">IF($Q94&lt;&gt;"",IF(AND($B95&lt;&gt;"Missing Player",$B97&lt;&gt;"Missing Player"),IF(AND(AND($H94&gt;-1,$H96&gt;-1),OR($H94&gt;10,$H96&gt;10),ABS($H94-$H96)&gt;1,IF(OR($H94&gt;11,$H96&gt;11),ABS($H94-$H96)=2,TRUE),$H94=INT($H94),$H96=INT($H96)),"","Error"),""),"")</f>
        <v/>
      </c>
      <c r="I92" s="110" t="str">
        <f ca="1">IF($Q94&lt;&gt;"",IF(AND($B95&lt;&gt;"Missing Player",$B97&lt;&gt;"Missing Player"),IF(AND(AND($I94&gt;-1,$I96&gt;-1),OR($I94&gt;10,$I96&gt;10),ABS($I94-$I96)&gt;1,IF(OR($I94&gt;11,$I96&gt;11),ABS($I94-$I96)=2,TRUE),$I94=INT($I94),$I96=INT($I96)),"","Error"),""),"")</f>
        <v/>
      </c>
      <c r="J92" s="110" t="str">
        <f ca="1">IF($Q94&lt;&gt;"",IF(AND($B95&lt;&gt;"Missing Player",$B97&lt;&gt;"Missing Player"),IF(AND(AND($J94&gt;-1,$J96&gt;-1),OR($J94&gt;10,$J96&gt;10),ABS($J94-$J96)&gt;1,IF(OR($J94&gt;11,$J96&gt;11),ABS($J94-$J96)=2,TRUE),$J94=INT($J94),$J96=INT($J96)),"","Error"),""),"")</f>
        <v/>
      </c>
      <c r="K92" s="110" t="str">
        <f ca="1">IF($Q94&lt;&gt;"",IF(AND($K94&lt;&gt;"",$K96&lt;&gt;""), IF(AND(AND($K94&gt;-1,$K96&gt;-1),OR($K94&gt;10,$K96&gt;10),ABS($K94-$K96)&gt;1,IF(OR($K94&gt;11,$K96&gt;11),ABS($K94-$K96)=2,TRUE),$K94=INT($K94),$K96=INT($K96)),"","Error"),""),"")</f>
        <v/>
      </c>
      <c r="L92" s="110" t="str">
        <f ca="1">IF($Q94&lt;&gt;"",IF(AND($L94&lt;&gt;"",$L96&lt;&gt;""), IF(AND(AND($L94&gt;-1,$L96&gt;-1),OR($L94&gt;10,$L96&gt;10),ABS($L94-$L96)&gt;1,IF(OR($L94&gt;11,$L96&gt;11),ABS($L94-$L96)=2,TRUE),$L94=INT($L94),$L96=INT($L96)),"","Error"),""),"")</f>
        <v/>
      </c>
      <c r="Q92" s="6"/>
      <c r="R92" s="85"/>
      <c r="S92" s="95"/>
      <c r="T92" s="95"/>
      <c r="U92" s="95"/>
      <c r="V92" s="95"/>
      <c r="W92" s="95"/>
      <c r="X92" s="95"/>
      <c r="Y92" s="85"/>
      <c r="Z92" s="85"/>
      <c r="AA92" s="85"/>
      <c r="AB92" s="85"/>
      <c r="AC92" s="85"/>
      <c r="AD92" s="85"/>
      <c r="AE92" s="85"/>
      <c r="AF92" s="85"/>
    </row>
    <row r="93" spans="1:32" ht="12.75" customHeight="1" x14ac:dyDescent="0.25">
      <c r="A93" s="5" t="s">
        <v>160</v>
      </c>
      <c r="B93" s="256" t="s">
        <v>58</v>
      </c>
      <c r="C93" s="257"/>
      <c r="D93" s="257"/>
      <c r="E93" s="257"/>
      <c r="F93" s="257"/>
      <c r="G93" s="258"/>
      <c r="H93" s="5">
        <v>1</v>
      </c>
      <c r="I93" s="5">
        <v>2</v>
      </c>
      <c r="J93" s="5">
        <v>3</v>
      </c>
      <c r="K93" s="5">
        <v>4</v>
      </c>
      <c r="L93" s="5">
        <v>5</v>
      </c>
      <c r="M93" s="270"/>
      <c r="N93" s="271"/>
      <c r="O93" s="271"/>
      <c r="P93" s="272"/>
      <c r="Q93" s="6"/>
      <c r="T93" s="7"/>
    </row>
    <row r="94" spans="1:32" ht="12.75" customHeight="1" x14ac:dyDescent="0.25">
      <c r="A94" s="259" t="str">
        <f>B60</f>
        <v>B</v>
      </c>
      <c r="B94" s="230" t="str">
        <f ca="1">IF($B66&lt;&gt;"",$B66,"")</f>
        <v/>
      </c>
      <c r="C94" s="231"/>
      <c r="D94" s="231"/>
      <c r="E94" s="231"/>
      <c r="F94" s="231"/>
      <c r="G94" s="232"/>
      <c r="H94" s="233"/>
      <c r="I94" s="233"/>
      <c r="J94" s="233"/>
      <c r="K94" s="233"/>
      <c r="L94" s="233" t="str">
        <f ca="1">IF($B87&lt;&gt;"",IF(AND($B87="Missing Player",$G98=2,$J98=2),0,IF(AND($B89="Missing Player",$G98=2,$J98=2),11,"")),"")</f>
        <v/>
      </c>
      <c r="M94" s="245" t="str">
        <f ca="1">IF(OR(AND($B94&lt;&gt;"",$B95&lt;&gt;"",$B94=$B95),AND($B96&lt;&gt;"",$B97&lt;&gt;"",$B96=$B97)),"Invalid Partner","")</f>
        <v/>
      </c>
      <c r="N94" s="246"/>
      <c r="O94" s="246"/>
      <c r="P94" s="247"/>
      <c r="Q94" s="37" t="str">
        <f ca="1">IF(L94=L96,IF(K94=K96,IF(J94&lt;&gt;"",IF(J94&gt;J96,"W","L"),""),IF(K94&gt;K96,"W","L")),IF(L94&gt;L96,"W","L"))</f>
        <v/>
      </c>
      <c r="T94" s="7"/>
    </row>
    <row r="95" spans="1:32" ht="12.75" customHeight="1" x14ac:dyDescent="0.25">
      <c r="A95" s="260"/>
      <c r="B95" s="266" t="str">
        <f ca="1">IF($B87="Missing Player",$B87,"")</f>
        <v/>
      </c>
      <c r="C95" s="267"/>
      <c r="D95" s="267"/>
      <c r="E95" s="267"/>
      <c r="F95" s="267"/>
      <c r="G95" s="268"/>
      <c r="H95" s="234"/>
      <c r="I95" s="234"/>
      <c r="J95" s="234"/>
      <c r="K95" s="234"/>
      <c r="L95" s="234"/>
      <c r="M95" s="245"/>
      <c r="N95" s="246"/>
      <c r="O95" s="246"/>
      <c r="P95" s="247"/>
      <c r="Q95" s="110" t="str">
        <f ca="1">IF($Q94&lt;&gt;"",IF($B97&lt;&gt;"Missing Player",IF($Q94="W",IF(SUM(IF($H94&gt;$H96,1,0),IF($I94&gt;$I96,1,0),IF($J94&gt;$J96,1,0),IF($K94&gt;$K96,1,0),IF($L94&gt;$L96,1,0))&lt;&gt;3,"Error",""),""),""),"")</f>
        <v/>
      </c>
      <c r="R95" s="295" t="str">
        <f>$A61</f>
        <v/>
      </c>
      <c r="S95" s="295"/>
      <c r="T95" s="295"/>
      <c r="U95" s="295"/>
      <c r="V95" s="295"/>
      <c r="W95" s="295"/>
      <c r="X95" s="219" t="str">
        <f>CONCATENATE("(",$B60," vs ",$K60,")")</f>
        <v>(B vs K)</v>
      </c>
      <c r="Y95" s="219"/>
      <c r="Z95" s="295" t="str">
        <f>$J61</f>
        <v/>
      </c>
      <c r="AA95" s="295"/>
      <c r="AB95" s="295"/>
      <c r="AC95" s="295"/>
      <c r="AD95" s="295"/>
      <c r="AE95" s="295"/>
      <c r="AF95"/>
    </row>
    <row r="96" spans="1:32" ht="12.75" customHeight="1" x14ac:dyDescent="0.25">
      <c r="A96" s="259" t="str">
        <f>K60</f>
        <v>K</v>
      </c>
      <c r="B96" s="230" t="str">
        <f ca="1">IF($B68&lt;&gt;"",$B68,"")</f>
        <v/>
      </c>
      <c r="C96" s="231"/>
      <c r="D96" s="231"/>
      <c r="E96" s="231"/>
      <c r="F96" s="231"/>
      <c r="G96" s="232"/>
      <c r="H96" s="233"/>
      <c r="I96" s="233"/>
      <c r="J96" s="233"/>
      <c r="K96" s="233"/>
      <c r="L96" s="233" t="str">
        <f ca="1">IF($B89&lt;&gt;"",IF(AND($B89="Missing Player",$G98=2,$J98=2),0,IF(AND($B87="Missing Player",$G98=2,$J98=2),11,"")),"")</f>
        <v/>
      </c>
      <c r="M96" s="315" t="s">
        <v>169</v>
      </c>
      <c r="N96" s="316"/>
      <c r="O96" s="316"/>
      <c r="P96" s="317"/>
      <c r="Q96" s="37" t="str">
        <f ca="1">IF(Q94&lt;&gt;"",IF(Q94="W","L","W"),"")</f>
        <v/>
      </c>
      <c r="R96"/>
      <c r="S96"/>
      <c r="T96"/>
      <c r="U96"/>
      <c r="V96"/>
      <c r="W96"/>
      <c r="X96"/>
      <c r="Y96"/>
      <c r="Z96"/>
      <c r="AA96"/>
      <c r="AB96"/>
      <c r="AC96"/>
      <c r="AD96"/>
      <c r="AE96"/>
      <c r="AF96"/>
    </row>
    <row r="97" spans="1:32" ht="12.75" customHeight="1" x14ac:dyDescent="0.25">
      <c r="A97" s="260"/>
      <c r="B97" s="266" t="str">
        <f ca="1">IF($B89="Missing Player",$B89,"")</f>
        <v/>
      </c>
      <c r="C97" s="267"/>
      <c r="D97" s="267"/>
      <c r="E97" s="267"/>
      <c r="F97" s="267"/>
      <c r="G97" s="268"/>
      <c r="H97" s="234"/>
      <c r="I97" s="234"/>
      <c r="J97" s="235"/>
      <c r="K97" s="235"/>
      <c r="L97" s="235"/>
      <c r="M97" s="318"/>
      <c r="N97" s="319"/>
      <c r="O97" s="319"/>
      <c r="P97" s="320"/>
      <c r="Q97" s="110" t="str">
        <f ca="1">IF($Q96&lt;&gt;"",IF($B95&lt;&gt;"Missing Player",IF($Q96="W",IF(SUM(IF($H96&gt;$H94,1,0),IF($I96&gt;$I94,1,0),IF($J96&gt;$J94,1,0),IF($K96&gt;$K94,1,0),IF($L96&gt;$L94,1,0))&lt;&gt;3,"Error",""),""),""),"")</f>
        <v/>
      </c>
      <c r="R97" t="str">
        <f>A85</f>
        <v>4th Singles</v>
      </c>
      <c r="S97"/>
      <c r="T97"/>
      <c r="U97"/>
      <c r="V97"/>
      <c r="W97"/>
      <c r="X97"/>
      <c r="Y97"/>
      <c r="Z97"/>
      <c r="AA97"/>
      <c r="AB97"/>
      <c r="AC97"/>
      <c r="AD97"/>
      <c r="AE97"/>
      <c r="AF97"/>
    </row>
    <row r="98" spans="1:32" ht="12.75" customHeight="1" x14ac:dyDescent="0.25">
      <c r="G98" s="53">
        <f ca="1">COUNTIF($Q66:$Q66,"W")+COUNTIF($Q73:$Q73,"W")+COUNTIF($Q80:$Q80,"W")+COUNTIF($Q87:$Q87,"W")</f>
        <v>0</v>
      </c>
      <c r="J98" s="53">
        <f ca="1">COUNTIF($Q68:$Q68,"W")+COUNTIF($Q75:$Q75,"W")+COUNTIF($Q82:$Q82,"W")+COUNTIF($Q89:$Q89,"W")</f>
        <v>0</v>
      </c>
      <c r="R98" s="47" t="s">
        <v>160</v>
      </c>
      <c r="S98" s="304" t="s">
        <v>58</v>
      </c>
      <c r="T98" s="305"/>
      <c r="U98" s="305"/>
      <c r="V98" s="305"/>
      <c r="W98" s="305"/>
      <c r="X98" s="306"/>
      <c r="Y98" s="47">
        <v>1</v>
      </c>
      <c r="Z98" s="47">
        <v>2</v>
      </c>
      <c r="AA98" s="47">
        <v>3</v>
      </c>
      <c r="AB98" s="47">
        <v>4</v>
      </c>
      <c r="AC98" s="47">
        <v>5</v>
      </c>
      <c r="AD98" s="286"/>
      <c r="AE98" s="287"/>
      <c r="AF98" s="288"/>
    </row>
    <row r="99" spans="1:32" ht="12.75" customHeight="1" thickBot="1" x14ac:dyDescent="0.3">
      <c r="F99" s="212" t="s">
        <v>170</v>
      </c>
      <c r="G99" s="212"/>
      <c r="H99" s="212"/>
      <c r="I99" s="212"/>
      <c r="J99" s="212"/>
      <c r="K99" s="212"/>
      <c r="R99" s="259" t="str">
        <f>B60</f>
        <v>B</v>
      </c>
      <c r="S99" s="307" t="str">
        <f ca="1">IF($B87&lt;&gt;"",$B87,"")</f>
        <v/>
      </c>
      <c r="T99" s="308"/>
      <c r="U99" s="308"/>
      <c r="V99" s="308"/>
      <c r="W99" s="308"/>
      <c r="X99" s="309"/>
      <c r="Y99" s="284"/>
      <c r="Z99" s="284"/>
      <c r="AA99" s="297"/>
      <c r="AB99" s="297"/>
      <c r="AC99" s="297"/>
      <c r="AD99" s="296"/>
      <c r="AE99" s="298"/>
      <c r="AF99" s="299"/>
    </row>
    <row r="100" spans="1:32" ht="12.75" customHeight="1" x14ac:dyDescent="0.25">
      <c r="A100" s="16"/>
      <c r="B100" s="16"/>
      <c r="C100" s="16"/>
      <c r="D100" s="16"/>
      <c r="E100" s="16"/>
      <c r="G100" s="261" t="str">
        <f>B60</f>
        <v>B</v>
      </c>
      <c r="H100" s="262"/>
      <c r="I100" s="263" t="str">
        <f>K60</f>
        <v>K</v>
      </c>
      <c r="J100" s="264"/>
      <c r="L100" s="16"/>
      <c r="M100" s="16"/>
      <c r="N100" s="16"/>
      <c r="O100" s="16"/>
      <c r="P100" s="16"/>
      <c r="R100" s="260"/>
      <c r="S100" s="310"/>
      <c r="T100" s="311"/>
      <c r="U100" s="311"/>
      <c r="V100" s="311"/>
      <c r="W100" s="311"/>
      <c r="X100" s="312"/>
      <c r="Y100" s="285"/>
      <c r="Z100" s="285"/>
      <c r="AA100" s="303"/>
      <c r="AB100" s="303"/>
      <c r="AC100" s="303"/>
      <c r="AD100" s="300"/>
      <c r="AE100" s="301"/>
      <c r="AF100" s="302"/>
    </row>
    <row r="101" spans="1:32" ht="12.75" customHeight="1" thickBot="1" x14ac:dyDescent="0.3">
      <c r="A101" s="2" t="s">
        <v>160</v>
      </c>
      <c r="B101" s="40" t="str">
        <f>B60</f>
        <v>B</v>
      </c>
      <c r="C101" s="3" t="s">
        <v>158</v>
      </c>
      <c r="F101" s="53" t="str">
        <f>CONCATENATE($B60,"-",$K60)</f>
        <v>B-K</v>
      </c>
      <c r="G101" s="240" t="str">
        <f ca="1">IF(OR(Q66&lt;&gt;"",Q73&lt;&gt;"",Q80&lt;&gt;"",Q87&lt;&gt;"",Q94&lt;&gt;""),COUNTIF(Q66:Q66,"W")+COUNTIF(Q73:Q73,"W")+COUNTIF(Q80:Q80,"W")+COUNTIF(Q87:Q87,"W")+COUNTIF(Q94:Q94,"W"),"")</f>
        <v/>
      </c>
      <c r="H101" s="241"/>
      <c r="I101" s="242" t="str">
        <f ca="1">IF(OR(Q68&lt;&gt;"",Q75&lt;&gt;"",Q82&lt;&gt;"",Q89&lt;&gt;"",Q96&lt;&gt;""),COUNTIF(Q68:Q68,"W")+COUNTIF(Q75:Q75,"W")+COUNTIF(Q82:Q82,"W")+COUNTIF(Q89:Q89,"W")+COUNTIF(Q96:Q96,"W"),"")</f>
        <v/>
      </c>
      <c r="J101" s="243"/>
      <c r="L101" s="2" t="s">
        <v>160</v>
      </c>
      <c r="M101" s="40" t="str">
        <f>K60</f>
        <v>K</v>
      </c>
      <c r="N101" s="3" t="s">
        <v>158</v>
      </c>
      <c r="R101" s="259" t="str">
        <f>K60</f>
        <v>K</v>
      </c>
      <c r="S101" s="307" t="str">
        <f ca="1">IF($B89&lt;&gt;"",$B89,"")</f>
        <v/>
      </c>
      <c r="T101" s="308"/>
      <c r="U101" s="308"/>
      <c r="V101" s="308"/>
      <c r="W101" s="308"/>
      <c r="X101" s="309"/>
      <c r="Y101" s="284"/>
      <c r="Z101" s="284"/>
      <c r="AA101" s="297"/>
      <c r="AB101" s="297"/>
      <c r="AC101" s="297"/>
      <c r="AD101" s="289" t="s">
        <v>169</v>
      </c>
      <c r="AE101" s="290"/>
      <c r="AF101" s="291"/>
    </row>
    <row r="102" spans="1:32" ht="12.75" customHeight="1" x14ac:dyDescent="0.35">
      <c r="F102" s="18" t="s">
        <v>403</v>
      </c>
      <c r="G102" s="17"/>
      <c r="H102" s="17"/>
      <c r="I102" s="17"/>
      <c r="J102" s="17"/>
      <c r="R102" s="285"/>
      <c r="S102" s="310"/>
      <c r="T102" s="311"/>
      <c r="U102" s="311"/>
      <c r="V102" s="311"/>
      <c r="W102" s="311"/>
      <c r="X102" s="312"/>
      <c r="Y102" s="285"/>
      <c r="Z102" s="285"/>
      <c r="AA102" s="285"/>
      <c r="AB102" s="285"/>
      <c r="AC102" s="285"/>
      <c r="AD102" s="292"/>
      <c r="AE102" s="293"/>
      <c r="AF102" s="294"/>
    </row>
    <row r="103" spans="1:32" ht="12.75" customHeight="1" x14ac:dyDescent="0.25">
      <c r="R103" s="1"/>
      <c r="S103" s="11"/>
      <c r="T103" s="11"/>
      <c r="U103" s="11"/>
      <c r="V103" s="11"/>
      <c r="W103" s="11"/>
    </row>
    <row r="104" spans="1:32" ht="12.75" customHeight="1" x14ac:dyDescent="0.25">
      <c r="F104" s="212"/>
      <c r="G104" s="212"/>
      <c r="H104" s="212"/>
      <c r="I104" s="212"/>
      <c r="R104" s="1"/>
      <c r="S104" s="11"/>
      <c r="T104" s="11"/>
      <c r="U104" s="11"/>
      <c r="V104" s="11"/>
      <c r="W104" s="11"/>
    </row>
    <row r="105" spans="1:32" ht="12.75" customHeight="1" x14ac:dyDescent="0.25">
      <c r="F105" s="212"/>
      <c r="G105" s="212"/>
      <c r="H105" s="212"/>
      <c r="I105" s="212"/>
      <c r="R105" s="1"/>
      <c r="S105" s="11"/>
      <c r="T105" s="11"/>
      <c r="U105" s="11"/>
      <c r="V105" s="11"/>
      <c r="W105" s="11"/>
    </row>
    <row r="106" spans="1:32" ht="12.75" customHeight="1" x14ac:dyDescent="0.25">
      <c r="K106" s="219" t="s">
        <v>176</v>
      </c>
      <c r="L106" s="219"/>
      <c r="M106" s="219"/>
      <c r="N106" s="219"/>
      <c r="O106" s="219"/>
      <c r="P106" s="219"/>
      <c r="R106" s="1"/>
      <c r="S106" s="11"/>
      <c r="T106" s="11"/>
      <c r="U106" s="11"/>
      <c r="V106" s="11"/>
      <c r="W106" s="11"/>
    </row>
    <row r="107" spans="1:32" ht="12.75" customHeight="1" x14ac:dyDescent="0.25">
      <c r="A107" s="9" t="s">
        <v>161</v>
      </c>
      <c r="B107"/>
      <c r="C107"/>
      <c r="D107" t="str">
        <f>Draw!$B$1</f>
        <v>Enter Division Name</v>
      </c>
      <c r="E107"/>
      <c r="F107" s="6"/>
      <c r="G107" s="6"/>
      <c r="H107" s="6"/>
      <c r="I107"/>
      <c r="J107"/>
      <c r="K107"/>
      <c r="L107"/>
      <c r="M107" s="219"/>
      <c r="N107" s="219"/>
      <c r="O107" s="219"/>
      <c r="P107" s="219"/>
      <c r="R107" s="1"/>
      <c r="S107" s="11"/>
      <c r="T107" s="11"/>
      <c r="U107" s="11"/>
      <c r="V107" s="11"/>
      <c r="W107" s="11"/>
    </row>
    <row r="108" spans="1:32" ht="12.75" customHeight="1" x14ac:dyDescent="0.25">
      <c r="A108" s="2" t="s">
        <v>162</v>
      </c>
      <c r="D108" t="str">
        <f>Draw!$D$1</f>
        <v>Enter Hosting Location (City, ST)</v>
      </c>
      <c r="J108" t="str">
        <f ca="1">$J$6</f>
        <v>[NCTTA Teams Template (v3.4).xlsx]</v>
      </c>
      <c r="R108" s="1"/>
      <c r="S108" s="11"/>
      <c r="T108" s="11"/>
      <c r="U108" s="11"/>
      <c r="V108" s="11"/>
      <c r="W108" s="11"/>
    </row>
    <row r="109" spans="1:32" ht="12.75" customHeight="1" x14ac:dyDescent="0.25">
      <c r="A109" s="2" t="s">
        <v>163</v>
      </c>
      <c r="D109" s="275" t="str">
        <f>Draw!$P$1</f>
        <v>Enter Date</v>
      </c>
      <c r="E109" s="275"/>
      <c r="F109" s="275"/>
      <c r="G109" s="275"/>
      <c r="J109" s="244" t="str">
        <f>CHOOSE(Draw!$T$1,"Round 1, Match 3","Round 1, Match 3","Round 2, Match 1","Round 3, Match 1","Round 2, Match 1","Round 1, Match 3","Round 1, Match 3","Round 1, Match 3","Round 1, Match 3","Round 1, Match 3","Round 1, Match 3")</f>
        <v>Round 1, Match 3</v>
      </c>
      <c r="K109" s="244"/>
      <c r="L109" s="244"/>
      <c r="M109" s="277" t="str">
        <f>IF(AND($J109&lt;&gt;"",Draw!$AC$10&lt;&gt;"",Draw!$AC$13&lt;&gt;""),Draw!$AC$10+TIME(0,VALUE(MID($J109,7,FIND(",",$J109)-FIND(" ",$J109)-1)-1)*Draw!$AC$13,0),"")</f>
        <v/>
      </c>
      <c r="N109" s="277"/>
      <c r="O109" s="125" t="str">
        <f>$F152</f>
        <v>C-J</v>
      </c>
      <c r="R109" s="1"/>
      <c r="S109" s="11"/>
      <c r="T109" s="11"/>
      <c r="U109" s="11"/>
      <c r="V109" s="11"/>
      <c r="W109" s="11"/>
    </row>
    <row r="110" spans="1:32" ht="12.75" customHeight="1" x14ac:dyDescent="0.25">
      <c r="A110" s="6"/>
      <c r="B110"/>
      <c r="C110"/>
      <c r="D110"/>
      <c r="E110"/>
      <c r="F110" s="6"/>
      <c r="G110" s="6"/>
      <c r="H110" s="11"/>
      <c r="I110" s="6"/>
      <c r="J110"/>
      <c r="K110"/>
      <c r="L110"/>
      <c r="M110"/>
      <c r="N110"/>
      <c r="O110" s="269" t="str">
        <f>IF(OR(AND(VLOOKUP($B111,$AM$1:$AX$12,12,FALSE)="C",VLOOKUP($K111,$AM$1:$AX$12,12,FALSE)="C"),AND(VLOOKUP($B111,$AM$1:$AX$12,12,FALSE)="W",VLOOKUP($K111,$AM$1:$AX$12,12,FALSE)="W")),"Official",IF(AND($A112="",$J112=""),"","Scrimmage"))</f>
        <v/>
      </c>
      <c r="P110" s="269"/>
      <c r="R110" s="1"/>
      <c r="S110" s="11"/>
      <c r="T110" s="11"/>
      <c r="U110" s="11"/>
      <c r="V110" s="11"/>
      <c r="W110" s="11"/>
    </row>
    <row r="111" spans="1:32" ht="12.75" customHeight="1" x14ac:dyDescent="0.25">
      <c r="A111" s="12" t="s">
        <v>160</v>
      </c>
      <c r="B111" s="98" t="str">
        <f>CHOOSE(Draw!$T$1,"C","C","A","B","A","C","D","C","D","C","D")</f>
        <v>C</v>
      </c>
      <c r="C111" s="109">
        <f>VLOOKUP($B111,$AM$1:$AN$12,2)</f>
        <v>3</v>
      </c>
      <c r="D111" s="10"/>
      <c r="E111" s="10"/>
      <c r="F111" s="8"/>
      <c r="H111" s="1" t="s">
        <v>164</v>
      </c>
      <c r="J111" s="12" t="s">
        <v>160</v>
      </c>
      <c r="K111" s="98" t="str">
        <f>CHOOSE(Draw!$T$1,"J","D","B","C","D","D","E","F","G","H","I")</f>
        <v>J</v>
      </c>
      <c r="L111" s="109">
        <f>VLOOKUP($K111,$AM$1:$AN$12,2)</f>
        <v>10</v>
      </c>
      <c r="M111" s="10"/>
      <c r="N111" s="10"/>
      <c r="O111" s="13"/>
      <c r="R111" s="1"/>
      <c r="S111" s="11"/>
      <c r="T111" s="11"/>
      <c r="U111" s="11"/>
      <c r="V111" s="11"/>
      <c r="W111" s="11"/>
    </row>
    <row r="112" spans="1:32" ht="12.75" customHeight="1" x14ac:dyDescent="0.25">
      <c r="A112" s="253" t="str">
        <f>IF(VLOOKUP($B111,Draw!$A$4:$B$27,2)&lt;&gt;0,VLOOKUP($B111,Draw!$A$4:$B$27,2),"")</f>
        <v/>
      </c>
      <c r="B112" s="254"/>
      <c r="C112" s="254"/>
      <c r="D112" s="254"/>
      <c r="E112" s="254"/>
      <c r="F112" s="255"/>
      <c r="G112" s="273" t="s">
        <v>406</v>
      </c>
      <c r="H112" s="249"/>
      <c r="I112" s="274"/>
      <c r="J112" s="253" t="str">
        <f>IF(VLOOKUP($K111,Draw!$A$4:$B$27,2)&lt;&gt;0,VLOOKUP($K111,Draw!$A$4:$B$27,2),"")</f>
        <v/>
      </c>
      <c r="K112" s="254"/>
      <c r="L112" s="254"/>
      <c r="M112" s="254"/>
      <c r="N112" s="254"/>
      <c r="O112" s="255"/>
      <c r="P112"/>
      <c r="R112" s="1"/>
      <c r="S112" s="11"/>
      <c r="T112" s="11"/>
      <c r="U112" s="11"/>
      <c r="V112" s="11"/>
      <c r="W112" s="11"/>
    </row>
    <row r="113" spans="1:32" ht="12.75" customHeight="1" x14ac:dyDescent="0.25">
      <c r="A113" s="6"/>
      <c r="B113"/>
      <c r="C113"/>
      <c r="D113"/>
      <c r="E113"/>
      <c r="F113" s="6"/>
      <c r="G113" s="248" t="str">
        <f>"Page "&amp;VALUE(RIGHT($G112,LEN($G112)-SEARCH("-",$G112)))/2</f>
        <v>Page 3</v>
      </c>
      <c r="H113" s="249"/>
      <c r="I113" s="249"/>
      <c r="J113"/>
      <c r="K113"/>
      <c r="L113"/>
      <c r="M113"/>
      <c r="N113"/>
      <c r="O113"/>
      <c r="P113"/>
      <c r="R113" s="1"/>
      <c r="S113" s="11"/>
      <c r="T113" s="11"/>
      <c r="U113" s="11"/>
      <c r="V113" s="11"/>
      <c r="W113" s="11"/>
      <c r="AF113"/>
    </row>
    <row r="114" spans="1:32" ht="12.75" customHeight="1" x14ac:dyDescent="0.25">
      <c r="A114" s="276" t="s">
        <v>177</v>
      </c>
      <c r="B114" s="276"/>
      <c r="C114" s="276"/>
      <c r="D114" s="276"/>
      <c r="E114" s="276"/>
      <c r="F114" s="276"/>
      <c r="G114" s="276"/>
      <c r="H114" s="276"/>
      <c r="I114" s="276"/>
      <c r="J114" s="276"/>
      <c r="K114" s="276"/>
      <c r="L114" s="276"/>
      <c r="M114" s="276"/>
      <c r="N114" s="276"/>
      <c r="O114" s="276"/>
      <c r="P114" s="276"/>
      <c r="Q114" s="6"/>
      <c r="R114" s="1"/>
      <c r="S114" s="11"/>
      <c r="T114" s="11"/>
      <c r="U114" s="11"/>
      <c r="V114" s="11"/>
      <c r="W114" s="11"/>
      <c r="AF114" s="14"/>
    </row>
    <row r="115" spans="1:32" ht="12.75" customHeight="1" x14ac:dyDescent="0.25">
      <c r="A115" s="15" t="s">
        <v>165</v>
      </c>
      <c r="H115" s="110" t="str">
        <f>IF($Q117&lt;&gt;"",IF(AND(AND($H117&gt;-1,$H119&gt;-1),OR($H117&gt;10,$H119&gt;10),ABS($H117-$H119)&gt;1,IF(OR($H117&gt;11,$H119&gt;11),ABS($H117-$H119)=2,TRUE),$H117=INT($H117),$H119=INT($H119)),"","Error"),"")</f>
        <v/>
      </c>
      <c r="I115" s="110" t="str">
        <f>IF($Q117&lt;&gt;"",IF(AND(AND($I117&gt;-1,$I119&gt;-1),OR($I117&gt;10,$I119&gt;10),ABS($I117-$I119)&gt;1,IF(OR($I117&gt;11,$I119&gt;11),ABS($I117-$I119)=2,TRUE),$I117=INT($I117),$I119=INT($I119)),"","Error"),"")</f>
        <v/>
      </c>
      <c r="J115" s="110" t="str">
        <f>IF($Q117&lt;&gt;"",IF(AND(AND($J117&gt;-1,$J119&gt;-1),OR($J117&gt;10,$J119&gt;10),ABS($J117-$J119)&gt;1,IF(OR($J117&gt;11,$J119&gt;11),ABS($J117-$J119)=2,TRUE),$J117=INT($J117),$J119=INT($J119)),"","Error"),"")</f>
        <v/>
      </c>
      <c r="K115" s="110" t="str">
        <f>IF($Q117&lt;&gt;"",IF(AND($K117&lt;&gt;"",$K119&lt;&gt;""), IF(AND(AND($K117&gt;-1,$K119&gt;-1),OR($K117&gt;10,$K119&gt;10),ABS($K117-$K119)&gt;1,IF(OR($K117&gt;11,$K119&gt;11),ABS($K117-$K119)=2,TRUE),$K117=INT($K117),$K119=INT($K119)),"","Error"),""),"")</f>
        <v/>
      </c>
      <c r="L115" s="110" t="str">
        <f>IF($Q117&lt;&gt;"",IF(AND($L117&lt;&gt;"",$L119&lt;&gt;""), IF(AND(AND($L117&gt;-1,$L119&gt;-1),OR($L117&gt;10,$L119&gt;10),ABS($L117-$L119)&gt;1,IF(OR($L117&gt;11,$L119&gt;11),ABS($L117-$L119)=2,TRUE),$L117=INT($L117),$L119=INT($L119)),"","Error"),""),"")</f>
        <v/>
      </c>
      <c r="R115" s="1"/>
      <c r="S115" s="11"/>
      <c r="T115" s="11"/>
      <c r="U115" s="11"/>
      <c r="V115" s="11"/>
      <c r="W115" s="11"/>
    </row>
    <row r="116" spans="1:32" ht="12.75" customHeight="1" x14ac:dyDescent="0.25">
      <c r="A116" s="5" t="s">
        <v>160</v>
      </c>
      <c r="B116" s="256" t="s">
        <v>58</v>
      </c>
      <c r="C116" s="257"/>
      <c r="D116" s="257"/>
      <c r="E116" s="257"/>
      <c r="F116" s="257"/>
      <c r="G116" s="258"/>
      <c r="H116" s="5">
        <v>1</v>
      </c>
      <c r="I116" s="5">
        <v>2</v>
      </c>
      <c r="J116" s="5">
        <v>3</v>
      </c>
      <c r="K116" s="5">
        <v>4</v>
      </c>
      <c r="L116" s="5">
        <v>5</v>
      </c>
      <c r="M116" s="270"/>
      <c r="N116" s="271"/>
      <c r="O116" s="271"/>
      <c r="P116" s="272"/>
      <c r="R116" s="1"/>
      <c r="S116" s="11"/>
      <c r="T116" s="11"/>
      <c r="U116" s="11"/>
      <c r="V116" s="11"/>
      <c r="W116" s="11"/>
    </row>
    <row r="117" spans="1:32" ht="12.75" customHeight="1" x14ac:dyDescent="0.25">
      <c r="A117" s="259" t="str">
        <f>B111</f>
        <v>C</v>
      </c>
      <c r="B117" s="236" t="str">
        <f ca="1">IF(AND(OFFSET($AO$1,$C111-1,8,1,1),$A112&lt;&gt;"",$J112&lt;&gt;""),CHOOSE($C111,$AO$1,$AO$2,$AO$3,$AO$4,$AO$5,$AO$6,$AO$7,$AO$8,$AO$9,$AO$10,$AO$11,$AO$12),"")</f>
        <v/>
      </c>
      <c r="C117" s="237"/>
      <c r="D117" s="237"/>
      <c r="E117" s="237"/>
      <c r="F117" s="237"/>
      <c r="G117" s="237"/>
      <c r="H117" s="233"/>
      <c r="I117" s="233"/>
      <c r="J117" s="233"/>
      <c r="K117" s="233"/>
      <c r="L117" s="233"/>
      <c r="M117" s="281"/>
      <c r="N117" s="282"/>
      <c r="O117" s="282"/>
      <c r="P117" s="283"/>
      <c r="Q117" s="40" t="str">
        <f>IF($L117=$L119,IF($K117=$K119,IF($J117&lt;&gt;"",IF($J117&gt;$J119,"W","L"),""),IF($K117&gt;$K119,"W","L")),IF($L117&gt;$L119,"W","L"))</f>
        <v/>
      </c>
      <c r="R117" s="1"/>
      <c r="S117" s="11"/>
      <c r="T117" s="11"/>
      <c r="U117" s="11"/>
      <c r="V117" s="11"/>
      <c r="W117" s="11"/>
    </row>
    <row r="118" spans="1:32" ht="12.75" customHeight="1" x14ac:dyDescent="0.25">
      <c r="A118" s="260"/>
      <c r="B118" s="238"/>
      <c r="C118" s="239"/>
      <c r="D118" s="239"/>
      <c r="E118" s="239"/>
      <c r="F118" s="239"/>
      <c r="G118" s="239"/>
      <c r="H118" s="234"/>
      <c r="I118" s="234"/>
      <c r="J118" s="234"/>
      <c r="K118" s="234"/>
      <c r="L118" s="234"/>
      <c r="M118" s="281"/>
      <c r="N118" s="282"/>
      <c r="O118" s="282"/>
      <c r="P118" s="283"/>
      <c r="Q118" s="110" t="str">
        <f>IF($Q117&lt;&gt;"",IF($Q117="W",IF(SUM(IF($H117&gt;$H119,1,0),IF($I117&gt;$I119,1,0),IF($J117&gt;$J119,1,0),IF($K117&gt;$K119,1,0),IF($L117&gt;$L119,1,0))&lt;&gt;3,"Error",""),""),"")</f>
        <v/>
      </c>
      <c r="R118" s="295" t="str">
        <f>$A112</f>
        <v/>
      </c>
      <c r="S118" s="295"/>
      <c r="T118" s="295"/>
      <c r="U118" s="295"/>
      <c r="V118" s="295"/>
      <c r="W118" s="295"/>
      <c r="X118" s="219" t="str">
        <f>CONCATENATE("(",$B111," vs ",$K111,")")</f>
        <v>(C vs J)</v>
      </c>
      <c r="Y118" s="219"/>
      <c r="Z118" s="295" t="str">
        <f>$J112</f>
        <v/>
      </c>
      <c r="AA118" s="295"/>
      <c r="AB118" s="295"/>
      <c r="AC118" s="295"/>
      <c r="AD118" s="295"/>
      <c r="AE118" s="295"/>
      <c r="AF118"/>
    </row>
    <row r="119" spans="1:32" ht="12.75" customHeight="1" x14ac:dyDescent="0.25">
      <c r="A119" s="259" t="str">
        <f>K111</f>
        <v>J</v>
      </c>
      <c r="B119" s="236" t="str">
        <f ca="1">IF(AND(OFFSET($AO$1,$L111-1,8,1,1),$A112&lt;&gt;"",$J112&lt;&gt;""),CHOOSE($L111,$AO$1,$AO$2,$AO$3,$AO$4,$AO$5,$AO$6,$AO$7,$AO$8,$AO$9,$AO$10,$AO$11,$AO$12),"")</f>
        <v/>
      </c>
      <c r="C119" s="237"/>
      <c r="D119" s="237"/>
      <c r="E119" s="237"/>
      <c r="F119" s="237"/>
      <c r="G119" s="237"/>
      <c r="H119" s="233"/>
      <c r="I119" s="233"/>
      <c r="J119" s="233"/>
      <c r="K119" s="233"/>
      <c r="L119" s="233"/>
      <c r="M119" s="250" t="s">
        <v>169</v>
      </c>
      <c r="N119" s="251"/>
      <c r="O119" s="251"/>
      <c r="P119" s="252"/>
      <c r="Q119" s="40" t="str">
        <f>IF($Q117&lt;&gt;"",IF($Q117="W","L","W"),"")</f>
        <v/>
      </c>
      <c r="R119"/>
      <c r="S119"/>
      <c r="T119"/>
      <c r="U119"/>
      <c r="V119"/>
      <c r="W119"/>
      <c r="X119"/>
      <c r="Y119"/>
      <c r="Z119"/>
      <c r="AA119"/>
      <c r="AB119"/>
      <c r="AC119"/>
      <c r="AD119"/>
      <c r="AE119"/>
      <c r="AF119"/>
    </row>
    <row r="120" spans="1:32" ht="12.75" customHeight="1" x14ac:dyDescent="0.25">
      <c r="A120" s="260"/>
      <c r="B120" s="238"/>
      <c r="C120" s="239"/>
      <c r="D120" s="239"/>
      <c r="E120" s="239"/>
      <c r="F120" s="239"/>
      <c r="G120" s="239"/>
      <c r="H120" s="234"/>
      <c r="I120" s="234"/>
      <c r="J120" s="235"/>
      <c r="K120" s="235"/>
      <c r="L120" s="235"/>
      <c r="M120" s="250"/>
      <c r="N120" s="251"/>
      <c r="O120" s="251"/>
      <c r="P120" s="252"/>
      <c r="Q120" s="110" t="str">
        <f>IF($Q119&lt;&gt;"",IF($Q119="W",IF(SUM(IF($H119&gt;$H117,1,0),IF($I119&gt;$I117,1,0),IF($J119&gt;$J117,1,0),IF($K119&gt;$K117,1,0),IF($L119&gt;$L117,1,0))&lt;&gt;3,"Error",""),""),"")</f>
        <v/>
      </c>
      <c r="R120" t="str">
        <f>$A122</f>
        <v>2nd Singles</v>
      </c>
      <c r="S120"/>
      <c r="T120"/>
      <c r="U120"/>
      <c r="V120"/>
      <c r="W120"/>
      <c r="X120"/>
      <c r="Y120"/>
      <c r="Z120"/>
      <c r="AA120"/>
      <c r="AB120"/>
      <c r="AC120"/>
      <c r="AD120"/>
      <c r="AE120"/>
      <c r="AF120"/>
    </row>
    <row r="121" spans="1:32" ht="12.75" customHeight="1" x14ac:dyDescent="0.25">
      <c r="Q121" s="6"/>
      <c r="R121" s="47" t="s">
        <v>160</v>
      </c>
      <c r="S121" s="304" t="s">
        <v>58</v>
      </c>
      <c r="T121" s="305"/>
      <c r="U121" s="305"/>
      <c r="V121" s="305"/>
      <c r="W121" s="305"/>
      <c r="X121" s="306"/>
      <c r="Y121" s="47">
        <v>1</v>
      </c>
      <c r="Z121" s="47">
        <v>2</v>
      </c>
      <c r="AA121" s="47">
        <v>3</v>
      </c>
      <c r="AB121" s="47">
        <v>4</v>
      </c>
      <c r="AC121" s="47">
        <v>5</v>
      </c>
      <c r="AD121" s="286"/>
      <c r="AE121" s="287"/>
      <c r="AF121" s="288"/>
    </row>
    <row r="122" spans="1:32" ht="12.75" customHeight="1" x14ac:dyDescent="0.25">
      <c r="A122" s="15" t="s">
        <v>166</v>
      </c>
      <c r="H122" s="110" t="str">
        <f>IF($Q124&lt;&gt;"",IF(AND(AND($H124&gt;-1,$H126&gt;-1),OR($H124&gt;10,$H126&gt;10),ABS($H124-$H126)&gt;1,IF(OR($H124&gt;11,$H126&gt;11),ABS($H124-$H126)=2,TRUE),$H124=INT($H124),$H126=INT($H126)),"","Error"),"")</f>
        <v/>
      </c>
      <c r="I122" s="110" t="str">
        <f>IF($Q124&lt;&gt;"",IF(AND(AND($I124&gt;-1,$I126&gt;-1),OR($I124&gt;10,$I126&gt;10),ABS($I124-$I126)&gt;1,IF(OR($I124&gt;11,$I126&gt;11),ABS($I124-$I126)=2,TRUE),$I124=INT($I124),$I126=INT($I126)),"","Error"),"")</f>
        <v/>
      </c>
      <c r="J122" s="110" t="str">
        <f>IF($Q124&lt;&gt;"",IF(AND(AND($J124&gt;-1,$J126&gt;-1),OR($J124&gt;10,$J126&gt;10),ABS($J124-$J126)&gt;1,IF(OR($J124&gt;11,$J126&gt;11),ABS($J124-$J126)=2,TRUE),$J124=INT($J124),$J126=INT($J126)),"","Error"),"")</f>
        <v/>
      </c>
      <c r="K122" s="110" t="str">
        <f>IF($Q124&lt;&gt;"",IF(AND($K124&lt;&gt;"",$K126&lt;&gt;""), IF(AND(AND($K124&gt;-1,$K126&gt;-1),OR($K124&gt;10,$K126&gt;10),ABS($K124-$K126)&gt;1,IF(OR($K124&gt;11,$K126&gt;11),ABS($K124-$K126)=2,TRUE),$K124=INT($K124),$K126=INT($K126)),"","Error"),""),"")</f>
        <v/>
      </c>
      <c r="L122" s="110" t="str">
        <f>IF($Q124&lt;&gt;"",IF(AND($L124&lt;&gt;"",$L126&lt;&gt;""), IF(AND(AND($L124&gt;-1,$L126&gt;-1),OR($L124&gt;10,$L126&gt;10),ABS($L124-$L126)&gt;1,IF(OR($L124&gt;11,$L126&gt;11),ABS($L124-$L126)=2,TRUE),$L124=INT($L124),$L126=INT($L126)),"","Error"),""),"")</f>
        <v/>
      </c>
      <c r="Q122" s="6"/>
      <c r="R122" s="259" t="str">
        <f>$B111</f>
        <v>C</v>
      </c>
      <c r="S122" s="307" t="str">
        <f ca="1">IF($B124&lt;&gt;"",$B124,"")</f>
        <v/>
      </c>
      <c r="T122" s="308"/>
      <c r="U122" s="308"/>
      <c r="V122" s="308"/>
      <c r="W122" s="308"/>
      <c r="X122" s="309"/>
      <c r="Y122" s="284"/>
      <c r="Z122" s="284"/>
      <c r="AA122" s="284"/>
      <c r="AB122" s="284"/>
      <c r="AC122" s="284"/>
      <c r="AD122" s="296"/>
      <c r="AE122" s="290"/>
      <c r="AF122" s="291"/>
    </row>
    <row r="123" spans="1:32" ht="12.75" customHeight="1" x14ac:dyDescent="0.25">
      <c r="A123" s="5" t="s">
        <v>160</v>
      </c>
      <c r="B123" s="256" t="s">
        <v>58</v>
      </c>
      <c r="C123" s="257"/>
      <c r="D123" s="257"/>
      <c r="E123" s="257"/>
      <c r="F123" s="257"/>
      <c r="G123" s="258"/>
      <c r="H123" s="5">
        <v>1</v>
      </c>
      <c r="I123" s="5">
        <v>2</v>
      </c>
      <c r="J123" s="5">
        <v>3</v>
      </c>
      <c r="K123" s="5">
        <v>4</v>
      </c>
      <c r="L123" s="5">
        <v>5</v>
      </c>
      <c r="M123" s="270"/>
      <c r="N123" s="271"/>
      <c r="O123" s="271"/>
      <c r="P123" s="272"/>
      <c r="Q123" s="6"/>
      <c r="R123" s="285"/>
      <c r="S123" s="310"/>
      <c r="T123" s="311"/>
      <c r="U123" s="311"/>
      <c r="V123" s="311"/>
      <c r="W123" s="311"/>
      <c r="X123" s="312"/>
      <c r="Y123" s="285"/>
      <c r="Z123" s="285"/>
      <c r="AA123" s="285"/>
      <c r="AB123" s="285"/>
      <c r="AC123" s="285"/>
      <c r="AD123" s="292"/>
      <c r="AE123" s="293"/>
      <c r="AF123" s="294"/>
    </row>
    <row r="124" spans="1:32" ht="12.75" customHeight="1" x14ac:dyDescent="0.25">
      <c r="A124" s="259" t="str">
        <f>B111</f>
        <v>C</v>
      </c>
      <c r="B124" s="236" t="str">
        <f ca="1">IF(AND(OFFSET($AO$1,$C111-1,8,1,1),$A112&lt;&gt;"",$J112&lt;&gt;""),CHOOSE($C111,$AP$1,$AP$2,$AP$3,$AP$4,$AP$5,$AP$6,$AP$7,$AP$8,$AP$9,$AP$10,$AP$11,$AP$12),"")</f>
        <v/>
      </c>
      <c r="C124" s="237"/>
      <c r="D124" s="237"/>
      <c r="E124" s="237"/>
      <c r="F124" s="237"/>
      <c r="G124" s="237"/>
      <c r="H124" s="233"/>
      <c r="I124" s="233"/>
      <c r="J124" s="233"/>
      <c r="K124" s="233"/>
      <c r="L124" s="233"/>
      <c r="M124" s="245" t="str">
        <f ca="1">IF(OR(AND($B117&lt;&gt;"",$B124&lt;&gt;"",$C142&lt;=$B142),AND($B119&lt;&gt;"",$B126&lt;&gt;"",$G142&lt;=$F142)),"Invalid Lineup","")</f>
        <v/>
      </c>
      <c r="N124" s="246"/>
      <c r="O124" s="246"/>
      <c r="P124" s="247"/>
      <c r="Q124" s="40" t="str">
        <f>IF($L124=$L126,IF($K124=$K126,IF($J124&lt;&gt;"",IF($J124&gt;$J126,"W","L"),""),IF($K124&gt;$K126,"W","L")),IF($L124&gt;$L126,"W","L"))</f>
        <v/>
      </c>
      <c r="R124" s="259" t="str">
        <f>$K111</f>
        <v>J</v>
      </c>
      <c r="S124" s="307" t="str">
        <f ca="1">IF($B126&lt;&gt;"",$B126,"")</f>
        <v/>
      </c>
      <c r="T124" s="308"/>
      <c r="U124" s="308"/>
      <c r="V124" s="308"/>
      <c r="W124" s="308"/>
      <c r="X124" s="309"/>
      <c r="Y124" s="284"/>
      <c r="Z124" s="284"/>
      <c r="AA124" s="284"/>
      <c r="AB124" s="284"/>
      <c r="AC124" s="297"/>
      <c r="AD124" s="289" t="s">
        <v>169</v>
      </c>
      <c r="AE124" s="290"/>
      <c r="AF124" s="291"/>
    </row>
    <row r="125" spans="1:32" ht="12.75" customHeight="1" x14ac:dyDescent="0.25">
      <c r="A125" s="260"/>
      <c r="B125" s="238"/>
      <c r="C125" s="239"/>
      <c r="D125" s="239"/>
      <c r="E125" s="239"/>
      <c r="F125" s="239"/>
      <c r="G125" s="239"/>
      <c r="H125" s="234"/>
      <c r="I125" s="234"/>
      <c r="J125" s="234"/>
      <c r="K125" s="234"/>
      <c r="L125" s="234"/>
      <c r="M125" s="245"/>
      <c r="N125" s="246"/>
      <c r="O125" s="246"/>
      <c r="P125" s="247"/>
      <c r="Q125" s="110" t="str">
        <f>IF($Q124&lt;&gt;"",IF($Q124="W",IF(SUM(IF($H124&gt;$H126,1,0),IF($I124&gt;$I126,1,0),IF($J124&gt;$J126,1,0),IF($K124&gt;$K126,1,0),IF($L124&gt;$L126,1,0))&lt;&gt;3,"Error",""),""),"")</f>
        <v/>
      </c>
      <c r="R125" s="285"/>
      <c r="S125" s="310"/>
      <c r="T125" s="311"/>
      <c r="U125" s="311"/>
      <c r="V125" s="311"/>
      <c r="W125" s="311"/>
      <c r="X125" s="312"/>
      <c r="Y125" s="285"/>
      <c r="Z125" s="285"/>
      <c r="AA125" s="285"/>
      <c r="AB125" s="285"/>
      <c r="AC125" s="285"/>
      <c r="AD125" s="292"/>
      <c r="AE125" s="293"/>
      <c r="AF125" s="294"/>
    </row>
    <row r="126" spans="1:32" ht="12.75" customHeight="1" x14ac:dyDescent="0.25">
      <c r="A126" s="259" t="str">
        <f>K111</f>
        <v>J</v>
      </c>
      <c r="B126" s="236" t="str">
        <f ca="1">IF(AND(OFFSET($AO$1,$L111-1,8,1,1),$A112&lt;&gt;"",$J112&lt;&gt;""),CHOOSE($L111,$AP$1,$AP$2,$AP$3,$AP$4,$AP$5,$AP$6,$AP$7,$AP$8,$AP$9,$AP$10,$AP$11,$AP$12),"")</f>
        <v/>
      </c>
      <c r="C126" s="237"/>
      <c r="D126" s="237"/>
      <c r="E126" s="237"/>
      <c r="F126" s="237"/>
      <c r="G126" s="237"/>
      <c r="H126" s="233"/>
      <c r="I126" s="233"/>
      <c r="J126" s="233"/>
      <c r="K126" s="233"/>
      <c r="L126" s="233"/>
      <c r="M126" s="250" t="s">
        <v>169</v>
      </c>
      <c r="N126" s="251"/>
      <c r="O126" s="251"/>
      <c r="P126" s="252"/>
      <c r="Q126" s="40" t="str">
        <f>IF($Q124&lt;&gt;"",IF($Q124="W","L","W"),"")</f>
        <v/>
      </c>
      <c r="R126" s="14"/>
      <c r="S126" s="14"/>
      <c r="T126" s="14"/>
      <c r="U126" s="14"/>
      <c r="V126" s="14"/>
      <c r="W126" s="14"/>
      <c r="X126" s="7"/>
      <c r="Y126" s="7"/>
      <c r="Z126" s="14"/>
      <c r="AA126" s="14"/>
      <c r="AB126" s="14"/>
      <c r="AC126" s="14"/>
      <c r="AD126" s="14"/>
      <c r="AE126" s="14"/>
      <c r="AF126"/>
    </row>
    <row r="127" spans="1:32" ht="12.75" customHeight="1" x14ac:dyDescent="0.25">
      <c r="A127" s="260"/>
      <c r="B127" s="238"/>
      <c r="C127" s="239"/>
      <c r="D127" s="239"/>
      <c r="E127" s="239"/>
      <c r="F127" s="239"/>
      <c r="G127" s="239"/>
      <c r="H127" s="234"/>
      <c r="I127" s="234"/>
      <c r="J127" s="235"/>
      <c r="K127" s="235"/>
      <c r="L127" s="235"/>
      <c r="M127" s="250"/>
      <c r="N127" s="251"/>
      <c r="O127" s="251"/>
      <c r="P127" s="252"/>
      <c r="Q127" s="110" t="str">
        <f>IF($Q126&lt;&gt;"",IF($Q126="W",IF(SUM(IF($H126&gt;$H124,1,0),IF($I126&gt;$I124,1,0),IF($J126&gt;$J124,1,0),IF($K126&gt;$K124,1,0),IF($L126&gt;$L124,1,0))&lt;&gt;3,"Error",""),""),"")</f>
        <v/>
      </c>
      <c r="R127" s="14"/>
      <c r="S127" s="14"/>
      <c r="T127" s="14"/>
      <c r="U127" s="14"/>
      <c r="V127" s="14"/>
      <c r="W127" s="14"/>
      <c r="X127" s="7"/>
      <c r="Y127" s="7"/>
      <c r="Z127" s="14"/>
      <c r="AA127" s="14"/>
      <c r="AB127" s="14"/>
      <c r="AC127" s="14"/>
      <c r="AD127" s="14"/>
      <c r="AE127" s="14"/>
      <c r="AF127"/>
    </row>
    <row r="128" spans="1:32" ht="12.75" customHeight="1" x14ac:dyDescent="0.25">
      <c r="Q128" s="6"/>
      <c r="R128" s="14"/>
      <c r="S128" s="14"/>
      <c r="T128" s="14"/>
      <c r="U128" s="14"/>
      <c r="V128" s="14"/>
      <c r="W128" s="14"/>
      <c r="X128" s="7"/>
      <c r="Y128" s="7"/>
      <c r="Z128" s="14"/>
      <c r="AA128" s="14"/>
      <c r="AB128" s="14"/>
      <c r="AC128" s="14"/>
      <c r="AD128" s="14"/>
      <c r="AE128" s="14"/>
      <c r="AF128"/>
    </row>
    <row r="129" spans="1:32" ht="12.75" customHeight="1" x14ac:dyDescent="0.25">
      <c r="A129" s="15" t="s">
        <v>167</v>
      </c>
      <c r="H129" s="110" t="str">
        <f>IF($Q131&lt;&gt;"",IF(AND(AND($H131&gt;-1,$H133&gt;-1),OR($H131&gt;10,$H133&gt;10),ABS($H131-$H133)&gt;1,IF(OR($H131&gt;11,$H133&gt;11),ABS($H131-$H133)=2,TRUE),$H131=INT($H131),$H133=INT($H133)),"","Error"),"")</f>
        <v/>
      </c>
      <c r="I129" s="110" t="str">
        <f>IF($Q131&lt;&gt;"",IF(AND(AND($I131&gt;-1,$I133&gt;-1),OR($I131&gt;10,$I133&gt;10),ABS($I131-$I133)&gt;1,IF(OR($I131&gt;11,$I133&gt;11),ABS($I131-$I133)=2,TRUE),$I131=INT($I131),$I133=INT($I133)),"","Error"),"")</f>
        <v/>
      </c>
      <c r="J129" s="110" t="str">
        <f>IF($Q131&lt;&gt;"",IF(AND(AND($J131&gt;-1,$J133&gt;-1),OR($J131&gt;10,$J133&gt;10),ABS($J131-$J133)&gt;1,IF(OR($J131&gt;11,$J133&gt;11),ABS($J131-$J133)=2,TRUE),$J131=INT($J131),$J133=INT($J133)),"","Error"),"")</f>
        <v/>
      </c>
      <c r="K129" s="110" t="str">
        <f>IF($Q131&lt;&gt;"",IF(AND($K131&lt;&gt;"",$K133&lt;&gt;""), IF(AND(AND($K131&gt;-1,$K133&gt;-1),OR($K131&gt;10,$K133&gt;10),ABS($K131-$K133)&gt;1,IF(OR($K131&gt;11,$K133&gt;11),ABS($K131-$K133)=2,TRUE),$K131=INT($K131),$K133=INT($K133)),"","Error"),""),"")</f>
        <v/>
      </c>
      <c r="L129" s="110" t="str">
        <f>IF($Q131&lt;&gt;"",IF(AND($L131&lt;&gt;"",$L133&lt;&gt;""), IF(AND(AND($L131&gt;-1,$L133&gt;-1),OR($L131&gt;10,$L133&gt;10),ABS($L131-$L133)&gt;1,IF(OR($L131&gt;11,$L133&gt;11),ABS($L131-$L133)=2,TRUE),$L131=INT($L131),$L133=INT($L133)),"","Error"),""),"")</f>
        <v/>
      </c>
      <c r="Q129" s="6"/>
      <c r="R129" s="14"/>
      <c r="S129" s="14"/>
      <c r="T129" s="14"/>
      <c r="U129" s="14"/>
      <c r="V129" s="14"/>
      <c r="W129" s="14"/>
      <c r="X129" s="7"/>
      <c r="Y129" s="7"/>
      <c r="Z129" s="14"/>
      <c r="AA129" s="14"/>
      <c r="AB129" s="14"/>
      <c r="AC129" s="14"/>
      <c r="AD129" s="14"/>
      <c r="AE129" s="14"/>
      <c r="AF129"/>
    </row>
    <row r="130" spans="1:32" ht="12.75" customHeight="1" x14ac:dyDescent="0.25">
      <c r="A130" s="5" t="s">
        <v>160</v>
      </c>
      <c r="B130" s="256" t="s">
        <v>58</v>
      </c>
      <c r="C130" s="257"/>
      <c r="D130" s="257"/>
      <c r="E130" s="257"/>
      <c r="F130" s="257"/>
      <c r="G130" s="258"/>
      <c r="H130" s="5">
        <v>1</v>
      </c>
      <c r="I130" s="5">
        <v>2</v>
      </c>
      <c r="J130" s="5">
        <v>3</v>
      </c>
      <c r="K130" s="5">
        <v>4</v>
      </c>
      <c r="L130" s="5">
        <v>5</v>
      </c>
      <c r="M130" s="270"/>
      <c r="N130" s="271"/>
      <c r="O130" s="271"/>
      <c r="P130" s="272"/>
      <c r="Q130" s="6"/>
      <c r="R130" s="14"/>
      <c r="S130" s="14"/>
      <c r="T130" s="14"/>
      <c r="U130" s="14"/>
      <c r="V130" s="14"/>
      <c r="W130" s="14"/>
      <c r="X130" s="7"/>
      <c r="Y130" s="7"/>
      <c r="Z130" s="14"/>
      <c r="AA130" s="14"/>
      <c r="AB130" s="14"/>
      <c r="AC130" s="14"/>
      <c r="AD130" s="14"/>
      <c r="AE130" s="14"/>
      <c r="AF130"/>
    </row>
    <row r="131" spans="1:32" ht="12.75" customHeight="1" x14ac:dyDescent="0.25">
      <c r="A131" s="259" t="str">
        <f>B111</f>
        <v>C</v>
      </c>
      <c r="B131" s="236" t="str">
        <f ca="1">IF(AND(OFFSET($AO$1,$C111-1,8,1,1),$A112&lt;&gt;"",$J112&lt;&gt;""),CHOOSE($C111,$AQ$1,$AQ$2,$AQ$3,$AQ$4,$AQ$5,$AQ$6,$AQ$7,$AQ$8,$AQ$9,$AQ$10,$AQ$11,$AQ$12),"")</f>
        <v/>
      </c>
      <c r="C131" s="237"/>
      <c r="D131" s="237"/>
      <c r="E131" s="237"/>
      <c r="F131" s="237"/>
      <c r="G131" s="237"/>
      <c r="H131" s="233"/>
      <c r="I131" s="233"/>
      <c r="J131" s="233"/>
      <c r="K131" s="233"/>
      <c r="L131" s="233"/>
      <c r="M131" s="245" t="str">
        <f ca="1">IF(OR(AND($B124&lt;&gt;"",$B131&lt;&gt;"",$D142&lt;=$C142),AND($B126&lt;&gt;"",$B133&lt;&gt;"",$H142&lt;=$G142)),"Invalid Lineup","")</f>
        <v/>
      </c>
      <c r="N131" s="246"/>
      <c r="O131" s="246"/>
      <c r="P131" s="247"/>
      <c r="Q131" s="40" t="str">
        <f>IF($L131=$L133,IF($K131=$K133,IF($J131&lt;&gt;"",IF($J131&gt;$J133,"W","L"),""),IF($K131&gt;$K133,"W","L")),IF($L131&gt;$L133,"W","L"))</f>
        <v/>
      </c>
      <c r="R131" s="14"/>
      <c r="S131" s="14"/>
      <c r="T131" s="14"/>
      <c r="U131" s="14"/>
      <c r="V131" s="14"/>
      <c r="W131" s="14"/>
      <c r="X131" s="7"/>
      <c r="Y131" s="7"/>
      <c r="Z131" s="14"/>
      <c r="AA131" s="14"/>
      <c r="AB131" s="14"/>
      <c r="AC131" s="14"/>
      <c r="AD131" s="14"/>
      <c r="AE131" s="14"/>
      <c r="AF131"/>
    </row>
    <row r="132" spans="1:32" ht="12.75" customHeight="1" x14ac:dyDescent="0.25">
      <c r="A132" s="260"/>
      <c r="B132" s="238"/>
      <c r="C132" s="239"/>
      <c r="D132" s="239"/>
      <c r="E132" s="239"/>
      <c r="F132" s="239"/>
      <c r="G132" s="239"/>
      <c r="H132" s="234"/>
      <c r="I132" s="234"/>
      <c r="J132" s="234"/>
      <c r="K132" s="234"/>
      <c r="L132" s="234"/>
      <c r="M132" s="245"/>
      <c r="N132" s="246"/>
      <c r="O132" s="246"/>
      <c r="P132" s="247"/>
      <c r="Q132" s="110" t="str">
        <f>IF($Q131&lt;&gt;"",IF($Q131="W",IF(SUM(IF($H131&gt;$H133,1,0),IF($I131&gt;$I133,1,0),IF($J131&gt;$J133,1,0),IF($K131&gt;$K133,1,0),IF($L131&gt;$L133,1,0))&lt;&gt;3,"Error",""),""),"")</f>
        <v/>
      </c>
      <c r="R132" s="295" t="str">
        <f>$A112</f>
        <v/>
      </c>
      <c r="S132" s="295"/>
      <c r="T132" s="295"/>
      <c r="U132" s="295"/>
      <c r="V132" s="295"/>
      <c r="W132" s="295"/>
      <c r="X132" s="219" t="str">
        <f>CONCATENATE("(",$B111," vs ",$K111,")")</f>
        <v>(C vs J)</v>
      </c>
      <c r="Y132" s="219"/>
      <c r="Z132" s="295" t="str">
        <f>$J112</f>
        <v/>
      </c>
      <c r="AA132" s="295"/>
      <c r="AB132" s="295"/>
      <c r="AC132" s="295"/>
      <c r="AD132" s="295"/>
      <c r="AE132" s="295"/>
      <c r="AF132"/>
    </row>
    <row r="133" spans="1:32" ht="12.75" customHeight="1" x14ac:dyDescent="0.25">
      <c r="A133" s="259" t="str">
        <f>K111</f>
        <v>J</v>
      </c>
      <c r="B133" s="236" t="str">
        <f ca="1">IF(AND(OFFSET($AO$1,$L111-1,8,1,1),$A112&lt;&gt;"",$J112&lt;&gt;""),CHOOSE($L111,$AQ$1,$AQ$2,$AQ$3,$AQ$4,$AQ$5,$AQ$6,$AQ$7,$AQ$8,$AQ$9,$AQ$10,$AQ$11,$AQ$12),"")</f>
        <v/>
      </c>
      <c r="C133" s="237"/>
      <c r="D133" s="237"/>
      <c r="E133" s="237"/>
      <c r="F133" s="237"/>
      <c r="G133" s="237"/>
      <c r="H133" s="233"/>
      <c r="I133" s="233"/>
      <c r="J133" s="233"/>
      <c r="K133" s="233"/>
      <c r="L133" s="233"/>
      <c r="M133" s="250" t="s">
        <v>169</v>
      </c>
      <c r="N133" s="251"/>
      <c r="O133" s="251"/>
      <c r="P133" s="252"/>
      <c r="Q133" s="40" t="str">
        <f>IF($Q131&lt;&gt;"",IF($Q131="W","L","W"),"")</f>
        <v/>
      </c>
      <c r="R133"/>
      <c r="S133"/>
      <c r="T133"/>
      <c r="U133"/>
      <c r="V133"/>
      <c r="W133"/>
      <c r="X133"/>
      <c r="Y133"/>
      <c r="Z133"/>
      <c r="AA133"/>
      <c r="AB133"/>
      <c r="AC133"/>
      <c r="AD133"/>
      <c r="AE133"/>
      <c r="AF133"/>
    </row>
    <row r="134" spans="1:32" ht="12.75" customHeight="1" x14ac:dyDescent="0.25">
      <c r="A134" s="260"/>
      <c r="B134" s="238"/>
      <c r="C134" s="239"/>
      <c r="D134" s="239"/>
      <c r="E134" s="239"/>
      <c r="F134" s="239"/>
      <c r="G134" s="239"/>
      <c r="H134" s="234"/>
      <c r="I134" s="234"/>
      <c r="J134" s="235"/>
      <c r="K134" s="235"/>
      <c r="L134" s="235"/>
      <c r="M134" s="250"/>
      <c r="N134" s="251"/>
      <c r="O134" s="251"/>
      <c r="P134" s="252"/>
      <c r="Q134" s="110" t="str">
        <f>IF($Q133&lt;&gt;"",IF($Q133="W",IF(SUM(IF($H133&gt;$H131,1,0),IF($I133&gt;$I131,1,0),IF($J133&gt;$J131,1,0),IF($K133&gt;$K131,1,0),IF($L133&gt;$L131,1,0))&lt;&gt;3,"Error",""),""),"")</f>
        <v/>
      </c>
      <c r="R134" t="str">
        <f>$A129</f>
        <v>3rd Singles</v>
      </c>
      <c r="S134"/>
      <c r="T134"/>
      <c r="U134"/>
      <c r="V134"/>
      <c r="W134"/>
      <c r="X134"/>
      <c r="Y134"/>
      <c r="Z134"/>
      <c r="AA134"/>
      <c r="AB134"/>
      <c r="AC134"/>
      <c r="AD134"/>
      <c r="AE134"/>
      <c r="AF134"/>
    </row>
    <row r="135" spans="1:32" ht="12.75" customHeight="1" x14ac:dyDescent="0.25">
      <c r="Q135" s="6"/>
      <c r="R135" s="47" t="s">
        <v>160</v>
      </c>
      <c r="S135" s="86" t="s">
        <v>58</v>
      </c>
      <c r="T135" s="87"/>
      <c r="U135" s="87"/>
      <c r="V135" s="87"/>
      <c r="W135" s="87"/>
      <c r="X135" s="88"/>
      <c r="Y135" s="47">
        <v>1</v>
      </c>
      <c r="Z135" s="47">
        <v>2</v>
      </c>
      <c r="AA135" s="47">
        <v>3</v>
      </c>
      <c r="AB135" s="47">
        <v>4</v>
      </c>
      <c r="AC135" s="47">
        <v>5</v>
      </c>
      <c r="AD135" s="89"/>
      <c r="AE135" s="90"/>
      <c r="AF135" s="91"/>
    </row>
    <row r="136" spans="1:32" ht="12.75" customHeight="1" x14ac:dyDescent="0.25">
      <c r="A136" s="15" t="s">
        <v>168</v>
      </c>
      <c r="H136" s="110" t="str">
        <f ca="1">IF($Q138&lt;&gt;"",IF(AND($B138&lt;&gt;"Missing Player",$B140&lt;&gt;"Missing Player"),IF(AND(AND($H138&gt;-1,$H140&gt;-1),OR($H138&gt;10,$H140&gt;10),ABS($H138-$H140)&gt;1,IF(OR($H138&gt;11,$H140&gt;11),ABS($H138-$H140)=2,TRUE),$H138=INT($H138),$H140=INT($H140)),"","Error"),""),"")</f>
        <v/>
      </c>
      <c r="I136" s="110" t="str">
        <f ca="1">IF($Q138&lt;&gt;"",IF(AND($B138&lt;&gt;"Missing Player",$B140&lt;&gt;"Missing Player"),IF(AND(AND($I138&gt;-1,$I140&gt;-1),OR($I138&gt;10,$I140&gt;10),ABS($I138-$I140)&gt;1,IF(OR($I138&gt;11,$I140&gt;11),ABS($I138-$I140)=2,TRUE),$I138=INT($I138),$I140=INT($I140)),"","Error"),""),"")</f>
        <v/>
      </c>
      <c r="J136" s="110" t="str">
        <f ca="1">IF($Q138&lt;&gt;"",IF(AND($B138&lt;&gt;"Missing Player",$B140&lt;&gt;"Missing Player"),IF(AND(AND($J138&gt;-1,$J140&gt;-1),OR($J138&gt;10,$J140&gt;10),ABS($J138-$J140)&gt;1,IF(OR($J138&gt;11,$J140&gt;11),ABS($J138-$J140)=2,TRUE),$J138=INT($J138),$J140=INT($J140)),"","Error"),""),"")</f>
        <v/>
      </c>
      <c r="K136" s="110" t="str">
        <f ca="1">IF($Q138&lt;&gt;"",IF(AND($K138&lt;&gt;"",$K140&lt;&gt;""), IF(AND(AND($K138&gt;-1,$K140&gt;-1),OR($K138&gt;10,$K140&gt;10),ABS($K138-$K140)&gt;1,IF(OR($K138&gt;11,$K140&gt;11),ABS($K138-$K140)=2,TRUE),$K138=INT($K138),$K140=INT($K140)),"","Error"),""),"")</f>
        <v/>
      </c>
      <c r="L136" s="110" t="str">
        <f ca="1">IF($Q138&lt;&gt;"",IF(AND($L138&lt;&gt;"",$L140&lt;&gt;""), IF(AND(AND($L138&gt;-1,$L140&gt;-1),OR($L138&gt;10,$L140&gt;10),ABS($L138-$L140)&gt;1,IF(OR($L138&gt;11,$L140&gt;11),ABS($L138-$L140)=2,TRUE),$L138=INT($L138),$L140=INT($L140)),"","Error"),""),"")</f>
        <v/>
      </c>
      <c r="Q136" s="6"/>
      <c r="R136" s="259" t="str">
        <f>$B111</f>
        <v>C</v>
      </c>
      <c r="S136" s="307" t="str">
        <f ca="1">IF($B131&lt;&gt;"",$B131,"")</f>
        <v/>
      </c>
      <c r="T136" s="308"/>
      <c r="U136" s="308"/>
      <c r="V136" s="308"/>
      <c r="W136" s="308"/>
      <c r="X136" s="309"/>
      <c r="Y136" s="284"/>
      <c r="Z136" s="284"/>
      <c r="AA136" s="284"/>
      <c r="AB136" s="284"/>
      <c r="AC136" s="284"/>
      <c r="AD136" s="296"/>
      <c r="AE136" s="290"/>
      <c r="AF136" s="291"/>
    </row>
    <row r="137" spans="1:32" ht="12.75" customHeight="1" x14ac:dyDescent="0.25">
      <c r="A137" s="5" t="s">
        <v>160</v>
      </c>
      <c r="B137" s="256" t="s">
        <v>58</v>
      </c>
      <c r="C137" s="257"/>
      <c r="D137" s="257"/>
      <c r="E137" s="257"/>
      <c r="F137" s="257"/>
      <c r="G137" s="258"/>
      <c r="H137" s="5">
        <v>1</v>
      </c>
      <c r="I137" s="5">
        <v>2</v>
      </c>
      <c r="J137" s="5">
        <v>3</v>
      </c>
      <c r="K137" s="5">
        <v>4</v>
      </c>
      <c r="L137" s="5">
        <v>5</v>
      </c>
      <c r="M137" s="270"/>
      <c r="N137" s="271"/>
      <c r="O137" s="271"/>
      <c r="P137" s="272"/>
      <c r="Q137" s="6"/>
      <c r="R137" s="285"/>
      <c r="S137" s="310"/>
      <c r="T137" s="311"/>
      <c r="U137" s="311"/>
      <c r="V137" s="311"/>
      <c r="W137" s="311"/>
      <c r="X137" s="312"/>
      <c r="Y137" s="285"/>
      <c r="Z137" s="285"/>
      <c r="AA137" s="285"/>
      <c r="AB137" s="285"/>
      <c r="AC137" s="285"/>
      <c r="AD137" s="292"/>
      <c r="AE137" s="293"/>
      <c r="AF137" s="294"/>
    </row>
    <row r="138" spans="1:32" ht="12.75" customHeight="1" x14ac:dyDescent="0.25">
      <c r="A138" s="259" t="str">
        <f>B111</f>
        <v>C</v>
      </c>
      <c r="B138" s="236" t="str">
        <f ca="1">IF(AND(OFFSET($AO$1,$C111-1,8,1,1),$A112&lt;&gt;"",$J112&lt;&gt;""),CHOOSE($C111,$AR$1,$AR$2,$AR$3,$AR$4,$AR$5,$AR$6,$AR$7,$AR$8,$AR$9,$AR$10,$AR$11,$AR$12),"")</f>
        <v/>
      </c>
      <c r="C138" s="237"/>
      <c r="D138" s="237"/>
      <c r="E138" s="237"/>
      <c r="F138" s="237"/>
      <c r="G138" s="237"/>
      <c r="H138" s="233"/>
      <c r="I138" s="233"/>
      <c r="J138" s="233"/>
      <c r="K138" s="233"/>
      <c r="L138" s="233" t="str">
        <f ca="1">IF(AND($B138&lt;&gt;"",$Q117&lt;&gt;""),IF($B138="Missing Player",0,IF($B140="Missing Player",11,"")),"")</f>
        <v/>
      </c>
      <c r="M138" s="245" t="str">
        <f ca="1">IF(OR(AND($B131&lt;&gt;"",$B138&lt;&gt;"",$E142&lt;=$D142),AND($B133&lt;&gt;"",$B140&lt;&gt;"",$I142&lt;=$H142)),"Invalid Lineup","")</f>
        <v/>
      </c>
      <c r="N138" s="246"/>
      <c r="O138" s="246"/>
      <c r="P138" s="247"/>
      <c r="Q138" s="40" t="str">
        <f ca="1">IF($L138=$L140,IF($K138=$K140,IF($J138&lt;&gt;"",IF($J138&gt;$J140,"W","L"),""),IF($K138&gt;$K140,"W","L")),IF($L138&gt;$L140,"W","L"))</f>
        <v/>
      </c>
      <c r="R138" s="259" t="str">
        <f>$K111</f>
        <v>J</v>
      </c>
      <c r="S138" s="307" t="str">
        <f ca="1">IF($B133&lt;&gt;"",$B133,"")</f>
        <v/>
      </c>
      <c r="T138" s="308"/>
      <c r="U138" s="308"/>
      <c r="V138" s="308"/>
      <c r="W138" s="308"/>
      <c r="X138" s="309"/>
      <c r="Y138" s="284"/>
      <c r="Z138" s="284"/>
      <c r="AA138" s="284"/>
      <c r="AB138" s="284"/>
      <c r="AC138" s="297"/>
      <c r="AD138" s="289" t="s">
        <v>169</v>
      </c>
      <c r="AE138" s="290"/>
      <c r="AF138" s="291"/>
    </row>
    <row r="139" spans="1:32" ht="12.75" customHeight="1" x14ac:dyDescent="0.25">
      <c r="A139" s="260"/>
      <c r="B139" s="238"/>
      <c r="C139" s="239"/>
      <c r="D139" s="239"/>
      <c r="E139" s="239"/>
      <c r="F139" s="239"/>
      <c r="G139" s="239"/>
      <c r="H139" s="234"/>
      <c r="I139" s="234"/>
      <c r="J139" s="234"/>
      <c r="K139" s="234"/>
      <c r="L139" s="234"/>
      <c r="M139" s="245"/>
      <c r="N139" s="246"/>
      <c r="O139" s="246"/>
      <c r="P139" s="247"/>
      <c r="Q139" s="110" t="str">
        <f ca="1">IF($Q138&lt;&gt;"",IF($B140&lt;&gt;"Missing Player",IF($Q138="W",IF(SUM(IF($H138&gt;$H140,1,0),IF($I138&gt;$I140,1,0),IF($J138&gt;$J140,1,0),IF($K138&gt;$K140,1,0),IF($L138&gt;$L140,1,0))&lt;&gt;3,"Error",""),""),""),"")</f>
        <v/>
      </c>
      <c r="R139" s="285"/>
      <c r="S139" s="310"/>
      <c r="T139" s="311"/>
      <c r="U139" s="311"/>
      <c r="V139" s="311"/>
      <c r="W139" s="311"/>
      <c r="X139" s="312"/>
      <c r="Y139" s="285"/>
      <c r="Z139" s="285"/>
      <c r="AA139" s="285"/>
      <c r="AB139" s="285"/>
      <c r="AC139" s="285"/>
      <c r="AD139" s="292"/>
      <c r="AE139" s="293"/>
      <c r="AF139" s="294"/>
    </row>
    <row r="140" spans="1:32" ht="12.75" customHeight="1" x14ac:dyDescent="0.25">
      <c r="A140" s="259" t="str">
        <f>K111</f>
        <v>J</v>
      </c>
      <c r="B140" s="236" t="str">
        <f ca="1">IF(AND(OFFSET($AO$1,$L111-1,8,1,1),$A112&lt;&gt;"",$J112&lt;&gt;""),CHOOSE($L111,$AR$1,$AR$2,$AR$3,$AR$4,$AR$5,$AR$6,$AR$7,$AR$8,$AR$9,$AR$10,$AR$11,$AR$12),"")</f>
        <v/>
      </c>
      <c r="C140" s="237"/>
      <c r="D140" s="237"/>
      <c r="E140" s="237"/>
      <c r="F140" s="237"/>
      <c r="G140" s="237"/>
      <c r="H140" s="233"/>
      <c r="I140" s="233"/>
      <c r="J140" s="233"/>
      <c r="K140" s="233"/>
      <c r="L140" s="233" t="str">
        <f ca="1">IF(AND($B140&lt;&gt;"",$Q117&lt;&gt;""),IF($B140="Missing Player",0,IF($B138="Missing Player",11,"")),"")</f>
        <v/>
      </c>
      <c r="M140" s="250" t="s">
        <v>169</v>
      </c>
      <c r="N140" s="251"/>
      <c r="O140" s="251"/>
      <c r="P140" s="252"/>
      <c r="Q140" s="40" t="str">
        <f ca="1">IF($Q138&lt;&gt;"",IF($Q138="W","L","W"),"")</f>
        <v/>
      </c>
      <c r="R140" s="94"/>
      <c r="S140" s="84"/>
      <c r="T140" s="84"/>
      <c r="U140" s="84"/>
      <c r="V140" s="84"/>
      <c r="W140" s="84"/>
      <c r="X140" s="84"/>
      <c r="Y140" s="93"/>
      <c r="Z140" s="93"/>
      <c r="AA140" s="93"/>
      <c r="AB140" s="93"/>
      <c r="AC140" s="93"/>
      <c r="AD140" s="92"/>
      <c r="AE140" s="93"/>
      <c r="AF140" s="93"/>
    </row>
    <row r="141" spans="1:32" ht="12.75" customHeight="1" x14ac:dyDescent="0.25">
      <c r="A141" s="260"/>
      <c r="B141" s="238"/>
      <c r="C141" s="239"/>
      <c r="D141" s="239"/>
      <c r="E141" s="239"/>
      <c r="F141" s="239"/>
      <c r="G141" s="239"/>
      <c r="H141" s="234"/>
      <c r="I141" s="234"/>
      <c r="J141" s="235"/>
      <c r="K141" s="235"/>
      <c r="L141" s="235"/>
      <c r="M141" s="250"/>
      <c r="N141" s="251"/>
      <c r="O141" s="251"/>
      <c r="P141" s="252"/>
      <c r="Q141" s="110" t="str">
        <f ca="1">IF($Q140&lt;&gt;"",IF($B138&lt;&gt;"Missing Player",IF($Q140="W",IF(SUM(IF($H140&gt;$H138,1,0),IF($I140&gt;$I138,1,0),IF($J140&gt;$J138,1,0),IF($K140&gt;$K138,1,0),IF($L140&gt;$L138,1,0))&lt;&gt;3,"Error",""),""),""),"")</f>
        <v/>
      </c>
      <c r="R141" s="85"/>
      <c r="S141" s="95"/>
      <c r="T141" s="95"/>
      <c r="U141" s="95"/>
      <c r="V141" s="95"/>
      <c r="W141" s="95"/>
      <c r="X141" s="95"/>
      <c r="Y141" s="85"/>
      <c r="Z141" s="85"/>
      <c r="AA141" s="85"/>
      <c r="AB141" s="85"/>
      <c r="AC141" s="85"/>
      <c r="AD141" s="85"/>
      <c r="AE141" s="85"/>
      <c r="AF141" s="85"/>
    </row>
    <row r="142" spans="1:32" ht="12.75" customHeight="1" x14ac:dyDescent="0.25">
      <c r="B142" s="111" t="str">
        <f ca="1">IF(ISERROR(VLOOKUP($B117&amp;"("&amp;$B111&amp;")",Players!$S$4:$T$132,2,FALSE)),"",VLOOKUP($B117&amp;"("&amp;$B111&amp;")",Players!$S$4:$T$132,2,FALSE))</f>
        <v>C1</v>
      </c>
      <c r="C142" s="111" t="str">
        <f ca="1">IF(ISERROR(VLOOKUP($B124&amp;"("&amp;$B111&amp;")",Players!$S$4:$T$132,2,FALSE)),"",VLOOKUP($B124&amp;"("&amp;$B111&amp;")",Players!$S$4:$T$132,2,FALSE))</f>
        <v>C1</v>
      </c>
      <c r="D142" s="111" t="str">
        <f ca="1">IF(ISERROR(VLOOKUP($B131&amp;"("&amp;$B111&amp;")",Players!$S$4:$T$132,2,FALSE)),"",VLOOKUP($B131&amp;"("&amp;$B111&amp;")",Players!$S$4:$T$132,2,FALSE))</f>
        <v>C1</v>
      </c>
      <c r="E142" s="111" t="str">
        <f ca="1">IF(ISERROR(VLOOKUP($B138&amp;"("&amp;$B111&amp;")",Players!$S$4:$T$132,2,FALSE)),"",VLOOKUP($B138&amp;"("&amp;$B111&amp;")",Players!$S$4:$T$132,2,FALSE))</f>
        <v>C1</v>
      </c>
      <c r="F142" s="111" t="str">
        <f ca="1">IF(ISERROR(VLOOKUP($B119&amp;"("&amp;$K111&amp;")",Players!$S$4:$T$132,2,FALSE)),"",VLOOKUP($B119&amp;"("&amp;$K111&amp;")",Players!$S$4:$T$132,2,FALSE))</f>
        <v>J1</v>
      </c>
      <c r="G142" s="111" t="str">
        <f ca="1">IF(ISERROR(VLOOKUP($B126&amp;"("&amp;$K111&amp;")",Players!$S$4:$T$132,2,FALSE)),"",VLOOKUP($B126&amp;"("&amp;$K111&amp;")",Players!$S$4:$T$132,2,FALSE))</f>
        <v>J1</v>
      </c>
      <c r="H142" s="111" t="str">
        <f ca="1">IF(ISERROR(VLOOKUP($B133&amp;"("&amp;$K111&amp;")",Players!$S$4:$T$132,2,FALSE)),"",VLOOKUP($B133&amp;"("&amp;$K111&amp;")",Players!$S$4:$T$132,2,FALSE))</f>
        <v>J1</v>
      </c>
      <c r="I142" s="111" t="str">
        <f ca="1">IF(ISERROR(VLOOKUP($B140&amp;"("&amp;$K111&amp;")",Players!$S$4:$T$132,2,FALSE)),"",VLOOKUP($B140&amp;"("&amp;$K111&amp;")",Players!$S$4:$T$132,2,FALSE))</f>
        <v>J1</v>
      </c>
      <c r="Q142" s="6"/>
      <c r="R142" s="37"/>
      <c r="S142" s="95"/>
      <c r="T142" s="95"/>
      <c r="U142" s="95"/>
      <c r="V142" s="95"/>
      <c r="W142" s="95"/>
      <c r="X142" s="95"/>
      <c r="Y142" s="85"/>
      <c r="Z142" s="85"/>
      <c r="AA142" s="85"/>
      <c r="AB142" s="85"/>
      <c r="AC142" s="96"/>
      <c r="AD142" s="97"/>
      <c r="AE142" s="85"/>
      <c r="AF142" s="85"/>
    </row>
    <row r="143" spans="1:32" ht="12.75" customHeight="1" x14ac:dyDescent="0.25">
      <c r="A143" s="15" t="s">
        <v>157</v>
      </c>
      <c r="H143" s="110" t="str">
        <f ca="1">IF($Q145&lt;&gt;"",IF(AND($B146&lt;&gt;"Missing Player",$B148&lt;&gt;"Missing Player"),IF(AND(AND($H145&gt;-1,$H147&gt;-1),OR($H145&gt;10,$H147&gt;10),ABS($H145-$H147)&gt;1,IF(OR($H145&gt;11,$H147&gt;11),ABS($H145-$H147)=2,TRUE),$H145=INT($H145),$H147=INT($H147)),"","Error"),""),"")</f>
        <v/>
      </c>
      <c r="I143" s="110" t="str">
        <f ca="1">IF($Q145&lt;&gt;"",IF(AND($B146&lt;&gt;"Missing Player",$B148&lt;&gt;"Missing Player"),IF(AND(AND($I145&gt;-1,$I147&gt;-1),OR($I145&gt;10,$I147&gt;10),ABS($I145-$I147)&gt;1,IF(OR($I145&gt;11,$I147&gt;11),ABS($I145-$I147)=2,TRUE),$I145=INT($I145),$I147=INT($I147)),"","Error"),""),"")</f>
        <v/>
      </c>
      <c r="J143" s="110" t="str">
        <f ca="1">IF($Q145&lt;&gt;"",IF(AND($B146&lt;&gt;"Missing Player",$B148&lt;&gt;"Missing Player"),IF(AND(AND($J145&gt;-1,$J147&gt;-1),OR($J145&gt;10,$J147&gt;10),ABS($J145-$J147)&gt;1,IF(OR($J145&gt;11,$J147&gt;11),ABS($J145-$J147)=2,TRUE),$J145=INT($J145),$J147=INT($J147)),"","Error"),""),"")</f>
        <v/>
      </c>
      <c r="K143" s="110" t="str">
        <f ca="1">IF($Q145&lt;&gt;"",IF(AND($K145&lt;&gt;"",$K147&lt;&gt;""), IF(AND(AND($K145&gt;-1,$K147&gt;-1),OR($K145&gt;10,$K147&gt;10),ABS($K145-$K147)&gt;1,IF(OR($K145&gt;11,$K147&gt;11),ABS($K145-$K147)=2,TRUE),$K145=INT($K145),$K147=INT($K147)),"","Error"),""),"")</f>
        <v/>
      </c>
      <c r="L143" s="110" t="str">
        <f ca="1">IF($Q145&lt;&gt;"",IF(AND($L145&lt;&gt;"",$L147&lt;&gt;""), IF(AND(AND($L145&gt;-1,$L147&gt;-1),OR($L145&gt;10,$L147&gt;10),ABS($L145-$L147)&gt;1,IF(OR($L145&gt;11,$L147&gt;11),ABS($L145-$L147)=2,TRUE),$L145=INT($L145),$L147=INT($L147)),"","Error"),""),"")</f>
        <v/>
      </c>
      <c r="Q143" s="6"/>
      <c r="R143" s="85"/>
      <c r="S143" s="95"/>
      <c r="T143" s="95"/>
      <c r="U143" s="95"/>
      <c r="V143" s="95"/>
      <c r="W143" s="95"/>
      <c r="X143" s="95"/>
      <c r="Y143" s="85"/>
      <c r="Z143" s="85"/>
      <c r="AA143" s="85"/>
      <c r="AB143" s="85"/>
      <c r="AC143" s="85"/>
      <c r="AD143" s="85"/>
      <c r="AE143" s="85"/>
      <c r="AF143" s="85"/>
    </row>
    <row r="144" spans="1:32" ht="12.75" customHeight="1" x14ac:dyDescent="0.25">
      <c r="A144" s="5" t="s">
        <v>160</v>
      </c>
      <c r="B144" s="256" t="s">
        <v>58</v>
      </c>
      <c r="C144" s="257"/>
      <c r="D144" s="257"/>
      <c r="E144" s="257"/>
      <c r="F144" s="257"/>
      <c r="G144" s="258"/>
      <c r="H144" s="5">
        <v>1</v>
      </c>
      <c r="I144" s="5">
        <v>2</v>
      </c>
      <c r="J144" s="5">
        <v>3</v>
      </c>
      <c r="K144" s="5">
        <v>4</v>
      </c>
      <c r="L144" s="5">
        <v>5</v>
      </c>
      <c r="M144" s="270"/>
      <c r="N144" s="271"/>
      <c r="O144" s="271"/>
      <c r="P144" s="272"/>
      <c r="Q144" s="6"/>
      <c r="T144" s="7"/>
    </row>
    <row r="145" spans="1:32" ht="12.75" customHeight="1" x14ac:dyDescent="0.25">
      <c r="A145" s="259" t="str">
        <f>B111</f>
        <v>C</v>
      </c>
      <c r="B145" s="230" t="str">
        <f ca="1">IF($B117&lt;&gt;"",$B117,"")</f>
        <v/>
      </c>
      <c r="C145" s="231"/>
      <c r="D145" s="231"/>
      <c r="E145" s="231"/>
      <c r="F145" s="231"/>
      <c r="G145" s="232"/>
      <c r="H145" s="233"/>
      <c r="I145" s="233"/>
      <c r="J145" s="233"/>
      <c r="K145" s="233"/>
      <c r="L145" s="233" t="str">
        <f ca="1">IF($B138&lt;&gt;"",IF(AND($B138="Missing Player",$G149=2,$J149=2),0,IF(AND($B140="Missing Player",$G149=2,$J149=2),11,"")),"")</f>
        <v/>
      </c>
      <c r="M145" s="245" t="str">
        <f ca="1">IF(OR(AND($B145&lt;&gt;"",$B146&lt;&gt;"",$B145=$B146),AND($B147&lt;&gt;"",$B148&lt;&gt;"",$B147=$B148)),"Invalid Partner","")</f>
        <v/>
      </c>
      <c r="N145" s="246"/>
      <c r="O145" s="246"/>
      <c r="P145" s="247"/>
      <c r="Q145" s="37" t="str">
        <f ca="1">IF(L145=L147,IF(K145=K147,IF(J145&lt;&gt;"",IF(J145&gt;J147,"W","L"),""),IF(K145&gt;K147,"W","L")),IF(L145&gt;L147,"W","L"))</f>
        <v/>
      </c>
      <c r="T145" s="7"/>
    </row>
    <row r="146" spans="1:32" ht="12.75" customHeight="1" x14ac:dyDescent="0.25">
      <c r="A146" s="260"/>
      <c r="B146" s="266" t="str">
        <f ca="1">IF($B138="Missing Player",$B138,"")</f>
        <v/>
      </c>
      <c r="C146" s="267"/>
      <c r="D146" s="267"/>
      <c r="E146" s="267"/>
      <c r="F146" s="267"/>
      <c r="G146" s="268"/>
      <c r="H146" s="234"/>
      <c r="I146" s="234"/>
      <c r="J146" s="234"/>
      <c r="K146" s="234"/>
      <c r="L146" s="234"/>
      <c r="M146" s="245"/>
      <c r="N146" s="246"/>
      <c r="O146" s="246"/>
      <c r="P146" s="247"/>
      <c r="Q146" s="110" t="str">
        <f ca="1">IF($Q145&lt;&gt;"",IF($B148&lt;&gt;"Missing Player",IF($Q145="W",IF(SUM(IF($H145&gt;$H147,1,0),IF($I145&gt;$I147,1,0),IF($J145&gt;$J147,1,0),IF($K145&gt;$K147,1,0),IF($L145&gt;$L147,1,0))&lt;&gt;3,"Error",""),""),""),"")</f>
        <v/>
      </c>
      <c r="R146" s="295" t="str">
        <f>$A112</f>
        <v/>
      </c>
      <c r="S146" s="295"/>
      <c r="T146" s="295"/>
      <c r="U146" s="295"/>
      <c r="V146" s="295"/>
      <c r="W146" s="295"/>
      <c r="X146" s="219" t="str">
        <f>CONCATENATE("(",$B111," vs ",$K111,")")</f>
        <v>(C vs J)</v>
      </c>
      <c r="Y146" s="219"/>
      <c r="Z146" s="295" t="str">
        <f>$J112</f>
        <v/>
      </c>
      <c r="AA146" s="295"/>
      <c r="AB146" s="295"/>
      <c r="AC146" s="295"/>
      <c r="AD146" s="295"/>
      <c r="AE146" s="295"/>
      <c r="AF146"/>
    </row>
    <row r="147" spans="1:32" ht="12.75" customHeight="1" x14ac:dyDescent="0.25">
      <c r="A147" s="265" t="str">
        <f>K111</f>
        <v>J</v>
      </c>
      <c r="B147" s="230" t="str">
        <f ca="1">IF($B119&lt;&gt;"",$B119,"")</f>
        <v/>
      </c>
      <c r="C147" s="231"/>
      <c r="D147" s="231"/>
      <c r="E147" s="231"/>
      <c r="F147" s="231"/>
      <c r="G147" s="232"/>
      <c r="H147" s="233"/>
      <c r="I147" s="233"/>
      <c r="J147" s="233"/>
      <c r="K147" s="233"/>
      <c r="L147" s="233" t="str">
        <f ca="1">IF($B140&lt;&gt;"",IF(AND($B140="Missing Player",$G149=2,$J149=2),0,IF(AND($B138="Missing Player",$G149=2,$J149=2),11,"")),"")</f>
        <v/>
      </c>
      <c r="M147" s="250" t="s">
        <v>169</v>
      </c>
      <c r="N147" s="251"/>
      <c r="O147" s="251"/>
      <c r="P147" s="252"/>
      <c r="Q147" s="37" t="str">
        <f ca="1">IF(Q145&lt;&gt;"",IF(Q145="W","L","W"),"")</f>
        <v/>
      </c>
      <c r="R147"/>
      <c r="S147"/>
      <c r="T147"/>
      <c r="U147"/>
      <c r="V147"/>
      <c r="W147"/>
      <c r="X147"/>
      <c r="Y147"/>
      <c r="Z147"/>
      <c r="AA147"/>
      <c r="AB147"/>
      <c r="AC147"/>
      <c r="AD147"/>
      <c r="AE147"/>
      <c r="AF147"/>
    </row>
    <row r="148" spans="1:32" ht="12.75" customHeight="1" x14ac:dyDescent="0.25">
      <c r="A148" s="260"/>
      <c r="B148" s="266" t="str">
        <f ca="1">IF($B140="Missing Player",$B140,"")</f>
        <v/>
      </c>
      <c r="C148" s="267"/>
      <c r="D148" s="267"/>
      <c r="E148" s="267"/>
      <c r="F148" s="267"/>
      <c r="G148" s="268"/>
      <c r="H148" s="234"/>
      <c r="I148" s="234"/>
      <c r="J148" s="235"/>
      <c r="K148" s="235"/>
      <c r="L148" s="235"/>
      <c r="M148" s="250"/>
      <c r="N148" s="251"/>
      <c r="O148" s="251"/>
      <c r="P148" s="252"/>
      <c r="Q148" s="110" t="str">
        <f ca="1">IF($Q147&lt;&gt;"",IF($B146&lt;&gt;"Missing Player",IF($Q147="W",IF(SUM(IF($H147&gt;$H145,1,0),IF($I147&gt;$I145,1,0),IF($J147&gt;$J145,1,0),IF($K147&gt;$K145,1,0),IF($L147&gt;$L145,1,0))&lt;&gt;3,"Error",""),""),""),"")</f>
        <v/>
      </c>
      <c r="R148" t="str">
        <f>A136</f>
        <v>4th Singles</v>
      </c>
      <c r="S148"/>
      <c r="T148"/>
      <c r="U148"/>
      <c r="V148"/>
      <c r="W148"/>
      <c r="X148"/>
      <c r="Y148"/>
      <c r="Z148"/>
      <c r="AA148"/>
      <c r="AB148"/>
      <c r="AC148"/>
      <c r="AD148"/>
      <c r="AE148"/>
      <c r="AF148"/>
    </row>
    <row r="149" spans="1:32" ht="12.75" customHeight="1" x14ac:dyDescent="0.25">
      <c r="G149" s="53">
        <f ca="1">COUNTIF($Q117:$Q117,"W")+COUNTIF($Q124:$Q124,"W")+COUNTIF($Q131:$Q131,"W")+COUNTIF($Q138:$Q138,"W")</f>
        <v>0</v>
      </c>
      <c r="J149" s="53">
        <f ca="1">COUNTIF($Q119:$Q119,"W")+COUNTIF($Q126:$Q126,"W")+COUNTIF($Q133:$Q133,"W")+COUNTIF($Q140:$Q140,"W")</f>
        <v>0</v>
      </c>
      <c r="R149" s="47" t="s">
        <v>160</v>
      </c>
      <c r="S149" s="304" t="s">
        <v>58</v>
      </c>
      <c r="T149" s="305"/>
      <c r="U149" s="305"/>
      <c r="V149" s="305"/>
      <c r="W149" s="305"/>
      <c r="X149" s="306"/>
      <c r="Y149" s="47">
        <v>1</v>
      </c>
      <c r="Z149" s="47">
        <v>2</v>
      </c>
      <c r="AA149" s="47">
        <v>3</v>
      </c>
      <c r="AB149" s="47">
        <v>4</v>
      </c>
      <c r="AC149" s="47">
        <v>5</v>
      </c>
      <c r="AD149" s="286"/>
      <c r="AE149" s="287"/>
      <c r="AF149" s="288"/>
    </row>
    <row r="150" spans="1:32" ht="12.75" customHeight="1" thickBot="1" x14ac:dyDescent="0.3">
      <c r="F150" s="212" t="s">
        <v>170</v>
      </c>
      <c r="G150" s="212"/>
      <c r="H150" s="212"/>
      <c r="I150" s="212"/>
      <c r="J150" s="212"/>
      <c r="K150" s="212"/>
      <c r="R150" s="259" t="str">
        <f>B111</f>
        <v>C</v>
      </c>
      <c r="S150" s="307" t="str">
        <f ca="1">IF($B138&lt;&gt;"",$B138,"")</f>
        <v/>
      </c>
      <c r="T150" s="308"/>
      <c r="U150" s="308"/>
      <c r="V150" s="308"/>
      <c r="W150" s="308"/>
      <c r="X150" s="309"/>
      <c r="Y150" s="284"/>
      <c r="Z150" s="284"/>
      <c r="AA150" s="297"/>
      <c r="AB150" s="297"/>
      <c r="AC150" s="297"/>
      <c r="AD150" s="296"/>
      <c r="AE150" s="298"/>
      <c r="AF150" s="299"/>
    </row>
    <row r="151" spans="1:32" ht="12.75" customHeight="1" x14ac:dyDescent="0.25">
      <c r="A151" s="16"/>
      <c r="B151" s="16"/>
      <c r="C151" s="16"/>
      <c r="D151" s="16"/>
      <c r="E151" s="16"/>
      <c r="G151" s="261" t="str">
        <f>B111</f>
        <v>C</v>
      </c>
      <c r="H151" s="262"/>
      <c r="I151" s="263" t="str">
        <f>K111</f>
        <v>J</v>
      </c>
      <c r="J151" s="264"/>
      <c r="L151" s="16"/>
      <c r="M151" s="16"/>
      <c r="N151" s="16"/>
      <c r="O151" s="16"/>
      <c r="P151" s="16"/>
      <c r="R151" s="260"/>
      <c r="S151" s="310"/>
      <c r="T151" s="311"/>
      <c r="U151" s="311"/>
      <c r="V151" s="311"/>
      <c r="W151" s="311"/>
      <c r="X151" s="312"/>
      <c r="Y151" s="285"/>
      <c r="Z151" s="285"/>
      <c r="AA151" s="303"/>
      <c r="AB151" s="303"/>
      <c r="AC151" s="303"/>
      <c r="AD151" s="300"/>
      <c r="AE151" s="301"/>
      <c r="AF151" s="302"/>
    </row>
    <row r="152" spans="1:32" ht="12.75" customHeight="1" thickBot="1" x14ac:dyDescent="0.3">
      <c r="A152" s="2" t="s">
        <v>160</v>
      </c>
      <c r="B152" s="40" t="str">
        <f>B111</f>
        <v>C</v>
      </c>
      <c r="C152" s="3" t="s">
        <v>158</v>
      </c>
      <c r="F152" s="53" t="str">
        <f>CONCATENATE($B111,"-",$K111)</f>
        <v>C-J</v>
      </c>
      <c r="G152" s="240" t="str">
        <f ca="1">IF(OR(Q117&lt;&gt;"",Q124&lt;&gt;"",Q131&lt;&gt;"",Q138&lt;&gt;"",Q145&lt;&gt;""),COUNTIF(Q117:Q117,"W")+COUNTIF(Q124:Q124,"W")+COUNTIF(Q131:Q131,"W")+COUNTIF(Q138:Q138,"W")+COUNTIF(Q145:Q145,"W"),"")</f>
        <v/>
      </c>
      <c r="H152" s="241"/>
      <c r="I152" s="242" t="str">
        <f ca="1">IF(OR(Q119&lt;&gt;"",Q126&lt;&gt;"",Q133&lt;&gt;"",Q140&lt;&gt;"",Q147&lt;&gt;""),COUNTIF(Q119:Q119,"W")+COUNTIF(Q126:Q126,"W")+COUNTIF(Q133:Q133,"W")+COUNTIF(Q140:Q140,"W")+COUNTIF(Q147:Q147,"W"),"")</f>
        <v/>
      </c>
      <c r="J152" s="243"/>
      <c r="L152" s="2" t="s">
        <v>160</v>
      </c>
      <c r="M152" s="40" t="str">
        <f>K111</f>
        <v>J</v>
      </c>
      <c r="N152" s="3" t="s">
        <v>158</v>
      </c>
      <c r="R152" s="259" t="str">
        <f>K111</f>
        <v>J</v>
      </c>
      <c r="S152" s="307" t="str">
        <f ca="1">IF($B140&lt;&gt;"",$B140,"")</f>
        <v/>
      </c>
      <c r="T152" s="308"/>
      <c r="U152" s="308"/>
      <c r="V152" s="308"/>
      <c r="W152" s="308"/>
      <c r="X152" s="309"/>
      <c r="Y152" s="284"/>
      <c r="Z152" s="284"/>
      <c r="AA152" s="297"/>
      <c r="AB152" s="297"/>
      <c r="AC152" s="297"/>
      <c r="AD152" s="289" t="s">
        <v>169</v>
      </c>
      <c r="AE152" s="290"/>
      <c r="AF152" s="291"/>
    </row>
    <row r="153" spans="1:32" ht="12.75" customHeight="1" x14ac:dyDescent="0.35">
      <c r="F153" s="18" t="s">
        <v>403</v>
      </c>
      <c r="G153" s="17"/>
      <c r="H153" s="17"/>
      <c r="I153" s="17"/>
      <c r="J153" s="17"/>
      <c r="R153" s="285"/>
      <c r="S153" s="310"/>
      <c r="T153" s="311"/>
      <c r="U153" s="311"/>
      <c r="V153" s="311"/>
      <c r="W153" s="311"/>
      <c r="X153" s="312"/>
      <c r="Y153" s="285"/>
      <c r="Z153" s="285"/>
      <c r="AA153" s="285"/>
      <c r="AB153" s="285"/>
      <c r="AC153" s="285"/>
      <c r="AD153" s="292"/>
      <c r="AE153" s="293"/>
      <c r="AF153" s="294"/>
    </row>
    <row r="154" spans="1:32" ht="12.75" customHeight="1" x14ac:dyDescent="0.25">
      <c r="R154" s="1"/>
      <c r="S154" s="11"/>
      <c r="T154" s="11"/>
      <c r="U154" s="11"/>
      <c r="V154" s="11"/>
      <c r="W154" s="11"/>
    </row>
    <row r="155" spans="1:32" ht="12.75" customHeight="1" x14ac:dyDescent="0.25">
      <c r="F155" s="212"/>
      <c r="G155" s="212"/>
      <c r="H155" s="212"/>
      <c r="I155" s="212"/>
      <c r="R155" s="1"/>
      <c r="S155" s="11"/>
      <c r="T155" s="11"/>
      <c r="U155" s="11"/>
      <c r="V155" s="11"/>
      <c r="W155" s="11"/>
    </row>
    <row r="156" spans="1:32" ht="12.75" customHeight="1" x14ac:dyDescent="0.25">
      <c r="F156" s="212"/>
      <c r="G156" s="212"/>
      <c r="H156" s="212"/>
      <c r="I156" s="212"/>
      <c r="R156" s="1"/>
      <c r="S156" s="11"/>
      <c r="T156" s="11"/>
      <c r="U156" s="11"/>
      <c r="V156" s="11"/>
      <c r="W156" s="11"/>
    </row>
    <row r="157" spans="1:32" ht="12.75" customHeight="1" x14ac:dyDescent="0.25">
      <c r="K157" s="219" t="s">
        <v>176</v>
      </c>
      <c r="L157" s="219"/>
      <c r="M157" s="219"/>
      <c r="N157" s="219"/>
      <c r="O157" s="219"/>
      <c r="P157" s="219"/>
      <c r="R157" s="1"/>
      <c r="S157" s="11"/>
      <c r="T157" s="11"/>
      <c r="U157" s="11"/>
      <c r="V157" s="11"/>
      <c r="W157" s="11"/>
    </row>
    <row r="158" spans="1:32" ht="12.75" customHeight="1" x14ac:dyDescent="0.25">
      <c r="A158" s="9" t="s">
        <v>161</v>
      </c>
      <c r="B158"/>
      <c r="C158"/>
      <c r="D158" t="str">
        <f>Draw!$B$1</f>
        <v>Enter Division Name</v>
      </c>
      <c r="E158"/>
      <c r="F158" s="6"/>
      <c r="G158" s="6"/>
      <c r="H158" s="6"/>
      <c r="I158"/>
      <c r="J158"/>
      <c r="K158"/>
      <c r="L158"/>
      <c r="M158" s="219"/>
      <c r="N158" s="219"/>
      <c r="O158" s="219"/>
      <c r="P158" s="219"/>
      <c r="R158" s="1"/>
      <c r="S158" s="11"/>
      <c r="T158" s="11"/>
      <c r="U158" s="11"/>
      <c r="V158" s="11"/>
      <c r="W158" s="11"/>
    </row>
    <row r="159" spans="1:32" ht="12.75" customHeight="1" x14ac:dyDescent="0.25">
      <c r="A159" s="2" t="s">
        <v>162</v>
      </c>
      <c r="D159" t="str">
        <f>Draw!$D$1</f>
        <v>Enter Hosting Location (City, ST)</v>
      </c>
      <c r="J159" t="str">
        <f ca="1">$J$6</f>
        <v>[NCTTA Teams Template (v3.4).xlsx]</v>
      </c>
      <c r="R159" s="1"/>
      <c r="S159" s="11"/>
      <c r="T159" s="11"/>
      <c r="U159" s="11"/>
      <c r="V159" s="11"/>
      <c r="W159" s="11"/>
    </row>
    <row r="160" spans="1:32" ht="12.75" customHeight="1" x14ac:dyDescent="0.25">
      <c r="A160" s="2" t="s">
        <v>163</v>
      </c>
      <c r="D160" s="275" t="str">
        <f>Draw!$P$1</f>
        <v>Enter Date</v>
      </c>
      <c r="E160" s="275"/>
      <c r="F160" s="275"/>
      <c r="G160" s="275"/>
      <c r="J160" s="244" t="str">
        <f>CHOOSE(Draw!$T$1,"Round 1, Match 4","Round 2, Match 1","Round 2, Match 2","Round 1, Match 2","Round 2, Match 2","Round 2, Match 1","Round 2, Match 1","Round 1, Match 4","Round 1, Match 4","Round 1, Match 4","Round 1, Match 4")</f>
        <v>Round 1, Match 4</v>
      </c>
      <c r="K160" s="244"/>
      <c r="L160" s="244"/>
      <c r="M160" s="277" t="str">
        <f>IF(AND($J160&lt;&gt;"",Draw!$AC$10&lt;&gt;"",Draw!$AC$13&lt;&gt;""),Draw!$AC$10+TIME(0,VALUE(MID($J160,7,FIND(",",$J160)-FIND(" ",$J160)-1)-1)*Draw!$AC$13,0),"")</f>
        <v/>
      </c>
      <c r="N160" s="277"/>
      <c r="O160" s="125" t="str">
        <f>$F203</f>
        <v>D-I</v>
      </c>
      <c r="R160" s="1"/>
      <c r="S160" s="11"/>
      <c r="T160" s="11"/>
      <c r="U160" s="11"/>
      <c r="V160" s="11"/>
      <c r="W160" s="11"/>
    </row>
    <row r="161" spans="1:32" ht="12.75" customHeight="1" x14ac:dyDescent="0.25">
      <c r="A161" s="6"/>
      <c r="B161"/>
      <c r="C161"/>
      <c r="D161"/>
      <c r="E161"/>
      <c r="F161" s="6"/>
      <c r="G161" s="6"/>
      <c r="H161" s="11"/>
      <c r="I161" s="6"/>
      <c r="J161"/>
      <c r="K161"/>
      <c r="L161"/>
      <c r="M161"/>
      <c r="N161"/>
      <c r="O161" s="269" t="str">
        <f>IF(OR(AND(VLOOKUP($B162,$AM$1:$AX$12,12,FALSE)="C",VLOOKUP($K162,$AM$1:$AX$12,12,FALSE)="C"),AND(VLOOKUP($B162,$AM$1:$AX$12,12,FALSE)="W",VLOOKUP($K162,$AM$1:$AX$12,12,FALSE)="W")),"Official",IF(AND($A163="",$J163=""),"","Scrimmage"))</f>
        <v/>
      </c>
      <c r="P161" s="269"/>
      <c r="R161" s="1"/>
      <c r="S161" s="11"/>
      <c r="T161" s="11"/>
      <c r="U161" s="11"/>
      <c r="V161" s="11"/>
      <c r="W161" s="11"/>
    </row>
    <row r="162" spans="1:32" ht="12.75" customHeight="1" x14ac:dyDescent="0.25">
      <c r="A162" s="12" t="s">
        <v>160</v>
      </c>
      <c r="B162" s="98" t="str">
        <f>CHOOSE(Draw!$T$1,"D","A","C","D","C","A","A","D","E","D","E")</f>
        <v>D</v>
      </c>
      <c r="C162" s="109">
        <f>VLOOKUP($B162,$AM$1:$AN$12,2)</f>
        <v>4</v>
      </c>
      <c r="D162" s="10"/>
      <c r="E162" s="10"/>
      <c r="F162" s="8"/>
      <c r="H162" s="1" t="s">
        <v>164</v>
      </c>
      <c r="J162" s="12" t="s">
        <v>160</v>
      </c>
      <c r="K162" s="98" t="str">
        <f>CHOOSE(Draw!$T$1,"I","D","D","F","E","D","G","E","F","G","H")</f>
        <v>I</v>
      </c>
      <c r="L162" s="109">
        <f>VLOOKUP($K162,$AM$1:$AN$12,2)</f>
        <v>9</v>
      </c>
      <c r="M162" s="10"/>
      <c r="N162" s="10"/>
      <c r="O162" s="13"/>
      <c r="R162" s="1"/>
      <c r="S162" s="11"/>
      <c r="T162" s="11"/>
      <c r="U162" s="11"/>
      <c r="V162" s="11"/>
      <c r="W162" s="11"/>
    </row>
    <row r="163" spans="1:32" ht="12.75" customHeight="1" x14ac:dyDescent="0.25">
      <c r="A163" s="253" t="str">
        <f>IF(VLOOKUP($B162,Draw!$A$4:$B$27,2)&lt;&gt;0,VLOOKUP($B162,Draw!$A$4:$B$27,2),"")</f>
        <v/>
      </c>
      <c r="B163" s="254"/>
      <c r="C163" s="254"/>
      <c r="D163" s="254"/>
      <c r="E163" s="254"/>
      <c r="F163" s="255"/>
      <c r="G163" s="273" t="s">
        <v>407</v>
      </c>
      <c r="H163" s="249"/>
      <c r="I163" s="274"/>
      <c r="J163" s="253" t="str">
        <f>IF(VLOOKUP($K162,Draw!$A$4:$B$27,2)&lt;&gt;0,VLOOKUP($K162,Draw!$A$4:$B$27,2),"")</f>
        <v/>
      </c>
      <c r="K163" s="254"/>
      <c r="L163" s="254"/>
      <c r="M163" s="254"/>
      <c r="N163" s="254"/>
      <c r="O163" s="255"/>
      <c r="P163"/>
      <c r="R163" s="1"/>
      <c r="S163" s="11"/>
      <c r="T163" s="11"/>
      <c r="U163" s="11"/>
      <c r="V163" s="11"/>
      <c r="W163" s="11"/>
    </row>
    <row r="164" spans="1:32" ht="12.75" customHeight="1" x14ac:dyDescent="0.25">
      <c r="A164" s="6"/>
      <c r="B164"/>
      <c r="C164"/>
      <c r="D164"/>
      <c r="E164"/>
      <c r="F164" s="6"/>
      <c r="G164" s="248" t="str">
        <f>"Page "&amp;VALUE(RIGHT($G163,LEN($G163)-SEARCH("-",$G163)))/2</f>
        <v>Page 4</v>
      </c>
      <c r="H164" s="249"/>
      <c r="I164" s="249"/>
      <c r="J164"/>
      <c r="K164"/>
      <c r="L164"/>
      <c r="M164"/>
      <c r="N164"/>
      <c r="O164"/>
      <c r="P164"/>
      <c r="R164" s="1"/>
      <c r="S164" s="11"/>
      <c r="T164" s="11"/>
      <c r="U164" s="11"/>
      <c r="V164" s="11"/>
      <c r="W164" s="11"/>
      <c r="AF164"/>
    </row>
    <row r="165" spans="1:32" ht="12.75" customHeight="1" x14ac:dyDescent="0.25">
      <c r="A165" s="276" t="s">
        <v>177</v>
      </c>
      <c r="B165" s="276"/>
      <c r="C165" s="276"/>
      <c r="D165" s="276"/>
      <c r="E165" s="276"/>
      <c r="F165" s="276"/>
      <c r="G165" s="276"/>
      <c r="H165" s="276"/>
      <c r="I165" s="276"/>
      <c r="J165" s="276"/>
      <c r="K165" s="276"/>
      <c r="L165" s="276"/>
      <c r="M165" s="276"/>
      <c r="N165" s="276"/>
      <c r="O165" s="276"/>
      <c r="P165" s="276"/>
      <c r="Q165" s="6"/>
      <c r="R165" s="1"/>
      <c r="S165" s="11"/>
      <c r="T165" s="11"/>
      <c r="U165" s="11"/>
      <c r="V165" s="11"/>
      <c r="W165" s="11"/>
      <c r="AF165" s="14"/>
    </row>
    <row r="166" spans="1:32" ht="12.75" customHeight="1" x14ac:dyDescent="0.25">
      <c r="A166" s="15" t="s">
        <v>165</v>
      </c>
      <c r="H166" s="110" t="str">
        <f>IF($Q168&lt;&gt;"",IF(AND(AND($H168&gt;-1,$H170&gt;-1),OR($H168&gt;10,$H170&gt;10),ABS($H168-$H170)&gt;1,IF(OR($H168&gt;11,$H170&gt;11),ABS($H168-$H170)=2,TRUE),$H168=INT($H168),$H170=INT($H170)),"","Error"),"")</f>
        <v/>
      </c>
      <c r="I166" s="110" t="str">
        <f>IF($Q168&lt;&gt;"",IF(AND(AND($I168&gt;-1,$I170&gt;-1),OR($I168&gt;10,$I170&gt;10),ABS($I168-$I170)&gt;1,IF(OR($I168&gt;11,$I170&gt;11),ABS($I168-$I170)=2,TRUE),$I168=INT($I168),$I170=INT($I170)),"","Error"),"")</f>
        <v/>
      </c>
      <c r="J166" s="110" t="str">
        <f>IF($Q168&lt;&gt;"",IF(AND(AND($J168&gt;-1,$J170&gt;-1),OR($J168&gt;10,$J170&gt;10),ABS($J168-$J170)&gt;1,IF(OR($J168&gt;11,$J170&gt;11),ABS($J168-$J170)=2,TRUE),$J168=INT($J168),$J170=INT($J170)),"","Error"),"")</f>
        <v/>
      </c>
      <c r="K166" s="110" t="str">
        <f>IF($Q168&lt;&gt;"",IF(AND($K168&lt;&gt;"",$K170&lt;&gt;""), IF(AND(AND($K168&gt;-1,$K170&gt;-1),OR($K168&gt;10,$K170&gt;10),ABS($K168-$K170)&gt;1,IF(OR($K168&gt;11,$K170&gt;11),ABS($K168-$K170)=2,TRUE),$K168=INT($K168),$K170=INT($K170)),"","Error"),""),"")</f>
        <v/>
      </c>
      <c r="L166" s="110" t="str">
        <f>IF($Q168&lt;&gt;"",IF(AND($L168&lt;&gt;"",$L170&lt;&gt;""), IF(AND(AND($L168&gt;-1,$L170&gt;-1),OR($L168&gt;10,$L170&gt;10),ABS($L168-$L170)&gt;1,IF(OR($L168&gt;11,$L170&gt;11),ABS($L168-$L170)=2,TRUE),$L168=INT($L168),$L170=INT($L170)),"","Error"),""),"")</f>
        <v/>
      </c>
      <c r="R166" s="1"/>
      <c r="S166" s="11"/>
      <c r="T166" s="11"/>
      <c r="U166" s="11"/>
      <c r="V166" s="11"/>
      <c r="W166" s="11"/>
    </row>
    <row r="167" spans="1:32" ht="12.75" customHeight="1" x14ac:dyDescent="0.25">
      <c r="A167" s="5" t="s">
        <v>160</v>
      </c>
      <c r="B167" s="256" t="s">
        <v>58</v>
      </c>
      <c r="C167" s="257"/>
      <c r="D167" s="257"/>
      <c r="E167" s="257"/>
      <c r="F167" s="257"/>
      <c r="G167" s="258"/>
      <c r="H167" s="5">
        <v>1</v>
      </c>
      <c r="I167" s="5">
        <v>2</v>
      </c>
      <c r="J167" s="5">
        <v>3</v>
      </c>
      <c r="K167" s="5">
        <v>4</v>
      </c>
      <c r="L167" s="5">
        <v>5</v>
      </c>
      <c r="M167" s="270"/>
      <c r="N167" s="271"/>
      <c r="O167" s="271"/>
      <c r="P167" s="272"/>
      <c r="R167" s="1"/>
      <c r="S167" s="11"/>
      <c r="T167" s="11"/>
      <c r="U167" s="11"/>
      <c r="V167" s="11"/>
      <c r="W167" s="11"/>
    </row>
    <row r="168" spans="1:32" ht="12.75" customHeight="1" x14ac:dyDescent="0.25">
      <c r="A168" s="259" t="str">
        <f>B162</f>
        <v>D</v>
      </c>
      <c r="B168" s="236" t="str">
        <f ca="1">IF(AND(OFFSET($AO$1,$C162-1,8,1,1),$A163&lt;&gt;"",$J163&lt;&gt;""),CHOOSE($C162,$AO$1,$AO$2,$AO$3,$AO$4,$AO$5,$AO$6,$AO$7,$AO$8,$AO$9,$AO$10,$AO$11,$AO$12),"")</f>
        <v/>
      </c>
      <c r="C168" s="237"/>
      <c r="D168" s="237"/>
      <c r="E168" s="237"/>
      <c r="F168" s="237"/>
      <c r="G168" s="237"/>
      <c r="H168" s="233"/>
      <c r="I168" s="233"/>
      <c r="J168" s="233"/>
      <c r="K168" s="233"/>
      <c r="L168" s="233"/>
      <c r="M168" s="281"/>
      <c r="N168" s="282"/>
      <c r="O168" s="282"/>
      <c r="P168" s="283"/>
      <c r="Q168" s="40" t="str">
        <f>IF($L168=$L170,IF($K168=$K170,IF($J168&lt;&gt;"",IF($J168&gt;$J170,"W","L"),""),IF($K168&gt;$K170,"W","L")),IF($L168&gt;$L170,"W","L"))</f>
        <v/>
      </c>
      <c r="R168" s="1"/>
      <c r="S168" s="11"/>
      <c r="T168" s="11"/>
      <c r="U168" s="11"/>
      <c r="V168" s="11"/>
      <c r="W168" s="11"/>
    </row>
    <row r="169" spans="1:32" ht="12.75" customHeight="1" x14ac:dyDescent="0.25">
      <c r="A169" s="260"/>
      <c r="B169" s="238"/>
      <c r="C169" s="239"/>
      <c r="D169" s="239"/>
      <c r="E169" s="239"/>
      <c r="F169" s="239"/>
      <c r="G169" s="239"/>
      <c r="H169" s="234"/>
      <c r="I169" s="234"/>
      <c r="J169" s="234"/>
      <c r="K169" s="234"/>
      <c r="L169" s="234"/>
      <c r="M169" s="281"/>
      <c r="N169" s="282"/>
      <c r="O169" s="282"/>
      <c r="P169" s="283"/>
      <c r="Q169" s="110" t="str">
        <f>IF($Q168&lt;&gt;"",IF($Q168="W",IF(SUM(IF($H168&gt;$H170,1,0),IF($I168&gt;$I170,1,0),IF($J168&gt;$J170,1,0),IF($K168&gt;$K170,1,0),IF($L168&gt;$L170,1,0))&lt;&gt;3,"Error",""),""),"")</f>
        <v/>
      </c>
      <c r="R169" s="295" t="str">
        <f>$A163</f>
        <v/>
      </c>
      <c r="S169" s="295"/>
      <c r="T169" s="295"/>
      <c r="U169" s="295"/>
      <c r="V169" s="295"/>
      <c r="W169" s="295"/>
      <c r="X169" s="219" t="str">
        <f>CONCATENATE("(",$B162," vs ",$K162,")")</f>
        <v>(D vs I)</v>
      </c>
      <c r="Y169" s="219"/>
      <c r="Z169" s="295" t="str">
        <f>$J163</f>
        <v/>
      </c>
      <c r="AA169" s="295"/>
      <c r="AB169" s="295"/>
      <c r="AC169" s="295"/>
      <c r="AD169" s="295"/>
      <c r="AE169" s="295"/>
      <c r="AF169"/>
    </row>
    <row r="170" spans="1:32" ht="12.75" customHeight="1" x14ac:dyDescent="0.25">
      <c r="A170" s="259" t="str">
        <f>K162</f>
        <v>I</v>
      </c>
      <c r="B170" s="236" t="str">
        <f ca="1">IF(AND(OFFSET($AO$1,$L162-1,8,1,1),$A163&lt;&gt;"",$J163&lt;&gt;""),CHOOSE($L162,$AO$1,$AO$2,$AO$3,$AO$4,$AO$5,$AO$6,$AO$7,$AO$8,$AO$9,$AO$10,$AO$11,$AO$12),"")</f>
        <v/>
      </c>
      <c r="C170" s="237"/>
      <c r="D170" s="237"/>
      <c r="E170" s="237"/>
      <c r="F170" s="237"/>
      <c r="G170" s="237"/>
      <c r="H170" s="233"/>
      <c r="I170" s="233"/>
      <c r="J170" s="233"/>
      <c r="K170" s="233"/>
      <c r="L170" s="233"/>
      <c r="M170" s="250" t="s">
        <v>169</v>
      </c>
      <c r="N170" s="251"/>
      <c r="O170" s="251"/>
      <c r="P170" s="252"/>
      <c r="Q170" s="40" t="str">
        <f>IF($Q168&lt;&gt;"",IF($Q168="W","L","W"),"")</f>
        <v/>
      </c>
      <c r="R170"/>
      <c r="S170"/>
      <c r="T170"/>
      <c r="U170"/>
      <c r="V170"/>
      <c r="W170"/>
      <c r="X170"/>
      <c r="Y170"/>
      <c r="Z170"/>
      <c r="AA170"/>
      <c r="AB170"/>
      <c r="AC170"/>
      <c r="AD170"/>
      <c r="AE170"/>
      <c r="AF170"/>
    </row>
    <row r="171" spans="1:32" ht="12.75" customHeight="1" x14ac:dyDescent="0.25">
      <c r="A171" s="260"/>
      <c r="B171" s="238"/>
      <c r="C171" s="239"/>
      <c r="D171" s="239"/>
      <c r="E171" s="239"/>
      <c r="F171" s="239"/>
      <c r="G171" s="239"/>
      <c r="H171" s="234"/>
      <c r="I171" s="234"/>
      <c r="J171" s="235"/>
      <c r="K171" s="235"/>
      <c r="L171" s="235"/>
      <c r="M171" s="250"/>
      <c r="N171" s="251"/>
      <c r="O171" s="251"/>
      <c r="P171" s="252"/>
      <c r="Q171" s="110" t="str">
        <f>IF($Q170&lt;&gt;"",IF($Q170="W",IF(SUM(IF($H170&gt;$H168,1,0),IF($I170&gt;$I168,1,0),IF($J170&gt;$J168,1,0),IF($K170&gt;$K168,1,0),IF($L170&gt;$L168,1,0))&lt;&gt;3,"Error",""),""),"")</f>
        <v/>
      </c>
      <c r="R171" t="str">
        <f>$A173</f>
        <v>2nd Singles</v>
      </c>
      <c r="S171"/>
      <c r="T171"/>
      <c r="U171"/>
      <c r="V171"/>
      <c r="W171"/>
      <c r="X171"/>
      <c r="Y171"/>
      <c r="Z171"/>
      <c r="AA171"/>
      <c r="AB171"/>
      <c r="AC171"/>
      <c r="AD171"/>
      <c r="AE171"/>
      <c r="AF171"/>
    </row>
    <row r="172" spans="1:32" ht="12.75" customHeight="1" x14ac:dyDescent="0.25">
      <c r="Q172" s="6"/>
      <c r="R172" s="47" t="s">
        <v>160</v>
      </c>
      <c r="S172" s="304" t="s">
        <v>58</v>
      </c>
      <c r="T172" s="305"/>
      <c r="U172" s="305"/>
      <c r="V172" s="305"/>
      <c r="W172" s="305"/>
      <c r="X172" s="306"/>
      <c r="Y172" s="47">
        <v>1</v>
      </c>
      <c r="Z172" s="47">
        <v>2</v>
      </c>
      <c r="AA172" s="47">
        <v>3</v>
      </c>
      <c r="AB172" s="47">
        <v>4</v>
      </c>
      <c r="AC172" s="47">
        <v>5</v>
      </c>
      <c r="AD172" s="286"/>
      <c r="AE172" s="287"/>
      <c r="AF172" s="288"/>
    </row>
    <row r="173" spans="1:32" ht="12.75" customHeight="1" x14ac:dyDescent="0.25">
      <c r="A173" s="15" t="s">
        <v>166</v>
      </c>
      <c r="H173" s="110" t="str">
        <f>IF($Q175&lt;&gt;"",IF(AND(AND($H175&gt;-1,$H177&gt;-1),OR($H175&gt;10,$H177&gt;10),ABS($H175-$H177)&gt;1,IF(OR($H175&gt;11,$H177&gt;11),ABS($H175-$H177)=2,TRUE),$H175=INT($H175),$H177=INT($H177)),"","Error"),"")</f>
        <v/>
      </c>
      <c r="I173" s="110" t="str">
        <f>IF($Q175&lt;&gt;"",IF(AND(AND($I175&gt;-1,$I177&gt;-1),OR($I175&gt;10,$I177&gt;10),ABS($I175-$I177)&gt;1,IF(OR($I175&gt;11,$I177&gt;11),ABS($I175-$I177)=2,TRUE),$I175=INT($I175),$I177=INT($I177)),"","Error"),"")</f>
        <v/>
      </c>
      <c r="J173" s="110" t="str">
        <f>IF($Q175&lt;&gt;"",IF(AND(AND($J175&gt;-1,$J177&gt;-1),OR($J175&gt;10,$J177&gt;10),ABS($J175-$J177)&gt;1,IF(OR($J175&gt;11,$J177&gt;11),ABS($J175-$J177)=2,TRUE),$J175=INT($J175),$J177=INT($J177)),"","Error"),"")</f>
        <v/>
      </c>
      <c r="K173" s="110" t="str">
        <f>IF($Q175&lt;&gt;"",IF(AND($K175&lt;&gt;"",$K177&lt;&gt;""), IF(AND(AND($K175&gt;-1,$K177&gt;-1),OR($K175&gt;10,$K177&gt;10),ABS($K175-$K177)&gt;1,IF(OR($K175&gt;11,$K177&gt;11),ABS($K175-$K177)=2,TRUE),$K175=INT($K175),$K177=INT($K177)),"","Error"),""),"")</f>
        <v/>
      </c>
      <c r="L173" s="110" t="str">
        <f>IF($Q175&lt;&gt;"",IF(AND($L175&lt;&gt;"",$L177&lt;&gt;""), IF(AND(AND($L175&gt;-1,$L177&gt;-1),OR($L175&gt;10,$L177&gt;10),ABS($L175-$L177)&gt;1,IF(OR($L175&gt;11,$L177&gt;11),ABS($L175-$L177)=2,TRUE),$L175=INT($L175),$L177=INT($L177)),"","Error"),""),"")</f>
        <v/>
      </c>
      <c r="Q173" s="6"/>
      <c r="R173" s="259" t="str">
        <f>$B162</f>
        <v>D</v>
      </c>
      <c r="S173" s="307" t="str">
        <f ca="1">IF($B175&lt;&gt;"",$B175,"")</f>
        <v/>
      </c>
      <c r="T173" s="308"/>
      <c r="U173" s="308"/>
      <c r="V173" s="308"/>
      <c r="W173" s="308"/>
      <c r="X173" s="309"/>
      <c r="Y173" s="284"/>
      <c r="Z173" s="284"/>
      <c r="AA173" s="284"/>
      <c r="AB173" s="284"/>
      <c r="AC173" s="284"/>
      <c r="AD173" s="296"/>
      <c r="AE173" s="290"/>
      <c r="AF173" s="291"/>
    </row>
    <row r="174" spans="1:32" ht="12.75" customHeight="1" x14ac:dyDescent="0.25">
      <c r="A174" s="5" t="s">
        <v>160</v>
      </c>
      <c r="B174" s="256" t="s">
        <v>58</v>
      </c>
      <c r="C174" s="257"/>
      <c r="D174" s="257"/>
      <c r="E174" s="257"/>
      <c r="F174" s="257"/>
      <c r="G174" s="258"/>
      <c r="H174" s="5">
        <v>1</v>
      </c>
      <c r="I174" s="5">
        <v>2</v>
      </c>
      <c r="J174" s="5">
        <v>3</v>
      </c>
      <c r="K174" s="5">
        <v>4</v>
      </c>
      <c r="L174" s="5">
        <v>5</v>
      </c>
      <c r="M174" s="270"/>
      <c r="N174" s="271"/>
      <c r="O174" s="271"/>
      <c r="P174" s="272"/>
      <c r="Q174" s="6"/>
      <c r="R174" s="285"/>
      <c r="S174" s="310"/>
      <c r="T174" s="311"/>
      <c r="U174" s="311"/>
      <c r="V174" s="311"/>
      <c r="W174" s="311"/>
      <c r="X174" s="312"/>
      <c r="Y174" s="285"/>
      <c r="Z174" s="285"/>
      <c r="AA174" s="285"/>
      <c r="AB174" s="285"/>
      <c r="AC174" s="285"/>
      <c r="AD174" s="292"/>
      <c r="AE174" s="293"/>
      <c r="AF174" s="294"/>
    </row>
    <row r="175" spans="1:32" ht="12.75" customHeight="1" x14ac:dyDescent="0.25">
      <c r="A175" s="259" t="str">
        <f>B162</f>
        <v>D</v>
      </c>
      <c r="B175" s="236" t="str">
        <f ca="1">IF(AND(OFFSET($AO$1,$C162-1,8,1,1),$A163&lt;&gt;"",$J163&lt;&gt;""),CHOOSE($C162,$AP$1,$AP$2,$AP$3,$AP$4,$AP$5,$AP$6,$AP$7,$AP$8,$AP$9,$AP$10,$AP$11,$AP$12),"")</f>
        <v/>
      </c>
      <c r="C175" s="237"/>
      <c r="D175" s="237"/>
      <c r="E175" s="237"/>
      <c r="F175" s="237"/>
      <c r="G175" s="237"/>
      <c r="H175" s="233"/>
      <c r="I175" s="233"/>
      <c r="J175" s="233"/>
      <c r="K175" s="233"/>
      <c r="L175" s="233"/>
      <c r="M175" s="245" t="str">
        <f ca="1">IF(OR(AND($B168&lt;&gt;"",$B175&lt;&gt;"",$C193&lt;=$B193),AND($B170&lt;&gt;"",$B177&lt;&gt;"",$G193&lt;=$F193)),"Invalid Lineup","")</f>
        <v/>
      </c>
      <c r="N175" s="246"/>
      <c r="O175" s="246"/>
      <c r="P175" s="247"/>
      <c r="Q175" s="40" t="str">
        <f>IF($L175=$L177,IF($K175=$K177,IF($J175&lt;&gt;"",IF($J175&gt;$J177,"W","L"),""),IF($K175&gt;$K177,"W","L")),IF($L175&gt;$L177,"W","L"))</f>
        <v/>
      </c>
      <c r="R175" s="259" t="str">
        <f>$K162</f>
        <v>I</v>
      </c>
      <c r="S175" s="307" t="str">
        <f ca="1">IF($B177&lt;&gt;"",$B177,"")</f>
        <v/>
      </c>
      <c r="T175" s="308"/>
      <c r="U175" s="308"/>
      <c r="V175" s="308"/>
      <c r="W175" s="308"/>
      <c r="X175" s="309"/>
      <c r="Y175" s="284"/>
      <c r="Z175" s="284"/>
      <c r="AA175" s="284"/>
      <c r="AB175" s="284"/>
      <c r="AC175" s="297"/>
      <c r="AD175" s="289" t="s">
        <v>169</v>
      </c>
      <c r="AE175" s="290"/>
      <c r="AF175" s="291"/>
    </row>
    <row r="176" spans="1:32" ht="12.75" customHeight="1" x14ac:dyDescent="0.25">
      <c r="A176" s="260"/>
      <c r="B176" s="238"/>
      <c r="C176" s="239"/>
      <c r="D176" s="239"/>
      <c r="E176" s="239"/>
      <c r="F176" s="239"/>
      <c r="G176" s="239"/>
      <c r="H176" s="234"/>
      <c r="I176" s="234"/>
      <c r="J176" s="234"/>
      <c r="K176" s="234"/>
      <c r="L176" s="234"/>
      <c r="M176" s="245"/>
      <c r="N176" s="246"/>
      <c r="O176" s="246"/>
      <c r="P176" s="247"/>
      <c r="Q176" s="110" t="str">
        <f>IF($Q175&lt;&gt;"",IF($Q175="W",IF(SUM(IF($H175&gt;$H177,1,0),IF($I175&gt;$I177,1,0),IF($J175&gt;$J177,1,0),IF($K175&gt;$K177,1,0),IF($L175&gt;$L177,1,0))&lt;&gt;3,"Error",""),""),"")</f>
        <v/>
      </c>
      <c r="R176" s="285"/>
      <c r="S176" s="310"/>
      <c r="T176" s="311"/>
      <c r="U176" s="311"/>
      <c r="V176" s="311"/>
      <c r="W176" s="311"/>
      <c r="X176" s="312"/>
      <c r="Y176" s="285"/>
      <c r="Z176" s="285"/>
      <c r="AA176" s="285"/>
      <c r="AB176" s="285"/>
      <c r="AC176" s="285"/>
      <c r="AD176" s="292"/>
      <c r="AE176" s="293"/>
      <c r="AF176" s="294"/>
    </row>
    <row r="177" spans="1:32" ht="12.75" customHeight="1" x14ac:dyDescent="0.25">
      <c r="A177" s="259" t="str">
        <f>K162</f>
        <v>I</v>
      </c>
      <c r="B177" s="236" t="str">
        <f ca="1">IF(AND(OFFSET($AO$1,$L162-1,8,1,1),$A163&lt;&gt;"",$J163&lt;&gt;""),CHOOSE($L162,$AP$1,$AP$2,$AP$3,$AP$4,$AP$5,$AP$6,$AP$7,$AP$8,$AP$9,$AP$10,$AP$11,$AP$12),"")</f>
        <v/>
      </c>
      <c r="C177" s="237"/>
      <c r="D177" s="237"/>
      <c r="E177" s="237"/>
      <c r="F177" s="237"/>
      <c r="G177" s="237"/>
      <c r="H177" s="233"/>
      <c r="I177" s="233"/>
      <c r="J177" s="233"/>
      <c r="K177" s="233"/>
      <c r="L177" s="233"/>
      <c r="M177" s="250" t="s">
        <v>169</v>
      </c>
      <c r="N177" s="251"/>
      <c r="O177" s="251"/>
      <c r="P177" s="252"/>
      <c r="Q177" s="40" t="str">
        <f>IF($Q175&lt;&gt;"",IF($Q175="W","L","W"),"")</f>
        <v/>
      </c>
      <c r="R177" s="14"/>
      <c r="S177" s="14"/>
      <c r="T177" s="14"/>
      <c r="U177" s="14"/>
      <c r="V177" s="14"/>
      <c r="W177" s="14"/>
      <c r="X177" s="7"/>
      <c r="Y177" s="7"/>
      <c r="Z177" s="14"/>
      <c r="AA177" s="14"/>
      <c r="AB177" s="14"/>
      <c r="AC177" s="14"/>
      <c r="AD177" s="14"/>
      <c r="AE177" s="14"/>
      <c r="AF177"/>
    </row>
    <row r="178" spans="1:32" ht="12.75" customHeight="1" x14ac:dyDescent="0.25">
      <c r="A178" s="260"/>
      <c r="B178" s="238"/>
      <c r="C178" s="239"/>
      <c r="D178" s="239"/>
      <c r="E178" s="239"/>
      <c r="F178" s="239"/>
      <c r="G178" s="239"/>
      <c r="H178" s="234"/>
      <c r="I178" s="234"/>
      <c r="J178" s="235"/>
      <c r="K178" s="235"/>
      <c r="L178" s="235"/>
      <c r="M178" s="250"/>
      <c r="N178" s="251"/>
      <c r="O178" s="251"/>
      <c r="P178" s="252"/>
      <c r="Q178" s="110" t="str">
        <f>IF($Q177&lt;&gt;"",IF($Q177="W",IF(SUM(IF($H177&gt;$H175,1,0),IF($I177&gt;$I175,1,0),IF($J177&gt;$J175,1,0),IF($K177&gt;$K175,1,0),IF($L177&gt;$L175,1,0))&lt;&gt;3,"Error",""),""),"")</f>
        <v/>
      </c>
      <c r="R178" s="14"/>
      <c r="S178" s="14"/>
      <c r="T178" s="14"/>
      <c r="U178" s="14"/>
      <c r="V178" s="14"/>
      <c r="W178" s="14"/>
      <c r="X178" s="7"/>
      <c r="Y178" s="7"/>
      <c r="Z178" s="14"/>
      <c r="AA178" s="14"/>
      <c r="AB178" s="14"/>
      <c r="AC178" s="14"/>
      <c r="AD178" s="14"/>
      <c r="AE178" s="14"/>
      <c r="AF178"/>
    </row>
    <row r="179" spans="1:32" ht="12.75" customHeight="1" x14ac:dyDescent="0.25">
      <c r="Q179" s="6"/>
      <c r="R179" s="14"/>
      <c r="S179" s="14"/>
      <c r="T179" s="14"/>
      <c r="U179" s="14"/>
      <c r="V179" s="14"/>
      <c r="W179" s="14"/>
      <c r="X179" s="7"/>
      <c r="Y179" s="7"/>
      <c r="Z179" s="14"/>
      <c r="AA179" s="14"/>
      <c r="AB179" s="14"/>
      <c r="AC179" s="14"/>
      <c r="AD179" s="14"/>
      <c r="AE179" s="14"/>
      <c r="AF179"/>
    </row>
    <row r="180" spans="1:32" ht="12.75" customHeight="1" x14ac:dyDescent="0.25">
      <c r="A180" s="15" t="s">
        <v>167</v>
      </c>
      <c r="H180" s="110" t="str">
        <f>IF($Q182&lt;&gt;"",IF(AND(AND($H182&gt;-1,$H184&gt;-1),OR($H182&gt;10,$H184&gt;10),ABS($H182-$H184)&gt;1,IF(OR($H182&gt;11,$H184&gt;11),ABS($H182-$H184)=2,TRUE),$H182=INT($H182),$H184=INT($H184)),"","Error"),"")</f>
        <v/>
      </c>
      <c r="I180" s="110" t="str">
        <f>IF($Q182&lt;&gt;"",IF(AND(AND($I182&gt;-1,$I184&gt;-1),OR($I182&gt;10,$I184&gt;10),ABS($I182-$I184)&gt;1,IF(OR($I182&gt;11,$I184&gt;11),ABS($I182-$I184)=2,TRUE),$I182=INT($I182),$I184=INT($I184)),"","Error"),"")</f>
        <v/>
      </c>
      <c r="J180" s="110" t="str">
        <f>IF($Q182&lt;&gt;"",IF(AND(AND($J182&gt;-1,$J184&gt;-1),OR($J182&gt;10,$J184&gt;10),ABS($J182-$J184)&gt;1,IF(OR($J182&gt;11,$J184&gt;11),ABS($J182-$J184)=2,TRUE),$J182=INT($J182),$J184=INT($J184)),"","Error"),"")</f>
        <v/>
      </c>
      <c r="K180" s="110" t="str">
        <f>IF($Q182&lt;&gt;"",IF(AND($K182&lt;&gt;"",$K184&lt;&gt;""), IF(AND(AND($K182&gt;-1,$K184&gt;-1),OR($K182&gt;10,$K184&gt;10),ABS($K182-$K184)&gt;1,IF(OR($K182&gt;11,$K184&gt;11),ABS($K182-$K184)=2,TRUE),$K182=INT($K182),$K184=INT($K184)),"","Error"),""),"")</f>
        <v/>
      </c>
      <c r="L180" s="110" t="str">
        <f>IF($Q182&lt;&gt;"",IF(AND($L182&lt;&gt;"",$L184&lt;&gt;""), IF(AND(AND($L182&gt;-1,$L184&gt;-1),OR($L182&gt;10,$L184&gt;10),ABS($L182-$L184)&gt;1,IF(OR($L182&gt;11,$L184&gt;11),ABS($L182-$L184)=2,TRUE),$L182=INT($L182),$L184=INT($L184)),"","Error"),""),"")</f>
        <v/>
      </c>
      <c r="Q180" s="6"/>
      <c r="R180" s="14"/>
      <c r="S180" s="14"/>
      <c r="T180" s="14"/>
      <c r="U180" s="14"/>
      <c r="V180" s="14"/>
      <c r="W180" s="14"/>
      <c r="X180" s="7"/>
      <c r="Y180" s="7"/>
      <c r="Z180" s="14"/>
      <c r="AA180" s="14"/>
      <c r="AB180" s="14"/>
      <c r="AC180" s="14"/>
      <c r="AD180" s="14"/>
      <c r="AE180" s="14"/>
      <c r="AF180"/>
    </row>
    <row r="181" spans="1:32" ht="12.75" customHeight="1" x14ac:dyDescent="0.25">
      <c r="A181" s="5" t="s">
        <v>160</v>
      </c>
      <c r="B181" s="256" t="s">
        <v>58</v>
      </c>
      <c r="C181" s="257"/>
      <c r="D181" s="257"/>
      <c r="E181" s="257"/>
      <c r="F181" s="257"/>
      <c r="G181" s="258"/>
      <c r="H181" s="5">
        <v>1</v>
      </c>
      <c r="I181" s="5">
        <v>2</v>
      </c>
      <c r="J181" s="5">
        <v>3</v>
      </c>
      <c r="K181" s="5">
        <v>4</v>
      </c>
      <c r="L181" s="5">
        <v>5</v>
      </c>
      <c r="M181" s="270"/>
      <c r="N181" s="271"/>
      <c r="O181" s="271"/>
      <c r="P181" s="272"/>
      <c r="Q181" s="6"/>
      <c r="R181" s="14"/>
      <c r="S181" s="14"/>
      <c r="T181" s="14"/>
      <c r="U181" s="14"/>
      <c r="V181" s="14"/>
      <c r="W181" s="14"/>
      <c r="X181" s="7"/>
      <c r="Y181" s="7"/>
      <c r="Z181" s="14"/>
      <c r="AA181" s="14"/>
      <c r="AB181" s="14"/>
      <c r="AC181" s="14"/>
      <c r="AD181" s="14"/>
      <c r="AE181" s="14"/>
      <c r="AF181"/>
    </row>
    <row r="182" spans="1:32" ht="12.75" customHeight="1" x14ac:dyDescent="0.25">
      <c r="A182" s="259" t="str">
        <f>B162</f>
        <v>D</v>
      </c>
      <c r="B182" s="236" t="str">
        <f ca="1">IF(AND(OFFSET($AO$1,$C162-1,8,1,1),$A163&lt;&gt;"",$J163&lt;&gt;""),CHOOSE($C162,$AQ$1,$AQ$2,$AQ$3,$AQ$4,$AQ$5,$AQ$6,$AQ$7,$AQ$8,$AQ$9,$AQ$10,$AQ$11,$AQ$12),"")</f>
        <v/>
      </c>
      <c r="C182" s="237"/>
      <c r="D182" s="237"/>
      <c r="E182" s="237"/>
      <c r="F182" s="237"/>
      <c r="G182" s="237"/>
      <c r="H182" s="233"/>
      <c r="I182" s="233"/>
      <c r="J182" s="233"/>
      <c r="K182" s="233"/>
      <c r="L182" s="233"/>
      <c r="M182" s="245" t="str">
        <f ca="1">IF(OR(AND($B175&lt;&gt;"",$B182&lt;&gt;"",$D193&lt;=$C193),AND($B177&lt;&gt;"",$B184&lt;&gt;"",$H193&lt;=$G193)),"Invalid Lineup","")</f>
        <v/>
      </c>
      <c r="N182" s="246"/>
      <c r="O182" s="246"/>
      <c r="P182" s="247"/>
      <c r="Q182" s="40" t="str">
        <f>IF($L182=$L184,IF($K182=$K184,IF($J182&lt;&gt;"",IF($J182&gt;$J184,"W","L"),""),IF($K182&gt;$K184,"W","L")),IF($L182&gt;$L184,"W","L"))</f>
        <v/>
      </c>
      <c r="R182" s="14"/>
      <c r="S182" s="14"/>
      <c r="T182" s="14"/>
      <c r="U182" s="14"/>
      <c r="V182" s="14"/>
      <c r="W182" s="14"/>
      <c r="X182" s="7"/>
      <c r="Y182" s="7"/>
      <c r="Z182" s="14"/>
      <c r="AA182" s="14"/>
      <c r="AB182" s="14"/>
      <c r="AC182" s="14"/>
      <c r="AD182" s="14"/>
      <c r="AE182" s="14"/>
      <c r="AF182"/>
    </row>
    <row r="183" spans="1:32" ht="12.75" customHeight="1" x14ac:dyDescent="0.25">
      <c r="A183" s="260"/>
      <c r="B183" s="238"/>
      <c r="C183" s="239"/>
      <c r="D183" s="239"/>
      <c r="E183" s="239"/>
      <c r="F183" s="239"/>
      <c r="G183" s="239"/>
      <c r="H183" s="234"/>
      <c r="I183" s="234"/>
      <c r="J183" s="234"/>
      <c r="K183" s="234"/>
      <c r="L183" s="234"/>
      <c r="M183" s="245"/>
      <c r="N183" s="246"/>
      <c r="O183" s="246"/>
      <c r="P183" s="247"/>
      <c r="Q183" s="110" t="str">
        <f>IF($Q182&lt;&gt;"",IF($Q182="W",IF(SUM(IF($H182&gt;$H184,1,0),IF($I182&gt;$I184,1,0),IF($J182&gt;$J184,1,0),IF($K182&gt;$K184,1,0),IF($L182&gt;$L184,1,0))&lt;&gt;3,"Error",""),""),"")</f>
        <v/>
      </c>
      <c r="R183" s="295" t="str">
        <f>$A163</f>
        <v/>
      </c>
      <c r="S183" s="295"/>
      <c r="T183" s="295"/>
      <c r="U183" s="295"/>
      <c r="V183" s="295"/>
      <c r="W183" s="295"/>
      <c r="X183" s="219" t="str">
        <f>CONCATENATE("(",$B162," vs ",$K162,")")</f>
        <v>(D vs I)</v>
      </c>
      <c r="Y183" s="219"/>
      <c r="Z183" s="295" t="str">
        <f>$J163</f>
        <v/>
      </c>
      <c r="AA183" s="295"/>
      <c r="AB183" s="295"/>
      <c r="AC183" s="295"/>
      <c r="AD183" s="295"/>
      <c r="AE183" s="295"/>
      <c r="AF183"/>
    </row>
    <row r="184" spans="1:32" ht="12.75" customHeight="1" x14ac:dyDescent="0.25">
      <c r="A184" s="259" t="str">
        <f>K162</f>
        <v>I</v>
      </c>
      <c r="B184" s="236" t="str">
        <f ca="1">IF(AND(OFFSET($AO$1,$L162-1,8,1,1),$A163&lt;&gt;"",$J163&lt;&gt;""),CHOOSE($L162,$AQ$1,$AQ$2,$AQ$3,$AQ$4,$AQ$5,$AQ$6,$AQ$7,$AQ$8,$AQ$9,$AQ$10,$AQ$11,$AQ$12),"")</f>
        <v/>
      </c>
      <c r="C184" s="237"/>
      <c r="D184" s="237"/>
      <c r="E184" s="237"/>
      <c r="F184" s="237"/>
      <c r="G184" s="237"/>
      <c r="H184" s="233"/>
      <c r="I184" s="233"/>
      <c r="J184" s="233"/>
      <c r="K184" s="233"/>
      <c r="L184" s="233"/>
      <c r="M184" s="250" t="s">
        <v>169</v>
      </c>
      <c r="N184" s="251"/>
      <c r="O184" s="251"/>
      <c r="P184" s="252"/>
      <c r="Q184" s="40" t="str">
        <f>IF($Q182&lt;&gt;"",IF($Q182="W","L","W"),"")</f>
        <v/>
      </c>
      <c r="R184"/>
      <c r="S184"/>
      <c r="T184"/>
      <c r="U184"/>
      <c r="V184"/>
      <c r="W184"/>
      <c r="X184"/>
      <c r="Y184"/>
      <c r="Z184"/>
      <c r="AA184"/>
      <c r="AB184"/>
      <c r="AC184"/>
      <c r="AD184"/>
      <c r="AE184"/>
      <c r="AF184"/>
    </row>
    <row r="185" spans="1:32" ht="12.75" customHeight="1" x14ac:dyDescent="0.25">
      <c r="A185" s="260"/>
      <c r="B185" s="238"/>
      <c r="C185" s="239"/>
      <c r="D185" s="239"/>
      <c r="E185" s="239"/>
      <c r="F185" s="239"/>
      <c r="G185" s="239"/>
      <c r="H185" s="234"/>
      <c r="I185" s="234"/>
      <c r="J185" s="235"/>
      <c r="K185" s="235"/>
      <c r="L185" s="235"/>
      <c r="M185" s="250"/>
      <c r="N185" s="251"/>
      <c r="O185" s="251"/>
      <c r="P185" s="252"/>
      <c r="Q185" s="110" t="str">
        <f>IF($Q184&lt;&gt;"",IF($Q184="W",IF(SUM(IF($H184&gt;$H182,1,0),IF($I184&gt;$I182,1,0),IF($J184&gt;$J182,1,0),IF($K184&gt;$K182,1,0),IF($L184&gt;$L182,1,0))&lt;&gt;3,"Error",""),""),"")</f>
        <v/>
      </c>
      <c r="R185" t="str">
        <f>$A180</f>
        <v>3rd Singles</v>
      </c>
      <c r="S185"/>
      <c r="T185"/>
      <c r="U185"/>
      <c r="V185"/>
      <c r="W185"/>
      <c r="X185"/>
      <c r="Y185"/>
      <c r="Z185"/>
      <c r="AA185"/>
      <c r="AB185"/>
      <c r="AC185"/>
      <c r="AD185"/>
      <c r="AE185"/>
      <c r="AF185"/>
    </row>
    <row r="186" spans="1:32" ht="12.75" customHeight="1" x14ac:dyDescent="0.25">
      <c r="Q186" s="6"/>
      <c r="R186" s="47" t="s">
        <v>160</v>
      </c>
      <c r="S186" s="86" t="s">
        <v>58</v>
      </c>
      <c r="T186" s="87"/>
      <c r="U186" s="87"/>
      <c r="V186" s="87"/>
      <c r="W186" s="87"/>
      <c r="X186" s="88"/>
      <c r="Y186" s="47">
        <v>1</v>
      </c>
      <c r="Z186" s="47">
        <v>2</v>
      </c>
      <c r="AA186" s="47">
        <v>3</v>
      </c>
      <c r="AB186" s="47">
        <v>4</v>
      </c>
      <c r="AC186" s="47">
        <v>5</v>
      </c>
      <c r="AD186" s="89"/>
      <c r="AE186" s="90"/>
      <c r="AF186" s="91"/>
    </row>
    <row r="187" spans="1:32" ht="12.75" customHeight="1" x14ac:dyDescent="0.25">
      <c r="A187" s="15" t="s">
        <v>168</v>
      </c>
      <c r="H187" s="110" t="str">
        <f ca="1">IF($Q189&lt;&gt;"",IF(AND($B189&lt;&gt;"Missing Player",$B191&lt;&gt;"Missing Player"),IF(AND(AND($H189&gt;-1,$H191&gt;-1),OR($H189&gt;10,$H191&gt;10),ABS($H189-$H191)&gt;1,IF(OR($H189&gt;11,$H191&gt;11),ABS($H189-$H191)=2,TRUE),$H189=INT($H189),$H191=INT($H191)),"","Error"),""),"")</f>
        <v/>
      </c>
      <c r="I187" s="110" t="str">
        <f ca="1">IF($Q189&lt;&gt;"",IF(AND($B189&lt;&gt;"Missing Player",$B191&lt;&gt;"Missing Player"),IF(AND(AND($I189&gt;-1,$I191&gt;-1),OR($I189&gt;10,$I191&gt;10),ABS($I189-$I191)&gt;1,IF(OR($I189&gt;11,$I191&gt;11),ABS($I189-$I191)=2,TRUE),$I189=INT($I189),$I191=INT($I191)),"","Error"),""),"")</f>
        <v/>
      </c>
      <c r="J187" s="110" t="str">
        <f ca="1">IF($Q189&lt;&gt;"",IF(AND($B189&lt;&gt;"Missing Player",$B191&lt;&gt;"Missing Player"),IF(AND(AND($J189&gt;-1,$J191&gt;-1),OR($J189&gt;10,$J191&gt;10),ABS($J189-$J191)&gt;1,IF(OR($J189&gt;11,$J191&gt;11),ABS($J189-$J191)=2,TRUE),$J189=INT($J189),$J191=INT($J191)),"","Error"),""),"")</f>
        <v/>
      </c>
      <c r="K187" s="110" t="str">
        <f ca="1">IF($Q189&lt;&gt;"",IF(AND($K189&lt;&gt;"",$K191&lt;&gt;""), IF(AND(AND($K189&gt;-1,$K191&gt;-1),OR($K189&gt;10,$K191&gt;10),ABS($K189-$K191)&gt;1,IF(OR($K189&gt;11,$K191&gt;11),ABS($K189-$K191)=2,TRUE),$K189=INT($K189),$K191=INT($K191)),"","Error"),""),"")</f>
        <v/>
      </c>
      <c r="L187" s="110" t="str">
        <f ca="1">IF($Q189&lt;&gt;"",IF(AND($L189&lt;&gt;"",$L191&lt;&gt;""), IF(AND(AND($L189&gt;-1,$L191&gt;-1),OR($L189&gt;10,$L191&gt;10),ABS($L189-$L191)&gt;1,IF(OR($L189&gt;11,$L191&gt;11),ABS($L189-$L191)=2,TRUE),$L189=INT($L189),$L191=INT($L191)),"","Error"),""),"")</f>
        <v/>
      </c>
      <c r="Q187" s="6"/>
      <c r="R187" s="259" t="str">
        <f>$B162</f>
        <v>D</v>
      </c>
      <c r="S187" s="307" t="str">
        <f ca="1">IF($B182&lt;&gt;"",$B182,"")</f>
        <v/>
      </c>
      <c r="T187" s="308"/>
      <c r="U187" s="308"/>
      <c r="V187" s="308"/>
      <c r="W187" s="308"/>
      <c r="X187" s="309"/>
      <c r="Y187" s="284"/>
      <c r="Z187" s="284"/>
      <c r="AA187" s="284"/>
      <c r="AB187" s="284"/>
      <c r="AC187" s="284"/>
      <c r="AD187" s="296"/>
      <c r="AE187" s="290"/>
      <c r="AF187" s="291"/>
    </row>
    <row r="188" spans="1:32" ht="12.75" customHeight="1" x14ac:dyDescent="0.25">
      <c r="A188" s="5" t="s">
        <v>160</v>
      </c>
      <c r="B188" s="256" t="s">
        <v>58</v>
      </c>
      <c r="C188" s="257"/>
      <c r="D188" s="257"/>
      <c r="E188" s="257"/>
      <c r="F188" s="257"/>
      <c r="G188" s="258"/>
      <c r="H188" s="5">
        <v>1</v>
      </c>
      <c r="I188" s="5">
        <v>2</v>
      </c>
      <c r="J188" s="5">
        <v>3</v>
      </c>
      <c r="K188" s="5">
        <v>4</v>
      </c>
      <c r="L188" s="5">
        <v>5</v>
      </c>
      <c r="M188" s="270"/>
      <c r="N188" s="271"/>
      <c r="O188" s="271"/>
      <c r="P188" s="272"/>
      <c r="Q188" s="6"/>
      <c r="R188" s="285"/>
      <c r="S188" s="310"/>
      <c r="T188" s="311"/>
      <c r="U188" s="311"/>
      <c r="V188" s="311"/>
      <c r="W188" s="311"/>
      <c r="X188" s="312"/>
      <c r="Y188" s="285"/>
      <c r="Z188" s="285"/>
      <c r="AA188" s="285"/>
      <c r="AB188" s="285"/>
      <c r="AC188" s="285"/>
      <c r="AD188" s="292"/>
      <c r="AE188" s="293"/>
      <c r="AF188" s="294"/>
    </row>
    <row r="189" spans="1:32" ht="12.75" customHeight="1" x14ac:dyDescent="0.25">
      <c r="A189" s="259" t="str">
        <f>B162</f>
        <v>D</v>
      </c>
      <c r="B189" s="236" t="str">
        <f ca="1">IF(AND(OFFSET($AO$1,$C162-1,8,1,1),$A163&lt;&gt;"",$J163&lt;&gt;""),CHOOSE($C162,$AR$1,$AR$2,$AR$3,$AR$4,$AR$5,$AR$6,$AR$7,$AR$8,$AR$9,$AR$10,$AR$11,$AR$12),"")</f>
        <v/>
      </c>
      <c r="C189" s="237"/>
      <c r="D189" s="237"/>
      <c r="E189" s="237"/>
      <c r="F189" s="237"/>
      <c r="G189" s="237"/>
      <c r="H189" s="233"/>
      <c r="I189" s="233"/>
      <c r="J189" s="233"/>
      <c r="K189" s="233"/>
      <c r="L189" s="233" t="str">
        <f ca="1">IF(AND($B189&lt;&gt;"",$Q168&lt;&gt;""),IF($B189="Missing Player",0,IF($B191="Missing Player",11,"")),"")</f>
        <v/>
      </c>
      <c r="M189" s="245" t="str">
        <f ca="1">IF(OR(AND($B182&lt;&gt;"",$B189&lt;&gt;"",$E193&lt;=$D193),AND($B184&lt;&gt;"",$B191&lt;&gt;"",$I193&lt;=$H193)),"Invalid Lineup","")</f>
        <v/>
      </c>
      <c r="N189" s="246"/>
      <c r="O189" s="246"/>
      <c r="P189" s="247"/>
      <c r="Q189" s="40" t="str">
        <f ca="1">IF($L189=$L191,IF($K189=$K191,IF($J189&lt;&gt;"",IF($J189&gt;$J191,"W","L"),""),IF($K189&gt;$K191,"W","L")),IF($L189&gt;$L191,"W","L"))</f>
        <v/>
      </c>
      <c r="R189" s="259" t="str">
        <f>$K162</f>
        <v>I</v>
      </c>
      <c r="S189" s="307" t="str">
        <f ca="1">IF($B184&lt;&gt;"",$B184,"")</f>
        <v/>
      </c>
      <c r="T189" s="308"/>
      <c r="U189" s="308"/>
      <c r="V189" s="308"/>
      <c r="W189" s="308"/>
      <c r="X189" s="309"/>
      <c r="Y189" s="284"/>
      <c r="Z189" s="284"/>
      <c r="AA189" s="284"/>
      <c r="AB189" s="284"/>
      <c r="AC189" s="297"/>
      <c r="AD189" s="289" t="s">
        <v>169</v>
      </c>
      <c r="AE189" s="290"/>
      <c r="AF189" s="291"/>
    </row>
    <row r="190" spans="1:32" ht="12.75" customHeight="1" x14ac:dyDescent="0.25">
      <c r="A190" s="260"/>
      <c r="B190" s="238"/>
      <c r="C190" s="239"/>
      <c r="D190" s="239"/>
      <c r="E190" s="239"/>
      <c r="F190" s="239"/>
      <c r="G190" s="239"/>
      <c r="H190" s="234"/>
      <c r="I190" s="234"/>
      <c r="J190" s="234"/>
      <c r="K190" s="234"/>
      <c r="L190" s="234"/>
      <c r="M190" s="245"/>
      <c r="N190" s="246"/>
      <c r="O190" s="246"/>
      <c r="P190" s="247"/>
      <c r="Q190" s="110" t="str">
        <f ca="1">IF($Q189&lt;&gt;"",IF($B191&lt;&gt;"Missing Player",IF($Q189="W",IF(SUM(IF($H189&gt;$H191,1,0),IF($I189&gt;$I191,1,0),IF($J189&gt;$J191,1,0),IF($K189&gt;$K191,1,0),IF($L189&gt;$L191,1,0))&lt;&gt;3,"Error",""),""),""),"")</f>
        <v/>
      </c>
      <c r="R190" s="285"/>
      <c r="S190" s="310"/>
      <c r="T190" s="311"/>
      <c r="U190" s="311"/>
      <c r="V190" s="311"/>
      <c r="W190" s="311"/>
      <c r="X190" s="312"/>
      <c r="Y190" s="285"/>
      <c r="Z190" s="285"/>
      <c r="AA190" s="285"/>
      <c r="AB190" s="285"/>
      <c r="AC190" s="285"/>
      <c r="AD190" s="292"/>
      <c r="AE190" s="293"/>
      <c r="AF190" s="294"/>
    </row>
    <row r="191" spans="1:32" ht="12.75" customHeight="1" x14ac:dyDescent="0.25">
      <c r="A191" s="259" t="str">
        <f>K162</f>
        <v>I</v>
      </c>
      <c r="B191" s="236" t="str">
        <f ca="1">IF(AND(OFFSET($AO$1,$L162-1,8,1,1),$A163&lt;&gt;"",$J163&lt;&gt;""),CHOOSE($L162,$AR$1,$AR$2,$AR$3,$AR$4,$AR$5,$AR$6,$AR$7,$AR$8,$AR$9,$AR$10,$AR$11,$AR$12),"")</f>
        <v/>
      </c>
      <c r="C191" s="237"/>
      <c r="D191" s="237"/>
      <c r="E191" s="237"/>
      <c r="F191" s="237"/>
      <c r="G191" s="237"/>
      <c r="H191" s="233"/>
      <c r="I191" s="233"/>
      <c r="J191" s="233"/>
      <c r="K191" s="233"/>
      <c r="L191" s="233" t="str">
        <f ca="1">IF(AND($B191&lt;&gt;"",$Q168&lt;&gt;""),IF($B191="Missing Player",0,IF($B189="Missing Player",11,"")),"")</f>
        <v/>
      </c>
      <c r="M191" s="250" t="s">
        <v>169</v>
      </c>
      <c r="N191" s="251"/>
      <c r="O191" s="251"/>
      <c r="P191" s="252"/>
      <c r="Q191" s="40" t="str">
        <f ca="1">IF($Q189&lt;&gt;"",IF($Q189="W","L","W"),"")</f>
        <v/>
      </c>
      <c r="R191" s="94"/>
      <c r="S191" s="84"/>
      <c r="T191" s="84"/>
      <c r="U191" s="84"/>
      <c r="V191" s="84"/>
      <c r="W191" s="84"/>
      <c r="X191" s="84"/>
      <c r="Y191" s="93"/>
      <c r="Z191" s="93"/>
      <c r="AA191" s="93"/>
      <c r="AB191" s="93"/>
      <c r="AC191" s="93"/>
      <c r="AD191" s="92"/>
      <c r="AE191" s="93"/>
      <c r="AF191" s="93"/>
    </row>
    <row r="192" spans="1:32" ht="12.75" customHeight="1" x14ac:dyDescent="0.25">
      <c r="A192" s="260"/>
      <c r="B192" s="238"/>
      <c r="C192" s="239"/>
      <c r="D192" s="239"/>
      <c r="E192" s="239"/>
      <c r="F192" s="239"/>
      <c r="G192" s="239"/>
      <c r="H192" s="234"/>
      <c r="I192" s="234"/>
      <c r="J192" s="235"/>
      <c r="K192" s="235"/>
      <c r="L192" s="235"/>
      <c r="M192" s="250"/>
      <c r="N192" s="251"/>
      <c r="O192" s="251"/>
      <c r="P192" s="252"/>
      <c r="Q192" s="110" t="str">
        <f ca="1">IF($Q191&lt;&gt;"",IF($B189&lt;&gt;"Missing Player",IF($Q191="W",IF(SUM(IF($H191&gt;$H189,1,0),IF($I191&gt;$I189,1,0),IF($J191&gt;$J189,1,0),IF($K191&gt;$K189,1,0),IF($L191&gt;$L189,1,0))&lt;&gt;3,"Error",""),""),""),"")</f>
        <v/>
      </c>
      <c r="R192" s="85"/>
      <c r="S192" s="95"/>
      <c r="T192" s="95"/>
      <c r="U192" s="95"/>
      <c r="V192" s="95"/>
      <c r="W192" s="95"/>
      <c r="X192" s="95"/>
      <c r="Y192" s="85"/>
      <c r="Z192" s="85"/>
      <c r="AA192" s="85"/>
      <c r="AB192" s="85"/>
      <c r="AC192" s="85"/>
      <c r="AD192" s="85"/>
      <c r="AE192" s="85"/>
      <c r="AF192" s="85"/>
    </row>
    <row r="193" spans="1:32" ht="12.75" customHeight="1" x14ac:dyDescent="0.25">
      <c r="B193" s="111" t="str">
        <f ca="1">IF(ISERROR(VLOOKUP($B168&amp;"("&amp;$B162&amp;")",Players!$S$4:$T$132,2,FALSE)),"",VLOOKUP($B168&amp;"("&amp;$B162&amp;")",Players!$S$4:$T$132,2,FALSE))</f>
        <v>D1</v>
      </c>
      <c r="C193" s="111" t="str">
        <f ca="1">IF(ISERROR(VLOOKUP($B175&amp;"("&amp;$B162&amp;")",Players!$S$4:$T$132,2,FALSE)),"",VLOOKUP($B175&amp;"("&amp;$B162&amp;")",Players!$S$4:$T$132,2,FALSE))</f>
        <v>D1</v>
      </c>
      <c r="D193" s="111" t="str">
        <f ca="1">IF(ISERROR(VLOOKUP($B182&amp;"("&amp;$B162&amp;")",Players!$S$4:$T$132,2,FALSE)),"",VLOOKUP($B182&amp;"("&amp;$B162&amp;")",Players!$S$4:$T$132,2,FALSE))</f>
        <v>D1</v>
      </c>
      <c r="E193" s="111" t="str">
        <f ca="1">IF(ISERROR(VLOOKUP($B189&amp;"("&amp;$B162&amp;")",Players!$S$4:$T$132,2,FALSE)),"",VLOOKUP($B189&amp;"("&amp;$B162&amp;")",Players!$S$4:$T$132,2,FALSE))</f>
        <v>D1</v>
      </c>
      <c r="F193" s="111" t="str">
        <f ca="1">IF(ISERROR(VLOOKUP($B170&amp;"("&amp;$K162&amp;")",Players!$S$4:$T$132,2,FALSE)),"",VLOOKUP($B170&amp;"("&amp;$K162&amp;")",Players!$S$4:$T$132,2,FALSE))</f>
        <v>I1</v>
      </c>
      <c r="G193" s="111" t="str">
        <f ca="1">IF(ISERROR(VLOOKUP($B177&amp;"("&amp;$K162&amp;")",Players!$S$4:$T$132,2,FALSE)),"",VLOOKUP($B177&amp;"("&amp;$K162&amp;")",Players!$S$4:$T$132,2,FALSE))</f>
        <v>I1</v>
      </c>
      <c r="H193" s="111" t="str">
        <f ca="1">IF(ISERROR(VLOOKUP($B184&amp;"("&amp;$K162&amp;")",Players!$S$4:$T$132,2,FALSE)),"",VLOOKUP($B184&amp;"("&amp;$K162&amp;")",Players!$S$4:$T$132,2,FALSE))</f>
        <v>I1</v>
      </c>
      <c r="I193" s="111" t="str">
        <f ca="1">IF(ISERROR(VLOOKUP($B191&amp;"("&amp;$K162&amp;")",Players!$S$4:$T$132,2,FALSE)),"",VLOOKUP($B191&amp;"("&amp;$K162&amp;")",Players!$S$4:$T$132,2,FALSE))</f>
        <v>I1</v>
      </c>
      <c r="Q193" s="6"/>
      <c r="R193" s="37"/>
      <c r="S193" s="95"/>
      <c r="T193" s="95"/>
      <c r="U193" s="95"/>
      <c r="V193" s="95"/>
      <c r="W193" s="95"/>
      <c r="X193" s="95"/>
      <c r="Y193" s="85"/>
      <c r="Z193" s="85"/>
      <c r="AA193" s="85"/>
      <c r="AB193" s="85"/>
      <c r="AC193" s="96"/>
      <c r="AD193" s="97"/>
      <c r="AE193" s="85"/>
      <c r="AF193" s="85"/>
    </row>
    <row r="194" spans="1:32" ht="12.75" customHeight="1" x14ac:dyDescent="0.25">
      <c r="A194" s="15" t="s">
        <v>157</v>
      </c>
      <c r="H194" s="110" t="str">
        <f ca="1">IF($Q196&lt;&gt;"",IF(AND($B197&lt;&gt;"Missing Player",$B199&lt;&gt;"Missing Player"),IF(AND(AND($H196&gt;-1,$H198&gt;-1),OR($H196&gt;10,$H198&gt;10),ABS($H196-$H198)&gt;1,IF(OR($H196&gt;11,$H198&gt;11),ABS($H196-$H198)=2,TRUE),$H196=INT($H196),$H198=INT($H198)),"","Error"),""),"")</f>
        <v/>
      </c>
      <c r="I194" s="110" t="str">
        <f ca="1">IF($Q196&lt;&gt;"",IF(AND($B197&lt;&gt;"Missing Player",$B199&lt;&gt;"Missing Player"),IF(AND(AND($I196&gt;-1,$I198&gt;-1),OR($I196&gt;10,$I198&gt;10),ABS($I196-$I198)&gt;1,IF(OR($I196&gt;11,$I198&gt;11),ABS($I196-$I198)=2,TRUE),$I196=INT($I196),$I198=INT($I198)),"","Error"),""),"")</f>
        <v/>
      </c>
      <c r="J194" s="110" t="str">
        <f ca="1">IF($Q196&lt;&gt;"",IF(AND($B197&lt;&gt;"Missing Player",$B199&lt;&gt;"Missing Player"),IF(AND(AND($J196&gt;-1,$J198&gt;-1),OR($J196&gt;10,$J198&gt;10),ABS($J196-$J198)&gt;1,IF(OR($J196&gt;11,$J198&gt;11),ABS($J196-$J198)=2,TRUE),$J196=INT($J196),$J198=INT($J198)),"","Error"),""),"")</f>
        <v/>
      </c>
      <c r="K194" s="110" t="str">
        <f ca="1">IF($Q196&lt;&gt;"",IF(AND($K196&lt;&gt;"",$K198&lt;&gt;""), IF(AND(AND($K196&gt;-1,$K198&gt;-1),OR($K196&gt;10,$K198&gt;10),ABS($K196-$K198)&gt;1,IF(OR($K196&gt;11,$K198&gt;11),ABS($K196-$K198)=2,TRUE),$K196=INT($K196),$K198=INT($K198)),"","Error"),""),"")</f>
        <v/>
      </c>
      <c r="L194" s="110" t="str">
        <f ca="1">IF($Q196&lt;&gt;"",IF(AND($L196&lt;&gt;"",$L198&lt;&gt;""), IF(AND(AND($L196&gt;-1,$L198&gt;-1),OR($L196&gt;10,$L198&gt;10),ABS($L196-$L198)&gt;1,IF(OR($L196&gt;11,$L198&gt;11),ABS($L196-$L198)=2,TRUE),$L196=INT($L196),$L198=INT($L198)),"","Error"),""),"")</f>
        <v/>
      </c>
      <c r="Q194" s="6"/>
      <c r="R194" s="85"/>
      <c r="S194" s="95"/>
      <c r="T194" s="95"/>
      <c r="U194" s="95"/>
      <c r="V194" s="95"/>
      <c r="W194" s="95"/>
      <c r="X194" s="95"/>
      <c r="Y194" s="85"/>
      <c r="Z194" s="85"/>
      <c r="AA194" s="85"/>
      <c r="AB194" s="85"/>
      <c r="AC194" s="85"/>
      <c r="AD194" s="85"/>
      <c r="AE194" s="85"/>
      <c r="AF194" s="85"/>
    </row>
    <row r="195" spans="1:32" ht="12.75" customHeight="1" x14ac:dyDescent="0.25">
      <c r="A195" s="5" t="s">
        <v>160</v>
      </c>
      <c r="B195" s="256" t="s">
        <v>58</v>
      </c>
      <c r="C195" s="257"/>
      <c r="D195" s="257"/>
      <c r="E195" s="257"/>
      <c r="F195" s="257"/>
      <c r="G195" s="258"/>
      <c r="H195" s="5">
        <v>1</v>
      </c>
      <c r="I195" s="5">
        <v>2</v>
      </c>
      <c r="J195" s="5">
        <v>3</v>
      </c>
      <c r="K195" s="5">
        <v>4</v>
      </c>
      <c r="L195" s="5">
        <v>5</v>
      </c>
      <c r="M195" s="270"/>
      <c r="N195" s="271"/>
      <c r="O195" s="271"/>
      <c r="P195" s="272"/>
      <c r="Q195" s="6"/>
      <c r="T195" s="7"/>
    </row>
    <row r="196" spans="1:32" ht="12.75" customHeight="1" x14ac:dyDescent="0.25">
      <c r="A196" s="259" t="str">
        <f>B162</f>
        <v>D</v>
      </c>
      <c r="B196" s="230" t="str">
        <f ca="1">IF($B168&lt;&gt;"",$B168,"")</f>
        <v/>
      </c>
      <c r="C196" s="231"/>
      <c r="D196" s="231"/>
      <c r="E196" s="231"/>
      <c r="F196" s="231"/>
      <c r="G196" s="232"/>
      <c r="H196" s="233"/>
      <c r="I196" s="233"/>
      <c r="J196" s="233"/>
      <c r="K196" s="233"/>
      <c r="L196" s="233" t="str">
        <f ca="1">IF($B189&lt;&gt;"",IF(AND($B189="Missing Player",$G200=2,$J200=2),0,IF(AND($B191="Missing Player",$G200=2,$J200=2),11,"")),"")</f>
        <v/>
      </c>
      <c r="M196" s="245" t="str">
        <f ca="1">IF(OR(AND($B196&lt;&gt;"",$B197&lt;&gt;"",$B196=$B197),AND($B198&lt;&gt;"",$B199&lt;&gt;"",$B198=$B199)),"Invalid Partner","")</f>
        <v/>
      </c>
      <c r="N196" s="246"/>
      <c r="O196" s="246"/>
      <c r="P196" s="247"/>
      <c r="Q196" s="37" t="str">
        <f ca="1">IF(L196=L198,IF(K196=K198,IF(J196&lt;&gt;"",IF(J196&gt;J198,"W","L"),""),IF(K196&gt;K198,"W","L")),IF(L196&gt;L198,"W","L"))</f>
        <v/>
      </c>
      <c r="T196" s="7"/>
    </row>
    <row r="197" spans="1:32" ht="12.75" customHeight="1" x14ac:dyDescent="0.25">
      <c r="A197" s="260"/>
      <c r="B197" s="266" t="str">
        <f ca="1">IF($B189="Missing Player",$B189,"")</f>
        <v/>
      </c>
      <c r="C197" s="267"/>
      <c r="D197" s="267"/>
      <c r="E197" s="267"/>
      <c r="F197" s="267"/>
      <c r="G197" s="268"/>
      <c r="H197" s="234"/>
      <c r="I197" s="234"/>
      <c r="J197" s="234"/>
      <c r="K197" s="234"/>
      <c r="L197" s="234"/>
      <c r="M197" s="245"/>
      <c r="N197" s="246"/>
      <c r="O197" s="246"/>
      <c r="P197" s="247"/>
      <c r="Q197" s="110" t="str">
        <f ca="1">IF($Q196&lt;&gt;"",IF($B199&lt;&gt;"Missing Player",IF($Q196="W",IF(SUM(IF($H196&gt;$H198,1,0),IF($I196&gt;$I198,1,0),IF($J196&gt;$J198,1,0),IF($K196&gt;$K198,1,0),IF($L196&gt;$L198,1,0))&lt;&gt;3,"Error",""),""),""),"")</f>
        <v/>
      </c>
      <c r="R197" s="295" t="str">
        <f>$A163</f>
        <v/>
      </c>
      <c r="S197" s="295"/>
      <c r="T197" s="295"/>
      <c r="U197" s="295"/>
      <c r="V197" s="295"/>
      <c r="W197" s="295"/>
      <c r="X197" s="219" t="str">
        <f>CONCATENATE("(",$B162," vs ",$K162,")")</f>
        <v>(D vs I)</v>
      </c>
      <c r="Y197" s="219"/>
      <c r="Z197" s="295" t="str">
        <f>$J163</f>
        <v/>
      </c>
      <c r="AA197" s="295"/>
      <c r="AB197" s="295"/>
      <c r="AC197" s="295"/>
      <c r="AD197" s="295"/>
      <c r="AE197" s="295"/>
      <c r="AF197"/>
    </row>
    <row r="198" spans="1:32" ht="12.75" customHeight="1" x14ac:dyDescent="0.25">
      <c r="A198" s="265" t="str">
        <f>K162</f>
        <v>I</v>
      </c>
      <c r="B198" s="230" t="str">
        <f ca="1">IF($B170&lt;&gt;"",$B170,"")</f>
        <v/>
      </c>
      <c r="C198" s="231"/>
      <c r="D198" s="231"/>
      <c r="E198" s="231"/>
      <c r="F198" s="231"/>
      <c r="G198" s="232"/>
      <c r="H198" s="233"/>
      <c r="I198" s="233"/>
      <c r="J198" s="233"/>
      <c r="K198" s="233"/>
      <c r="L198" s="233" t="str">
        <f ca="1">IF($B191&lt;&gt;"",IF(AND($B191="Missing Player",$G200=2,$J200=2),0,IF(AND($B189="Missing Player",$G200=2,$J200=2),11,"")),"")</f>
        <v/>
      </c>
      <c r="M198" s="250" t="s">
        <v>169</v>
      </c>
      <c r="N198" s="251"/>
      <c r="O198" s="251"/>
      <c r="P198" s="252"/>
      <c r="Q198" s="37" t="str">
        <f ca="1">IF(Q196&lt;&gt;"",IF(Q196="W","L","W"),"")</f>
        <v/>
      </c>
      <c r="R198"/>
      <c r="S198"/>
      <c r="T198"/>
      <c r="U198"/>
      <c r="V198"/>
      <c r="W198"/>
      <c r="X198"/>
      <c r="Y198"/>
      <c r="Z198"/>
      <c r="AA198"/>
      <c r="AB198"/>
      <c r="AC198"/>
      <c r="AD198"/>
      <c r="AE198"/>
      <c r="AF198"/>
    </row>
    <row r="199" spans="1:32" ht="12.75" customHeight="1" x14ac:dyDescent="0.25">
      <c r="A199" s="260"/>
      <c r="B199" s="266" t="str">
        <f ca="1">IF($B191="Missing Player",$B191,"")</f>
        <v/>
      </c>
      <c r="C199" s="267"/>
      <c r="D199" s="267"/>
      <c r="E199" s="267"/>
      <c r="F199" s="267"/>
      <c r="G199" s="268"/>
      <c r="H199" s="234"/>
      <c r="I199" s="234"/>
      <c r="J199" s="235"/>
      <c r="K199" s="235"/>
      <c r="L199" s="235"/>
      <c r="M199" s="250"/>
      <c r="N199" s="251"/>
      <c r="O199" s="251"/>
      <c r="P199" s="252"/>
      <c r="Q199" s="110" t="str">
        <f ca="1">IF($Q198&lt;&gt;"",IF($B197&lt;&gt;"Missing Player",IF($Q198="W",IF(SUM(IF($H198&gt;$H196,1,0),IF($I198&gt;$I196,1,0),IF($J198&gt;$J196,1,0),IF($K198&gt;$K196,1,0),IF($L198&gt;$L196,1,0))&lt;&gt;3,"Error",""),""),""),"")</f>
        <v/>
      </c>
      <c r="R199" t="str">
        <f>A187</f>
        <v>4th Singles</v>
      </c>
      <c r="S199"/>
      <c r="T199"/>
      <c r="U199"/>
      <c r="V199"/>
      <c r="W199"/>
      <c r="X199"/>
      <c r="Y199"/>
      <c r="Z199"/>
      <c r="AA199"/>
      <c r="AB199"/>
      <c r="AC199"/>
      <c r="AD199"/>
      <c r="AE199"/>
      <c r="AF199"/>
    </row>
    <row r="200" spans="1:32" ht="12.75" customHeight="1" x14ac:dyDescent="0.25">
      <c r="G200" s="53">
        <f ca="1">COUNTIF($Q168:$Q168,"W")+COUNTIF($Q175:$Q175,"W")+COUNTIF($Q182:$Q182,"W")+COUNTIF($Q189:$Q189,"W")</f>
        <v>0</v>
      </c>
      <c r="J200" s="53">
        <f ca="1">COUNTIF($Q170:$Q170,"W")+COUNTIF($Q177:$Q177,"W")+COUNTIF($Q184:$Q184,"W")+COUNTIF($Q191:$Q191,"W")</f>
        <v>0</v>
      </c>
      <c r="R200" s="47" t="s">
        <v>160</v>
      </c>
      <c r="S200" s="304" t="s">
        <v>58</v>
      </c>
      <c r="T200" s="305"/>
      <c r="U200" s="305"/>
      <c r="V200" s="305"/>
      <c r="W200" s="305"/>
      <c r="X200" s="306"/>
      <c r="Y200" s="47">
        <v>1</v>
      </c>
      <c r="Z200" s="47">
        <v>2</v>
      </c>
      <c r="AA200" s="47">
        <v>3</v>
      </c>
      <c r="AB200" s="47">
        <v>4</v>
      </c>
      <c r="AC200" s="47">
        <v>5</v>
      </c>
      <c r="AD200" s="286"/>
      <c r="AE200" s="287"/>
      <c r="AF200" s="288"/>
    </row>
    <row r="201" spans="1:32" ht="12.75" customHeight="1" thickBot="1" x14ac:dyDescent="0.3">
      <c r="F201" s="212" t="s">
        <v>170</v>
      </c>
      <c r="G201" s="212"/>
      <c r="H201" s="212"/>
      <c r="I201" s="212"/>
      <c r="J201" s="212"/>
      <c r="K201" s="212"/>
      <c r="R201" s="259" t="str">
        <f>B162</f>
        <v>D</v>
      </c>
      <c r="S201" s="307" t="str">
        <f ca="1">IF($B189&lt;&gt;"",$B189,"")</f>
        <v/>
      </c>
      <c r="T201" s="308"/>
      <c r="U201" s="308"/>
      <c r="V201" s="308"/>
      <c r="W201" s="308"/>
      <c r="X201" s="309"/>
      <c r="Y201" s="284"/>
      <c r="Z201" s="284"/>
      <c r="AA201" s="297"/>
      <c r="AB201" s="297"/>
      <c r="AC201" s="297"/>
      <c r="AD201" s="296"/>
      <c r="AE201" s="298"/>
      <c r="AF201" s="299"/>
    </row>
    <row r="202" spans="1:32" ht="12.75" customHeight="1" x14ac:dyDescent="0.25">
      <c r="A202" s="16"/>
      <c r="B202" s="16"/>
      <c r="C202" s="16"/>
      <c r="D202" s="16"/>
      <c r="E202" s="16"/>
      <c r="G202" s="261" t="str">
        <f>B162</f>
        <v>D</v>
      </c>
      <c r="H202" s="262"/>
      <c r="I202" s="263" t="str">
        <f>K162</f>
        <v>I</v>
      </c>
      <c r="J202" s="264"/>
      <c r="L202" s="16"/>
      <c r="M202" s="16"/>
      <c r="N202" s="16"/>
      <c r="O202" s="16"/>
      <c r="P202" s="16"/>
      <c r="R202" s="260"/>
      <c r="S202" s="310"/>
      <c r="T202" s="311"/>
      <c r="U202" s="311"/>
      <c r="V202" s="311"/>
      <c r="W202" s="311"/>
      <c r="X202" s="312"/>
      <c r="Y202" s="285"/>
      <c r="Z202" s="285"/>
      <c r="AA202" s="303"/>
      <c r="AB202" s="303"/>
      <c r="AC202" s="303"/>
      <c r="AD202" s="300"/>
      <c r="AE202" s="301"/>
      <c r="AF202" s="302"/>
    </row>
    <row r="203" spans="1:32" ht="12.75" customHeight="1" thickBot="1" x14ac:dyDescent="0.3">
      <c r="A203" s="2" t="s">
        <v>160</v>
      </c>
      <c r="B203" s="40" t="str">
        <f>B162</f>
        <v>D</v>
      </c>
      <c r="C203" s="3" t="s">
        <v>158</v>
      </c>
      <c r="F203" s="53" t="str">
        <f>CONCATENATE($B162,"-",$K162)</f>
        <v>D-I</v>
      </c>
      <c r="G203" s="240" t="str">
        <f ca="1">IF(OR(Q168&lt;&gt;"",Q175&lt;&gt;"",Q182&lt;&gt;"",Q189&lt;&gt;"",Q196&lt;&gt;""),COUNTIF(Q168:Q168,"W")+COUNTIF(Q175:Q175,"W")+COUNTIF(Q182:Q182,"W")+COUNTIF(Q189:Q189,"W")+COUNTIF(Q196:Q196,"W"),"")</f>
        <v/>
      </c>
      <c r="H203" s="241"/>
      <c r="I203" s="242" t="str">
        <f ca="1">IF(OR(Q170&lt;&gt;"",Q177&lt;&gt;"",Q184&lt;&gt;"",Q191&lt;&gt;"",Q198&lt;&gt;""),COUNTIF(Q170:Q170,"W")+COUNTIF(Q177:Q177,"W")+COUNTIF(Q184:Q184,"W")+COUNTIF(Q191:Q191,"W")+COUNTIF(Q198:Q198,"W"),"")</f>
        <v/>
      </c>
      <c r="J203" s="243"/>
      <c r="L203" s="2" t="s">
        <v>160</v>
      </c>
      <c r="M203" s="40" t="str">
        <f>K162</f>
        <v>I</v>
      </c>
      <c r="N203" s="3" t="s">
        <v>158</v>
      </c>
      <c r="R203" s="259" t="str">
        <f>K162</f>
        <v>I</v>
      </c>
      <c r="S203" s="307" t="str">
        <f ca="1">IF($B191&lt;&gt;"",$B191,"")</f>
        <v/>
      </c>
      <c r="T203" s="308"/>
      <c r="U203" s="308"/>
      <c r="V203" s="308"/>
      <c r="W203" s="308"/>
      <c r="X203" s="309"/>
      <c r="Y203" s="284"/>
      <c r="Z203" s="284"/>
      <c r="AA203" s="297"/>
      <c r="AB203" s="297"/>
      <c r="AC203" s="297"/>
      <c r="AD203" s="289" t="s">
        <v>169</v>
      </c>
      <c r="AE203" s="290"/>
      <c r="AF203" s="291"/>
    </row>
    <row r="204" spans="1:32" ht="12.75" customHeight="1" x14ac:dyDescent="0.35">
      <c r="F204" s="18" t="s">
        <v>403</v>
      </c>
      <c r="G204" s="17"/>
      <c r="H204" s="17"/>
      <c r="I204" s="17"/>
      <c r="J204" s="17"/>
      <c r="R204" s="285"/>
      <c r="S204" s="310"/>
      <c r="T204" s="311"/>
      <c r="U204" s="311"/>
      <c r="V204" s="311"/>
      <c r="W204" s="311"/>
      <c r="X204" s="312"/>
      <c r="Y204" s="285"/>
      <c r="Z204" s="285"/>
      <c r="AA204" s="285"/>
      <c r="AB204" s="285"/>
      <c r="AC204" s="285"/>
      <c r="AD204" s="292"/>
      <c r="AE204" s="293"/>
      <c r="AF204" s="294"/>
    </row>
    <row r="205" spans="1:32" ht="12.75" customHeight="1" x14ac:dyDescent="0.25">
      <c r="R205" s="1"/>
      <c r="S205" s="11"/>
      <c r="T205" s="11"/>
      <c r="U205" s="11"/>
      <c r="V205" s="11"/>
      <c r="W205" s="11"/>
    </row>
    <row r="206" spans="1:32" ht="12.75" customHeight="1" x14ac:dyDescent="0.25">
      <c r="F206" s="212"/>
      <c r="G206" s="212"/>
      <c r="H206" s="212"/>
      <c r="I206" s="212"/>
      <c r="R206" s="1"/>
      <c r="S206" s="11"/>
      <c r="T206" s="11"/>
      <c r="U206" s="11"/>
      <c r="V206" s="11"/>
      <c r="W206" s="11"/>
    </row>
    <row r="207" spans="1:32" ht="12.75" customHeight="1" x14ac:dyDescent="0.25">
      <c r="F207" s="212"/>
      <c r="G207" s="212"/>
      <c r="H207" s="212"/>
      <c r="I207" s="212"/>
      <c r="R207" s="1"/>
      <c r="S207" s="11"/>
      <c r="T207" s="11"/>
      <c r="U207" s="11"/>
      <c r="V207" s="11"/>
      <c r="W207" s="11"/>
    </row>
    <row r="208" spans="1:32" ht="12.75" customHeight="1" x14ac:dyDescent="0.25">
      <c r="K208" s="219" t="s">
        <v>176</v>
      </c>
      <c r="L208" s="219"/>
      <c r="M208" s="219"/>
      <c r="N208" s="219"/>
      <c r="O208" s="219"/>
      <c r="P208" s="219"/>
      <c r="R208" s="1"/>
      <c r="S208" s="11"/>
      <c r="T208" s="11"/>
      <c r="U208" s="11"/>
      <c r="V208" s="11"/>
      <c r="W208" s="11"/>
    </row>
    <row r="209" spans="1:32" ht="12.75" customHeight="1" x14ac:dyDescent="0.25">
      <c r="A209" s="9" t="s">
        <v>161</v>
      </c>
      <c r="B209"/>
      <c r="C209"/>
      <c r="D209" t="str">
        <f>Draw!$B$1</f>
        <v>Enter Division Name</v>
      </c>
      <c r="E209"/>
      <c r="F209" s="6"/>
      <c r="G209" s="6"/>
      <c r="H209" s="6"/>
      <c r="I209"/>
      <c r="J209"/>
      <c r="K209"/>
      <c r="L209"/>
      <c r="M209" s="219"/>
      <c r="N209" s="219"/>
      <c r="O209" s="219"/>
      <c r="P209" s="219"/>
      <c r="R209" s="1"/>
      <c r="S209" s="11"/>
      <c r="T209" s="11"/>
      <c r="U209" s="11"/>
      <c r="V209" s="11"/>
      <c r="W209" s="11"/>
    </row>
    <row r="210" spans="1:32" ht="12.75" customHeight="1" x14ac:dyDescent="0.25">
      <c r="A210" s="2" t="s">
        <v>162</v>
      </c>
      <c r="D210" t="str">
        <f>Draw!$D$1</f>
        <v>Enter Hosting Location (City, ST)</v>
      </c>
      <c r="J210" t="str">
        <f ca="1">$J$6</f>
        <v>[NCTTA Teams Template (v3.4).xlsx]</v>
      </c>
      <c r="R210" s="1"/>
      <c r="S210" s="11"/>
      <c r="T210" s="11"/>
      <c r="U210" s="11"/>
      <c r="V210" s="11"/>
      <c r="W210" s="11"/>
    </row>
    <row r="211" spans="1:32" ht="12.75" customHeight="1" x14ac:dyDescent="0.25">
      <c r="A211" s="2" t="s">
        <v>163</v>
      </c>
      <c r="D211" s="275" t="str">
        <f>Draw!$P$1</f>
        <v>Enter Date</v>
      </c>
      <c r="E211" s="275"/>
      <c r="F211" s="275"/>
      <c r="G211" s="275"/>
      <c r="J211" s="244" t="str">
        <f>CHOOSE(Draw!$T$1,"Round 1, Match 5","Round 2, Match 2","Round 3, Match 1","Round 2, Match 2","Round 3, Match 1","Round 2, Match 2","Round 2, Match 2","Round 2, Match 1","Round 2, Match 1","Round 1, Match 5","Round 1, Match 5")</f>
        <v>Round 1, Match 5</v>
      </c>
      <c r="K211" s="244"/>
      <c r="L211" s="244"/>
      <c r="M211" s="277" t="str">
        <f>IF(AND($J211&lt;&gt;"",Draw!$AC$10&lt;&gt;"",Draw!$AC$13&lt;&gt;""),Draw!$AC$10+TIME(0,VALUE(MID($J211,7,FIND(",",$J211)-FIND(" ",$J211)-1)-1)*Draw!$AC$13,0),"")</f>
        <v/>
      </c>
      <c r="N211" s="277"/>
      <c r="O211" s="125" t="str">
        <f>$F254</f>
        <v>E-H</v>
      </c>
      <c r="R211" s="1"/>
      <c r="S211" s="11"/>
      <c r="T211" s="11"/>
      <c r="U211" s="11"/>
      <c r="V211" s="11"/>
      <c r="W211" s="11"/>
    </row>
    <row r="212" spans="1:32" ht="12.75" customHeight="1" x14ac:dyDescent="0.25">
      <c r="A212" s="6"/>
      <c r="B212"/>
      <c r="C212"/>
      <c r="D212"/>
      <c r="E212"/>
      <c r="F212" s="6"/>
      <c r="G212" s="6"/>
      <c r="H212" s="11"/>
      <c r="I212" s="6"/>
      <c r="J212"/>
      <c r="K212"/>
      <c r="L212"/>
      <c r="M212"/>
      <c r="N212"/>
      <c r="O212" s="269" t="str">
        <f>IF(OR(AND(VLOOKUP($B213,$AM$1:$AX$12,12,FALSE)="C",VLOOKUP($K213,$AM$1:$AX$12,12,FALSE)="C"),AND(VLOOKUP($B213,$AM$1:$AX$12,12,FALSE)="W",VLOOKUP($K213,$AM$1:$AX$12,12,FALSE)="W")),"Official",IF(AND($A214="",$J214=""),"","Scrimmage"))</f>
        <v/>
      </c>
      <c r="P212" s="269"/>
      <c r="R212" s="1"/>
      <c r="S212" s="11"/>
      <c r="T212" s="11"/>
      <c r="U212" s="11"/>
      <c r="V212" s="11"/>
      <c r="W212" s="11"/>
    </row>
    <row r="213" spans="1:32" ht="12.75" customHeight="1" x14ac:dyDescent="0.25">
      <c r="A213" s="12" t="s">
        <v>160</v>
      </c>
      <c r="B213" s="98" t="str">
        <f>CHOOSE(Draw!$T$1,"E","C","A","D","A","C","B","A","A","E","F")</f>
        <v>E</v>
      </c>
      <c r="C213" s="109">
        <f>VLOOKUP($B213,$AM$1:$AN$12,2)</f>
        <v>5</v>
      </c>
      <c r="D213" s="10"/>
      <c r="E213" s="10"/>
      <c r="F213" s="8"/>
      <c r="H213" s="1" t="s">
        <v>164</v>
      </c>
      <c r="J213" s="12" t="s">
        <v>160</v>
      </c>
      <c r="K213" s="98" t="str">
        <f>CHOOSE(Draw!$T$1,"H","E","D","E","C","E","E","G","I","F","G")</f>
        <v>H</v>
      </c>
      <c r="L213" s="109">
        <f>VLOOKUP($K213,$AM$1:$AN$12,2)</f>
        <v>8</v>
      </c>
      <c r="M213" s="10"/>
      <c r="N213" s="10"/>
      <c r="O213" s="13"/>
      <c r="R213" s="1"/>
      <c r="S213" s="11"/>
      <c r="T213" s="11"/>
      <c r="U213" s="11"/>
      <c r="V213" s="11"/>
      <c r="W213" s="11"/>
    </row>
    <row r="214" spans="1:32" ht="12.75" customHeight="1" x14ac:dyDescent="0.25">
      <c r="A214" s="253" t="str">
        <f>IF(VLOOKUP($B213,Draw!$A$4:$B$27,2)&lt;&gt;0,VLOOKUP($B213,Draw!$A$4:$B$27,2),"")</f>
        <v/>
      </c>
      <c r="B214" s="254"/>
      <c r="C214" s="254"/>
      <c r="D214" s="254"/>
      <c r="E214" s="254"/>
      <c r="F214" s="255"/>
      <c r="G214" s="273" t="s">
        <v>408</v>
      </c>
      <c r="H214" s="249"/>
      <c r="I214" s="274"/>
      <c r="J214" s="253" t="str">
        <f>IF(VLOOKUP($K213,Draw!$A$4:$B$27,2)&lt;&gt;0,VLOOKUP($K213,Draw!$A$4:$B$27,2),"")</f>
        <v/>
      </c>
      <c r="K214" s="254"/>
      <c r="L214" s="254"/>
      <c r="M214" s="254"/>
      <c r="N214" s="254"/>
      <c r="O214" s="255"/>
      <c r="P214"/>
      <c r="R214" s="1"/>
      <c r="S214" s="11"/>
      <c r="T214" s="11"/>
      <c r="U214" s="11"/>
      <c r="V214" s="11"/>
      <c r="W214" s="11"/>
    </row>
    <row r="215" spans="1:32" ht="12.75" customHeight="1" x14ac:dyDescent="0.25">
      <c r="A215" s="6"/>
      <c r="B215"/>
      <c r="C215"/>
      <c r="D215"/>
      <c r="E215"/>
      <c r="F215" s="6"/>
      <c r="G215" s="248" t="str">
        <f>"Page "&amp;VALUE(RIGHT($G214,LEN($G214)-SEARCH("-",$G214)))/2</f>
        <v>Page 5</v>
      </c>
      <c r="H215" s="249"/>
      <c r="I215" s="249"/>
      <c r="J215"/>
      <c r="K215"/>
      <c r="L215"/>
      <c r="M215"/>
      <c r="N215"/>
      <c r="O215"/>
      <c r="P215"/>
      <c r="R215" s="1"/>
      <c r="S215" s="11"/>
      <c r="T215" s="11"/>
      <c r="U215" s="11"/>
      <c r="V215" s="11"/>
      <c r="W215" s="11"/>
      <c r="AF215"/>
    </row>
    <row r="216" spans="1:32" ht="12.75" customHeight="1" x14ac:dyDescent="0.25">
      <c r="A216" s="276" t="s">
        <v>177</v>
      </c>
      <c r="B216" s="276"/>
      <c r="C216" s="276"/>
      <c r="D216" s="276"/>
      <c r="E216" s="276"/>
      <c r="F216" s="276"/>
      <c r="G216" s="276"/>
      <c r="H216" s="276"/>
      <c r="I216" s="276"/>
      <c r="J216" s="276"/>
      <c r="K216" s="276"/>
      <c r="L216" s="276"/>
      <c r="M216" s="276"/>
      <c r="N216" s="276"/>
      <c r="O216" s="276"/>
      <c r="P216" s="276"/>
      <c r="Q216" s="6"/>
      <c r="R216" s="1"/>
      <c r="S216" s="11"/>
      <c r="T216" s="11"/>
      <c r="U216" s="11"/>
      <c r="V216" s="11"/>
      <c r="W216" s="11"/>
      <c r="AF216" s="14"/>
    </row>
    <row r="217" spans="1:32" ht="12.75" customHeight="1" x14ac:dyDescent="0.25">
      <c r="A217" s="15" t="s">
        <v>165</v>
      </c>
      <c r="H217" s="110" t="str">
        <f>IF($Q219&lt;&gt;"",IF(AND(AND($H219&gt;-1,$H221&gt;-1),OR($H219&gt;10,$H221&gt;10),ABS($H219-$H221)&gt;1,IF(OR($H219&gt;11,$H221&gt;11),ABS($H219-$H221)=2,TRUE),$H219=INT($H219),$H221=INT($H221)),"","Error"),"")</f>
        <v/>
      </c>
      <c r="I217" s="110" t="str">
        <f>IF($Q219&lt;&gt;"",IF(AND(AND($I219&gt;-1,$I221&gt;-1),OR($I219&gt;10,$I221&gt;10),ABS($I219-$I221)&gt;1,IF(OR($I219&gt;11,$I221&gt;11),ABS($I219-$I221)=2,TRUE),$I219=INT($I219),$I221=INT($I221)),"","Error"),"")</f>
        <v/>
      </c>
      <c r="J217" s="110" t="str">
        <f>IF($Q219&lt;&gt;"",IF(AND(AND($J219&gt;-1,$J221&gt;-1),OR($J219&gt;10,$J221&gt;10),ABS($J219-$J221)&gt;1,IF(OR($J219&gt;11,$J221&gt;11),ABS($J219-$J221)=2,TRUE),$J219=INT($J219),$J221=INT($J221)),"","Error"),"")</f>
        <v/>
      </c>
      <c r="K217" s="110" t="str">
        <f>IF($Q219&lt;&gt;"",IF(AND($K219&lt;&gt;"",$K221&lt;&gt;""), IF(AND(AND($K219&gt;-1,$K221&gt;-1),OR($K219&gt;10,$K221&gt;10),ABS($K219-$K221)&gt;1,IF(OR($K219&gt;11,$K221&gt;11),ABS($K219-$K221)=2,TRUE),$K219=INT($K219),$K221=INT($K221)),"","Error"),""),"")</f>
        <v/>
      </c>
      <c r="L217" s="110" t="str">
        <f>IF($Q219&lt;&gt;"",IF(AND($L219&lt;&gt;"",$L221&lt;&gt;""), IF(AND(AND($L219&gt;-1,$L221&gt;-1),OR($L219&gt;10,$L221&gt;10),ABS($L219-$L221)&gt;1,IF(OR($L219&gt;11,$L221&gt;11),ABS($L219-$L221)=2,TRUE),$L219=INT($L219),$L221=INT($L221)),"","Error"),""),"")</f>
        <v/>
      </c>
      <c r="R217" s="1"/>
      <c r="S217" s="11"/>
      <c r="T217" s="11"/>
      <c r="U217" s="11"/>
      <c r="V217" s="11"/>
      <c r="W217" s="11"/>
    </row>
    <row r="218" spans="1:32" ht="12.75" customHeight="1" x14ac:dyDescent="0.25">
      <c r="A218" s="5" t="s">
        <v>160</v>
      </c>
      <c r="B218" s="256" t="s">
        <v>58</v>
      </c>
      <c r="C218" s="257"/>
      <c r="D218" s="257"/>
      <c r="E218" s="257"/>
      <c r="F218" s="257"/>
      <c r="G218" s="258"/>
      <c r="H218" s="5">
        <v>1</v>
      </c>
      <c r="I218" s="5">
        <v>2</v>
      </c>
      <c r="J218" s="5">
        <v>3</v>
      </c>
      <c r="K218" s="5">
        <v>4</v>
      </c>
      <c r="L218" s="5">
        <v>5</v>
      </c>
      <c r="M218" s="270"/>
      <c r="N218" s="271"/>
      <c r="O218" s="271"/>
      <c r="P218" s="272"/>
      <c r="R218" s="1"/>
      <c r="S218" s="11"/>
      <c r="T218" s="11"/>
      <c r="U218" s="11"/>
      <c r="V218" s="11"/>
      <c r="W218" s="11"/>
    </row>
    <row r="219" spans="1:32" ht="12.75" customHeight="1" x14ac:dyDescent="0.25">
      <c r="A219" s="259" t="str">
        <f>B213</f>
        <v>E</v>
      </c>
      <c r="B219" s="236" t="str">
        <f ca="1">IF(AND(OFFSET($AO$1,$C213-1,8,1,1),$A214&lt;&gt;"",$J214&lt;&gt;""),CHOOSE($C213,$AO$1,$AO$2,$AO$3,$AO$4,$AO$5,$AO$6,$AO$7,$AO$8,$AO$9,$AO$10,$AO$11,$AO$12),"")</f>
        <v/>
      </c>
      <c r="C219" s="237"/>
      <c r="D219" s="237"/>
      <c r="E219" s="237"/>
      <c r="F219" s="237"/>
      <c r="G219" s="237"/>
      <c r="H219" s="233"/>
      <c r="I219" s="233"/>
      <c r="J219" s="233"/>
      <c r="K219" s="233"/>
      <c r="L219" s="233"/>
      <c r="M219" s="281"/>
      <c r="N219" s="282"/>
      <c r="O219" s="282"/>
      <c r="P219" s="283"/>
      <c r="Q219" s="40" t="str">
        <f>IF($L219=$L221,IF($K219=$K221,IF($J219&lt;&gt;"",IF($J219&gt;$J221,"W","L"),""),IF($K219&gt;$K221,"W","L")),IF($L219&gt;$L221,"W","L"))</f>
        <v/>
      </c>
      <c r="R219" s="1"/>
      <c r="S219" s="11"/>
      <c r="T219" s="11"/>
      <c r="U219" s="11"/>
      <c r="V219" s="11"/>
      <c r="W219" s="11"/>
    </row>
    <row r="220" spans="1:32" ht="12.75" customHeight="1" x14ac:dyDescent="0.25">
      <c r="A220" s="260"/>
      <c r="B220" s="238"/>
      <c r="C220" s="239"/>
      <c r="D220" s="239"/>
      <c r="E220" s="239"/>
      <c r="F220" s="239"/>
      <c r="G220" s="239"/>
      <c r="H220" s="234"/>
      <c r="I220" s="234"/>
      <c r="J220" s="234"/>
      <c r="K220" s="234"/>
      <c r="L220" s="234"/>
      <c r="M220" s="281"/>
      <c r="N220" s="282"/>
      <c r="O220" s="282"/>
      <c r="P220" s="283"/>
      <c r="Q220" s="110" t="str">
        <f>IF($Q219&lt;&gt;"",IF($Q219="W",IF(SUM(IF($H219&gt;$H221,1,0),IF($I219&gt;$I221,1,0),IF($J219&gt;$J221,1,0),IF($K219&gt;$K221,1,0),IF($L219&gt;$L221,1,0))&lt;&gt;3,"Error",""),""),"")</f>
        <v/>
      </c>
      <c r="R220" s="295" t="str">
        <f>$A214</f>
        <v/>
      </c>
      <c r="S220" s="295"/>
      <c r="T220" s="295"/>
      <c r="U220" s="295"/>
      <c r="V220" s="295"/>
      <c r="W220" s="295"/>
      <c r="X220" s="219" t="str">
        <f>CONCATENATE("(",$B213," vs ",$K213,")")</f>
        <v>(E vs H)</v>
      </c>
      <c r="Y220" s="219"/>
      <c r="Z220" s="295" t="str">
        <f>$J214</f>
        <v/>
      </c>
      <c r="AA220" s="295"/>
      <c r="AB220" s="295"/>
      <c r="AC220" s="295"/>
      <c r="AD220" s="295"/>
      <c r="AE220" s="295"/>
      <c r="AF220"/>
    </row>
    <row r="221" spans="1:32" ht="12.75" customHeight="1" x14ac:dyDescent="0.25">
      <c r="A221" s="259" t="str">
        <f>K213</f>
        <v>H</v>
      </c>
      <c r="B221" s="236" t="str">
        <f ca="1">IF(AND(OFFSET($AO$1,$L213-1,8,1,1),$A214&lt;&gt;"",$J214&lt;&gt;""),CHOOSE($L213,$AO$1,$AO$2,$AO$3,$AO$4,$AO$5,$AO$6,$AO$7,$AO$8,$AO$9,$AO$10,$AO$11,$AO$12),"")</f>
        <v/>
      </c>
      <c r="C221" s="237"/>
      <c r="D221" s="237"/>
      <c r="E221" s="237"/>
      <c r="F221" s="237"/>
      <c r="G221" s="237"/>
      <c r="H221" s="233"/>
      <c r="I221" s="233"/>
      <c r="J221" s="233"/>
      <c r="K221" s="233"/>
      <c r="L221" s="233"/>
      <c r="M221" s="250" t="s">
        <v>169</v>
      </c>
      <c r="N221" s="251"/>
      <c r="O221" s="251"/>
      <c r="P221" s="252"/>
      <c r="Q221" s="40" t="str">
        <f>IF($Q219&lt;&gt;"",IF($Q219="W","L","W"),"")</f>
        <v/>
      </c>
      <c r="R221"/>
      <c r="S221"/>
      <c r="T221"/>
      <c r="U221"/>
      <c r="V221"/>
      <c r="W221"/>
      <c r="X221"/>
      <c r="Y221"/>
      <c r="Z221"/>
      <c r="AA221"/>
      <c r="AB221"/>
      <c r="AC221"/>
      <c r="AD221"/>
      <c r="AE221"/>
      <c r="AF221"/>
    </row>
    <row r="222" spans="1:32" ht="12.75" customHeight="1" x14ac:dyDescent="0.25">
      <c r="A222" s="260"/>
      <c r="B222" s="238"/>
      <c r="C222" s="239"/>
      <c r="D222" s="239"/>
      <c r="E222" s="239"/>
      <c r="F222" s="239"/>
      <c r="G222" s="239"/>
      <c r="H222" s="234"/>
      <c r="I222" s="234"/>
      <c r="J222" s="235"/>
      <c r="K222" s="235"/>
      <c r="L222" s="235"/>
      <c r="M222" s="250"/>
      <c r="N222" s="251"/>
      <c r="O222" s="251"/>
      <c r="P222" s="252"/>
      <c r="Q222" s="110" t="str">
        <f>IF($Q221&lt;&gt;"",IF($Q221="W",IF(SUM(IF($H221&gt;$H219,1,0),IF($I221&gt;$I219,1,0),IF($J221&gt;$J219,1,0),IF($K221&gt;$K219,1,0),IF($L221&gt;$L219,1,0))&lt;&gt;3,"Error",""),""),"")</f>
        <v/>
      </c>
      <c r="R222" t="str">
        <f>$A224</f>
        <v>2nd Singles</v>
      </c>
      <c r="S222"/>
      <c r="T222"/>
      <c r="U222"/>
      <c r="V222"/>
      <c r="W222"/>
      <c r="X222"/>
      <c r="Y222"/>
      <c r="Z222"/>
      <c r="AA222"/>
      <c r="AB222"/>
      <c r="AC222"/>
      <c r="AD222"/>
      <c r="AE222"/>
      <c r="AF222"/>
    </row>
    <row r="223" spans="1:32" ht="12.75" customHeight="1" x14ac:dyDescent="0.25">
      <c r="Q223" s="6"/>
      <c r="R223" s="47" t="s">
        <v>160</v>
      </c>
      <c r="S223" s="304" t="s">
        <v>58</v>
      </c>
      <c r="T223" s="305"/>
      <c r="U223" s="305"/>
      <c r="V223" s="305"/>
      <c r="W223" s="305"/>
      <c r="X223" s="306"/>
      <c r="Y223" s="47">
        <v>1</v>
      </c>
      <c r="Z223" s="47">
        <v>2</v>
      </c>
      <c r="AA223" s="47">
        <v>3</v>
      </c>
      <c r="AB223" s="47">
        <v>4</v>
      </c>
      <c r="AC223" s="47">
        <v>5</v>
      </c>
      <c r="AD223" s="286"/>
      <c r="AE223" s="287"/>
      <c r="AF223" s="288"/>
    </row>
    <row r="224" spans="1:32" ht="12.75" customHeight="1" x14ac:dyDescent="0.25">
      <c r="A224" s="15" t="s">
        <v>166</v>
      </c>
      <c r="H224" s="110" t="str">
        <f>IF($Q226&lt;&gt;"",IF(AND(AND($H226&gt;-1,$H228&gt;-1),OR($H226&gt;10,$H228&gt;10),ABS($H226-$H228)&gt;1,IF(OR($H226&gt;11,$H228&gt;11),ABS($H226-$H228)=2,TRUE),$H226=INT($H226),$H228=INT($H228)),"","Error"),"")</f>
        <v/>
      </c>
      <c r="I224" s="110" t="str">
        <f>IF($Q226&lt;&gt;"",IF(AND(AND($I226&gt;-1,$I228&gt;-1),OR($I226&gt;10,$I228&gt;10),ABS($I226-$I228)&gt;1,IF(OR($I226&gt;11,$I228&gt;11),ABS($I226-$I228)=2,TRUE),$I226=INT($I226),$I228=INT($I228)),"","Error"),"")</f>
        <v/>
      </c>
      <c r="J224" s="110" t="str">
        <f>IF($Q226&lt;&gt;"",IF(AND(AND($J226&gt;-1,$J228&gt;-1),OR($J226&gt;10,$J228&gt;10),ABS($J226-$J228)&gt;1,IF(OR($J226&gt;11,$J228&gt;11),ABS($J226-$J228)=2,TRUE),$J226=INT($J226),$J228=INT($J228)),"","Error"),"")</f>
        <v/>
      </c>
      <c r="K224" s="110" t="str">
        <f>IF($Q226&lt;&gt;"",IF(AND($K226&lt;&gt;"",$K228&lt;&gt;""), IF(AND(AND($K226&gt;-1,$K228&gt;-1),OR($K226&gt;10,$K228&gt;10),ABS($K226-$K228)&gt;1,IF(OR($K226&gt;11,$K228&gt;11),ABS($K226-$K228)=2,TRUE),$K226=INT($K226),$K228=INT($K228)),"","Error"),""),"")</f>
        <v/>
      </c>
      <c r="L224" s="110" t="str">
        <f>IF($Q226&lt;&gt;"",IF(AND($L226&lt;&gt;"",$L228&lt;&gt;""), IF(AND(AND($L226&gt;-1,$L228&gt;-1),OR($L226&gt;10,$L228&gt;10),ABS($L226-$L228)&gt;1,IF(OR($L226&gt;11,$L228&gt;11),ABS($L226-$L228)=2,TRUE),$L226=INT($L226),$L228=INT($L228)),"","Error"),""),"")</f>
        <v/>
      </c>
      <c r="Q224" s="6"/>
      <c r="R224" s="259" t="str">
        <f>$B213</f>
        <v>E</v>
      </c>
      <c r="S224" s="307" t="str">
        <f ca="1">IF($B226&lt;&gt;"",$B226,"")</f>
        <v/>
      </c>
      <c r="T224" s="308"/>
      <c r="U224" s="308"/>
      <c r="V224" s="308"/>
      <c r="W224" s="308"/>
      <c r="X224" s="309"/>
      <c r="Y224" s="284"/>
      <c r="Z224" s="284"/>
      <c r="AA224" s="284"/>
      <c r="AB224" s="284"/>
      <c r="AC224" s="284"/>
      <c r="AD224" s="296"/>
      <c r="AE224" s="290"/>
      <c r="AF224" s="291"/>
    </row>
    <row r="225" spans="1:32" ht="12.75" customHeight="1" x14ac:dyDescent="0.25">
      <c r="A225" s="5" t="s">
        <v>160</v>
      </c>
      <c r="B225" s="256" t="s">
        <v>58</v>
      </c>
      <c r="C225" s="257"/>
      <c r="D225" s="257"/>
      <c r="E225" s="257"/>
      <c r="F225" s="257"/>
      <c r="G225" s="258"/>
      <c r="H225" s="5">
        <v>1</v>
      </c>
      <c r="I225" s="5">
        <v>2</v>
      </c>
      <c r="J225" s="5">
        <v>3</v>
      </c>
      <c r="K225" s="5">
        <v>4</v>
      </c>
      <c r="L225" s="5">
        <v>5</v>
      </c>
      <c r="M225" s="270"/>
      <c r="N225" s="271"/>
      <c r="O225" s="271"/>
      <c r="P225" s="272"/>
      <c r="Q225" s="6"/>
      <c r="R225" s="285"/>
      <c r="S225" s="310"/>
      <c r="T225" s="311"/>
      <c r="U225" s="311"/>
      <c r="V225" s="311"/>
      <c r="W225" s="311"/>
      <c r="X225" s="312"/>
      <c r="Y225" s="285"/>
      <c r="Z225" s="285"/>
      <c r="AA225" s="285"/>
      <c r="AB225" s="285"/>
      <c r="AC225" s="285"/>
      <c r="AD225" s="292"/>
      <c r="AE225" s="293"/>
      <c r="AF225" s="294"/>
    </row>
    <row r="226" spans="1:32" ht="12.75" customHeight="1" x14ac:dyDescent="0.25">
      <c r="A226" s="259" t="str">
        <f>B213</f>
        <v>E</v>
      </c>
      <c r="B226" s="236" t="str">
        <f ca="1">IF(AND(OFFSET($AO$1,$C213-1,8,1,1),$A214&lt;&gt;"",$J214&lt;&gt;""),CHOOSE($C213,$AP$1,$AP$2,$AP$3,$AP$4,$AP$5,$AP$6,$AP$7,$AP$8,$AP$9,$AP$10,$AP$11,$AP$12),"")</f>
        <v/>
      </c>
      <c r="C226" s="237"/>
      <c r="D226" s="237"/>
      <c r="E226" s="237"/>
      <c r="F226" s="237"/>
      <c r="G226" s="237"/>
      <c r="H226" s="233"/>
      <c r="I226" s="233"/>
      <c r="J226" s="233"/>
      <c r="K226" s="233"/>
      <c r="L226" s="233"/>
      <c r="M226" s="245" t="str">
        <f ca="1">IF(OR(AND($B219&lt;&gt;"",$B226&lt;&gt;"",$C244&lt;=$B244),AND($B221&lt;&gt;"",$B228&lt;&gt;"",$G244&lt;=$F244)),"Invalid Lineup","")</f>
        <v/>
      </c>
      <c r="N226" s="246"/>
      <c r="O226" s="246"/>
      <c r="P226" s="247"/>
      <c r="Q226" s="40" t="str">
        <f>IF($L226=$L228,IF($K226=$K228,IF($J226&lt;&gt;"",IF($J226&gt;$J228,"W","L"),""),IF($K226&gt;$K228,"W","L")),IF($L226&gt;$L228,"W","L"))</f>
        <v/>
      </c>
      <c r="R226" s="259" t="str">
        <f>$K213</f>
        <v>H</v>
      </c>
      <c r="S226" s="307" t="str">
        <f ca="1">IF($B228&lt;&gt;"",$B228,"")</f>
        <v/>
      </c>
      <c r="T226" s="308"/>
      <c r="U226" s="308"/>
      <c r="V226" s="308"/>
      <c r="W226" s="308"/>
      <c r="X226" s="309"/>
      <c r="Y226" s="284"/>
      <c r="Z226" s="284"/>
      <c r="AA226" s="284"/>
      <c r="AB226" s="284"/>
      <c r="AC226" s="297"/>
      <c r="AD226" s="289" t="s">
        <v>169</v>
      </c>
      <c r="AE226" s="290"/>
      <c r="AF226" s="291"/>
    </row>
    <row r="227" spans="1:32" ht="12.75" customHeight="1" x14ac:dyDescent="0.25">
      <c r="A227" s="260"/>
      <c r="B227" s="238"/>
      <c r="C227" s="239"/>
      <c r="D227" s="239"/>
      <c r="E227" s="239"/>
      <c r="F227" s="239"/>
      <c r="G227" s="239"/>
      <c r="H227" s="234"/>
      <c r="I227" s="234"/>
      <c r="J227" s="234"/>
      <c r="K227" s="234"/>
      <c r="L227" s="234"/>
      <c r="M227" s="245"/>
      <c r="N227" s="246"/>
      <c r="O227" s="246"/>
      <c r="P227" s="247"/>
      <c r="Q227" s="110" t="str">
        <f>IF($Q226&lt;&gt;"",IF($Q226="W",IF(SUM(IF($H226&gt;$H228,1,0),IF($I226&gt;$I228,1,0),IF($J226&gt;$J228,1,0),IF($K226&gt;$K228,1,0),IF($L226&gt;$L228,1,0))&lt;&gt;3,"Error",""),""),"")</f>
        <v/>
      </c>
      <c r="R227" s="285"/>
      <c r="S227" s="310"/>
      <c r="T227" s="311"/>
      <c r="U227" s="311"/>
      <c r="V227" s="311"/>
      <c r="W227" s="311"/>
      <c r="X227" s="312"/>
      <c r="Y227" s="285"/>
      <c r="Z227" s="285"/>
      <c r="AA227" s="285"/>
      <c r="AB227" s="285"/>
      <c r="AC227" s="285"/>
      <c r="AD227" s="292"/>
      <c r="AE227" s="293"/>
      <c r="AF227" s="294"/>
    </row>
    <row r="228" spans="1:32" ht="12.75" customHeight="1" x14ac:dyDescent="0.25">
      <c r="A228" s="259" t="str">
        <f>K213</f>
        <v>H</v>
      </c>
      <c r="B228" s="236" t="str">
        <f ca="1">IF(AND(OFFSET($AO$1,$L213-1,8,1,1),$A214&lt;&gt;"",$J214&lt;&gt;""),CHOOSE($L213,$AP$1,$AP$2,$AP$3,$AP$4,$AP$5,$AP$6,$AP$7,$AP$8,$AP$9,$AP$10,$AP$11,$AP$12),"")</f>
        <v/>
      </c>
      <c r="C228" s="237"/>
      <c r="D228" s="237"/>
      <c r="E228" s="237"/>
      <c r="F228" s="237"/>
      <c r="G228" s="237"/>
      <c r="H228" s="233"/>
      <c r="I228" s="233"/>
      <c r="J228" s="233"/>
      <c r="K228" s="233"/>
      <c r="L228" s="233"/>
      <c r="M228" s="250" t="s">
        <v>169</v>
      </c>
      <c r="N228" s="251"/>
      <c r="O228" s="251"/>
      <c r="P228" s="252"/>
      <c r="Q228" s="40" t="str">
        <f>IF($Q226&lt;&gt;"",IF($Q226="W","L","W"),"")</f>
        <v/>
      </c>
      <c r="R228" s="14"/>
      <c r="S228" s="14"/>
      <c r="T228" s="14"/>
      <c r="U228" s="14"/>
      <c r="V228" s="14"/>
      <c r="W228" s="14"/>
      <c r="X228" s="7"/>
      <c r="Y228" s="7"/>
      <c r="Z228" s="14"/>
      <c r="AA228" s="14"/>
      <c r="AB228" s="14"/>
      <c r="AC228" s="14"/>
      <c r="AD228" s="14"/>
      <c r="AE228" s="14"/>
      <c r="AF228"/>
    </row>
    <row r="229" spans="1:32" ht="12.75" customHeight="1" x14ac:dyDescent="0.25">
      <c r="A229" s="260"/>
      <c r="B229" s="238"/>
      <c r="C229" s="239"/>
      <c r="D229" s="239"/>
      <c r="E229" s="239"/>
      <c r="F229" s="239"/>
      <c r="G229" s="239"/>
      <c r="H229" s="234"/>
      <c r="I229" s="234"/>
      <c r="J229" s="235"/>
      <c r="K229" s="235"/>
      <c r="L229" s="235"/>
      <c r="M229" s="250"/>
      <c r="N229" s="251"/>
      <c r="O229" s="251"/>
      <c r="P229" s="252"/>
      <c r="Q229" s="110" t="str">
        <f>IF($Q228&lt;&gt;"",IF($Q228="W",IF(SUM(IF($H228&gt;$H226,1,0),IF($I228&gt;$I226,1,0),IF($J228&gt;$J226,1,0),IF($K228&gt;$K226,1,0),IF($L228&gt;$L226,1,0))&lt;&gt;3,"Error",""),""),"")</f>
        <v/>
      </c>
      <c r="R229" s="14"/>
      <c r="S229" s="14"/>
      <c r="T229" s="14"/>
      <c r="U229" s="14"/>
      <c r="V229" s="14"/>
      <c r="W229" s="14"/>
      <c r="X229" s="7"/>
      <c r="Y229" s="7"/>
      <c r="Z229" s="14"/>
      <c r="AA229" s="14"/>
      <c r="AB229" s="14"/>
      <c r="AC229" s="14"/>
      <c r="AD229" s="14"/>
      <c r="AE229" s="14"/>
      <c r="AF229"/>
    </row>
    <row r="230" spans="1:32" ht="12.75" customHeight="1" x14ac:dyDescent="0.25">
      <c r="Q230" s="6"/>
      <c r="R230" s="14"/>
      <c r="S230" s="14"/>
      <c r="T230" s="14"/>
      <c r="U230" s="14"/>
      <c r="V230" s="14"/>
      <c r="W230" s="14"/>
      <c r="X230" s="7"/>
      <c r="Y230" s="7"/>
      <c r="Z230" s="14"/>
      <c r="AA230" s="14"/>
      <c r="AB230" s="14"/>
      <c r="AC230" s="14"/>
      <c r="AD230" s="14"/>
      <c r="AE230" s="14"/>
      <c r="AF230"/>
    </row>
    <row r="231" spans="1:32" ht="12.75" customHeight="1" x14ac:dyDescent="0.25">
      <c r="A231" s="15" t="s">
        <v>167</v>
      </c>
      <c r="H231" s="110" t="str">
        <f>IF($Q233&lt;&gt;"",IF(AND(AND($H233&gt;-1,$H235&gt;-1),OR($H233&gt;10,$H235&gt;10),ABS($H233-$H235)&gt;1,IF(OR($H233&gt;11,$H235&gt;11),ABS($H233-$H235)=2,TRUE),$H233=INT($H233),$H235=INT($H235)),"","Error"),"")</f>
        <v/>
      </c>
      <c r="I231" s="110" t="str">
        <f>IF($Q233&lt;&gt;"",IF(AND(AND($I233&gt;-1,$I235&gt;-1),OR($I233&gt;10,$I235&gt;10),ABS($I233-$I235)&gt;1,IF(OR($I233&gt;11,$I235&gt;11),ABS($I233-$I235)=2,TRUE),$I233=INT($I233),$I235=INT($I235)),"","Error"),"")</f>
        <v/>
      </c>
      <c r="J231" s="110" t="str">
        <f>IF($Q233&lt;&gt;"",IF(AND(AND($J233&gt;-1,$J235&gt;-1),OR($J233&gt;10,$J235&gt;10),ABS($J233-$J235)&gt;1,IF(OR($J233&gt;11,$J235&gt;11),ABS($J233-$J235)=2,TRUE),$J233=INT($J233),$J235=INT($J235)),"","Error"),"")</f>
        <v/>
      </c>
      <c r="K231" s="110" t="str">
        <f>IF($Q233&lt;&gt;"",IF(AND($K233&lt;&gt;"",$K235&lt;&gt;""), IF(AND(AND($K233&gt;-1,$K235&gt;-1),OR($K233&gt;10,$K235&gt;10),ABS($K233-$K235)&gt;1,IF(OR($K233&gt;11,$K235&gt;11),ABS($K233-$K235)=2,TRUE),$K233=INT($K233),$K235=INT($K235)),"","Error"),""),"")</f>
        <v/>
      </c>
      <c r="L231" s="110" t="str">
        <f>IF($Q233&lt;&gt;"",IF(AND($L233&lt;&gt;"",$L235&lt;&gt;""), IF(AND(AND($L233&gt;-1,$L235&gt;-1),OR($L233&gt;10,$L235&gt;10),ABS($L233-$L235)&gt;1,IF(OR($L233&gt;11,$L235&gt;11),ABS($L233-$L235)=2,TRUE),$L233=INT($L233),$L235=INT($L235)),"","Error"),""),"")</f>
        <v/>
      </c>
      <c r="Q231" s="6"/>
      <c r="R231" s="14"/>
      <c r="S231" s="14"/>
      <c r="T231" s="14"/>
      <c r="U231" s="14"/>
      <c r="V231" s="14"/>
      <c r="W231" s="14"/>
      <c r="X231" s="7"/>
      <c r="Y231" s="7"/>
      <c r="Z231" s="14"/>
      <c r="AA231" s="14"/>
      <c r="AB231" s="14"/>
      <c r="AC231" s="14"/>
      <c r="AD231" s="14"/>
      <c r="AE231" s="14"/>
      <c r="AF231"/>
    </row>
    <row r="232" spans="1:32" ht="12.75" customHeight="1" x14ac:dyDescent="0.25">
      <c r="A232" s="5" t="s">
        <v>160</v>
      </c>
      <c r="B232" s="256" t="s">
        <v>58</v>
      </c>
      <c r="C232" s="257"/>
      <c r="D232" s="257"/>
      <c r="E232" s="257"/>
      <c r="F232" s="257"/>
      <c r="G232" s="258"/>
      <c r="H232" s="5">
        <v>1</v>
      </c>
      <c r="I232" s="5">
        <v>2</v>
      </c>
      <c r="J232" s="5">
        <v>3</v>
      </c>
      <c r="K232" s="5">
        <v>4</v>
      </c>
      <c r="L232" s="5">
        <v>5</v>
      </c>
      <c r="M232" s="270"/>
      <c r="N232" s="271"/>
      <c r="O232" s="271"/>
      <c r="P232" s="272"/>
      <c r="Q232" s="6"/>
      <c r="R232" s="14"/>
      <c r="S232" s="14"/>
      <c r="T232" s="14"/>
      <c r="U232" s="14"/>
      <c r="V232" s="14"/>
      <c r="W232" s="14"/>
      <c r="X232" s="7"/>
      <c r="Y232" s="7"/>
      <c r="Z232" s="14"/>
      <c r="AA232" s="14"/>
      <c r="AB232" s="14"/>
      <c r="AC232" s="14"/>
      <c r="AD232" s="14"/>
      <c r="AE232" s="14"/>
      <c r="AF232"/>
    </row>
    <row r="233" spans="1:32" ht="12.75" customHeight="1" x14ac:dyDescent="0.25">
      <c r="A233" s="259" t="str">
        <f>B213</f>
        <v>E</v>
      </c>
      <c r="B233" s="236" t="str">
        <f ca="1">IF(AND(OFFSET($AO$1,$C213-1,8,1,1),$A214&lt;&gt;"",$J214&lt;&gt;""),CHOOSE($C213,$AQ$1,$AQ$2,$AQ$3,$AQ$4,$AQ$5,$AQ$6,$AQ$7,$AQ$8,$AQ$9,$AQ$10,$AQ$11,$AQ$12),"")</f>
        <v/>
      </c>
      <c r="C233" s="237"/>
      <c r="D233" s="237"/>
      <c r="E233" s="237"/>
      <c r="F233" s="237"/>
      <c r="G233" s="237"/>
      <c r="H233" s="233"/>
      <c r="I233" s="233"/>
      <c r="J233" s="233"/>
      <c r="K233" s="233"/>
      <c r="L233" s="233"/>
      <c r="M233" s="245" t="str">
        <f ca="1">IF(OR(AND($B226&lt;&gt;"",$B233&lt;&gt;"",$D244&lt;=$C244),AND($B228&lt;&gt;"",$B235&lt;&gt;"",$H244&lt;=$G244)),"Invalid Lineup","")</f>
        <v/>
      </c>
      <c r="N233" s="246"/>
      <c r="O233" s="246"/>
      <c r="P233" s="247"/>
      <c r="Q233" s="40" t="str">
        <f>IF($L233=$L235,IF($K233=$K235,IF($J233&lt;&gt;"",IF($J233&gt;$J235,"W","L"),""),IF($K233&gt;$K235,"W","L")),IF($L233&gt;$L235,"W","L"))</f>
        <v/>
      </c>
      <c r="R233" s="14"/>
      <c r="S233" s="14"/>
      <c r="T233" s="14"/>
      <c r="U233" s="14"/>
      <c r="V233" s="14"/>
      <c r="W233" s="14"/>
      <c r="X233" s="7"/>
      <c r="Y233" s="7"/>
      <c r="Z233" s="14"/>
      <c r="AA233" s="14"/>
      <c r="AB233" s="14"/>
      <c r="AC233" s="14"/>
      <c r="AD233" s="14"/>
      <c r="AE233" s="14"/>
      <c r="AF233"/>
    </row>
    <row r="234" spans="1:32" ht="12.75" customHeight="1" x14ac:dyDescent="0.25">
      <c r="A234" s="260"/>
      <c r="B234" s="238"/>
      <c r="C234" s="239"/>
      <c r="D234" s="239"/>
      <c r="E234" s="239"/>
      <c r="F234" s="239"/>
      <c r="G234" s="239"/>
      <c r="H234" s="234"/>
      <c r="I234" s="234"/>
      <c r="J234" s="234"/>
      <c r="K234" s="234"/>
      <c r="L234" s="234"/>
      <c r="M234" s="245"/>
      <c r="N234" s="246"/>
      <c r="O234" s="246"/>
      <c r="P234" s="247"/>
      <c r="Q234" s="110" t="str">
        <f>IF($Q233&lt;&gt;"",IF($Q233="W",IF(SUM(IF($H233&gt;$H235,1,0),IF($I233&gt;$I235,1,0),IF($J233&gt;$J235,1,0),IF($K233&gt;$K235,1,0),IF($L233&gt;$L235,1,0))&lt;&gt;3,"Error",""),""),"")</f>
        <v/>
      </c>
      <c r="R234" s="295" t="str">
        <f>$A214</f>
        <v/>
      </c>
      <c r="S234" s="295"/>
      <c r="T234" s="295"/>
      <c r="U234" s="295"/>
      <c r="V234" s="295"/>
      <c r="W234" s="295"/>
      <c r="X234" s="219" t="str">
        <f>CONCATENATE("(",$B213," vs ",$K213,")")</f>
        <v>(E vs H)</v>
      </c>
      <c r="Y234" s="219"/>
      <c r="Z234" s="295" t="str">
        <f>$J214</f>
        <v/>
      </c>
      <c r="AA234" s="295"/>
      <c r="AB234" s="295"/>
      <c r="AC234" s="295"/>
      <c r="AD234" s="295"/>
      <c r="AE234" s="295"/>
      <c r="AF234"/>
    </row>
    <row r="235" spans="1:32" ht="12.75" customHeight="1" x14ac:dyDescent="0.25">
      <c r="A235" s="259" t="str">
        <f>K213</f>
        <v>H</v>
      </c>
      <c r="B235" s="236" t="str">
        <f ca="1">IF(AND(OFFSET($AO$1,$L213-1,8,1,1),$A214&lt;&gt;"",$J214&lt;&gt;""),CHOOSE($L213,$AQ$1,$AQ$2,$AQ$3,$AQ$4,$AQ$5,$AQ$6,$AQ$7,$AQ$8,$AQ$9,$AQ$10,$AQ$11,$AQ$12),"")</f>
        <v/>
      </c>
      <c r="C235" s="237"/>
      <c r="D235" s="237"/>
      <c r="E235" s="237"/>
      <c r="F235" s="237"/>
      <c r="G235" s="237"/>
      <c r="H235" s="233"/>
      <c r="I235" s="233"/>
      <c r="J235" s="233"/>
      <c r="K235" s="233"/>
      <c r="L235" s="233"/>
      <c r="M235" s="250" t="s">
        <v>169</v>
      </c>
      <c r="N235" s="251"/>
      <c r="O235" s="251"/>
      <c r="P235" s="252"/>
      <c r="Q235" s="40" t="str">
        <f>IF($Q233&lt;&gt;"",IF($Q233="W","L","W"),"")</f>
        <v/>
      </c>
      <c r="R235"/>
      <c r="S235"/>
      <c r="T235"/>
      <c r="U235"/>
      <c r="V235"/>
      <c r="W235"/>
      <c r="X235"/>
      <c r="Y235"/>
      <c r="Z235"/>
      <c r="AA235"/>
      <c r="AB235"/>
      <c r="AC235"/>
      <c r="AD235"/>
      <c r="AE235"/>
      <c r="AF235"/>
    </row>
    <row r="236" spans="1:32" ht="12.75" customHeight="1" x14ac:dyDescent="0.25">
      <c r="A236" s="260"/>
      <c r="B236" s="238"/>
      <c r="C236" s="239"/>
      <c r="D236" s="239"/>
      <c r="E236" s="239"/>
      <c r="F236" s="239"/>
      <c r="G236" s="239"/>
      <c r="H236" s="234"/>
      <c r="I236" s="234"/>
      <c r="J236" s="235"/>
      <c r="K236" s="235"/>
      <c r="L236" s="235"/>
      <c r="M236" s="250"/>
      <c r="N236" s="251"/>
      <c r="O236" s="251"/>
      <c r="P236" s="252"/>
      <c r="Q236" s="110" t="str">
        <f>IF($Q235&lt;&gt;"",IF($Q235="W",IF(SUM(IF($H235&gt;$H233,1,0),IF($I235&gt;$I233,1,0),IF($J235&gt;$J233,1,0),IF($K235&gt;$K233,1,0),IF($L235&gt;$L233,1,0))&lt;&gt;3,"Error",""),""),"")</f>
        <v/>
      </c>
      <c r="R236" t="str">
        <f>$A231</f>
        <v>3rd Singles</v>
      </c>
      <c r="S236"/>
      <c r="T236"/>
      <c r="U236"/>
      <c r="V236"/>
      <c r="W236"/>
      <c r="X236"/>
      <c r="Y236"/>
      <c r="Z236"/>
      <c r="AA236"/>
      <c r="AB236"/>
      <c r="AC236"/>
      <c r="AD236"/>
      <c r="AE236"/>
      <c r="AF236"/>
    </row>
    <row r="237" spans="1:32" ht="12.75" customHeight="1" x14ac:dyDescent="0.25">
      <c r="Q237" s="6"/>
      <c r="R237" s="47" t="s">
        <v>160</v>
      </c>
      <c r="S237" s="86" t="s">
        <v>58</v>
      </c>
      <c r="T237" s="87"/>
      <c r="U237" s="87"/>
      <c r="V237" s="87"/>
      <c r="W237" s="87"/>
      <c r="X237" s="88"/>
      <c r="Y237" s="47">
        <v>1</v>
      </c>
      <c r="Z237" s="47">
        <v>2</v>
      </c>
      <c r="AA237" s="47">
        <v>3</v>
      </c>
      <c r="AB237" s="47">
        <v>4</v>
      </c>
      <c r="AC237" s="47">
        <v>5</v>
      </c>
      <c r="AD237" s="89"/>
      <c r="AE237" s="90"/>
      <c r="AF237" s="91"/>
    </row>
    <row r="238" spans="1:32" ht="12.75" customHeight="1" x14ac:dyDescent="0.25">
      <c r="A238" s="15" t="s">
        <v>168</v>
      </c>
      <c r="H238" s="110" t="str">
        <f ca="1">IF($Q240&lt;&gt;"",IF(AND($B240&lt;&gt;"Missing Player",$B242&lt;&gt;"Missing Player"),IF(AND(AND($H240&gt;-1,$H242&gt;-1),OR($H240&gt;10,$H242&gt;10),ABS($H240-$H242)&gt;1,IF(OR($H240&gt;11,$H242&gt;11),ABS($H240-$H242)=2,TRUE),$H240=INT($H240),$H242=INT($H242)),"","Error"),""),"")</f>
        <v/>
      </c>
      <c r="I238" s="110" t="str">
        <f ca="1">IF($Q240&lt;&gt;"",IF(AND($B240&lt;&gt;"Missing Player",$B242&lt;&gt;"Missing Player"),IF(AND(AND($I240&gt;-1,$I242&gt;-1),OR($I240&gt;10,$I242&gt;10),ABS($I240-$I242)&gt;1,IF(OR($I240&gt;11,$I242&gt;11),ABS($I240-$I242)=2,TRUE),$I240=INT($I240),$I242=INT($I242)),"","Error"),""),"")</f>
        <v/>
      </c>
      <c r="J238" s="110" t="str">
        <f ca="1">IF($Q240&lt;&gt;"",IF(AND($B240&lt;&gt;"Missing Player",$B242&lt;&gt;"Missing Player"),IF(AND(AND($J240&gt;-1,$J242&gt;-1),OR($J240&gt;10,$J242&gt;10),ABS($J240-$J242)&gt;1,IF(OR($J240&gt;11,$J242&gt;11),ABS($J240-$J242)=2,TRUE),$J240=INT($J240),$J242=INT($J242)),"","Error"),""),"")</f>
        <v/>
      </c>
      <c r="K238" s="110" t="str">
        <f ca="1">IF($Q240&lt;&gt;"",IF(AND($K240&lt;&gt;"",$K242&lt;&gt;""), IF(AND(AND($K240&gt;-1,$K242&gt;-1),OR($K240&gt;10,$K242&gt;10),ABS($K240-$K242)&gt;1,IF(OR($K240&gt;11,$K242&gt;11),ABS($K240-$K242)=2,TRUE),$K240=INT($K240),$K242=INT($K242)),"","Error"),""),"")</f>
        <v/>
      </c>
      <c r="L238" s="110" t="str">
        <f ca="1">IF($Q240&lt;&gt;"",IF(AND($L240&lt;&gt;"",$L242&lt;&gt;""), IF(AND(AND($L240&gt;-1,$L242&gt;-1),OR($L240&gt;10,$L242&gt;10),ABS($L240-$L242)&gt;1,IF(OR($L240&gt;11,$L242&gt;11),ABS($L240-$L242)=2,TRUE),$L240=INT($L240),$L242=INT($L242)),"","Error"),""),"")</f>
        <v/>
      </c>
      <c r="Q238" s="6"/>
      <c r="R238" s="259" t="str">
        <f>$B213</f>
        <v>E</v>
      </c>
      <c r="S238" s="307" t="str">
        <f ca="1">IF($B233&lt;&gt;"",$B233,"")</f>
        <v/>
      </c>
      <c r="T238" s="308"/>
      <c r="U238" s="308"/>
      <c r="V238" s="308"/>
      <c r="W238" s="308"/>
      <c r="X238" s="309"/>
      <c r="Y238" s="284"/>
      <c r="Z238" s="284"/>
      <c r="AA238" s="284"/>
      <c r="AB238" s="284"/>
      <c r="AC238" s="284"/>
      <c r="AD238" s="296"/>
      <c r="AE238" s="290"/>
      <c r="AF238" s="291"/>
    </row>
    <row r="239" spans="1:32" ht="12.75" customHeight="1" x14ac:dyDescent="0.25">
      <c r="A239" s="5" t="s">
        <v>160</v>
      </c>
      <c r="B239" s="256" t="s">
        <v>58</v>
      </c>
      <c r="C239" s="257"/>
      <c r="D239" s="257"/>
      <c r="E239" s="257"/>
      <c r="F239" s="257"/>
      <c r="G239" s="258"/>
      <c r="H239" s="5">
        <v>1</v>
      </c>
      <c r="I239" s="5">
        <v>2</v>
      </c>
      <c r="J239" s="5">
        <v>3</v>
      </c>
      <c r="K239" s="5">
        <v>4</v>
      </c>
      <c r="L239" s="5">
        <v>5</v>
      </c>
      <c r="M239" s="270"/>
      <c r="N239" s="271"/>
      <c r="O239" s="271"/>
      <c r="P239" s="272"/>
      <c r="Q239" s="6"/>
      <c r="R239" s="285"/>
      <c r="S239" s="310"/>
      <c r="T239" s="311"/>
      <c r="U239" s="311"/>
      <c r="V239" s="311"/>
      <c r="W239" s="311"/>
      <c r="X239" s="312"/>
      <c r="Y239" s="285"/>
      <c r="Z239" s="285"/>
      <c r="AA239" s="285"/>
      <c r="AB239" s="285"/>
      <c r="AC239" s="285"/>
      <c r="AD239" s="292"/>
      <c r="AE239" s="293"/>
      <c r="AF239" s="294"/>
    </row>
    <row r="240" spans="1:32" ht="12.75" customHeight="1" x14ac:dyDescent="0.25">
      <c r="A240" s="259" t="str">
        <f>B213</f>
        <v>E</v>
      </c>
      <c r="B240" s="236" t="str">
        <f ca="1">IF(AND(OFFSET($AO$1,$C213-1,8,1,1),$A214&lt;&gt;"",$J214&lt;&gt;""),CHOOSE($C213,$AR$1,$AR$2,$AR$3,$AR$4,$AR$5,$AR$6,$AR$7,$AR$8,$AR$9,$AR$10,$AR$11,$AR$12),"")</f>
        <v/>
      </c>
      <c r="C240" s="237"/>
      <c r="D240" s="237"/>
      <c r="E240" s="237"/>
      <c r="F240" s="237"/>
      <c r="G240" s="237"/>
      <c r="H240" s="233"/>
      <c r="I240" s="233"/>
      <c r="J240" s="233"/>
      <c r="K240" s="233"/>
      <c r="L240" s="233" t="str">
        <f ca="1">IF(AND($B240&lt;&gt;"",$Q219&lt;&gt;""),IF($B240="Missing Player",0,IF($B242="Missing Player",11,"")),"")</f>
        <v/>
      </c>
      <c r="M240" s="245" t="str">
        <f ca="1">IF(OR(AND($B233&lt;&gt;"",$B240&lt;&gt;"",$E244&lt;=$D244),AND($B235&lt;&gt;"",$B242&lt;&gt;"",$I244&lt;=$H244)),"Invalid Lineup","")</f>
        <v/>
      </c>
      <c r="N240" s="246"/>
      <c r="O240" s="246"/>
      <c r="P240" s="247"/>
      <c r="Q240" s="40" t="str">
        <f ca="1">IF($L240=$L242,IF($K240=$K242,IF($J240&lt;&gt;"",IF($J240&gt;$J242,"W","L"),""),IF($K240&gt;$K242,"W","L")),IF($L240&gt;$L242,"W","L"))</f>
        <v/>
      </c>
      <c r="R240" s="259" t="str">
        <f>$K213</f>
        <v>H</v>
      </c>
      <c r="S240" s="307" t="str">
        <f ca="1">IF($B235&lt;&gt;"",$B235,"")</f>
        <v/>
      </c>
      <c r="T240" s="308"/>
      <c r="U240" s="308"/>
      <c r="V240" s="308"/>
      <c r="W240" s="308"/>
      <c r="X240" s="309"/>
      <c r="Y240" s="284"/>
      <c r="Z240" s="284"/>
      <c r="AA240" s="284"/>
      <c r="AB240" s="284"/>
      <c r="AC240" s="297"/>
      <c r="AD240" s="289" t="s">
        <v>169</v>
      </c>
      <c r="AE240" s="290"/>
      <c r="AF240" s="291"/>
    </row>
    <row r="241" spans="1:32" ht="12.75" customHeight="1" x14ac:dyDescent="0.25">
      <c r="A241" s="260"/>
      <c r="B241" s="238"/>
      <c r="C241" s="239"/>
      <c r="D241" s="239"/>
      <c r="E241" s="239"/>
      <c r="F241" s="239"/>
      <c r="G241" s="239"/>
      <c r="H241" s="234"/>
      <c r="I241" s="234"/>
      <c r="J241" s="234"/>
      <c r="K241" s="234"/>
      <c r="L241" s="234"/>
      <c r="M241" s="245"/>
      <c r="N241" s="246"/>
      <c r="O241" s="246"/>
      <c r="P241" s="247"/>
      <c r="Q241" s="110" t="str">
        <f ca="1">IF($Q240&lt;&gt;"",IF($B242&lt;&gt;"Missing Player",IF($Q240="W",IF(SUM(IF($H240&gt;$H242,1,0),IF($I240&gt;$I242,1,0),IF($J240&gt;$J242,1,0),IF($K240&gt;$K242,1,0),IF($L240&gt;$L242,1,0))&lt;&gt;3,"Error",""),""),""),"")</f>
        <v/>
      </c>
      <c r="R241" s="285"/>
      <c r="S241" s="310"/>
      <c r="T241" s="311"/>
      <c r="U241" s="311"/>
      <c r="V241" s="311"/>
      <c r="W241" s="311"/>
      <c r="X241" s="312"/>
      <c r="Y241" s="285"/>
      <c r="Z241" s="285"/>
      <c r="AA241" s="285"/>
      <c r="AB241" s="285"/>
      <c r="AC241" s="285"/>
      <c r="AD241" s="292"/>
      <c r="AE241" s="293"/>
      <c r="AF241" s="294"/>
    </row>
    <row r="242" spans="1:32" ht="12.75" customHeight="1" x14ac:dyDescent="0.25">
      <c r="A242" s="259" t="str">
        <f>K213</f>
        <v>H</v>
      </c>
      <c r="B242" s="236" t="str">
        <f ca="1">IF(AND(OFFSET($AO$1,$L213-1,8,1,1),$A214&lt;&gt;"",$J214&lt;&gt;""),CHOOSE($L213,$AR$1,$AR$2,$AR$3,$AR$4,$AR$5,$AR$6,$AR$7,$AR$8,$AR$9,$AR$10,$AR$11,$AR$12),"")</f>
        <v/>
      </c>
      <c r="C242" s="237"/>
      <c r="D242" s="237"/>
      <c r="E242" s="237"/>
      <c r="F242" s="237"/>
      <c r="G242" s="237"/>
      <c r="H242" s="233"/>
      <c r="I242" s="233"/>
      <c r="J242" s="233"/>
      <c r="K242" s="233"/>
      <c r="L242" s="233" t="str">
        <f ca="1">IF(AND($B242&lt;&gt;"",$Q219&lt;&gt;""),IF($B242="Missing Player",0,IF($B240="Missing Player",11,"")),"")</f>
        <v/>
      </c>
      <c r="M242" s="250" t="s">
        <v>169</v>
      </c>
      <c r="N242" s="251"/>
      <c r="O242" s="251"/>
      <c r="P242" s="252"/>
      <c r="Q242" s="40" t="str">
        <f ca="1">IF($Q240&lt;&gt;"",IF($Q240="W","L","W"),"")</f>
        <v/>
      </c>
      <c r="R242" s="94"/>
      <c r="S242" s="84"/>
      <c r="T242" s="84"/>
      <c r="U242" s="84"/>
      <c r="V242" s="84"/>
      <c r="W242" s="84"/>
      <c r="X242" s="84"/>
      <c r="Y242" s="93"/>
      <c r="Z242" s="93"/>
      <c r="AA242" s="93"/>
      <c r="AB242" s="93"/>
      <c r="AC242" s="93"/>
      <c r="AD242" s="92"/>
      <c r="AE242" s="93"/>
      <c r="AF242" s="93"/>
    </row>
    <row r="243" spans="1:32" ht="12.75" customHeight="1" x14ac:dyDescent="0.25">
      <c r="A243" s="260"/>
      <c r="B243" s="238"/>
      <c r="C243" s="239"/>
      <c r="D243" s="239"/>
      <c r="E243" s="239"/>
      <c r="F243" s="239"/>
      <c r="G243" s="239"/>
      <c r="H243" s="234"/>
      <c r="I243" s="234"/>
      <c r="J243" s="235"/>
      <c r="K243" s="235"/>
      <c r="L243" s="235"/>
      <c r="M243" s="250"/>
      <c r="N243" s="251"/>
      <c r="O243" s="251"/>
      <c r="P243" s="252"/>
      <c r="Q243" s="110" t="str">
        <f ca="1">IF($Q242&lt;&gt;"",IF($B240&lt;&gt;"Missing Player",IF($Q242="W",IF(SUM(IF($H242&gt;$H240,1,0),IF($I242&gt;$I240,1,0),IF($J242&gt;$J240,1,0),IF($K242&gt;$K240,1,0),IF($L242&gt;$L240,1,0))&lt;&gt;3,"Error",""),""),""),"")</f>
        <v/>
      </c>
      <c r="R243" s="85"/>
      <c r="S243" s="95"/>
      <c r="T243" s="95"/>
      <c r="U243" s="95"/>
      <c r="V243" s="95"/>
      <c r="W243" s="95"/>
      <c r="X243" s="95"/>
      <c r="Y243" s="85"/>
      <c r="Z243" s="85"/>
      <c r="AA243" s="85"/>
      <c r="AB243" s="85"/>
      <c r="AC243" s="85"/>
      <c r="AD243" s="85"/>
      <c r="AE243" s="85"/>
      <c r="AF243" s="85"/>
    </row>
    <row r="244" spans="1:32" ht="12.75" customHeight="1" x14ac:dyDescent="0.25">
      <c r="B244" s="111" t="str">
        <f ca="1">IF(ISERROR(VLOOKUP($B219&amp;"("&amp;$B213&amp;")",Players!$S$4:$T$132,2,FALSE)),"",VLOOKUP($B219&amp;"("&amp;$B213&amp;")",Players!$S$4:$T$132,2,FALSE))</f>
        <v>E1</v>
      </c>
      <c r="C244" s="111" t="str">
        <f ca="1">IF(ISERROR(VLOOKUP($B226&amp;"("&amp;$B213&amp;")",Players!$S$4:$T$132,2,FALSE)),"",VLOOKUP($B226&amp;"("&amp;$B213&amp;")",Players!$S$4:$T$132,2,FALSE))</f>
        <v>E1</v>
      </c>
      <c r="D244" s="111" t="str">
        <f ca="1">IF(ISERROR(VLOOKUP($B233&amp;"("&amp;$B213&amp;")",Players!$S$4:$T$132,2,FALSE)),"",VLOOKUP($B233&amp;"("&amp;$B213&amp;")",Players!$S$4:$T$132,2,FALSE))</f>
        <v>E1</v>
      </c>
      <c r="E244" s="111" t="str">
        <f ca="1">IF(ISERROR(VLOOKUP($B240&amp;"("&amp;$B213&amp;")",Players!$S$4:$T$132,2,FALSE)),"",VLOOKUP($B240&amp;"("&amp;$B213&amp;")",Players!$S$4:$T$132,2,FALSE))</f>
        <v>E1</v>
      </c>
      <c r="F244" s="111" t="str">
        <f ca="1">IF(ISERROR(VLOOKUP($B221&amp;"("&amp;$K213&amp;")",Players!$S$4:$T$132,2,FALSE)),"",VLOOKUP($B221&amp;"("&amp;$K213&amp;")",Players!$S$4:$T$132,2,FALSE))</f>
        <v>H1</v>
      </c>
      <c r="G244" s="111" t="str">
        <f ca="1">IF(ISERROR(VLOOKUP($B228&amp;"("&amp;$K213&amp;")",Players!$S$4:$T$132,2,FALSE)),"",VLOOKUP($B228&amp;"("&amp;$K213&amp;")",Players!$S$4:$T$132,2,FALSE))</f>
        <v>H1</v>
      </c>
      <c r="H244" s="111" t="str">
        <f ca="1">IF(ISERROR(VLOOKUP($B235&amp;"("&amp;$K213&amp;")",Players!$S$4:$T$132,2,FALSE)),"",VLOOKUP($B235&amp;"("&amp;$K213&amp;")",Players!$S$4:$T$132,2,FALSE))</f>
        <v>H1</v>
      </c>
      <c r="I244" s="111" t="str">
        <f ca="1">IF(ISERROR(VLOOKUP($B242&amp;"("&amp;$K213&amp;")",Players!$S$4:$T$132,2,FALSE)),"",VLOOKUP($B242&amp;"("&amp;$K213&amp;")",Players!$S$4:$T$132,2,FALSE))</f>
        <v>H1</v>
      </c>
      <c r="Q244" s="6"/>
      <c r="R244" s="37"/>
      <c r="S244" s="95"/>
      <c r="T244" s="95"/>
      <c r="U244" s="95"/>
      <c r="V244" s="95"/>
      <c r="W244" s="95"/>
      <c r="X244" s="95"/>
      <c r="Y244" s="85"/>
      <c r="Z244" s="85"/>
      <c r="AA244" s="85"/>
      <c r="AB244" s="85"/>
      <c r="AC244" s="96"/>
      <c r="AD244" s="97"/>
      <c r="AE244" s="85"/>
      <c r="AF244" s="85"/>
    </row>
    <row r="245" spans="1:32" ht="12.75" customHeight="1" x14ac:dyDescent="0.25">
      <c r="A245" s="15" t="s">
        <v>157</v>
      </c>
      <c r="H245" s="110" t="str">
        <f ca="1">IF($Q247&lt;&gt;"",IF(AND($B248&lt;&gt;"Missing Player",$B250&lt;&gt;"Missing Player"),IF(AND(AND($H247&gt;-1,$H249&gt;-1),OR($H247&gt;10,$H249&gt;10),ABS($H247-$H249)&gt;1,IF(OR($H247&gt;11,$H249&gt;11),ABS($H247-$H249)=2,TRUE),$H247=INT($H247),$H249=INT($H249)),"","Error"),""),"")</f>
        <v/>
      </c>
      <c r="I245" s="110" t="str">
        <f ca="1">IF($Q247&lt;&gt;"",IF(AND($B248&lt;&gt;"Missing Player",$B250&lt;&gt;"Missing Player"),IF(AND(AND($I247&gt;-1,$I249&gt;-1),OR($I247&gt;10,$I249&gt;10),ABS($I247-$I249)&gt;1,IF(OR($I247&gt;11,$I249&gt;11),ABS($I247-$I249)=2,TRUE),$I247=INT($I247),$I249=INT($I249)),"","Error"),""),"")</f>
        <v/>
      </c>
      <c r="J245" s="110" t="str">
        <f ca="1">IF($Q247&lt;&gt;"",IF(AND($B248&lt;&gt;"Missing Player",$B250&lt;&gt;"Missing Player"),IF(AND(AND($J247&gt;-1,$J249&gt;-1),OR($J247&gt;10,$J249&gt;10),ABS($J247-$J249)&gt;1,IF(OR($J247&gt;11,$J249&gt;11),ABS($J247-$J249)=2,TRUE),$J247=INT($J247),$J249=INT($J249)),"","Error"),""),"")</f>
        <v/>
      </c>
      <c r="K245" s="110" t="str">
        <f ca="1">IF($Q247&lt;&gt;"",IF(AND($K247&lt;&gt;"",$K249&lt;&gt;""), IF(AND(AND($K247&gt;-1,$K249&gt;-1),OR($K247&gt;10,$K249&gt;10),ABS($K247-$K249)&gt;1,IF(OR($K247&gt;11,$K249&gt;11),ABS($K247-$K249)=2,TRUE),$K247=INT($K247),$K249=INT($K249)),"","Error"),""),"")</f>
        <v/>
      </c>
      <c r="L245" s="110" t="str">
        <f ca="1">IF($Q247&lt;&gt;"",IF(AND($L247&lt;&gt;"",$L249&lt;&gt;""), IF(AND(AND($L247&gt;-1,$L249&gt;-1),OR($L247&gt;10,$L249&gt;10),ABS($L247-$L249)&gt;1,IF(OR($L247&gt;11,$L249&gt;11),ABS($L247-$L249)=2,TRUE),$L247=INT($L247),$L249=INT($L249)),"","Error"),""),"")</f>
        <v/>
      </c>
      <c r="Q245" s="6"/>
      <c r="R245" s="85"/>
      <c r="S245" s="95"/>
      <c r="T245" s="95"/>
      <c r="U245" s="95"/>
      <c r="V245" s="95"/>
      <c r="W245" s="95"/>
      <c r="X245" s="95"/>
      <c r="Y245" s="85"/>
      <c r="Z245" s="85"/>
      <c r="AA245" s="85"/>
      <c r="AB245" s="85"/>
      <c r="AC245" s="85"/>
      <c r="AD245" s="85"/>
      <c r="AE245" s="85"/>
      <c r="AF245" s="85"/>
    </row>
    <row r="246" spans="1:32" ht="12.75" customHeight="1" x14ac:dyDescent="0.25">
      <c r="A246" s="5" t="s">
        <v>160</v>
      </c>
      <c r="B246" s="256" t="s">
        <v>58</v>
      </c>
      <c r="C246" s="257"/>
      <c r="D246" s="257"/>
      <c r="E246" s="257"/>
      <c r="F246" s="257"/>
      <c r="G246" s="258"/>
      <c r="H246" s="5">
        <v>1</v>
      </c>
      <c r="I246" s="5">
        <v>2</v>
      </c>
      <c r="J246" s="5">
        <v>3</v>
      </c>
      <c r="K246" s="5">
        <v>4</v>
      </c>
      <c r="L246" s="5">
        <v>5</v>
      </c>
      <c r="M246" s="270"/>
      <c r="N246" s="271"/>
      <c r="O246" s="271"/>
      <c r="P246" s="272"/>
      <c r="Q246" s="6"/>
      <c r="T246" s="7"/>
    </row>
    <row r="247" spans="1:32" ht="12.75" customHeight="1" x14ac:dyDescent="0.25">
      <c r="A247" s="259" t="str">
        <f>B213</f>
        <v>E</v>
      </c>
      <c r="B247" s="230" t="str">
        <f ca="1">IF($B219&lt;&gt;"",$B219,"")</f>
        <v/>
      </c>
      <c r="C247" s="231"/>
      <c r="D247" s="231"/>
      <c r="E247" s="231"/>
      <c r="F247" s="231"/>
      <c r="G247" s="232"/>
      <c r="H247" s="233"/>
      <c r="I247" s="233"/>
      <c r="J247" s="233"/>
      <c r="K247" s="233"/>
      <c r="L247" s="233" t="str">
        <f ca="1">IF($B240&lt;&gt;"",IF(AND($B240="Missing Player",$G251=2,$J251=2),0,IF(AND($B242="Missing Player",$G251=2,$J251=2),11,"")),"")</f>
        <v/>
      </c>
      <c r="M247" s="245" t="str">
        <f ca="1">IF(OR(AND($B247&lt;&gt;"",$B248&lt;&gt;"",$B247=$B248),AND($B249&lt;&gt;"",$B250&lt;&gt;"",$B249=$B250)),"Invalid Partner","")</f>
        <v/>
      </c>
      <c r="N247" s="246"/>
      <c r="O247" s="246"/>
      <c r="P247" s="247"/>
      <c r="Q247" s="37" t="str">
        <f ca="1">IF(L247=L249,IF(K247=K249,IF(J247&lt;&gt;"",IF(J247&gt;J249,"W","L"),""),IF(K247&gt;K249,"W","L")),IF(L247&gt;L249,"W","L"))</f>
        <v/>
      </c>
      <c r="T247" s="7"/>
    </row>
    <row r="248" spans="1:32" ht="12.75" customHeight="1" x14ac:dyDescent="0.25">
      <c r="A248" s="260"/>
      <c r="B248" s="266" t="str">
        <f ca="1">IF($B240="Missing Player",$B240,"")</f>
        <v/>
      </c>
      <c r="C248" s="267"/>
      <c r="D248" s="267"/>
      <c r="E248" s="267"/>
      <c r="F248" s="267"/>
      <c r="G248" s="268"/>
      <c r="H248" s="234"/>
      <c r="I248" s="234"/>
      <c r="J248" s="234"/>
      <c r="K248" s="234"/>
      <c r="L248" s="234"/>
      <c r="M248" s="245"/>
      <c r="N248" s="246"/>
      <c r="O248" s="246"/>
      <c r="P248" s="247"/>
      <c r="Q248" s="110" t="str">
        <f ca="1">IF($Q247&lt;&gt;"",IF($B250&lt;&gt;"Missing Player",IF($Q247="W",IF(SUM(IF($H247&gt;$H249,1,0),IF($I247&gt;$I249,1,0),IF($J247&gt;$J249,1,0),IF($K247&gt;$K249,1,0),IF($L247&gt;$L249,1,0))&lt;&gt;3,"Error",""),""),""),"")</f>
        <v/>
      </c>
      <c r="R248" s="295" t="str">
        <f>$A214</f>
        <v/>
      </c>
      <c r="S248" s="295"/>
      <c r="T248" s="295"/>
      <c r="U248" s="295"/>
      <c r="V248" s="295"/>
      <c r="W248" s="295"/>
      <c r="X248" s="219" t="str">
        <f>CONCATENATE("(",$B213," vs ",$K213,")")</f>
        <v>(E vs H)</v>
      </c>
      <c r="Y248" s="219"/>
      <c r="Z248" s="295" t="str">
        <f>$J214</f>
        <v/>
      </c>
      <c r="AA248" s="295"/>
      <c r="AB248" s="295"/>
      <c r="AC248" s="295"/>
      <c r="AD248" s="295"/>
      <c r="AE248" s="295"/>
      <c r="AF248"/>
    </row>
    <row r="249" spans="1:32" ht="12.75" customHeight="1" x14ac:dyDescent="0.25">
      <c r="A249" s="265" t="str">
        <f>K213</f>
        <v>H</v>
      </c>
      <c r="B249" s="230" t="str">
        <f ca="1">IF($B221&lt;&gt;"",$B221,"")</f>
        <v/>
      </c>
      <c r="C249" s="231"/>
      <c r="D249" s="231"/>
      <c r="E249" s="231"/>
      <c r="F249" s="231"/>
      <c r="G249" s="232"/>
      <c r="H249" s="233"/>
      <c r="I249" s="233"/>
      <c r="J249" s="233"/>
      <c r="K249" s="233"/>
      <c r="L249" s="233" t="str">
        <f ca="1">IF($B242&lt;&gt;"",IF(AND($B242="Missing Player",$G251=2,$J251=2),0,IF(AND($B240="Missing Player",$G251=2,$J251=2),11,"")),"")</f>
        <v/>
      </c>
      <c r="M249" s="250" t="s">
        <v>169</v>
      </c>
      <c r="N249" s="251"/>
      <c r="O249" s="251"/>
      <c r="P249" s="252"/>
      <c r="Q249" s="37" t="str">
        <f ca="1">IF(Q247&lt;&gt;"",IF(Q247="W","L","W"),"")</f>
        <v/>
      </c>
      <c r="R249"/>
      <c r="S249"/>
      <c r="T249"/>
      <c r="U249"/>
      <c r="V249"/>
      <c r="W249"/>
      <c r="X249"/>
      <c r="Y249"/>
      <c r="Z249"/>
      <c r="AA249"/>
      <c r="AB249"/>
      <c r="AC249"/>
      <c r="AD249"/>
      <c r="AE249"/>
      <c r="AF249"/>
    </row>
    <row r="250" spans="1:32" ht="12.75" customHeight="1" x14ac:dyDescent="0.25">
      <c r="A250" s="260"/>
      <c r="B250" s="266" t="str">
        <f ca="1">IF($B242="Missing Player",$B242,"")</f>
        <v/>
      </c>
      <c r="C250" s="267"/>
      <c r="D250" s="267"/>
      <c r="E250" s="267"/>
      <c r="F250" s="267"/>
      <c r="G250" s="268"/>
      <c r="H250" s="234"/>
      <c r="I250" s="234"/>
      <c r="J250" s="235"/>
      <c r="K250" s="235"/>
      <c r="L250" s="235"/>
      <c r="M250" s="250"/>
      <c r="N250" s="251"/>
      <c r="O250" s="251"/>
      <c r="P250" s="252"/>
      <c r="Q250" s="110" t="str">
        <f ca="1">IF($Q249&lt;&gt;"",IF($B248&lt;&gt;"Missing Player",IF($Q249="W",IF(SUM(IF($H249&gt;$H247,1,0),IF($I249&gt;$I247,1,0),IF($J249&gt;$J247,1,0),IF($K249&gt;$K247,1,0),IF($L249&gt;$L247,1,0))&lt;&gt;3,"Error",""),""),""),"")</f>
        <v/>
      </c>
      <c r="R250" t="str">
        <f>A238</f>
        <v>4th Singles</v>
      </c>
      <c r="S250"/>
      <c r="T250"/>
      <c r="U250"/>
      <c r="V250"/>
      <c r="W250"/>
      <c r="X250"/>
      <c r="Y250"/>
      <c r="Z250"/>
      <c r="AA250"/>
      <c r="AB250"/>
      <c r="AC250"/>
      <c r="AD250"/>
      <c r="AE250"/>
      <c r="AF250"/>
    </row>
    <row r="251" spans="1:32" ht="12.75" customHeight="1" x14ac:dyDescent="0.25">
      <c r="G251" s="53">
        <f ca="1">COUNTIF($Q219:$Q219,"W")+COUNTIF($Q226:$Q226,"W")+COUNTIF($Q233:$Q233,"W")+COUNTIF($Q240:$Q240,"W")</f>
        <v>0</v>
      </c>
      <c r="J251" s="53">
        <f ca="1">COUNTIF($Q221:$Q221,"W")+COUNTIF($Q228:$Q228,"W")+COUNTIF($Q235:$Q235,"W")+COUNTIF($Q242:$Q242,"W")</f>
        <v>0</v>
      </c>
      <c r="R251" s="47" t="s">
        <v>160</v>
      </c>
      <c r="S251" s="304" t="s">
        <v>58</v>
      </c>
      <c r="T251" s="305"/>
      <c r="U251" s="305"/>
      <c r="V251" s="305"/>
      <c r="W251" s="305"/>
      <c r="X251" s="306"/>
      <c r="Y251" s="47">
        <v>1</v>
      </c>
      <c r="Z251" s="47">
        <v>2</v>
      </c>
      <c r="AA251" s="47">
        <v>3</v>
      </c>
      <c r="AB251" s="47">
        <v>4</v>
      </c>
      <c r="AC251" s="47">
        <v>5</v>
      </c>
      <c r="AD251" s="286"/>
      <c r="AE251" s="287"/>
      <c r="AF251" s="288"/>
    </row>
    <row r="252" spans="1:32" ht="12.75" customHeight="1" thickBot="1" x14ac:dyDescent="0.3">
      <c r="F252" s="212" t="s">
        <v>170</v>
      </c>
      <c r="G252" s="212"/>
      <c r="H252" s="212"/>
      <c r="I252" s="212"/>
      <c r="J252" s="212"/>
      <c r="K252" s="212"/>
      <c r="R252" s="259" t="str">
        <f>B213</f>
        <v>E</v>
      </c>
      <c r="S252" s="307" t="str">
        <f ca="1">IF($B240&lt;&gt;"",$B240,"")</f>
        <v/>
      </c>
      <c r="T252" s="308"/>
      <c r="U252" s="308"/>
      <c r="V252" s="308"/>
      <c r="W252" s="308"/>
      <c r="X252" s="309"/>
      <c r="Y252" s="284"/>
      <c r="Z252" s="284"/>
      <c r="AA252" s="297"/>
      <c r="AB252" s="297"/>
      <c r="AC252" s="297"/>
      <c r="AD252" s="296"/>
      <c r="AE252" s="298"/>
      <c r="AF252" s="299"/>
    </row>
    <row r="253" spans="1:32" ht="12.75" customHeight="1" x14ac:dyDescent="0.25">
      <c r="A253" s="16"/>
      <c r="B253" s="16"/>
      <c r="C253" s="16"/>
      <c r="D253" s="16"/>
      <c r="E253" s="16"/>
      <c r="G253" s="261" t="str">
        <f>B213</f>
        <v>E</v>
      </c>
      <c r="H253" s="262"/>
      <c r="I253" s="263" t="str">
        <f>K213</f>
        <v>H</v>
      </c>
      <c r="J253" s="264"/>
      <c r="L253" s="16"/>
      <c r="M253" s="16"/>
      <c r="N253" s="16"/>
      <c r="O253" s="16"/>
      <c r="P253" s="16"/>
      <c r="R253" s="260"/>
      <c r="S253" s="310"/>
      <c r="T253" s="311"/>
      <c r="U253" s="311"/>
      <c r="V253" s="311"/>
      <c r="W253" s="311"/>
      <c r="X253" s="312"/>
      <c r="Y253" s="285"/>
      <c r="Z253" s="285"/>
      <c r="AA253" s="303"/>
      <c r="AB253" s="303"/>
      <c r="AC253" s="303"/>
      <c r="AD253" s="300"/>
      <c r="AE253" s="301"/>
      <c r="AF253" s="302"/>
    </row>
    <row r="254" spans="1:32" ht="12.75" customHeight="1" thickBot="1" x14ac:dyDescent="0.3">
      <c r="A254" s="2" t="s">
        <v>160</v>
      </c>
      <c r="B254" s="40" t="str">
        <f>B213</f>
        <v>E</v>
      </c>
      <c r="C254" s="3" t="s">
        <v>158</v>
      </c>
      <c r="F254" s="53" t="str">
        <f>CONCATENATE($B213,"-",$K213)</f>
        <v>E-H</v>
      </c>
      <c r="G254" s="240" t="str">
        <f ca="1">IF(OR(Q219&lt;&gt;"",Q226&lt;&gt;"",Q233&lt;&gt;"",Q240&lt;&gt;"",Q247&lt;&gt;""),COUNTIF(Q219:Q219,"W")+COUNTIF(Q226:Q226,"W")+COUNTIF(Q233:Q233,"W")+COUNTIF(Q240:Q240,"W")+COUNTIF(Q247:Q247,"W"),"")</f>
        <v/>
      </c>
      <c r="H254" s="241"/>
      <c r="I254" s="242" t="str">
        <f ca="1">IF(OR(Q221&lt;&gt;"",Q228&lt;&gt;"",Q235&lt;&gt;"",Q242&lt;&gt;"",Q249&lt;&gt;""),COUNTIF(Q221:Q221,"W")+COUNTIF(Q228:Q228,"W")+COUNTIF(Q235:Q235,"W")+COUNTIF(Q242:Q242,"W")+COUNTIF(Q249:Q249,"W"),"")</f>
        <v/>
      </c>
      <c r="J254" s="243"/>
      <c r="L254" s="2" t="s">
        <v>160</v>
      </c>
      <c r="M254" s="40" t="str">
        <f>K213</f>
        <v>H</v>
      </c>
      <c r="N254" s="3" t="s">
        <v>158</v>
      </c>
      <c r="R254" s="259" t="str">
        <f>K213</f>
        <v>H</v>
      </c>
      <c r="S254" s="307" t="str">
        <f ca="1">IF($B242&lt;&gt;"",$B242,"")</f>
        <v/>
      </c>
      <c r="T254" s="308"/>
      <c r="U254" s="308"/>
      <c r="V254" s="308"/>
      <c r="W254" s="308"/>
      <c r="X254" s="309"/>
      <c r="Y254" s="284"/>
      <c r="Z254" s="284"/>
      <c r="AA254" s="297"/>
      <c r="AB254" s="297"/>
      <c r="AC254" s="297"/>
      <c r="AD254" s="289" t="s">
        <v>169</v>
      </c>
      <c r="AE254" s="290"/>
      <c r="AF254" s="291"/>
    </row>
    <row r="255" spans="1:32" ht="12.75" customHeight="1" x14ac:dyDescent="0.35">
      <c r="F255" s="18" t="s">
        <v>403</v>
      </c>
      <c r="G255" s="17"/>
      <c r="H255" s="17"/>
      <c r="I255" s="17"/>
      <c r="J255" s="17"/>
      <c r="R255" s="285"/>
      <c r="S255" s="310"/>
      <c r="T255" s="311"/>
      <c r="U255" s="311"/>
      <c r="V255" s="311"/>
      <c r="W255" s="311"/>
      <c r="X255" s="312"/>
      <c r="Y255" s="285"/>
      <c r="Z255" s="285"/>
      <c r="AA255" s="285"/>
      <c r="AB255" s="285"/>
      <c r="AC255" s="285"/>
      <c r="AD255" s="292"/>
      <c r="AE255" s="293"/>
      <c r="AF255" s="294"/>
    </row>
    <row r="256" spans="1:32" ht="12.75" customHeight="1" x14ac:dyDescent="0.25">
      <c r="R256" s="1"/>
      <c r="S256" s="11"/>
      <c r="T256" s="11"/>
      <c r="U256" s="11"/>
      <c r="V256" s="11"/>
      <c r="W256" s="11"/>
    </row>
    <row r="257" spans="1:32" ht="12.75" customHeight="1" x14ac:dyDescent="0.25">
      <c r="F257" s="212"/>
      <c r="G257" s="212"/>
      <c r="H257" s="212"/>
      <c r="I257" s="212"/>
      <c r="R257" s="1"/>
      <c r="S257" s="11"/>
      <c r="T257" s="11"/>
      <c r="U257" s="11"/>
      <c r="V257" s="11"/>
      <c r="W257" s="11"/>
    </row>
    <row r="258" spans="1:32" ht="12.75" customHeight="1" x14ac:dyDescent="0.25">
      <c r="F258" s="212"/>
      <c r="G258" s="212"/>
      <c r="H258" s="212"/>
      <c r="I258" s="212"/>
      <c r="R258" s="1"/>
      <c r="S258" s="11"/>
      <c r="T258" s="11"/>
      <c r="U258" s="11"/>
      <c r="V258" s="11"/>
      <c r="W258" s="11"/>
    </row>
    <row r="259" spans="1:32" ht="12.75" customHeight="1" x14ac:dyDescent="0.25">
      <c r="K259" s="219" t="s">
        <v>176</v>
      </c>
      <c r="L259" s="219"/>
      <c r="M259" s="219"/>
      <c r="N259" s="219"/>
      <c r="O259" s="219"/>
      <c r="P259" s="219"/>
      <c r="R259" s="1"/>
      <c r="S259" s="11"/>
      <c r="T259" s="11"/>
      <c r="U259" s="11"/>
      <c r="V259" s="11"/>
      <c r="W259" s="11"/>
    </row>
    <row r="260" spans="1:32" ht="12.75" customHeight="1" x14ac:dyDescent="0.25">
      <c r="A260" s="9" t="s">
        <v>161</v>
      </c>
      <c r="B260"/>
      <c r="C260"/>
      <c r="D260" t="str">
        <f>Draw!$B$1</f>
        <v>Enter Division Name</v>
      </c>
      <c r="E260"/>
      <c r="F260" s="6"/>
      <c r="G260" s="6"/>
      <c r="H260" s="6"/>
      <c r="I260"/>
      <c r="J260"/>
      <c r="K260"/>
      <c r="L260"/>
      <c r="M260" s="219"/>
      <c r="N260" s="219"/>
      <c r="O260" s="219"/>
      <c r="P260" s="219"/>
      <c r="R260" s="1"/>
      <c r="S260" s="11"/>
      <c r="T260" s="11"/>
      <c r="U260" s="11"/>
      <c r="V260" s="11"/>
      <c r="W260" s="11"/>
    </row>
    <row r="261" spans="1:32" ht="12.75" customHeight="1" x14ac:dyDescent="0.25">
      <c r="A261" s="2" t="s">
        <v>162</v>
      </c>
      <c r="D261" t="str">
        <f>Draw!$D$1</f>
        <v>Enter Hosting Location (City, ST)</v>
      </c>
      <c r="J261" t="str">
        <f ca="1">$J$6</f>
        <v>[NCTTA Teams Template (v3.4).xlsx]</v>
      </c>
      <c r="R261" s="1"/>
      <c r="S261" s="11"/>
      <c r="T261" s="11"/>
      <c r="U261" s="11"/>
      <c r="V261" s="11"/>
      <c r="W261" s="11"/>
    </row>
    <row r="262" spans="1:32" ht="12.75" customHeight="1" x14ac:dyDescent="0.25">
      <c r="A262" s="2" t="s">
        <v>163</v>
      </c>
      <c r="D262" s="275" t="str">
        <f>Draw!$P$1</f>
        <v>Enter Date</v>
      </c>
      <c r="E262" s="275"/>
      <c r="F262" s="275"/>
      <c r="G262" s="275"/>
      <c r="J262" s="244" t="str">
        <f>CHOOSE(Draw!$T$1,"Round 1, Match 6","Round 2, Match 3","Round 3, Match 2","Round 3, Match 2","Round 3, Match 2","Round 2, Match 3","Round 2, Match 3","Round 2, Match 2","Round 2, Match 2","Round 2, Match 1","Round 2, Match 1")</f>
        <v>Round 1, Match 6</v>
      </c>
      <c r="K262" s="244"/>
      <c r="L262" s="244"/>
      <c r="M262" s="277" t="str">
        <f>IF(AND($J262&lt;&gt;"",Draw!$AC$10&lt;&gt;"",Draw!$AC$13&lt;&gt;""),Draw!$AC$10+TIME(0,VALUE(MID($J262,7,FIND(",",$J262)-FIND(" ",$J262)-1)-1)*Draw!$AC$13,0),"")</f>
        <v/>
      </c>
      <c r="N262" s="277"/>
      <c r="O262" s="125" t="str">
        <f>$F305</f>
        <v>F-G</v>
      </c>
      <c r="R262" s="1"/>
      <c r="S262" s="11"/>
      <c r="T262" s="11"/>
      <c r="U262" s="11"/>
      <c r="V262" s="11"/>
      <c r="W262" s="11"/>
    </row>
    <row r="263" spans="1:32" ht="12.75" customHeight="1" x14ac:dyDescent="0.25">
      <c r="A263" s="6"/>
      <c r="B263"/>
      <c r="C263"/>
      <c r="D263"/>
      <c r="E263"/>
      <c r="F263" s="6"/>
      <c r="G263" s="6"/>
      <c r="H263" s="11"/>
      <c r="I263" s="6"/>
      <c r="J263"/>
      <c r="K263"/>
      <c r="L263"/>
      <c r="M263"/>
      <c r="N263"/>
      <c r="O263" s="269" t="str">
        <f>IF(OR(AND(VLOOKUP($B264,$AM$1:$AX$12,12,FALSE)="C",VLOOKUP($K264,$AM$1:$AX$12,12,FALSE)="C"),AND(VLOOKUP($B264,$AM$1:$AX$12,12,FALSE)="W",VLOOKUP($K264,$AM$1:$AX$12,12,FALSE)="W")),"Official",IF(AND($A265="",$J265=""),"","Scrimmage"))</f>
        <v/>
      </c>
      <c r="P263" s="269"/>
      <c r="R263" s="1"/>
      <c r="S263" s="11"/>
      <c r="T263" s="11"/>
      <c r="U263" s="11"/>
      <c r="V263" s="11"/>
      <c r="W263" s="11"/>
    </row>
    <row r="264" spans="1:32" ht="12.75" customHeight="1" x14ac:dyDescent="0.25">
      <c r="A264" s="12" t="s">
        <v>160</v>
      </c>
      <c r="B264" s="98" t="str">
        <f>CHOOSE(Draw!$T$1,"F","B","B","E","B","B","C","F","B","A","A")</f>
        <v>F</v>
      </c>
      <c r="C264" s="109">
        <f>VLOOKUP($B264,$AM$1:$AN$12,2)</f>
        <v>6</v>
      </c>
      <c r="D264" s="10"/>
      <c r="E264" s="10"/>
      <c r="F264" s="8"/>
      <c r="H264" s="1" t="s">
        <v>164</v>
      </c>
      <c r="J264" s="12" t="s">
        <v>160</v>
      </c>
      <c r="K264" s="98" t="str">
        <f>CHOOSE(Draw!$T$1,"G","F","C","F","D","F","D","H","G","I","K")</f>
        <v>G</v>
      </c>
      <c r="L264" s="109">
        <f>VLOOKUP($K264,$AM$1:$AN$12,2)</f>
        <v>7</v>
      </c>
      <c r="M264" s="10"/>
      <c r="N264" s="10"/>
      <c r="O264" s="13"/>
      <c r="R264" s="1"/>
      <c r="S264" s="11"/>
      <c r="T264" s="11"/>
      <c r="U264" s="11"/>
      <c r="V264" s="11"/>
      <c r="W264" s="11"/>
    </row>
    <row r="265" spans="1:32" ht="12.75" customHeight="1" x14ac:dyDescent="0.25">
      <c r="A265" s="253" t="str">
        <f>IF(VLOOKUP($B264,Draw!$A$4:$B$27,2)&lt;&gt;0,VLOOKUP($B264,Draw!$A$4:$B$27,2),"")</f>
        <v/>
      </c>
      <c r="B265" s="254"/>
      <c r="C265" s="254"/>
      <c r="D265" s="254"/>
      <c r="E265" s="254"/>
      <c r="F265" s="255"/>
      <c r="G265" s="273" t="s">
        <v>409</v>
      </c>
      <c r="H265" s="249"/>
      <c r="I265" s="274"/>
      <c r="J265" s="253" t="str">
        <f>IF(VLOOKUP($K264,Draw!$A$4:$B$27,2)&lt;&gt;0,VLOOKUP($K264,Draw!$A$4:$B$27,2),"")</f>
        <v/>
      </c>
      <c r="K265" s="254"/>
      <c r="L265" s="254"/>
      <c r="M265" s="254"/>
      <c r="N265" s="254"/>
      <c r="O265" s="255"/>
      <c r="P265"/>
      <c r="R265" s="1"/>
      <c r="S265" s="11"/>
      <c r="T265" s="11"/>
      <c r="U265" s="11"/>
      <c r="V265" s="11"/>
      <c r="W265" s="11"/>
    </row>
    <row r="266" spans="1:32" ht="12.75" customHeight="1" x14ac:dyDescent="0.25">
      <c r="A266" s="6"/>
      <c r="B266"/>
      <c r="C266"/>
      <c r="D266"/>
      <c r="E266"/>
      <c r="F266" s="6"/>
      <c r="G266" s="248" t="str">
        <f>"Page "&amp;VALUE(RIGHT($G265,LEN($G265)-SEARCH("-",$G265)))/2</f>
        <v>Page 6</v>
      </c>
      <c r="H266" s="249"/>
      <c r="I266" s="249"/>
      <c r="J266"/>
      <c r="K266"/>
      <c r="L266"/>
      <c r="M266"/>
      <c r="N266"/>
      <c r="O266"/>
      <c r="P266"/>
      <c r="R266" s="1"/>
      <c r="S266" s="11"/>
      <c r="T266" s="11"/>
      <c r="U266" s="11"/>
      <c r="V266" s="11"/>
      <c r="W266" s="11"/>
      <c r="AF266"/>
    </row>
    <row r="267" spans="1:32" ht="12.75" customHeight="1" x14ac:dyDescent="0.25">
      <c r="A267" s="276" t="s">
        <v>177</v>
      </c>
      <c r="B267" s="276"/>
      <c r="C267" s="276"/>
      <c r="D267" s="276"/>
      <c r="E267" s="276"/>
      <c r="F267" s="276"/>
      <c r="G267" s="276"/>
      <c r="H267" s="276"/>
      <c r="I267" s="276"/>
      <c r="J267" s="276"/>
      <c r="K267" s="276"/>
      <c r="L267" s="276"/>
      <c r="M267" s="276"/>
      <c r="N267" s="276"/>
      <c r="O267" s="276"/>
      <c r="P267" s="276"/>
      <c r="Q267" s="6"/>
      <c r="R267" s="1"/>
      <c r="S267" s="11"/>
      <c r="T267" s="11"/>
      <c r="U267" s="11"/>
      <c r="V267" s="11"/>
      <c r="W267" s="11"/>
      <c r="AF267" s="14"/>
    </row>
    <row r="268" spans="1:32" ht="12.75" customHeight="1" x14ac:dyDescent="0.25">
      <c r="A268" s="15" t="s">
        <v>165</v>
      </c>
      <c r="H268" s="110" t="str">
        <f>IF($Q270&lt;&gt;"",IF(AND(AND($H270&gt;-1,$H272&gt;-1),OR($H270&gt;10,$H272&gt;10),ABS($H270-$H272)&gt;1,IF(OR($H270&gt;11,$H272&gt;11),ABS($H270-$H272)=2,TRUE),$H270=INT($H270),$H272=INT($H272)),"","Error"),"")</f>
        <v/>
      </c>
      <c r="I268" s="110" t="str">
        <f>IF($Q270&lt;&gt;"",IF(AND(AND($I270&gt;-1,$I272&gt;-1),OR($I270&gt;10,$I272&gt;10),ABS($I270-$I272)&gt;1,IF(OR($I270&gt;11,$I272&gt;11),ABS($I270-$I272)=2,TRUE),$I270=INT($I270),$I272=INT($I272)),"","Error"),"")</f>
        <v/>
      </c>
      <c r="J268" s="110" t="str">
        <f>IF($Q270&lt;&gt;"",IF(AND(AND($J270&gt;-1,$J272&gt;-1),OR($J270&gt;10,$J272&gt;10),ABS($J270-$J272)&gt;1,IF(OR($J270&gt;11,$J272&gt;11),ABS($J270-$J272)=2,TRUE),$J270=INT($J270),$J272=INT($J272)),"","Error"),"")</f>
        <v/>
      </c>
      <c r="K268" s="110" t="str">
        <f>IF($Q270&lt;&gt;"",IF(AND($K270&lt;&gt;"",$K272&lt;&gt;""), IF(AND(AND($K270&gt;-1,$K272&gt;-1),OR($K270&gt;10,$K272&gt;10),ABS($K270-$K272)&gt;1,IF(OR($K270&gt;11,$K272&gt;11),ABS($K270-$K272)=2,TRUE),$K270=INT($K270),$K272=INT($K272)),"","Error"),""),"")</f>
        <v/>
      </c>
      <c r="L268" s="110" t="str">
        <f>IF($Q270&lt;&gt;"",IF(AND($L270&lt;&gt;"",$L272&lt;&gt;""), IF(AND(AND($L270&gt;-1,$L272&gt;-1),OR($L270&gt;10,$L272&gt;10),ABS($L270-$L272)&gt;1,IF(OR($L270&gt;11,$L272&gt;11),ABS($L270-$L272)=2,TRUE),$L270=INT($L270),$L272=INT($L272)),"","Error"),""),"")</f>
        <v/>
      </c>
      <c r="R268" s="1"/>
      <c r="S268" s="11"/>
      <c r="T268" s="11"/>
      <c r="U268" s="11"/>
      <c r="V268" s="11"/>
      <c r="W268" s="11"/>
    </row>
    <row r="269" spans="1:32" ht="12.75" customHeight="1" x14ac:dyDescent="0.25">
      <c r="A269" s="5" t="s">
        <v>160</v>
      </c>
      <c r="B269" s="256" t="s">
        <v>58</v>
      </c>
      <c r="C269" s="257"/>
      <c r="D269" s="257"/>
      <c r="E269" s="257"/>
      <c r="F269" s="257"/>
      <c r="G269" s="258"/>
      <c r="H269" s="5">
        <v>1</v>
      </c>
      <c r="I269" s="5">
        <v>2</v>
      </c>
      <c r="J269" s="5">
        <v>3</v>
      </c>
      <c r="K269" s="5">
        <v>4</v>
      </c>
      <c r="L269" s="5">
        <v>5</v>
      </c>
      <c r="M269" s="270"/>
      <c r="N269" s="271"/>
      <c r="O269" s="271"/>
      <c r="P269" s="272"/>
      <c r="R269" s="1"/>
      <c r="S269" s="11"/>
      <c r="T269" s="11"/>
      <c r="U269" s="11"/>
      <c r="V269" s="11"/>
      <c r="W269" s="11"/>
    </row>
    <row r="270" spans="1:32" ht="12.75" customHeight="1" x14ac:dyDescent="0.25">
      <c r="A270" s="259" t="str">
        <f>B264</f>
        <v>F</v>
      </c>
      <c r="B270" s="236" t="str">
        <f ca="1">IF(AND(OFFSET($AO$1,$C264-1,8,1,1),$A265&lt;&gt;"",$J265&lt;&gt;""),CHOOSE($C264,$AO$1,$AO$2,$AO$3,$AO$4,$AO$5,$AO$6,$AO$7,$AO$8,$AO$9,$AO$10,$AO$11,$AO$12),"")</f>
        <v/>
      </c>
      <c r="C270" s="237"/>
      <c r="D270" s="237"/>
      <c r="E270" s="237"/>
      <c r="F270" s="237"/>
      <c r="G270" s="237"/>
      <c r="H270" s="233"/>
      <c r="I270" s="233"/>
      <c r="J270" s="233"/>
      <c r="K270" s="233"/>
      <c r="L270" s="233"/>
      <c r="M270" s="281"/>
      <c r="N270" s="282"/>
      <c r="O270" s="282"/>
      <c r="P270" s="283"/>
      <c r="Q270" s="40" t="str">
        <f>IF($L270=$L272,IF($K270=$K272,IF($J270&lt;&gt;"",IF($J270&gt;$J272,"W","L"),""),IF($K270&gt;$K272,"W","L")),IF($L270&gt;$L272,"W","L"))</f>
        <v/>
      </c>
      <c r="R270" s="1"/>
      <c r="S270" s="11"/>
      <c r="T270" s="11"/>
      <c r="U270" s="11"/>
      <c r="V270" s="11"/>
      <c r="W270" s="11"/>
    </row>
    <row r="271" spans="1:32" ht="12.75" customHeight="1" x14ac:dyDescent="0.25">
      <c r="A271" s="260"/>
      <c r="B271" s="238"/>
      <c r="C271" s="239"/>
      <c r="D271" s="239"/>
      <c r="E271" s="239"/>
      <c r="F271" s="239"/>
      <c r="G271" s="239"/>
      <c r="H271" s="234"/>
      <c r="I271" s="234"/>
      <c r="J271" s="234"/>
      <c r="K271" s="234"/>
      <c r="L271" s="234"/>
      <c r="M271" s="281"/>
      <c r="N271" s="282"/>
      <c r="O271" s="282"/>
      <c r="P271" s="283"/>
      <c r="Q271" s="110" t="str">
        <f>IF($Q270&lt;&gt;"",IF($Q270="W",IF(SUM(IF($H270&gt;$H272,1,0),IF($I270&gt;$I272,1,0),IF($J270&gt;$J272,1,0),IF($K270&gt;$K272,1,0),IF($L270&gt;$L272,1,0))&lt;&gt;3,"Error",""),""),"")</f>
        <v/>
      </c>
      <c r="R271" s="295" t="str">
        <f>$A265</f>
        <v/>
      </c>
      <c r="S271" s="295"/>
      <c r="T271" s="295"/>
      <c r="U271" s="295"/>
      <c r="V271" s="295"/>
      <c r="W271" s="295"/>
      <c r="X271" s="219" t="str">
        <f>CONCATENATE("(",$B264," vs ",$K264,")")</f>
        <v>(F vs G)</v>
      </c>
      <c r="Y271" s="219"/>
      <c r="Z271" s="295" t="str">
        <f>$J265</f>
        <v/>
      </c>
      <c r="AA271" s="295"/>
      <c r="AB271" s="295"/>
      <c r="AC271" s="295"/>
      <c r="AD271" s="295"/>
      <c r="AE271" s="295"/>
      <c r="AF271"/>
    </row>
    <row r="272" spans="1:32" ht="12.75" customHeight="1" x14ac:dyDescent="0.25">
      <c r="A272" s="259" t="str">
        <f>K264</f>
        <v>G</v>
      </c>
      <c r="B272" s="236" t="str">
        <f ca="1">IF(AND(OFFSET($AO$1,$L264-1,8,1,1),$A265&lt;&gt;"",$J265&lt;&gt;""),CHOOSE($L264,$AO$1,$AO$2,$AO$3,$AO$4,$AO$5,$AO$6,$AO$7,$AO$8,$AO$9,$AO$10,$AO$11,$AO$12),"")</f>
        <v/>
      </c>
      <c r="C272" s="237"/>
      <c r="D272" s="237"/>
      <c r="E272" s="237"/>
      <c r="F272" s="237"/>
      <c r="G272" s="237"/>
      <c r="H272" s="233"/>
      <c r="I272" s="233"/>
      <c r="J272" s="233"/>
      <c r="K272" s="233"/>
      <c r="L272" s="233"/>
      <c r="M272" s="250" t="s">
        <v>169</v>
      </c>
      <c r="N272" s="251"/>
      <c r="O272" s="251"/>
      <c r="P272" s="252"/>
      <c r="Q272" s="40" t="str">
        <f>IF($Q270&lt;&gt;"",IF($Q270="W","L","W"),"")</f>
        <v/>
      </c>
      <c r="R272"/>
      <c r="S272"/>
      <c r="T272"/>
      <c r="U272"/>
      <c r="V272"/>
      <c r="W272"/>
      <c r="X272"/>
      <c r="Y272"/>
      <c r="Z272"/>
      <c r="AA272"/>
      <c r="AB272"/>
      <c r="AC272"/>
      <c r="AD272"/>
      <c r="AE272"/>
      <c r="AF272"/>
    </row>
    <row r="273" spans="1:32" ht="12.75" customHeight="1" x14ac:dyDescent="0.25">
      <c r="A273" s="260"/>
      <c r="B273" s="238"/>
      <c r="C273" s="239"/>
      <c r="D273" s="239"/>
      <c r="E273" s="239"/>
      <c r="F273" s="239"/>
      <c r="G273" s="239"/>
      <c r="H273" s="234"/>
      <c r="I273" s="234"/>
      <c r="J273" s="235"/>
      <c r="K273" s="235"/>
      <c r="L273" s="235"/>
      <c r="M273" s="250"/>
      <c r="N273" s="251"/>
      <c r="O273" s="251"/>
      <c r="P273" s="252"/>
      <c r="Q273" s="110" t="str">
        <f>IF($Q272&lt;&gt;"",IF($Q272="W",IF(SUM(IF($H272&gt;$H270,1,0),IF($I272&gt;$I270,1,0),IF($J272&gt;$J270,1,0),IF($K272&gt;$K270,1,0),IF($L272&gt;$L270,1,0))&lt;&gt;3,"Error",""),""),"")</f>
        <v/>
      </c>
      <c r="R273" t="str">
        <f>$A275</f>
        <v>2nd Singles</v>
      </c>
      <c r="S273"/>
      <c r="T273"/>
      <c r="U273"/>
      <c r="V273"/>
      <c r="W273"/>
      <c r="X273"/>
      <c r="Y273"/>
      <c r="Z273"/>
      <c r="AA273"/>
      <c r="AB273"/>
      <c r="AC273"/>
      <c r="AD273"/>
      <c r="AE273"/>
      <c r="AF273"/>
    </row>
    <row r="274" spans="1:32" ht="12.75" customHeight="1" x14ac:dyDescent="0.25">
      <c r="Q274" s="6"/>
      <c r="R274" s="47" t="s">
        <v>160</v>
      </c>
      <c r="S274" s="304" t="s">
        <v>58</v>
      </c>
      <c r="T274" s="305"/>
      <c r="U274" s="305"/>
      <c r="V274" s="305"/>
      <c r="W274" s="305"/>
      <c r="X274" s="306"/>
      <c r="Y274" s="47">
        <v>1</v>
      </c>
      <c r="Z274" s="47">
        <v>2</v>
      </c>
      <c r="AA274" s="47">
        <v>3</v>
      </c>
      <c r="AB274" s="47">
        <v>4</v>
      </c>
      <c r="AC274" s="47">
        <v>5</v>
      </c>
      <c r="AD274" s="286"/>
      <c r="AE274" s="287"/>
      <c r="AF274" s="288"/>
    </row>
    <row r="275" spans="1:32" ht="12.75" customHeight="1" x14ac:dyDescent="0.25">
      <c r="A275" s="15" t="s">
        <v>166</v>
      </c>
      <c r="H275" s="110" t="str">
        <f>IF($Q277&lt;&gt;"",IF(AND(AND($H277&gt;-1,$H279&gt;-1),OR($H277&gt;10,$H279&gt;10),ABS($H277-$H279)&gt;1,IF(OR($H277&gt;11,$H279&gt;11),ABS($H277-$H279)=2,TRUE),$H277=INT($H277),$H279=INT($H279)),"","Error"),"")</f>
        <v/>
      </c>
      <c r="I275" s="110" t="str">
        <f>IF($Q277&lt;&gt;"",IF(AND(AND($I277&gt;-1,$I279&gt;-1),OR($I277&gt;10,$I279&gt;10),ABS($I277-$I279)&gt;1,IF(OR($I277&gt;11,$I279&gt;11),ABS($I277-$I279)=2,TRUE),$I277=INT($I277),$I279=INT($I279)),"","Error"),"")</f>
        <v/>
      </c>
      <c r="J275" s="110" t="str">
        <f>IF($Q277&lt;&gt;"",IF(AND(AND($J277&gt;-1,$J279&gt;-1),OR($J277&gt;10,$J279&gt;10),ABS($J277-$J279)&gt;1,IF(OR($J277&gt;11,$J279&gt;11),ABS($J277-$J279)=2,TRUE),$J277=INT($J277),$J279=INT($J279)),"","Error"),"")</f>
        <v/>
      </c>
      <c r="K275" s="110" t="str">
        <f>IF($Q277&lt;&gt;"",IF(AND($K277&lt;&gt;"",$K279&lt;&gt;""), IF(AND(AND($K277&gt;-1,$K279&gt;-1),OR($K277&gt;10,$K279&gt;10),ABS($K277-$K279)&gt;1,IF(OR($K277&gt;11,$K279&gt;11),ABS($K277-$K279)=2,TRUE),$K277=INT($K277),$K279=INT($K279)),"","Error"),""),"")</f>
        <v/>
      </c>
      <c r="L275" s="110" t="str">
        <f>IF($Q277&lt;&gt;"",IF(AND($L277&lt;&gt;"",$L279&lt;&gt;""), IF(AND(AND($L277&gt;-1,$L279&gt;-1),OR($L277&gt;10,$L279&gt;10),ABS($L277-$L279)&gt;1,IF(OR($L277&gt;11,$L279&gt;11),ABS($L277-$L279)=2,TRUE),$L277=INT($L277),$L279=INT($L279)),"","Error"),""),"")</f>
        <v/>
      </c>
      <c r="Q275" s="6"/>
      <c r="R275" s="259" t="str">
        <f>$B264</f>
        <v>F</v>
      </c>
      <c r="S275" s="307" t="str">
        <f ca="1">IF($B277&lt;&gt;"",$B277,"")</f>
        <v/>
      </c>
      <c r="T275" s="308"/>
      <c r="U275" s="308"/>
      <c r="V275" s="308"/>
      <c r="W275" s="308"/>
      <c r="X275" s="309"/>
      <c r="Y275" s="284"/>
      <c r="Z275" s="284"/>
      <c r="AA275" s="284"/>
      <c r="AB275" s="284"/>
      <c r="AC275" s="284"/>
      <c r="AD275" s="296"/>
      <c r="AE275" s="290"/>
      <c r="AF275" s="291"/>
    </row>
    <row r="276" spans="1:32" ht="12.75" customHeight="1" x14ac:dyDescent="0.25">
      <c r="A276" s="5" t="s">
        <v>160</v>
      </c>
      <c r="B276" s="256" t="s">
        <v>58</v>
      </c>
      <c r="C276" s="257"/>
      <c r="D276" s="257"/>
      <c r="E276" s="257"/>
      <c r="F276" s="257"/>
      <c r="G276" s="258"/>
      <c r="H276" s="5">
        <v>1</v>
      </c>
      <c r="I276" s="5">
        <v>2</v>
      </c>
      <c r="J276" s="5">
        <v>3</v>
      </c>
      <c r="K276" s="5">
        <v>4</v>
      </c>
      <c r="L276" s="5">
        <v>5</v>
      </c>
      <c r="M276" s="270"/>
      <c r="N276" s="271"/>
      <c r="O276" s="271"/>
      <c r="P276" s="272"/>
      <c r="Q276" s="6"/>
      <c r="R276" s="285"/>
      <c r="S276" s="310"/>
      <c r="T276" s="311"/>
      <c r="U276" s="311"/>
      <c r="V276" s="311"/>
      <c r="W276" s="311"/>
      <c r="X276" s="312"/>
      <c r="Y276" s="285"/>
      <c r="Z276" s="285"/>
      <c r="AA276" s="285"/>
      <c r="AB276" s="285"/>
      <c r="AC276" s="285"/>
      <c r="AD276" s="292"/>
      <c r="AE276" s="293"/>
      <c r="AF276" s="294"/>
    </row>
    <row r="277" spans="1:32" ht="12.75" customHeight="1" x14ac:dyDescent="0.25">
      <c r="A277" s="259" t="str">
        <f>B264</f>
        <v>F</v>
      </c>
      <c r="B277" s="236" t="str">
        <f ca="1">IF(AND(OFFSET($AO$1,$C264-1,8,1,1),$A265&lt;&gt;"",$J265&lt;&gt;""),CHOOSE($C264,$AP$1,$AP$2,$AP$3,$AP$4,$AP$5,$AP$6,$AP$7,$AP$8,$AP$9,$AP$10,$AP$11,$AP$12),"")</f>
        <v/>
      </c>
      <c r="C277" s="237"/>
      <c r="D277" s="237"/>
      <c r="E277" s="237"/>
      <c r="F277" s="237"/>
      <c r="G277" s="237"/>
      <c r="H277" s="233"/>
      <c r="I277" s="233"/>
      <c r="J277" s="233"/>
      <c r="K277" s="233"/>
      <c r="L277" s="233"/>
      <c r="M277" s="245" t="str">
        <f ca="1">IF(OR(AND($B270&lt;&gt;"",$B277&lt;&gt;"",$C295&lt;=$B295),AND($B272&lt;&gt;"",$B279&lt;&gt;"",$G295&lt;=$F295)),"Invalid Lineup","")</f>
        <v/>
      </c>
      <c r="N277" s="246"/>
      <c r="O277" s="246"/>
      <c r="P277" s="247"/>
      <c r="Q277" s="40" t="str">
        <f>IF($L277=$L279,IF($K277=$K279,IF($J277&lt;&gt;"",IF($J277&gt;$J279,"W","L"),""),IF($K277&gt;$K279,"W","L")),IF($L277&gt;$L279,"W","L"))</f>
        <v/>
      </c>
      <c r="R277" s="259" t="str">
        <f>$K264</f>
        <v>G</v>
      </c>
      <c r="S277" s="307" t="str">
        <f ca="1">IF($B279&lt;&gt;"",$B279,"")</f>
        <v/>
      </c>
      <c r="T277" s="308"/>
      <c r="U277" s="308"/>
      <c r="V277" s="308"/>
      <c r="W277" s="308"/>
      <c r="X277" s="309"/>
      <c r="Y277" s="284"/>
      <c r="Z277" s="284"/>
      <c r="AA277" s="284"/>
      <c r="AB277" s="284"/>
      <c r="AC277" s="297"/>
      <c r="AD277" s="289" t="s">
        <v>169</v>
      </c>
      <c r="AE277" s="290"/>
      <c r="AF277" s="291"/>
    </row>
    <row r="278" spans="1:32" ht="12.75" customHeight="1" x14ac:dyDescent="0.25">
      <c r="A278" s="260"/>
      <c r="B278" s="238"/>
      <c r="C278" s="239"/>
      <c r="D278" s="239"/>
      <c r="E278" s="239"/>
      <c r="F278" s="239"/>
      <c r="G278" s="239"/>
      <c r="H278" s="234"/>
      <c r="I278" s="234"/>
      <c r="J278" s="234"/>
      <c r="K278" s="234"/>
      <c r="L278" s="234"/>
      <c r="M278" s="245"/>
      <c r="N278" s="246"/>
      <c r="O278" s="246"/>
      <c r="P278" s="247"/>
      <c r="Q278" s="110" t="str">
        <f>IF($Q277&lt;&gt;"",IF($Q277="W",IF(SUM(IF($H277&gt;$H279,1,0),IF($I277&gt;$I279,1,0),IF($J277&gt;$J279,1,0),IF($K277&gt;$K279,1,0),IF($L277&gt;$L279,1,0))&lt;&gt;3,"Error",""),""),"")</f>
        <v/>
      </c>
      <c r="R278" s="285"/>
      <c r="S278" s="310"/>
      <c r="T278" s="311"/>
      <c r="U278" s="311"/>
      <c r="V278" s="311"/>
      <c r="W278" s="311"/>
      <c r="X278" s="312"/>
      <c r="Y278" s="285"/>
      <c r="Z278" s="285"/>
      <c r="AA278" s="285"/>
      <c r="AB278" s="285"/>
      <c r="AC278" s="285"/>
      <c r="AD278" s="292"/>
      <c r="AE278" s="293"/>
      <c r="AF278" s="294"/>
    </row>
    <row r="279" spans="1:32" ht="12.75" customHeight="1" x14ac:dyDescent="0.25">
      <c r="A279" s="259" t="str">
        <f>K264</f>
        <v>G</v>
      </c>
      <c r="B279" s="236" t="str">
        <f ca="1">IF(AND(OFFSET($AO$1,$L264-1,8,1,1),$A265&lt;&gt;"",$J265&lt;&gt;""),CHOOSE($L264,$AP$1,$AP$2,$AP$3,$AP$4,$AP$5,$AP$6,$AP$7,$AP$8,$AP$9,$AP$10,$AP$11,$AP$12),"")</f>
        <v/>
      </c>
      <c r="C279" s="237"/>
      <c r="D279" s="237"/>
      <c r="E279" s="237"/>
      <c r="F279" s="237"/>
      <c r="G279" s="237"/>
      <c r="H279" s="233"/>
      <c r="I279" s="233"/>
      <c r="J279" s="233"/>
      <c r="K279" s="233"/>
      <c r="L279" s="233"/>
      <c r="M279" s="250" t="s">
        <v>169</v>
      </c>
      <c r="N279" s="251"/>
      <c r="O279" s="251"/>
      <c r="P279" s="252"/>
      <c r="Q279" s="40" t="str">
        <f>IF($Q277&lt;&gt;"",IF($Q277="W","L","W"),"")</f>
        <v/>
      </c>
      <c r="R279" s="14"/>
      <c r="S279" s="14"/>
      <c r="T279" s="14"/>
      <c r="U279" s="14"/>
      <c r="V279" s="14"/>
      <c r="W279" s="14"/>
      <c r="X279" s="7"/>
      <c r="Y279" s="7"/>
      <c r="Z279" s="14"/>
      <c r="AA279" s="14"/>
      <c r="AB279" s="14"/>
      <c r="AC279" s="14"/>
      <c r="AD279" s="14"/>
      <c r="AE279" s="14"/>
      <c r="AF279"/>
    </row>
    <row r="280" spans="1:32" ht="12.75" customHeight="1" x14ac:dyDescent="0.25">
      <c r="A280" s="260"/>
      <c r="B280" s="238"/>
      <c r="C280" s="239"/>
      <c r="D280" s="239"/>
      <c r="E280" s="239"/>
      <c r="F280" s="239"/>
      <c r="G280" s="239"/>
      <c r="H280" s="234"/>
      <c r="I280" s="234"/>
      <c r="J280" s="235"/>
      <c r="K280" s="235"/>
      <c r="L280" s="235"/>
      <c r="M280" s="250"/>
      <c r="N280" s="251"/>
      <c r="O280" s="251"/>
      <c r="P280" s="252"/>
      <c r="Q280" s="110" t="str">
        <f>IF($Q279&lt;&gt;"",IF($Q279="W",IF(SUM(IF($H279&gt;$H277,1,0),IF($I279&gt;$I277,1,0),IF($J279&gt;$J277,1,0),IF($K279&gt;$K277,1,0),IF($L279&gt;$L277,1,0))&lt;&gt;3,"Error",""),""),"")</f>
        <v/>
      </c>
      <c r="R280" s="14"/>
      <c r="S280" s="14"/>
      <c r="T280" s="14"/>
      <c r="U280" s="14"/>
      <c r="V280" s="14"/>
      <c r="W280" s="14"/>
      <c r="X280" s="7"/>
      <c r="Y280" s="7"/>
      <c r="Z280" s="14"/>
      <c r="AA280" s="14"/>
      <c r="AB280" s="14"/>
      <c r="AC280" s="14"/>
      <c r="AD280" s="14"/>
      <c r="AE280" s="14"/>
      <c r="AF280"/>
    </row>
    <row r="281" spans="1:32" ht="12.75" customHeight="1" x14ac:dyDescent="0.25">
      <c r="Q281" s="6"/>
      <c r="R281" s="14"/>
      <c r="S281" s="14"/>
      <c r="T281" s="14"/>
      <c r="U281" s="14"/>
      <c r="V281" s="14"/>
      <c r="W281" s="14"/>
      <c r="X281" s="7"/>
      <c r="Y281" s="7"/>
      <c r="Z281" s="14"/>
      <c r="AA281" s="14"/>
      <c r="AB281" s="14"/>
      <c r="AC281" s="14"/>
      <c r="AD281" s="14"/>
      <c r="AE281" s="14"/>
      <c r="AF281"/>
    </row>
    <row r="282" spans="1:32" ht="12.75" customHeight="1" x14ac:dyDescent="0.25">
      <c r="A282" s="15" t="s">
        <v>167</v>
      </c>
      <c r="H282" s="110" t="str">
        <f>IF($Q284&lt;&gt;"",IF(AND(AND($H284&gt;-1,$H286&gt;-1),OR($H284&gt;10,$H286&gt;10),ABS($H284-$H286)&gt;1,IF(OR($H284&gt;11,$H286&gt;11),ABS($H284-$H286)=2,TRUE),$H284=INT($H284),$H286=INT($H286)),"","Error"),"")</f>
        <v/>
      </c>
      <c r="I282" s="110" t="str">
        <f>IF($Q284&lt;&gt;"",IF(AND(AND($I284&gt;-1,$I286&gt;-1),OR($I284&gt;10,$I286&gt;10),ABS($I284-$I286)&gt;1,IF(OR($I284&gt;11,$I286&gt;11),ABS($I284-$I286)=2,TRUE),$I284=INT($I284),$I286=INT($I286)),"","Error"),"")</f>
        <v/>
      </c>
      <c r="J282" s="110" t="str">
        <f>IF($Q284&lt;&gt;"",IF(AND(AND($J284&gt;-1,$J286&gt;-1),OR($J284&gt;10,$J286&gt;10),ABS($J284-$J286)&gt;1,IF(OR($J284&gt;11,$J286&gt;11),ABS($J284-$J286)=2,TRUE),$J284=INT($J284),$J286=INT($J286)),"","Error"),"")</f>
        <v/>
      </c>
      <c r="K282" s="110" t="str">
        <f>IF($Q284&lt;&gt;"",IF(AND($K284&lt;&gt;"",$K286&lt;&gt;""), IF(AND(AND($K284&gt;-1,$K286&gt;-1),OR($K284&gt;10,$K286&gt;10),ABS($K284-$K286)&gt;1,IF(OR($K284&gt;11,$K286&gt;11),ABS($K284-$K286)=2,TRUE),$K284=INT($K284),$K286=INT($K286)),"","Error"),""),"")</f>
        <v/>
      </c>
      <c r="L282" s="110" t="str">
        <f>IF($Q284&lt;&gt;"",IF(AND($L284&lt;&gt;"",$L286&lt;&gt;""), IF(AND(AND($L284&gt;-1,$L286&gt;-1),OR($L284&gt;10,$L286&gt;10),ABS($L284-$L286)&gt;1,IF(OR($L284&gt;11,$L286&gt;11),ABS($L284-$L286)=2,TRUE),$L284=INT($L284),$L286=INT($L286)),"","Error"),""),"")</f>
        <v/>
      </c>
      <c r="Q282" s="6"/>
      <c r="R282" s="14"/>
      <c r="S282" s="14"/>
      <c r="T282" s="14"/>
      <c r="U282" s="14"/>
      <c r="V282" s="14"/>
      <c r="W282" s="14"/>
      <c r="X282" s="7"/>
      <c r="Y282" s="7"/>
      <c r="Z282" s="14"/>
      <c r="AA282" s="14"/>
      <c r="AB282" s="14"/>
      <c r="AC282" s="14"/>
      <c r="AD282" s="14"/>
      <c r="AE282" s="14"/>
      <c r="AF282"/>
    </row>
    <row r="283" spans="1:32" ht="12.75" customHeight="1" x14ac:dyDescent="0.25">
      <c r="A283" s="5" t="s">
        <v>160</v>
      </c>
      <c r="B283" s="256" t="s">
        <v>58</v>
      </c>
      <c r="C283" s="257"/>
      <c r="D283" s="257"/>
      <c r="E283" s="257"/>
      <c r="F283" s="257"/>
      <c r="G283" s="258"/>
      <c r="H283" s="5">
        <v>1</v>
      </c>
      <c r="I283" s="5">
        <v>2</v>
      </c>
      <c r="J283" s="5">
        <v>3</v>
      </c>
      <c r="K283" s="5">
        <v>4</v>
      </c>
      <c r="L283" s="5">
        <v>5</v>
      </c>
      <c r="M283" s="270"/>
      <c r="N283" s="271"/>
      <c r="O283" s="271"/>
      <c r="P283" s="272"/>
      <c r="Q283" s="6"/>
      <c r="R283" s="14"/>
      <c r="S283" s="14"/>
      <c r="T283" s="14"/>
      <c r="U283" s="14"/>
      <c r="V283" s="14"/>
      <c r="W283" s="14"/>
      <c r="X283" s="7"/>
      <c r="Y283" s="7"/>
      <c r="Z283" s="14"/>
      <c r="AA283" s="14"/>
      <c r="AB283" s="14"/>
      <c r="AC283" s="14"/>
      <c r="AD283" s="14"/>
      <c r="AE283" s="14"/>
      <c r="AF283"/>
    </row>
    <row r="284" spans="1:32" ht="12.75" customHeight="1" x14ac:dyDescent="0.25">
      <c r="A284" s="259" t="str">
        <f>B264</f>
        <v>F</v>
      </c>
      <c r="B284" s="236" t="str">
        <f ca="1">IF(AND(OFFSET($AO$1,$C264-1,8,1,1),$A265&lt;&gt;"",$J265&lt;&gt;""),CHOOSE($C264,$AQ$1,$AQ$2,$AQ$3,$AQ$4,$AQ$5,$AQ$6,$AQ$7,$AQ$8,$AQ$9,$AQ$10,$AQ$11,$AQ$12),"")</f>
        <v/>
      </c>
      <c r="C284" s="237"/>
      <c r="D284" s="237"/>
      <c r="E284" s="237"/>
      <c r="F284" s="237"/>
      <c r="G284" s="237"/>
      <c r="H284" s="233"/>
      <c r="I284" s="233"/>
      <c r="J284" s="233"/>
      <c r="K284" s="233"/>
      <c r="L284" s="233"/>
      <c r="M284" s="245" t="str">
        <f ca="1">IF(OR(AND($B277&lt;&gt;"",$B284&lt;&gt;"",$D295&lt;=$C295),AND($B279&lt;&gt;"",$B286&lt;&gt;"",$H295&lt;=$G295)),"Invalid Lineup","")</f>
        <v/>
      </c>
      <c r="N284" s="246"/>
      <c r="O284" s="246"/>
      <c r="P284" s="247"/>
      <c r="Q284" s="40" t="str">
        <f>IF($L284=$L286,IF($K284=$K286,IF($J284&lt;&gt;"",IF($J284&gt;$J286,"W","L"),""),IF($K284&gt;$K286,"W","L")),IF($L284&gt;$L286,"W","L"))</f>
        <v/>
      </c>
      <c r="R284" s="14"/>
      <c r="S284" s="14"/>
      <c r="T284" s="14"/>
      <c r="U284" s="14"/>
      <c r="V284" s="14"/>
      <c r="W284" s="14"/>
      <c r="X284" s="7"/>
      <c r="Y284" s="7"/>
      <c r="Z284" s="14"/>
      <c r="AA284" s="14"/>
      <c r="AB284" s="14"/>
      <c r="AC284" s="14"/>
      <c r="AD284" s="14"/>
      <c r="AE284" s="14"/>
      <c r="AF284"/>
    </row>
    <row r="285" spans="1:32" ht="12.75" customHeight="1" x14ac:dyDescent="0.25">
      <c r="A285" s="260"/>
      <c r="B285" s="238"/>
      <c r="C285" s="239"/>
      <c r="D285" s="239"/>
      <c r="E285" s="239"/>
      <c r="F285" s="239"/>
      <c r="G285" s="239"/>
      <c r="H285" s="234"/>
      <c r="I285" s="234"/>
      <c r="J285" s="234"/>
      <c r="K285" s="234"/>
      <c r="L285" s="234"/>
      <c r="M285" s="245"/>
      <c r="N285" s="246"/>
      <c r="O285" s="246"/>
      <c r="P285" s="247"/>
      <c r="Q285" s="110" t="str">
        <f>IF($Q284&lt;&gt;"",IF($Q284="W",IF(SUM(IF($H284&gt;$H286,1,0),IF($I284&gt;$I286,1,0),IF($J284&gt;$J286,1,0),IF($K284&gt;$K286,1,0),IF($L284&gt;$L286,1,0))&lt;&gt;3,"Error",""),""),"")</f>
        <v/>
      </c>
      <c r="R285" s="295" t="str">
        <f>$A265</f>
        <v/>
      </c>
      <c r="S285" s="295"/>
      <c r="T285" s="295"/>
      <c r="U285" s="295"/>
      <c r="V285" s="295"/>
      <c r="W285" s="295"/>
      <c r="X285" s="219" t="str">
        <f>CONCATENATE("(",$B264," vs ",$K264,")")</f>
        <v>(F vs G)</v>
      </c>
      <c r="Y285" s="219"/>
      <c r="Z285" s="295" t="str">
        <f>$J265</f>
        <v/>
      </c>
      <c r="AA285" s="295"/>
      <c r="AB285" s="295"/>
      <c r="AC285" s="295"/>
      <c r="AD285" s="295"/>
      <c r="AE285" s="295"/>
      <c r="AF285"/>
    </row>
    <row r="286" spans="1:32" ht="12.75" customHeight="1" x14ac:dyDescent="0.25">
      <c r="A286" s="259" t="str">
        <f>K264</f>
        <v>G</v>
      </c>
      <c r="B286" s="236" t="str">
        <f ca="1">IF(AND(OFFSET($AO$1,$L264-1,8,1,1),$A265&lt;&gt;"",$J265&lt;&gt;""),CHOOSE($L264,$AQ$1,$AQ$2,$AQ$3,$AQ$4,$AQ$5,$AQ$6,$AQ$7,$AQ$8,$AQ$9,$AQ$10,$AQ$11,$AQ$12),"")</f>
        <v/>
      </c>
      <c r="C286" s="237"/>
      <c r="D286" s="237"/>
      <c r="E286" s="237"/>
      <c r="F286" s="237"/>
      <c r="G286" s="237"/>
      <c r="H286" s="233"/>
      <c r="I286" s="233"/>
      <c r="J286" s="233"/>
      <c r="K286" s="233"/>
      <c r="L286" s="233"/>
      <c r="M286" s="250" t="s">
        <v>169</v>
      </c>
      <c r="N286" s="251"/>
      <c r="O286" s="251"/>
      <c r="P286" s="252"/>
      <c r="Q286" s="40" t="str">
        <f>IF($Q284&lt;&gt;"",IF($Q284="W","L","W"),"")</f>
        <v/>
      </c>
      <c r="R286"/>
      <c r="S286"/>
      <c r="T286"/>
      <c r="U286"/>
      <c r="V286"/>
      <c r="W286"/>
      <c r="X286"/>
      <c r="Y286"/>
      <c r="Z286"/>
      <c r="AA286"/>
      <c r="AB286"/>
      <c r="AC286"/>
      <c r="AD286"/>
      <c r="AE286"/>
      <c r="AF286"/>
    </row>
    <row r="287" spans="1:32" ht="12.75" customHeight="1" x14ac:dyDescent="0.25">
      <c r="A287" s="260"/>
      <c r="B287" s="238"/>
      <c r="C287" s="239"/>
      <c r="D287" s="239"/>
      <c r="E287" s="239"/>
      <c r="F287" s="239"/>
      <c r="G287" s="239"/>
      <c r="H287" s="234"/>
      <c r="I287" s="234"/>
      <c r="J287" s="235"/>
      <c r="K287" s="235"/>
      <c r="L287" s="235"/>
      <c r="M287" s="250"/>
      <c r="N287" s="251"/>
      <c r="O287" s="251"/>
      <c r="P287" s="252"/>
      <c r="Q287" s="110" t="str">
        <f>IF($Q286&lt;&gt;"",IF($Q286="W",IF(SUM(IF($H286&gt;$H284,1,0),IF($I286&gt;$I284,1,0),IF($J286&gt;$J284,1,0),IF($K286&gt;$K284,1,0),IF($L286&gt;$L284,1,0))&lt;&gt;3,"Error",""),""),"")</f>
        <v/>
      </c>
      <c r="R287" t="str">
        <f>$A282</f>
        <v>3rd Singles</v>
      </c>
      <c r="S287"/>
      <c r="T287"/>
      <c r="U287"/>
      <c r="V287"/>
      <c r="W287"/>
      <c r="X287"/>
      <c r="Y287"/>
      <c r="Z287"/>
      <c r="AA287"/>
      <c r="AB287"/>
      <c r="AC287"/>
      <c r="AD287"/>
      <c r="AE287"/>
      <c r="AF287"/>
    </row>
    <row r="288" spans="1:32" ht="12.75" customHeight="1" x14ac:dyDescent="0.25">
      <c r="Q288" s="6"/>
      <c r="R288" s="47" t="s">
        <v>160</v>
      </c>
      <c r="S288" s="86" t="s">
        <v>58</v>
      </c>
      <c r="T288" s="87"/>
      <c r="U288" s="87"/>
      <c r="V288" s="87"/>
      <c r="W288" s="87"/>
      <c r="X288" s="88"/>
      <c r="Y288" s="47">
        <v>1</v>
      </c>
      <c r="Z288" s="47">
        <v>2</v>
      </c>
      <c r="AA288" s="47">
        <v>3</v>
      </c>
      <c r="AB288" s="47">
        <v>4</v>
      </c>
      <c r="AC288" s="47">
        <v>5</v>
      </c>
      <c r="AD288" s="89"/>
      <c r="AE288" s="90"/>
      <c r="AF288" s="91"/>
    </row>
    <row r="289" spans="1:32" ht="12.75" customHeight="1" x14ac:dyDescent="0.25">
      <c r="A289" s="15" t="s">
        <v>168</v>
      </c>
      <c r="H289" s="110" t="str">
        <f ca="1">IF($Q291&lt;&gt;"",IF(AND($B291&lt;&gt;"Missing Player",$B293&lt;&gt;"Missing Player"),IF(AND(AND($H291&gt;-1,$H293&gt;-1),OR($H291&gt;10,$H293&gt;10),ABS($H291-$H293)&gt;1,IF(OR($H291&gt;11,$H293&gt;11),ABS($H291-$H293)=2,TRUE),$H291=INT($H291),$H293=INT($H293)),"","Error"),""),"")</f>
        <v/>
      </c>
      <c r="I289" s="110" t="str">
        <f ca="1">IF($Q291&lt;&gt;"",IF(AND($B291&lt;&gt;"Missing Player",$B293&lt;&gt;"Missing Player"),IF(AND(AND($I291&gt;-1,$I293&gt;-1),OR($I291&gt;10,$I293&gt;10),ABS($I291-$I293)&gt;1,IF(OR($I291&gt;11,$I293&gt;11),ABS($I291-$I293)=2,TRUE),$I291=INT($I291),$I293=INT($I293)),"","Error"),""),"")</f>
        <v/>
      </c>
      <c r="J289" s="110" t="str">
        <f ca="1">IF($Q291&lt;&gt;"",IF(AND($B291&lt;&gt;"Missing Player",$B293&lt;&gt;"Missing Player"),IF(AND(AND($J291&gt;-1,$J293&gt;-1),OR($J291&gt;10,$J293&gt;10),ABS($J291-$J293)&gt;1,IF(OR($J291&gt;11,$J293&gt;11),ABS($J291-$J293)=2,TRUE),$J291=INT($J291),$J293=INT($J293)),"","Error"),""),"")</f>
        <v/>
      </c>
      <c r="K289" s="110" t="str">
        <f ca="1">IF($Q291&lt;&gt;"",IF(AND($K291&lt;&gt;"",$K293&lt;&gt;""), IF(AND(AND($K291&gt;-1,$K293&gt;-1),OR($K291&gt;10,$K293&gt;10),ABS($K291-$K293)&gt;1,IF(OR($K291&gt;11,$K293&gt;11),ABS($K291-$K293)=2,TRUE),$K291=INT($K291),$K293=INT($K293)),"","Error"),""),"")</f>
        <v/>
      </c>
      <c r="L289" s="110" t="str">
        <f ca="1">IF($Q291&lt;&gt;"",IF(AND($L291&lt;&gt;"",$L293&lt;&gt;""), IF(AND(AND($L291&gt;-1,$L293&gt;-1),OR($L291&gt;10,$L293&gt;10),ABS($L291-$L293)&gt;1,IF(OR($L291&gt;11,$L293&gt;11),ABS($L291-$L293)=2,TRUE),$L291=INT($L291),$L293=INT($L293)),"","Error"),""),"")</f>
        <v/>
      </c>
      <c r="Q289" s="6"/>
      <c r="R289" s="259" t="str">
        <f>$B264</f>
        <v>F</v>
      </c>
      <c r="S289" s="307" t="str">
        <f ca="1">IF($B284&lt;&gt;"",$B284,"")</f>
        <v/>
      </c>
      <c r="T289" s="308"/>
      <c r="U289" s="308"/>
      <c r="V289" s="308"/>
      <c r="W289" s="308"/>
      <c r="X289" s="309"/>
      <c r="Y289" s="284"/>
      <c r="Z289" s="284"/>
      <c r="AA289" s="284"/>
      <c r="AB289" s="284"/>
      <c r="AC289" s="284"/>
      <c r="AD289" s="296"/>
      <c r="AE289" s="290"/>
      <c r="AF289" s="291"/>
    </row>
    <row r="290" spans="1:32" ht="12.75" customHeight="1" x14ac:dyDescent="0.25">
      <c r="A290" s="5" t="s">
        <v>160</v>
      </c>
      <c r="B290" s="256" t="s">
        <v>58</v>
      </c>
      <c r="C290" s="257"/>
      <c r="D290" s="257"/>
      <c r="E290" s="257"/>
      <c r="F290" s="257"/>
      <c r="G290" s="258"/>
      <c r="H290" s="5">
        <v>1</v>
      </c>
      <c r="I290" s="5">
        <v>2</v>
      </c>
      <c r="J290" s="5">
        <v>3</v>
      </c>
      <c r="K290" s="5">
        <v>4</v>
      </c>
      <c r="L290" s="5">
        <v>5</v>
      </c>
      <c r="M290" s="270"/>
      <c r="N290" s="271"/>
      <c r="O290" s="271"/>
      <c r="P290" s="272"/>
      <c r="Q290" s="6"/>
      <c r="R290" s="285"/>
      <c r="S290" s="310"/>
      <c r="T290" s="311"/>
      <c r="U290" s="311"/>
      <c r="V290" s="311"/>
      <c r="W290" s="311"/>
      <c r="X290" s="312"/>
      <c r="Y290" s="285"/>
      <c r="Z290" s="285"/>
      <c r="AA290" s="285"/>
      <c r="AB290" s="285"/>
      <c r="AC290" s="285"/>
      <c r="AD290" s="292"/>
      <c r="AE290" s="293"/>
      <c r="AF290" s="294"/>
    </row>
    <row r="291" spans="1:32" ht="12.75" customHeight="1" x14ac:dyDescent="0.25">
      <c r="A291" s="259" t="str">
        <f>B264</f>
        <v>F</v>
      </c>
      <c r="B291" s="236" t="str">
        <f ca="1">IF(AND(OFFSET($AO$1,$C264-1,8,1,1),$A265&lt;&gt;"",$J265&lt;&gt;""),CHOOSE($C264,$AR$1,$AR$2,$AR$3,$AR$4,$AR$5,$AR$6,$AR$7,$AR$8,$AR$9,$AR$10,$AR$11,$AR$12),"")</f>
        <v/>
      </c>
      <c r="C291" s="237"/>
      <c r="D291" s="237"/>
      <c r="E291" s="237"/>
      <c r="F291" s="237"/>
      <c r="G291" s="237"/>
      <c r="H291" s="233"/>
      <c r="I291" s="233"/>
      <c r="J291" s="233"/>
      <c r="K291" s="233"/>
      <c r="L291" s="233" t="str">
        <f ca="1">IF(AND($B291&lt;&gt;"",$Q270&lt;&gt;""),IF($B291="Missing Player",0,IF($B293="Missing Player",11,"")),"")</f>
        <v/>
      </c>
      <c r="M291" s="245" t="str">
        <f ca="1">IF(OR(AND($B284&lt;&gt;"",$B291&lt;&gt;"",$E295&lt;=$D295),AND($B286&lt;&gt;"",$B293&lt;&gt;"",$I295&lt;=$H295)),"Invalid Lineup","")</f>
        <v/>
      </c>
      <c r="N291" s="246"/>
      <c r="O291" s="246"/>
      <c r="P291" s="247"/>
      <c r="Q291" s="40" t="str">
        <f ca="1">IF($L291=$L293,IF($K291=$K293,IF($J291&lt;&gt;"",IF($J291&gt;$J293,"W","L"),""),IF($K291&gt;$K293,"W","L")),IF($L291&gt;$L293,"W","L"))</f>
        <v/>
      </c>
      <c r="R291" s="259" t="str">
        <f>$K264</f>
        <v>G</v>
      </c>
      <c r="S291" s="307" t="str">
        <f ca="1">IF($B286&lt;&gt;"",$B286,"")</f>
        <v/>
      </c>
      <c r="T291" s="308"/>
      <c r="U291" s="308"/>
      <c r="V291" s="308"/>
      <c r="W291" s="308"/>
      <c r="X291" s="309"/>
      <c r="Y291" s="284"/>
      <c r="Z291" s="284"/>
      <c r="AA291" s="284"/>
      <c r="AB291" s="284"/>
      <c r="AC291" s="297"/>
      <c r="AD291" s="289" t="s">
        <v>169</v>
      </c>
      <c r="AE291" s="290"/>
      <c r="AF291" s="291"/>
    </row>
    <row r="292" spans="1:32" ht="12.75" customHeight="1" x14ac:dyDescent="0.25">
      <c r="A292" s="260"/>
      <c r="B292" s="238"/>
      <c r="C292" s="239"/>
      <c r="D292" s="239"/>
      <c r="E292" s="239"/>
      <c r="F292" s="239"/>
      <c r="G292" s="239"/>
      <c r="H292" s="234"/>
      <c r="I292" s="234"/>
      <c r="J292" s="234"/>
      <c r="K292" s="234"/>
      <c r="L292" s="234"/>
      <c r="M292" s="245"/>
      <c r="N292" s="246"/>
      <c r="O292" s="246"/>
      <c r="P292" s="247"/>
      <c r="Q292" s="110" t="str">
        <f ca="1">IF($Q291&lt;&gt;"",IF($B293&lt;&gt;"Missing Player",IF($Q291="W",IF(SUM(IF($H291&gt;$H293,1,0),IF($I291&gt;$I293,1,0),IF($J291&gt;$J293,1,0),IF($K291&gt;$K293,1,0),IF($L291&gt;$L293,1,0))&lt;&gt;3,"Error",""),""),""),"")</f>
        <v/>
      </c>
      <c r="R292" s="285"/>
      <c r="S292" s="310"/>
      <c r="T292" s="311"/>
      <c r="U292" s="311"/>
      <c r="V292" s="311"/>
      <c r="W292" s="311"/>
      <c r="X292" s="312"/>
      <c r="Y292" s="285"/>
      <c r="Z292" s="285"/>
      <c r="AA292" s="285"/>
      <c r="AB292" s="285"/>
      <c r="AC292" s="285"/>
      <c r="AD292" s="292"/>
      <c r="AE292" s="293"/>
      <c r="AF292" s="294"/>
    </row>
    <row r="293" spans="1:32" ht="12.75" customHeight="1" x14ac:dyDescent="0.25">
      <c r="A293" s="259" t="str">
        <f>K264</f>
        <v>G</v>
      </c>
      <c r="B293" s="236" t="str">
        <f ca="1">IF(AND(OFFSET($AO$1,$L264-1,8,1,1),$A265&lt;&gt;"",$J265&lt;&gt;""),CHOOSE($L264,$AR$1,$AR$2,$AR$3,$AR$4,$AR$5,$AR$6,$AR$7,$AR$8,$AR$9,$AR$10,$AR$11,$AR$12),"")</f>
        <v/>
      </c>
      <c r="C293" s="237"/>
      <c r="D293" s="237"/>
      <c r="E293" s="237"/>
      <c r="F293" s="237"/>
      <c r="G293" s="237"/>
      <c r="H293" s="233"/>
      <c r="I293" s="233"/>
      <c r="J293" s="233"/>
      <c r="K293" s="233"/>
      <c r="L293" s="233" t="str">
        <f ca="1">IF(AND($B293&lt;&gt;"",$Q270&lt;&gt;""),IF($B293="Missing Player",0,IF($B291="Missing Player",11,"")),"")</f>
        <v/>
      </c>
      <c r="M293" s="250" t="s">
        <v>169</v>
      </c>
      <c r="N293" s="251"/>
      <c r="O293" s="251"/>
      <c r="P293" s="252"/>
      <c r="Q293" s="40" t="str">
        <f ca="1">IF($Q291&lt;&gt;"",IF($Q291="W","L","W"),"")</f>
        <v/>
      </c>
      <c r="R293" s="94"/>
      <c r="S293" s="84"/>
      <c r="T293" s="84"/>
      <c r="U293" s="84"/>
      <c r="V293" s="84"/>
      <c r="W293" s="84"/>
      <c r="X293" s="84"/>
      <c r="Y293" s="93"/>
      <c r="Z293" s="93"/>
      <c r="AA293" s="93"/>
      <c r="AB293" s="93"/>
      <c r="AC293" s="93"/>
      <c r="AD293" s="92"/>
      <c r="AE293" s="93"/>
      <c r="AF293" s="93"/>
    </row>
    <row r="294" spans="1:32" ht="12.75" customHeight="1" x14ac:dyDescent="0.25">
      <c r="A294" s="260"/>
      <c r="B294" s="238"/>
      <c r="C294" s="239"/>
      <c r="D294" s="239"/>
      <c r="E294" s="239"/>
      <c r="F294" s="239"/>
      <c r="G294" s="239"/>
      <c r="H294" s="234"/>
      <c r="I294" s="234"/>
      <c r="J294" s="235"/>
      <c r="K294" s="235"/>
      <c r="L294" s="235"/>
      <c r="M294" s="250"/>
      <c r="N294" s="251"/>
      <c r="O294" s="251"/>
      <c r="P294" s="252"/>
      <c r="Q294" s="110" t="str">
        <f ca="1">IF($Q293&lt;&gt;"",IF($B291&lt;&gt;"Missing Player",IF($Q293="W",IF(SUM(IF($H293&gt;$H291,1,0),IF($I293&gt;$I291,1,0),IF($J293&gt;$J291,1,0),IF($K293&gt;$K291,1,0),IF($L293&gt;$L291,1,0))&lt;&gt;3,"Error",""),""),""),"")</f>
        <v/>
      </c>
      <c r="R294" s="85"/>
      <c r="S294" s="95"/>
      <c r="T294" s="95"/>
      <c r="U294" s="95"/>
      <c r="V294" s="95"/>
      <c r="W294" s="95"/>
      <c r="X294" s="95"/>
      <c r="Y294" s="85"/>
      <c r="Z294" s="85"/>
      <c r="AA294" s="85"/>
      <c r="AB294" s="85"/>
      <c r="AC294" s="85"/>
      <c r="AD294" s="85"/>
      <c r="AE294" s="85"/>
      <c r="AF294" s="85"/>
    </row>
    <row r="295" spans="1:32" ht="12.75" customHeight="1" x14ac:dyDescent="0.25">
      <c r="B295" s="111" t="str">
        <f ca="1">IF(ISERROR(VLOOKUP($B270&amp;"("&amp;$B264&amp;")",Players!$S$4:$T$132,2,FALSE)),"",VLOOKUP($B270&amp;"("&amp;$B264&amp;")",Players!$S$4:$T$132,2,FALSE))</f>
        <v>F1</v>
      </c>
      <c r="C295" s="111" t="str">
        <f ca="1">IF(ISERROR(VLOOKUP($B277&amp;"("&amp;$B264&amp;")",Players!$S$4:$T$132,2,FALSE)),"",VLOOKUP($B277&amp;"("&amp;$B264&amp;")",Players!$S$4:$T$132,2,FALSE))</f>
        <v>F1</v>
      </c>
      <c r="D295" s="111" t="str">
        <f ca="1">IF(ISERROR(VLOOKUP($B284&amp;"("&amp;$B264&amp;")",Players!$S$4:$T$132,2,FALSE)),"",VLOOKUP($B284&amp;"("&amp;$B264&amp;")",Players!$S$4:$T$132,2,FALSE))</f>
        <v>F1</v>
      </c>
      <c r="E295" s="111" t="str">
        <f ca="1">IF(ISERROR(VLOOKUP($B291&amp;"("&amp;$B264&amp;")",Players!$S$4:$T$132,2,FALSE)),"",VLOOKUP($B291&amp;"("&amp;$B264&amp;")",Players!$S$4:$T$132,2,FALSE))</f>
        <v>F1</v>
      </c>
      <c r="F295" s="111" t="str">
        <f ca="1">IF(ISERROR(VLOOKUP($B272&amp;"("&amp;$K264&amp;")",Players!$S$4:$T$132,2,FALSE)),"",VLOOKUP($B272&amp;"("&amp;$K264&amp;")",Players!$S$4:$T$132,2,FALSE))</f>
        <v>G1</v>
      </c>
      <c r="G295" s="111" t="str">
        <f ca="1">IF(ISERROR(VLOOKUP($B279&amp;"("&amp;$K264&amp;")",Players!$S$4:$T$132,2,FALSE)),"",VLOOKUP($B279&amp;"("&amp;$K264&amp;")",Players!$S$4:$T$132,2,FALSE))</f>
        <v>G1</v>
      </c>
      <c r="H295" s="111" t="str">
        <f ca="1">IF(ISERROR(VLOOKUP($B286&amp;"("&amp;$K264&amp;")",Players!$S$4:$T$132,2,FALSE)),"",VLOOKUP($B286&amp;"("&amp;$K264&amp;")",Players!$S$4:$T$132,2,FALSE))</f>
        <v>G1</v>
      </c>
      <c r="I295" s="111" t="str">
        <f ca="1">IF(ISERROR(VLOOKUP($B293&amp;"("&amp;$K264&amp;")",Players!$S$4:$T$132,2,FALSE)),"",VLOOKUP($B293&amp;"("&amp;$K264&amp;")",Players!$S$4:$T$132,2,FALSE))</f>
        <v>G1</v>
      </c>
      <c r="Q295" s="6"/>
      <c r="R295" s="37"/>
      <c r="S295" s="95"/>
      <c r="T295" s="95"/>
      <c r="U295" s="95"/>
      <c r="V295" s="95"/>
      <c r="W295" s="95"/>
      <c r="X295" s="95"/>
      <c r="Y295" s="85"/>
      <c r="Z295" s="85"/>
      <c r="AA295" s="85"/>
      <c r="AB295" s="85"/>
      <c r="AC295" s="96"/>
      <c r="AD295" s="97"/>
      <c r="AE295" s="85"/>
      <c r="AF295" s="85"/>
    </row>
    <row r="296" spans="1:32" ht="12.75" customHeight="1" x14ac:dyDescent="0.25">
      <c r="A296" s="15" t="s">
        <v>157</v>
      </c>
      <c r="H296" s="110" t="str">
        <f ca="1">IF($Q298&lt;&gt;"",IF(AND($B299&lt;&gt;"Missing Player",$B301&lt;&gt;"Missing Player"),IF(AND(AND($H298&gt;-1,$H300&gt;-1),OR($H298&gt;10,$H300&gt;10),ABS($H298-$H300)&gt;1,IF(OR($H298&gt;11,$H300&gt;11),ABS($H298-$H300)=2,TRUE),$H298=INT($H298),$H300=INT($H300)),"","Error"),""),"")</f>
        <v/>
      </c>
      <c r="I296" s="110" t="str">
        <f ca="1">IF($Q298&lt;&gt;"",IF(AND($B299&lt;&gt;"Missing Player",$B301&lt;&gt;"Missing Player"),IF(AND(AND($I298&gt;-1,$I300&gt;-1),OR($I298&gt;10,$I300&gt;10),ABS($I298-$I300)&gt;1,IF(OR($I298&gt;11,$I300&gt;11),ABS($I298-$I300)=2,TRUE),$I298=INT($I298),$I300=INT($I300)),"","Error"),""),"")</f>
        <v/>
      </c>
      <c r="J296" s="110" t="str">
        <f ca="1">IF($Q298&lt;&gt;"",IF(AND($B299&lt;&gt;"Missing Player",$B301&lt;&gt;"Missing Player"),IF(AND(AND($J298&gt;-1,$J300&gt;-1),OR($J298&gt;10,$J300&gt;10),ABS($J298-$J300)&gt;1,IF(OR($J298&gt;11,$J300&gt;11),ABS($J298-$J300)=2,TRUE),$J298=INT($J298),$J300=INT($J300)),"","Error"),""),"")</f>
        <v/>
      </c>
      <c r="K296" s="110" t="str">
        <f ca="1">IF($Q298&lt;&gt;"",IF(AND($K298&lt;&gt;"",$K300&lt;&gt;""), IF(AND(AND($K298&gt;-1,$K300&gt;-1),OR($K298&gt;10,$K300&gt;10),ABS($K298-$K300)&gt;1,IF(OR($K298&gt;11,$K300&gt;11),ABS($K298-$K300)=2,TRUE),$K298=INT($K298),$K300=INT($K300)),"","Error"),""),"")</f>
        <v/>
      </c>
      <c r="L296" s="110" t="str">
        <f ca="1">IF($Q298&lt;&gt;"",IF(AND($L298&lt;&gt;"",$L300&lt;&gt;""), IF(AND(AND($L298&gt;-1,$L300&gt;-1),OR($L298&gt;10,$L300&gt;10),ABS($L298-$L300)&gt;1,IF(OR($L298&gt;11,$L300&gt;11),ABS($L298-$L300)=2,TRUE),$L298=INT($L298),$L300=INT($L300)),"","Error"),""),"")</f>
        <v/>
      </c>
      <c r="Q296" s="6"/>
      <c r="R296" s="85"/>
      <c r="S296" s="95"/>
      <c r="T296" s="95"/>
      <c r="U296" s="95"/>
      <c r="V296" s="95"/>
      <c r="W296" s="95"/>
      <c r="X296" s="95"/>
      <c r="Y296" s="85"/>
      <c r="Z296" s="85"/>
      <c r="AA296" s="85"/>
      <c r="AB296" s="85"/>
      <c r="AC296" s="85"/>
      <c r="AD296" s="85"/>
      <c r="AE296" s="85"/>
      <c r="AF296" s="85"/>
    </row>
    <row r="297" spans="1:32" ht="12.75" customHeight="1" x14ac:dyDescent="0.25">
      <c r="A297" s="5" t="s">
        <v>160</v>
      </c>
      <c r="B297" s="256" t="s">
        <v>58</v>
      </c>
      <c r="C297" s="257"/>
      <c r="D297" s="257"/>
      <c r="E297" s="257"/>
      <c r="F297" s="257"/>
      <c r="G297" s="258"/>
      <c r="H297" s="5">
        <v>1</v>
      </c>
      <c r="I297" s="5">
        <v>2</v>
      </c>
      <c r="J297" s="5">
        <v>3</v>
      </c>
      <c r="K297" s="5">
        <v>4</v>
      </c>
      <c r="L297" s="5">
        <v>5</v>
      </c>
      <c r="M297" s="270"/>
      <c r="N297" s="271"/>
      <c r="O297" s="271"/>
      <c r="P297" s="272"/>
      <c r="Q297" s="6"/>
      <c r="T297" s="7"/>
    </row>
    <row r="298" spans="1:32" ht="12.75" customHeight="1" x14ac:dyDescent="0.25">
      <c r="A298" s="259" t="str">
        <f>B264</f>
        <v>F</v>
      </c>
      <c r="B298" s="230" t="str">
        <f ca="1">IF($B270&lt;&gt;"",$B270,"")</f>
        <v/>
      </c>
      <c r="C298" s="231"/>
      <c r="D298" s="231"/>
      <c r="E298" s="231"/>
      <c r="F298" s="231"/>
      <c r="G298" s="232"/>
      <c r="H298" s="233"/>
      <c r="I298" s="233"/>
      <c r="J298" s="233"/>
      <c r="K298" s="233"/>
      <c r="L298" s="233" t="str">
        <f ca="1">IF($B291&lt;&gt;"",IF(AND($B291="Missing Player",$G302=2,$J302=2),0,IF(AND($B293="Missing Player",$G302=2,$J302=2),11,"")),"")</f>
        <v/>
      </c>
      <c r="M298" s="245" t="str">
        <f ca="1">IF(OR(AND($B298&lt;&gt;"",$B299&lt;&gt;"",$B298=$B299),AND($B300&lt;&gt;"",$B301&lt;&gt;"",$B300=$B301)),"Invalid Partner","")</f>
        <v/>
      </c>
      <c r="N298" s="246"/>
      <c r="O298" s="246"/>
      <c r="P298" s="247"/>
      <c r="Q298" s="37" t="str">
        <f ca="1">IF(L298=L300,IF(K298=K300,IF(J298&lt;&gt;"",IF(J298&gt;J300,"W","L"),""),IF(K298&gt;K300,"W","L")),IF(L298&gt;L300,"W","L"))</f>
        <v/>
      </c>
      <c r="T298" s="7"/>
    </row>
    <row r="299" spans="1:32" ht="12.75" customHeight="1" x14ac:dyDescent="0.25">
      <c r="A299" s="260"/>
      <c r="B299" s="266" t="str">
        <f ca="1">IF($B291="Missing Player",$B291,"")</f>
        <v/>
      </c>
      <c r="C299" s="267"/>
      <c r="D299" s="267"/>
      <c r="E299" s="267"/>
      <c r="F299" s="267"/>
      <c r="G299" s="268"/>
      <c r="H299" s="234"/>
      <c r="I299" s="234"/>
      <c r="J299" s="234"/>
      <c r="K299" s="234"/>
      <c r="L299" s="234"/>
      <c r="M299" s="245"/>
      <c r="N299" s="246"/>
      <c r="O299" s="246"/>
      <c r="P299" s="247"/>
      <c r="Q299" s="110" t="str">
        <f ca="1">IF($Q298&lt;&gt;"",IF($B301&lt;&gt;"Missing Player",IF($Q298="W",IF(SUM(IF($H298&gt;$H300,1,0),IF($I298&gt;$I300,1,0),IF($J298&gt;$J300,1,0),IF($K298&gt;$K300,1,0),IF($L298&gt;$L300,1,0))&lt;&gt;3,"Error",""),""),""),"")</f>
        <v/>
      </c>
      <c r="R299" s="295" t="str">
        <f>$A265</f>
        <v/>
      </c>
      <c r="S299" s="295"/>
      <c r="T299" s="295"/>
      <c r="U299" s="295"/>
      <c r="V299" s="295"/>
      <c r="W299" s="295"/>
      <c r="X299" s="219" t="str">
        <f>CONCATENATE("(",$B264," vs ",$K264,")")</f>
        <v>(F vs G)</v>
      </c>
      <c r="Y299" s="219"/>
      <c r="Z299" s="295" t="str">
        <f>$J265</f>
        <v/>
      </c>
      <c r="AA299" s="295"/>
      <c r="AB299" s="295"/>
      <c r="AC299" s="295"/>
      <c r="AD299" s="295"/>
      <c r="AE299" s="295"/>
      <c r="AF299"/>
    </row>
    <row r="300" spans="1:32" ht="12.75" customHeight="1" x14ac:dyDescent="0.25">
      <c r="A300" s="265" t="str">
        <f>K264</f>
        <v>G</v>
      </c>
      <c r="B300" s="230" t="str">
        <f ca="1">IF($B272&lt;&gt;"",$B272,"")</f>
        <v/>
      </c>
      <c r="C300" s="231"/>
      <c r="D300" s="231"/>
      <c r="E300" s="231"/>
      <c r="F300" s="231"/>
      <c r="G300" s="232"/>
      <c r="H300" s="233"/>
      <c r="I300" s="233"/>
      <c r="J300" s="233"/>
      <c r="K300" s="233"/>
      <c r="L300" s="233" t="str">
        <f ca="1">IF($B293&lt;&gt;"",IF(AND($B293="Missing Player",$G302=2,$J302=2),0,IF(AND($B291="Missing Player",$G302=2,$J302=2),11,"")),"")</f>
        <v/>
      </c>
      <c r="M300" s="250" t="s">
        <v>169</v>
      </c>
      <c r="N300" s="251"/>
      <c r="O300" s="251"/>
      <c r="P300" s="252"/>
      <c r="Q300" s="37" t="str">
        <f ca="1">IF(Q298&lt;&gt;"",IF(Q298="W","L","W"),"")</f>
        <v/>
      </c>
      <c r="R300"/>
      <c r="S300"/>
      <c r="T300"/>
      <c r="U300"/>
      <c r="V300"/>
      <c r="W300"/>
      <c r="X300"/>
      <c r="Y300"/>
      <c r="Z300"/>
      <c r="AA300"/>
      <c r="AB300"/>
      <c r="AC300"/>
      <c r="AD300"/>
      <c r="AE300"/>
      <c r="AF300"/>
    </row>
    <row r="301" spans="1:32" ht="12.75" customHeight="1" x14ac:dyDescent="0.25">
      <c r="A301" s="260"/>
      <c r="B301" s="266" t="str">
        <f ca="1">IF($B293="Missing Player",$B293,"")</f>
        <v/>
      </c>
      <c r="C301" s="267"/>
      <c r="D301" s="267"/>
      <c r="E301" s="267"/>
      <c r="F301" s="267"/>
      <c r="G301" s="268"/>
      <c r="H301" s="234"/>
      <c r="I301" s="234"/>
      <c r="J301" s="235"/>
      <c r="K301" s="235"/>
      <c r="L301" s="235"/>
      <c r="M301" s="250"/>
      <c r="N301" s="251"/>
      <c r="O301" s="251"/>
      <c r="P301" s="252"/>
      <c r="Q301" s="110" t="str">
        <f ca="1">IF($Q300&lt;&gt;"",IF($B299&lt;&gt;"Missing Player",IF($Q300="W",IF(SUM(IF($H300&gt;$H298,1,0),IF($I300&gt;$I298,1,0),IF($J300&gt;$J298,1,0),IF($K300&gt;$K298,1,0),IF($L300&gt;$L298,1,0))&lt;&gt;3,"Error",""),""),""),"")</f>
        <v/>
      </c>
      <c r="R301" t="str">
        <f>A289</f>
        <v>4th Singles</v>
      </c>
      <c r="S301"/>
      <c r="T301"/>
      <c r="U301"/>
      <c r="V301"/>
      <c r="W301"/>
      <c r="X301"/>
      <c r="Y301"/>
      <c r="Z301"/>
      <c r="AA301"/>
      <c r="AB301"/>
      <c r="AC301"/>
      <c r="AD301"/>
      <c r="AE301"/>
      <c r="AF301"/>
    </row>
    <row r="302" spans="1:32" ht="12.75" customHeight="1" x14ac:dyDescent="0.25">
      <c r="G302" s="53">
        <f ca="1">COUNTIF($Q270:$Q270,"W")+COUNTIF($Q277:$Q277,"W")+COUNTIF($Q284:$Q284,"W")+COUNTIF($Q291:$Q291,"W")</f>
        <v>0</v>
      </c>
      <c r="J302" s="53">
        <f ca="1">COUNTIF($Q272:$Q272,"W")+COUNTIF($Q279:$Q279,"W")+COUNTIF($Q286:$Q286,"W")+COUNTIF($Q293:$Q293,"W")</f>
        <v>0</v>
      </c>
      <c r="R302" s="47" t="s">
        <v>160</v>
      </c>
      <c r="S302" s="304" t="s">
        <v>58</v>
      </c>
      <c r="T302" s="305"/>
      <c r="U302" s="305"/>
      <c r="V302" s="305"/>
      <c r="W302" s="305"/>
      <c r="X302" s="306"/>
      <c r="Y302" s="47">
        <v>1</v>
      </c>
      <c r="Z302" s="47">
        <v>2</v>
      </c>
      <c r="AA302" s="47">
        <v>3</v>
      </c>
      <c r="AB302" s="47">
        <v>4</v>
      </c>
      <c r="AC302" s="47">
        <v>5</v>
      </c>
      <c r="AD302" s="286"/>
      <c r="AE302" s="287"/>
      <c r="AF302" s="288"/>
    </row>
    <row r="303" spans="1:32" ht="12.75" customHeight="1" thickBot="1" x14ac:dyDescent="0.3">
      <c r="F303" s="212" t="s">
        <v>170</v>
      </c>
      <c r="G303" s="212"/>
      <c r="H303" s="212"/>
      <c r="I303" s="212"/>
      <c r="J303" s="212"/>
      <c r="K303" s="212"/>
      <c r="R303" s="259" t="str">
        <f>B264</f>
        <v>F</v>
      </c>
      <c r="S303" s="307" t="str">
        <f ca="1">IF($B291&lt;&gt;"",$B291,"")</f>
        <v/>
      </c>
      <c r="T303" s="308"/>
      <c r="U303" s="308"/>
      <c r="V303" s="308"/>
      <c r="W303" s="308"/>
      <c r="X303" s="309"/>
      <c r="Y303" s="284"/>
      <c r="Z303" s="284"/>
      <c r="AA303" s="297"/>
      <c r="AB303" s="297"/>
      <c r="AC303" s="297"/>
      <c r="AD303" s="296"/>
      <c r="AE303" s="298"/>
      <c r="AF303" s="299"/>
    </row>
    <row r="304" spans="1:32" ht="12.75" customHeight="1" x14ac:dyDescent="0.25">
      <c r="A304" s="16"/>
      <c r="B304" s="16"/>
      <c r="C304" s="16"/>
      <c r="D304" s="16"/>
      <c r="E304" s="16"/>
      <c r="G304" s="261" t="str">
        <f>B264</f>
        <v>F</v>
      </c>
      <c r="H304" s="262"/>
      <c r="I304" s="263" t="str">
        <f>K264</f>
        <v>G</v>
      </c>
      <c r="J304" s="264"/>
      <c r="L304" s="16"/>
      <c r="M304" s="16"/>
      <c r="N304" s="16"/>
      <c r="O304" s="16"/>
      <c r="P304" s="16"/>
      <c r="R304" s="260"/>
      <c r="S304" s="310"/>
      <c r="T304" s="311"/>
      <c r="U304" s="311"/>
      <c r="V304" s="311"/>
      <c r="W304" s="311"/>
      <c r="X304" s="312"/>
      <c r="Y304" s="285"/>
      <c r="Z304" s="285"/>
      <c r="AA304" s="303"/>
      <c r="AB304" s="303"/>
      <c r="AC304" s="303"/>
      <c r="AD304" s="300"/>
      <c r="AE304" s="301"/>
      <c r="AF304" s="302"/>
    </row>
    <row r="305" spans="1:32" ht="12.75" customHeight="1" thickBot="1" x14ac:dyDescent="0.3">
      <c r="A305" s="2" t="s">
        <v>160</v>
      </c>
      <c r="B305" s="40" t="str">
        <f>B264</f>
        <v>F</v>
      </c>
      <c r="C305" s="3" t="s">
        <v>158</v>
      </c>
      <c r="F305" s="53" t="str">
        <f>CONCATENATE($B264,"-",$K264)</f>
        <v>F-G</v>
      </c>
      <c r="G305" s="240" t="str">
        <f ca="1">IF(OR(Q270&lt;&gt;"",Q277&lt;&gt;"",Q284&lt;&gt;"",Q291&lt;&gt;"",Q298&lt;&gt;""),COUNTIF(Q270:Q270,"W")+COUNTIF(Q277:Q277,"W")+COUNTIF(Q284:Q284,"W")+COUNTIF(Q291:Q291,"W")+COUNTIF(Q298:Q298,"W"),"")</f>
        <v/>
      </c>
      <c r="H305" s="241"/>
      <c r="I305" s="242" t="str">
        <f ca="1">IF(OR(Q272&lt;&gt;"",Q279&lt;&gt;"",Q286&lt;&gt;"",Q293&lt;&gt;"",Q300&lt;&gt;""),COUNTIF(Q272:Q272,"W")+COUNTIF(Q279:Q279,"W")+COUNTIF(Q286:Q286,"W")+COUNTIF(Q293:Q293,"W")+COUNTIF(Q300:Q300,"W"),"")</f>
        <v/>
      </c>
      <c r="J305" s="243"/>
      <c r="L305" s="2" t="s">
        <v>160</v>
      </c>
      <c r="M305" s="40" t="str">
        <f>K264</f>
        <v>G</v>
      </c>
      <c r="N305" s="3" t="s">
        <v>158</v>
      </c>
      <c r="R305" s="259" t="str">
        <f>K264</f>
        <v>G</v>
      </c>
      <c r="S305" s="307" t="str">
        <f ca="1">IF($B293&lt;&gt;"",$B293,"")</f>
        <v/>
      </c>
      <c r="T305" s="308"/>
      <c r="U305" s="308"/>
      <c r="V305" s="308"/>
      <c r="W305" s="308"/>
      <c r="X305" s="309"/>
      <c r="Y305" s="284"/>
      <c r="Z305" s="284"/>
      <c r="AA305" s="297"/>
      <c r="AB305" s="297"/>
      <c r="AC305" s="297"/>
      <c r="AD305" s="289" t="s">
        <v>169</v>
      </c>
      <c r="AE305" s="290"/>
      <c r="AF305" s="291"/>
    </row>
    <row r="306" spans="1:32" ht="12.75" customHeight="1" x14ac:dyDescent="0.35">
      <c r="F306" s="18" t="s">
        <v>403</v>
      </c>
      <c r="G306" s="17"/>
      <c r="H306" s="17"/>
      <c r="I306" s="17"/>
      <c r="J306" s="17"/>
      <c r="R306" s="285"/>
      <c r="S306" s="310"/>
      <c r="T306" s="311"/>
      <c r="U306" s="311"/>
      <c r="V306" s="311"/>
      <c r="W306" s="311"/>
      <c r="X306" s="312"/>
      <c r="Y306" s="285"/>
      <c r="Z306" s="285"/>
      <c r="AA306" s="285"/>
      <c r="AB306" s="285"/>
      <c r="AC306" s="285"/>
      <c r="AD306" s="292"/>
      <c r="AE306" s="293"/>
      <c r="AF306" s="294"/>
    </row>
    <row r="307" spans="1:32" ht="12.75" customHeight="1" x14ac:dyDescent="0.25">
      <c r="R307" s="1"/>
      <c r="S307" s="11"/>
      <c r="T307" s="11"/>
      <c r="U307" s="11"/>
      <c r="V307" s="11"/>
      <c r="W307" s="11"/>
    </row>
    <row r="308" spans="1:32" ht="12.75" customHeight="1" x14ac:dyDescent="0.25">
      <c r="F308" s="212"/>
      <c r="G308" s="212"/>
      <c r="H308" s="212"/>
      <c r="I308" s="212"/>
      <c r="R308" s="1"/>
      <c r="S308" s="11"/>
      <c r="T308" s="11"/>
      <c r="U308" s="11"/>
      <c r="V308" s="11"/>
      <c r="W308" s="11"/>
    </row>
    <row r="309" spans="1:32" ht="12.75" customHeight="1" x14ac:dyDescent="0.25">
      <c r="F309" s="212"/>
      <c r="G309" s="212"/>
      <c r="H309" s="212"/>
      <c r="I309" s="212"/>
      <c r="R309" s="1"/>
      <c r="S309" s="11"/>
      <c r="T309" s="11"/>
      <c r="U309" s="11"/>
      <c r="V309" s="11"/>
      <c r="W309" s="11"/>
    </row>
    <row r="310" spans="1:32" ht="12.75" customHeight="1" x14ac:dyDescent="0.25">
      <c r="K310" s="219" t="s">
        <v>176</v>
      </c>
      <c r="L310" s="219"/>
      <c r="M310" s="219"/>
      <c r="N310" s="219"/>
      <c r="O310" s="219"/>
      <c r="P310" s="219"/>
      <c r="R310" s="1"/>
      <c r="S310" s="11"/>
      <c r="T310" s="11"/>
      <c r="U310" s="11"/>
      <c r="V310" s="11"/>
      <c r="W310" s="11"/>
    </row>
    <row r="311" spans="1:32" ht="12.75" customHeight="1" x14ac:dyDescent="0.25">
      <c r="A311" s="9" t="s">
        <v>161</v>
      </c>
      <c r="B311"/>
      <c r="C311"/>
      <c r="D311" t="str">
        <f>Draw!$B$1</f>
        <v>Enter Division Name</v>
      </c>
      <c r="E311"/>
      <c r="F311" s="6"/>
      <c r="G311" s="6"/>
      <c r="H311" s="6"/>
      <c r="I311"/>
      <c r="J311"/>
      <c r="K311"/>
      <c r="L311"/>
      <c r="M311" s="219"/>
      <c r="N311" s="219"/>
      <c r="O311" s="219"/>
      <c r="P311" s="219"/>
      <c r="R311" s="1"/>
      <c r="S311" s="11"/>
      <c r="T311" s="11"/>
      <c r="U311" s="11"/>
      <c r="V311" s="11"/>
      <c r="W311" s="11"/>
    </row>
    <row r="312" spans="1:32" ht="12.75" customHeight="1" x14ac:dyDescent="0.25">
      <c r="A312" s="2" t="s">
        <v>162</v>
      </c>
      <c r="D312" t="str">
        <f>Draw!$D$1</f>
        <v>Enter Hosting Location (City, ST)</v>
      </c>
      <c r="J312" t="str">
        <f ca="1">$J$6</f>
        <v>[NCTTA Teams Template (v3.4).xlsx]</v>
      </c>
      <c r="R312" s="1"/>
      <c r="S312" s="11"/>
      <c r="T312" s="11"/>
      <c r="U312" s="11"/>
      <c r="V312" s="11"/>
      <c r="W312" s="11"/>
    </row>
    <row r="313" spans="1:32" ht="12.75" customHeight="1" x14ac:dyDescent="0.25">
      <c r="A313" s="2" t="s">
        <v>163</v>
      </c>
      <c r="D313" s="275" t="str">
        <f>Draw!$P$1</f>
        <v>Enter Date</v>
      </c>
      <c r="E313" s="275"/>
      <c r="F313" s="275"/>
      <c r="G313" s="275"/>
      <c r="J313" s="244" t="str">
        <f>CHOOSE(Draw!$T$1,"Round 2, Match 1","Round 3, Match 1","Round 1, Match 3","Round 1, Match 3","Round 4, Match 1","Round 3, Match 1","Round 3, Match 1","Round 2, Match 3","Round 2, Match 3","Round 2, Match 2","Round 2, Match 2")</f>
        <v>Round 2, Match 1</v>
      </c>
      <c r="K313" s="244"/>
      <c r="L313" s="244"/>
      <c r="M313" s="277" t="str">
        <f>IF(AND($J313&lt;&gt;"",Draw!$AC$10&lt;&gt;"",Draw!$AC$13&lt;&gt;""),Draw!$AC$10+TIME(0,VALUE(MID($J313,7,FIND(",",$J313)-FIND(" ",$J313)-1)-1)*Draw!$AC$13,0),"")</f>
        <v/>
      </c>
      <c r="N313" s="277"/>
      <c r="O313" s="125" t="str">
        <f>$F356</f>
        <v>A-K</v>
      </c>
      <c r="R313" s="1"/>
      <c r="S313" s="11"/>
      <c r="T313" s="11"/>
      <c r="U313" s="11"/>
      <c r="V313" s="11"/>
      <c r="W313" s="11"/>
    </row>
    <row r="314" spans="1:32" ht="12.75" customHeight="1" x14ac:dyDescent="0.25">
      <c r="A314" s="6"/>
      <c r="B314"/>
      <c r="C314"/>
      <c r="D314"/>
      <c r="E314"/>
      <c r="F314" s="6"/>
      <c r="G314" s="6"/>
      <c r="H314" s="11"/>
      <c r="I314" s="6"/>
      <c r="J314"/>
      <c r="K314"/>
      <c r="L314"/>
      <c r="M314"/>
      <c r="N314"/>
      <c r="O314" s="269" t="str">
        <f>IF(OR(AND(VLOOKUP($B315,$AM$1:$AX$12,12,FALSE)="C",VLOOKUP($K315,$AM$1:$AX$12,12,FALSE)="C"),AND(VLOOKUP($B315,$AM$1:$AX$12,12,FALSE)="W",VLOOKUP($K315,$AM$1:$AX$12,12,FALSE)="W")),"Official",IF(AND($A316="",$J316=""),"","Scrimmage"))</f>
        <v/>
      </c>
      <c r="P314" s="269"/>
      <c r="R314" s="1"/>
      <c r="S314" s="11"/>
      <c r="T314" s="11"/>
      <c r="U314" s="11"/>
      <c r="V314" s="11"/>
      <c r="W314" s="11"/>
    </row>
    <row r="315" spans="1:32" ht="12.75" customHeight="1" x14ac:dyDescent="0.25">
      <c r="A315" s="12" t="s">
        <v>160</v>
      </c>
      <c r="B315" s="98" t="str">
        <f>CHOOSE(Draw!$T$1,"A","A","E","G","A","A","A","B","C","H","B")</f>
        <v>A</v>
      </c>
      <c r="C315" s="109">
        <f>VLOOKUP($B315,$AM$1:$AN$12,2)</f>
        <v>1</v>
      </c>
      <c r="D315" s="10"/>
      <c r="E315" s="10"/>
      <c r="F315" s="8"/>
      <c r="H315" s="1" t="s">
        <v>164</v>
      </c>
      <c r="J315" s="12" t="s">
        <v>160</v>
      </c>
      <c r="K315" s="98" t="str">
        <f>CHOOSE(Draw!$T$1,"K","C","G","I","B","C","E","E","F","J","I")</f>
        <v>K</v>
      </c>
      <c r="L315" s="109">
        <f>VLOOKUP($K315,$AM$1:$AN$12,2)</f>
        <v>11</v>
      </c>
      <c r="M315" s="10"/>
      <c r="N315" s="10"/>
      <c r="O315" s="13"/>
      <c r="R315" s="1"/>
      <c r="S315" s="11"/>
      <c r="T315" s="11"/>
      <c r="U315" s="11"/>
      <c r="V315" s="11"/>
      <c r="W315" s="11"/>
    </row>
    <row r="316" spans="1:32" ht="12.75" customHeight="1" x14ac:dyDescent="0.25">
      <c r="A316" s="253" t="str">
        <f>IF(VLOOKUP($B315,Draw!$A$4:$B$27,2)&lt;&gt;0,VLOOKUP($B315,Draw!$A$4:$B$27,2),"")</f>
        <v/>
      </c>
      <c r="B316" s="254"/>
      <c r="C316" s="254"/>
      <c r="D316" s="254"/>
      <c r="E316" s="254"/>
      <c r="F316" s="255"/>
      <c r="G316" s="273" t="s">
        <v>410</v>
      </c>
      <c r="H316" s="249"/>
      <c r="I316" s="274"/>
      <c r="J316" s="253" t="str">
        <f>IF(VLOOKUP($K315,Draw!$A$4:$B$27,2)&lt;&gt;0,VLOOKUP($K315,Draw!$A$4:$B$27,2),"")</f>
        <v/>
      </c>
      <c r="K316" s="254"/>
      <c r="L316" s="254"/>
      <c r="M316" s="254"/>
      <c r="N316" s="254"/>
      <c r="O316" s="255"/>
      <c r="P316"/>
      <c r="R316" s="1"/>
      <c r="S316" s="11"/>
      <c r="T316" s="11"/>
      <c r="U316" s="11"/>
      <c r="V316" s="11"/>
      <c r="W316" s="11"/>
    </row>
    <row r="317" spans="1:32" ht="12.75" customHeight="1" x14ac:dyDescent="0.25">
      <c r="A317" s="6"/>
      <c r="B317"/>
      <c r="C317"/>
      <c r="D317"/>
      <c r="E317"/>
      <c r="F317" s="6"/>
      <c r="G317" s="248" t="str">
        <f>"Page "&amp;VALUE(RIGHT($G316,LEN($G316)-SEARCH("-",$G316)))/2</f>
        <v>Page 7</v>
      </c>
      <c r="H317" s="249"/>
      <c r="I317" s="249"/>
      <c r="J317"/>
      <c r="K317"/>
      <c r="L317"/>
      <c r="M317"/>
      <c r="N317"/>
      <c r="O317"/>
      <c r="P317"/>
      <c r="R317" s="1"/>
      <c r="S317" s="11"/>
      <c r="T317" s="11"/>
      <c r="U317" s="11"/>
      <c r="V317" s="11"/>
      <c r="W317" s="11"/>
      <c r="AF317"/>
    </row>
    <row r="318" spans="1:32" ht="12.75" customHeight="1" x14ac:dyDescent="0.25">
      <c r="A318" s="276" t="s">
        <v>177</v>
      </c>
      <c r="B318" s="276"/>
      <c r="C318" s="276"/>
      <c r="D318" s="276"/>
      <c r="E318" s="276"/>
      <c r="F318" s="276"/>
      <c r="G318" s="276"/>
      <c r="H318" s="276"/>
      <c r="I318" s="276"/>
      <c r="J318" s="276"/>
      <c r="K318" s="276"/>
      <c r="L318" s="276"/>
      <c r="M318" s="276"/>
      <c r="N318" s="276"/>
      <c r="O318" s="276"/>
      <c r="P318" s="276"/>
      <c r="Q318" s="6"/>
      <c r="R318" s="1"/>
      <c r="S318" s="11"/>
      <c r="T318" s="11"/>
      <c r="U318" s="11"/>
      <c r="V318" s="11"/>
      <c r="W318" s="11"/>
      <c r="AF318" s="14"/>
    </row>
    <row r="319" spans="1:32" ht="12.75" customHeight="1" x14ac:dyDescent="0.25">
      <c r="A319" s="15" t="s">
        <v>165</v>
      </c>
      <c r="H319" s="110" t="str">
        <f>IF($Q321&lt;&gt;"",IF(AND(AND($H321&gt;-1,$H323&gt;-1),OR($H321&gt;10,$H323&gt;10),ABS($H321-$H323)&gt;1,IF(OR($H321&gt;11,$H323&gt;11),ABS($H321-$H323)=2,TRUE),$H321=INT($H321),$H323=INT($H323)),"","Error"),"")</f>
        <v/>
      </c>
      <c r="I319" s="110" t="str">
        <f>IF($Q321&lt;&gt;"",IF(AND(AND($I321&gt;-1,$I323&gt;-1),OR($I321&gt;10,$I323&gt;10),ABS($I321-$I323)&gt;1,IF(OR($I321&gt;11,$I323&gt;11),ABS($I321-$I323)=2,TRUE),$I321=INT($I321),$I323=INT($I323)),"","Error"),"")</f>
        <v/>
      </c>
      <c r="J319" s="110" t="str">
        <f>IF($Q321&lt;&gt;"",IF(AND(AND($J321&gt;-1,$J323&gt;-1),OR($J321&gt;10,$J323&gt;10),ABS($J321-$J323)&gt;1,IF(OR($J321&gt;11,$J323&gt;11),ABS($J321-$J323)=2,TRUE),$J321=INT($J321),$J323=INT($J323)),"","Error"),"")</f>
        <v/>
      </c>
      <c r="K319" s="110" t="str">
        <f>IF($Q321&lt;&gt;"",IF(AND($K321&lt;&gt;"",$K323&lt;&gt;""), IF(AND(AND($K321&gt;-1,$K323&gt;-1),OR($K321&gt;10,$K323&gt;10),ABS($K321-$K323)&gt;1,IF(OR($K321&gt;11,$K323&gt;11),ABS($K321-$K323)=2,TRUE),$K321=INT($K321),$K323=INT($K323)),"","Error"),""),"")</f>
        <v/>
      </c>
      <c r="L319" s="110" t="str">
        <f>IF($Q321&lt;&gt;"",IF(AND($L321&lt;&gt;"",$L323&lt;&gt;""), IF(AND(AND($L321&gt;-1,$L323&gt;-1),OR($L321&gt;10,$L323&gt;10),ABS($L321-$L323)&gt;1,IF(OR($L321&gt;11,$L323&gt;11),ABS($L321-$L323)=2,TRUE),$L321=INT($L321),$L323=INT($L323)),"","Error"),""),"")</f>
        <v/>
      </c>
      <c r="R319" s="1"/>
      <c r="S319" s="11"/>
      <c r="T319" s="11"/>
      <c r="U319" s="11"/>
      <c r="V319" s="11"/>
      <c r="W319" s="11"/>
    </row>
    <row r="320" spans="1:32" ht="12.75" customHeight="1" x14ac:dyDescent="0.25">
      <c r="A320" s="5" t="s">
        <v>160</v>
      </c>
      <c r="B320" s="256" t="s">
        <v>58</v>
      </c>
      <c r="C320" s="257"/>
      <c r="D320" s="257"/>
      <c r="E320" s="257"/>
      <c r="F320" s="257"/>
      <c r="G320" s="258"/>
      <c r="H320" s="5">
        <v>1</v>
      </c>
      <c r="I320" s="5">
        <v>2</v>
      </c>
      <c r="J320" s="5">
        <v>3</v>
      </c>
      <c r="K320" s="5">
        <v>4</v>
      </c>
      <c r="L320" s="5">
        <v>5</v>
      </c>
      <c r="M320" s="270"/>
      <c r="N320" s="271"/>
      <c r="O320" s="271"/>
      <c r="P320" s="272"/>
      <c r="R320" s="1"/>
      <c r="S320" s="11"/>
      <c r="T320" s="11"/>
      <c r="U320" s="11"/>
      <c r="V320" s="11"/>
      <c r="W320" s="11"/>
    </row>
    <row r="321" spans="1:32" ht="12.75" customHeight="1" x14ac:dyDescent="0.25">
      <c r="A321" s="259" t="str">
        <f>B315</f>
        <v>A</v>
      </c>
      <c r="B321" s="236" t="str">
        <f ca="1">IF(AND(OFFSET($AO$1,$C315-1,8,1,1),$A316&lt;&gt;"",$J316&lt;&gt;""),CHOOSE($C315,$AO$1,$AO$2,$AO$3,$AO$4,$AO$5,$AO$6,$AO$7,$AO$8,$AO$9,$AO$10,$AO$11,$AO$12),"")</f>
        <v/>
      </c>
      <c r="C321" s="237"/>
      <c r="D321" s="237"/>
      <c r="E321" s="237"/>
      <c r="F321" s="237"/>
      <c r="G321" s="237"/>
      <c r="H321" s="233"/>
      <c r="I321" s="233"/>
      <c r="J321" s="233"/>
      <c r="K321" s="233"/>
      <c r="L321" s="233"/>
      <c r="M321" s="281"/>
      <c r="N321" s="282"/>
      <c r="O321" s="282"/>
      <c r="P321" s="283"/>
      <c r="Q321" s="40" t="str">
        <f>IF($L321=$L323,IF($K321=$K323,IF($J321&lt;&gt;"",IF($J321&gt;$J323,"W","L"),""),IF($K321&gt;$K323,"W","L")),IF($L321&gt;$L323,"W","L"))</f>
        <v/>
      </c>
      <c r="R321" s="1"/>
      <c r="S321" s="11"/>
      <c r="T321" s="11"/>
      <c r="U321" s="11"/>
      <c r="V321" s="11"/>
      <c r="W321" s="11"/>
    </row>
    <row r="322" spans="1:32" ht="12.75" customHeight="1" x14ac:dyDescent="0.25">
      <c r="A322" s="260"/>
      <c r="B322" s="238"/>
      <c r="C322" s="239"/>
      <c r="D322" s="239"/>
      <c r="E322" s="239"/>
      <c r="F322" s="239"/>
      <c r="G322" s="239"/>
      <c r="H322" s="234"/>
      <c r="I322" s="234"/>
      <c r="J322" s="234"/>
      <c r="K322" s="234"/>
      <c r="L322" s="234"/>
      <c r="M322" s="281"/>
      <c r="N322" s="282"/>
      <c r="O322" s="282"/>
      <c r="P322" s="283"/>
      <c r="Q322" s="110" t="str">
        <f>IF($Q321&lt;&gt;"",IF($Q321="W",IF(SUM(IF($H321&gt;$H323,1,0),IF($I321&gt;$I323,1,0),IF($J321&gt;$J323,1,0),IF($K321&gt;$K323,1,0),IF($L321&gt;$L323,1,0))&lt;&gt;3,"Error",""),""),"")</f>
        <v/>
      </c>
      <c r="R322" s="295" t="str">
        <f>$A316</f>
        <v/>
      </c>
      <c r="S322" s="295"/>
      <c r="T322" s="295"/>
      <c r="U322" s="295"/>
      <c r="V322" s="295"/>
      <c r="W322" s="295"/>
      <c r="X322" s="219" t="str">
        <f>CONCATENATE("(",$B315," vs ",$K315,")")</f>
        <v>(A vs K)</v>
      </c>
      <c r="Y322" s="219"/>
      <c r="Z322" s="295" t="str">
        <f>$J316</f>
        <v/>
      </c>
      <c r="AA322" s="295"/>
      <c r="AB322" s="295"/>
      <c r="AC322" s="295"/>
      <c r="AD322" s="295"/>
      <c r="AE322" s="295"/>
      <c r="AF322"/>
    </row>
    <row r="323" spans="1:32" ht="12.75" customHeight="1" x14ac:dyDescent="0.25">
      <c r="A323" s="259" t="str">
        <f>K315</f>
        <v>K</v>
      </c>
      <c r="B323" s="236" t="str">
        <f ca="1">IF(AND(OFFSET($AO$1,$L315-1,8,1,1),$A316&lt;&gt;"",$J316&lt;&gt;""),CHOOSE($L315,$AO$1,$AO$2,$AO$3,$AO$4,$AO$5,$AO$6,$AO$7,$AO$8,$AO$9,$AO$10,$AO$11,$AO$12),"")</f>
        <v/>
      </c>
      <c r="C323" s="237"/>
      <c r="D323" s="237"/>
      <c r="E323" s="237"/>
      <c r="F323" s="237"/>
      <c r="G323" s="237"/>
      <c r="H323" s="233"/>
      <c r="I323" s="233"/>
      <c r="J323" s="233"/>
      <c r="K323" s="233"/>
      <c r="L323" s="233"/>
      <c r="M323" s="250" t="s">
        <v>169</v>
      </c>
      <c r="N323" s="251"/>
      <c r="O323" s="251"/>
      <c r="P323" s="252"/>
      <c r="Q323" s="40" t="str">
        <f>IF($Q321&lt;&gt;"",IF($Q321="W","L","W"),"")</f>
        <v/>
      </c>
      <c r="R323"/>
      <c r="S323"/>
      <c r="T323"/>
      <c r="U323"/>
      <c r="V323"/>
      <c r="W323"/>
      <c r="X323"/>
      <c r="Y323"/>
      <c r="Z323"/>
      <c r="AA323"/>
      <c r="AB323"/>
      <c r="AC323"/>
      <c r="AD323"/>
      <c r="AE323"/>
      <c r="AF323"/>
    </row>
    <row r="324" spans="1:32" ht="12.75" customHeight="1" x14ac:dyDescent="0.25">
      <c r="A324" s="260"/>
      <c r="B324" s="238"/>
      <c r="C324" s="239"/>
      <c r="D324" s="239"/>
      <c r="E324" s="239"/>
      <c r="F324" s="239"/>
      <c r="G324" s="239"/>
      <c r="H324" s="234"/>
      <c r="I324" s="234"/>
      <c r="J324" s="235"/>
      <c r="K324" s="235"/>
      <c r="L324" s="235"/>
      <c r="M324" s="250"/>
      <c r="N324" s="251"/>
      <c r="O324" s="251"/>
      <c r="P324" s="252"/>
      <c r="Q324" s="110" t="str">
        <f>IF($Q323&lt;&gt;"",IF($Q323="W",IF(SUM(IF($H323&gt;$H321,1,0),IF($I323&gt;$I321,1,0),IF($J323&gt;$J321,1,0),IF($K323&gt;$K321,1,0),IF($L323&gt;$L321,1,0))&lt;&gt;3,"Error",""),""),"")</f>
        <v/>
      </c>
      <c r="R324" t="str">
        <f>$A326</f>
        <v>2nd Singles</v>
      </c>
      <c r="S324"/>
      <c r="T324"/>
      <c r="U324"/>
      <c r="V324"/>
      <c r="W324"/>
      <c r="X324"/>
      <c r="Y324"/>
      <c r="Z324"/>
      <c r="AA324"/>
      <c r="AB324"/>
      <c r="AC324"/>
      <c r="AD324"/>
      <c r="AE324"/>
      <c r="AF324"/>
    </row>
    <row r="325" spans="1:32" ht="12.75" customHeight="1" x14ac:dyDescent="0.25">
      <c r="Q325" s="6"/>
      <c r="R325" s="47" t="s">
        <v>160</v>
      </c>
      <c r="S325" s="304" t="s">
        <v>58</v>
      </c>
      <c r="T325" s="305"/>
      <c r="U325" s="305"/>
      <c r="V325" s="305"/>
      <c r="W325" s="305"/>
      <c r="X325" s="306"/>
      <c r="Y325" s="47">
        <v>1</v>
      </c>
      <c r="Z325" s="47">
        <v>2</v>
      </c>
      <c r="AA325" s="47">
        <v>3</v>
      </c>
      <c r="AB325" s="47">
        <v>4</v>
      </c>
      <c r="AC325" s="47">
        <v>5</v>
      </c>
      <c r="AD325" s="286"/>
      <c r="AE325" s="287"/>
      <c r="AF325" s="288"/>
    </row>
    <row r="326" spans="1:32" ht="12.75" customHeight="1" x14ac:dyDescent="0.25">
      <c r="A326" s="15" t="s">
        <v>166</v>
      </c>
      <c r="H326" s="110" t="str">
        <f>IF($Q328&lt;&gt;"",IF(AND(AND($H328&gt;-1,$H330&gt;-1),OR($H328&gt;10,$H330&gt;10),ABS($H328-$H330)&gt;1,IF(OR($H328&gt;11,$H330&gt;11),ABS($H328-$H330)=2,TRUE),$H328=INT($H328),$H330=INT($H330)),"","Error"),"")</f>
        <v/>
      </c>
      <c r="I326" s="110" t="str">
        <f>IF($Q328&lt;&gt;"",IF(AND(AND($I328&gt;-1,$I330&gt;-1),OR($I328&gt;10,$I330&gt;10),ABS($I328-$I330)&gt;1,IF(OR($I328&gt;11,$I330&gt;11),ABS($I328-$I330)=2,TRUE),$I328=INT($I328),$I330=INT($I330)),"","Error"),"")</f>
        <v/>
      </c>
      <c r="J326" s="110" t="str">
        <f>IF($Q328&lt;&gt;"",IF(AND(AND($J328&gt;-1,$J330&gt;-1),OR($J328&gt;10,$J330&gt;10),ABS($J328-$J330)&gt;1,IF(OR($J328&gt;11,$J330&gt;11),ABS($J328-$J330)=2,TRUE),$J328=INT($J328),$J330=INT($J330)),"","Error"),"")</f>
        <v/>
      </c>
      <c r="K326" s="110" t="str">
        <f>IF($Q328&lt;&gt;"",IF(AND($K328&lt;&gt;"",$K330&lt;&gt;""), IF(AND(AND($K328&gt;-1,$K330&gt;-1),OR($K328&gt;10,$K330&gt;10),ABS($K328-$K330)&gt;1,IF(OR($K328&gt;11,$K330&gt;11),ABS($K328-$K330)=2,TRUE),$K328=INT($K328),$K330=INT($K330)),"","Error"),""),"")</f>
        <v/>
      </c>
      <c r="L326" s="110" t="str">
        <f>IF($Q328&lt;&gt;"",IF(AND($L328&lt;&gt;"",$L330&lt;&gt;""), IF(AND(AND($L328&gt;-1,$L330&gt;-1),OR($L328&gt;10,$L330&gt;10),ABS($L328-$L330)&gt;1,IF(OR($L328&gt;11,$L330&gt;11),ABS($L328-$L330)=2,TRUE),$L328=INT($L328),$L330=INT($L330)),"","Error"),""),"")</f>
        <v/>
      </c>
      <c r="Q326" s="6"/>
      <c r="R326" s="259" t="str">
        <f>$B315</f>
        <v>A</v>
      </c>
      <c r="S326" s="307" t="str">
        <f ca="1">IF($B328&lt;&gt;"",$B328,"")</f>
        <v/>
      </c>
      <c r="T326" s="308"/>
      <c r="U326" s="308"/>
      <c r="V326" s="308"/>
      <c r="W326" s="308"/>
      <c r="X326" s="309"/>
      <c r="Y326" s="284"/>
      <c r="Z326" s="284"/>
      <c r="AA326" s="284"/>
      <c r="AB326" s="284"/>
      <c r="AC326" s="284"/>
      <c r="AD326" s="296"/>
      <c r="AE326" s="290"/>
      <c r="AF326" s="291"/>
    </row>
    <row r="327" spans="1:32" ht="12.75" customHeight="1" x14ac:dyDescent="0.25">
      <c r="A327" s="5" t="s">
        <v>160</v>
      </c>
      <c r="B327" s="256" t="s">
        <v>58</v>
      </c>
      <c r="C327" s="257"/>
      <c r="D327" s="257"/>
      <c r="E327" s="257"/>
      <c r="F327" s="257"/>
      <c r="G327" s="258"/>
      <c r="H327" s="5">
        <v>1</v>
      </c>
      <c r="I327" s="5">
        <v>2</v>
      </c>
      <c r="J327" s="5">
        <v>3</v>
      </c>
      <c r="K327" s="5">
        <v>4</v>
      </c>
      <c r="L327" s="5">
        <v>5</v>
      </c>
      <c r="M327" s="270"/>
      <c r="N327" s="271"/>
      <c r="O327" s="271"/>
      <c r="P327" s="272"/>
      <c r="Q327" s="6"/>
      <c r="R327" s="285"/>
      <c r="S327" s="310"/>
      <c r="T327" s="311"/>
      <c r="U327" s="311"/>
      <c r="V327" s="311"/>
      <c r="W327" s="311"/>
      <c r="X327" s="312"/>
      <c r="Y327" s="285"/>
      <c r="Z327" s="285"/>
      <c r="AA327" s="285"/>
      <c r="AB327" s="285"/>
      <c r="AC327" s="285"/>
      <c r="AD327" s="292"/>
      <c r="AE327" s="293"/>
      <c r="AF327" s="294"/>
    </row>
    <row r="328" spans="1:32" ht="12.75" customHeight="1" x14ac:dyDescent="0.25">
      <c r="A328" s="259" t="str">
        <f>B315</f>
        <v>A</v>
      </c>
      <c r="B328" s="236" t="str">
        <f ca="1">IF(AND(OFFSET($AO$1,$C315-1,8,1,1),$A316&lt;&gt;"",$J316&lt;&gt;""),CHOOSE($C315,$AP$1,$AP$2,$AP$3,$AP$4,$AP$5,$AP$6,$AP$7,$AP$8,$AP$9,$AP$10,$AP$11,$AP$12),"")</f>
        <v/>
      </c>
      <c r="C328" s="237"/>
      <c r="D328" s="237"/>
      <c r="E328" s="237"/>
      <c r="F328" s="237"/>
      <c r="G328" s="237"/>
      <c r="H328" s="233"/>
      <c r="I328" s="233"/>
      <c r="J328" s="233"/>
      <c r="K328" s="233"/>
      <c r="L328" s="233"/>
      <c r="M328" s="245" t="str">
        <f ca="1">IF(OR(AND($B321&lt;&gt;"",$B328&lt;&gt;"",$C346&lt;=$B346),AND($B323&lt;&gt;"",$B330&lt;&gt;"",$G346&lt;=$F346)),"Invalid Lineup","")</f>
        <v/>
      </c>
      <c r="N328" s="246"/>
      <c r="O328" s="246"/>
      <c r="P328" s="247"/>
      <c r="Q328" s="40" t="str">
        <f>IF($L328=$L330,IF($K328=$K330,IF($J328&lt;&gt;"",IF($J328&gt;$J330,"W","L"),""),IF($K328&gt;$K330,"W","L")),IF($L328&gt;$L330,"W","L"))</f>
        <v/>
      </c>
      <c r="R328" s="259" t="str">
        <f>$K315</f>
        <v>K</v>
      </c>
      <c r="S328" s="307" t="str">
        <f ca="1">IF($B330&lt;&gt;"",$B330,"")</f>
        <v/>
      </c>
      <c r="T328" s="308"/>
      <c r="U328" s="308"/>
      <c r="V328" s="308"/>
      <c r="W328" s="308"/>
      <c r="X328" s="309"/>
      <c r="Y328" s="284"/>
      <c r="Z328" s="284"/>
      <c r="AA328" s="284"/>
      <c r="AB328" s="284"/>
      <c r="AC328" s="297"/>
      <c r="AD328" s="289" t="s">
        <v>169</v>
      </c>
      <c r="AE328" s="290"/>
      <c r="AF328" s="291"/>
    </row>
    <row r="329" spans="1:32" ht="12.75" customHeight="1" x14ac:dyDescent="0.25">
      <c r="A329" s="260"/>
      <c r="B329" s="238"/>
      <c r="C329" s="239"/>
      <c r="D329" s="239"/>
      <c r="E329" s="239"/>
      <c r="F329" s="239"/>
      <c r="G329" s="239"/>
      <c r="H329" s="234"/>
      <c r="I329" s="234"/>
      <c r="J329" s="234"/>
      <c r="K329" s="234"/>
      <c r="L329" s="234"/>
      <c r="M329" s="245"/>
      <c r="N329" s="246"/>
      <c r="O329" s="246"/>
      <c r="P329" s="247"/>
      <c r="Q329" s="110" t="str">
        <f>IF($Q328&lt;&gt;"",IF($Q328="W",IF(SUM(IF($H328&gt;$H330,1,0),IF($I328&gt;$I330,1,0),IF($J328&gt;$J330,1,0),IF($K328&gt;$K330,1,0),IF($L328&gt;$L330,1,0))&lt;&gt;3,"Error",""),""),"")</f>
        <v/>
      </c>
      <c r="R329" s="285"/>
      <c r="S329" s="310"/>
      <c r="T329" s="311"/>
      <c r="U329" s="311"/>
      <c r="V329" s="311"/>
      <c r="W329" s="311"/>
      <c r="X329" s="312"/>
      <c r="Y329" s="285"/>
      <c r="Z329" s="285"/>
      <c r="AA329" s="285"/>
      <c r="AB329" s="285"/>
      <c r="AC329" s="285"/>
      <c r="AD329" s="292"/>
      <c r="AE329" s="293"/>
      <c r="AF329" s="294"/>
    </row>
    <row r="330" spans="1:32" ht="12.75" customHeight="1" x14ac:dyDescent="0.25">
      <c r="A330" s="259" t="str">
        <f>K315</f>
        <v>K</v>
      </c>
      <c r="B330" s="236" t="str">
        <f ca="1">IF(AND(OFFSET($AO$1,$L315-1,8,1,1),$A316&lt;&gt;"",$J316&lt;&gt;""),CHOOSE($L315,$AP$1,$AP$2,$AP$3,$AP$4,$AP$5,$AP$6,$AP$7,$AP$8,$AP$9,$AP$10,$AP$11,$AP$12),"")</f>
        <v/>
      </c>
      <c r="C330" s="237"/>
      <c r="D330" s="237"/>
      <c r="E330" s="237"/>
      <c r="F330" s="237"/>
      <c r="G330" s="237"/>
      <c r="H330" s="233"/>
      <c r="I330" s="233"/>
      <c r="J330" s="233"/>
      <c r="K330" s="233"/>
      <c r="L330" s="233"/>
      <c r="M330" s="250" t="s">
        <v>169</v>
      </c>
      <c r="N330" s="251"/>
      <c r="O330" s="251"/>
      <c r="P330" s="252"/>
      <c r="Q330" s="40" t="str">
        <f>IF($Q328&lt;&gt;"",IF($Q328="W","L","W"),"")</f>
        <v/>
      </c>
      <c r="R330" s="14"/>
      <c r="S330" s="14"/>
      <c r="T330" s="14"/>
      <c r="U330" s="14"/>
      <c r="V330" s="14"/>
      <c r="W330" s="14"/>
      <c r="X330" s="7"/>
      <c r="Y330" s="7"/>
      <c r="Z330" s="14"/>
      <c r="AA330" s="14"/>
      <c r="AB330" s="14"/>
      <c r="AC330" s="14"/>
      <c r="AD330" s="14"/>
      <c r="AE330" s="14"/>
      <c r="AF330"/>
    </row>
    <row r="331" spans="1:32" ht="12.75" customHeight="1" x14ac:dyDescent="0.25">
      <c r="A331" s="260"/>
      <c r="B331" s="238"/>
      <c r="C331" s="239"/>
      <c r="D331" s="239"/>
      <c r="E331" s="239"/>
      <c r="F331" s="239"/>
      <c r="G331" s="239"/>
      <c r="H331" s="234"/>
      <c r="I331" s="234"/>
      <c r="J331" s="235"/>
      <c r="K331" s="235"/>
      <c r="L331" s="235"/>
      <c r="M331" s="250"/>
      <c r="N331" s="251"/>
      <c r="O331" s="251"/>
      <c r="P331" s="252"/>
      <c r="Q331" s="110" t="str">
        <f>IF($Q330&lt;&gt;"",IF($Q330="W",IF(SUM(IF($H330&gt;$H328,1,0),IF($I330&gt;$I328,1,0),IF($J330&gt;$J328,1,0),IF($K330&gt;$K328,1,0),IF($L330&gt;$L328,1,0))&lt;&gt;3,"Error",""),""),"")</f>
        <v/>
      </c>
      <c r="R331" s="14"/>
      <c r="S331" s="14"/>
      <c r="T331" s="14"/>
      <c r="U331" s="14"/>
      <c r="V331" s="14"/>
      <c r="W331" s="14"/>
      <c r="X331" s="7"/>
      <c r="Y331" s="7"/>
      <c r="Z331" s="14"/>
      <c r="AA331" s="14"/>
      <c r="AB331" s="14"/>
      <c r="AC331" s="14"/>
      <c r="AD331" s="14"/>
      <c r="AE331" s="14"/>
      <c r="AF331"/>
    </row>
    <row r="332" spans="1:32" ht="12.75" customHeight="1" x14ac:dyDescent="0.25">
      <c r="Q332" s="6"/>
      <c r="R332" s="14"/>
      <c r="S332" s="14"/>
      <c r="T332" s="14"/>
      <c r="U332" s="14"/>
      <c r="V332" s="14"/>
      <c r="W332" s="14"/>
      <c r="X332" s="7"/>
      <c r="Y332" s="7"/>
      <c r="Z332" s="14"/>
      <c r="AA332" s="14"/>
      <c r="AB332" s="14"/>
      <c r="AC332" s="14"/>
      <c r="AD332" s="14"/>
      <c r="AE332" s="14"/>
      <c r="AF332"/>
    </row>
    <row r="333" spans="1:32" ht="12.75" customHeight="1" x14ac:dyDescent="0.25">
      <c r="A333" s="15" t="s">
        <v>167</v>
      </c>
      <c r="H333" s="110" t="str">
        <f>IF($Q335&lt;&gt;"",IF(AND(AND($H335&gt;-1,$H337&gt;-1),OR($H335&gt;10,$H337&gt;10),ABS($H335-$H337)&gt;1,IF(OR($H335&gt;11,$H337&gt;11),ABS($H335-$H337)=2,TRUE),$H335=INT($H335),$H337=INT($H337)),"","Error"),"")</f>
        <v/>
      </c>
      <c r="I333" s="110" t="str">
        <f>IF($Q335&lt;&gt;"",IF(AND(AND($I335&gt;-1,$I337&gt;-1),OR($I335&gt;10,$I337&gt;10),ABS($I335-$I337)&gt;1,IF(OR($I335&gt;11,$I337&gt;11),ABS($I335-$I337)=2,TRUE),$I335=INT($I335),$I337=INT($I337)),"","Error"),"")</f>
        <v/>
      </c>
      <c r="J333" s="110" t="str">
        <f>IF($Q335&lt;&gt;"",IF(AND(AND($J335&gt;-1,$J337&gt;-1),OR($J335&gt;10,$J337&gt;10),ABS($J335-$J337)&gt;1,IF(OR($J335&gt;11,$J337&gt;11),ABS($J335-$J337)=2,TRUE),$J335=INT($J335),$J337=INT($J337)),"","Error"),"")</f>
        <v/>
      </c>
      <c r="K333" s="110" t="str">
        <f>IF($Q335&lt;&gt;"",IF(AND($K335&lt;&gt;"",$K337&lt;&gt;""), IF(AND(AND($K335&gt;-1,$K337&gt;-1),OR($K335&gt;10,$K337&gt;10),ABS($K335-$K337)&gt;1,IF(OR($K335&gt;11,$K337&gt;11),ABS($K335-$K337)=2,TRUE),$K335=INT($K335),$K337=INT($K337)),"","Error"),""),"")</f>
        <v/>
      </c>
      <c r="L333" s="110" t="str">
        <f>IF($Q335&lt;&gt;"",IF(AND($L335&lt;&gt;"",$L337&lt;&gt;""), IF(AND(AND($L335&gt;-1,$L337&gt;-1),OR($L335&gt;10,$L337&gt;10),ABS($L335-$L337)&gt;1,IF(OR($L335&gt;11,$L337&gt;11),ABS($L335-$L337)=2,TRUE),$L335=INT($L335),$L337=INT($L337)),"","Error"),""),"")</f>
        <v/>
      </c>
      <c r="Q333" s="6"/>
      <c r="R333" s="14"/>
      <c r="S333" s="14"/>
      <c r="T333" s="14"/>
      <c r="U333" s="14"/>
      <c r="V333" s="14"/>
      <c r="W333" s="14"/>
      <c r="X333" s="7"/>
      <c r="Y333" s="7"/>
      <c r="Z333" s="14"/>
      <c r="AA333" s="14"/>
      <c r="AB333" s="14"/>
      <c r="AC333" s="14"/>
      <c r="AD333" s="14"/>
      <c r="AE333" s="14"/>
      <c r="AF333"/>
    </row>
    <row r="334" spans="1:32" ht="12.75" customHeight="1" x14ac:dyDescent="0.25">
      <c r="A334" s="5" t="s">
        <v>160</v>
      </c>
      <c r="B334" s="256" t="s">
        <v>58</v>
      </c>
      <c r="C334" s="257"/>
      <c r="D334" s="257"/>
      <c r="E334" s="257"/>
      <c r="F334" s="257"/>
      <c r="G334" s="258"/>
      <c r="H334" s="5">
        <v>1</v>
      </c>
      <c r="I334" s="5">
        <v>2</v>
      </c>
      <c r="J334" s="5">
        <v>3</v>
      </c>
      <c r="K334" s="5">
        <v>4</v>
      </c>
      <c r="L334" s="5">
        <v>5</v>
      </c>
      <c r="M334" s="270"/>
      <c r="N334" s="271"/>
      <c r="O334" s="271"/>
      <c r="P334" s="272"/>
      <c r="Q334" s="6"/>
      <c r="R334" s="14"/>
      <c r="S334" s="14"/>
      <c r="T334" s="14"/>
      <c r="U334" s="14"/>
      <c r="V334" s="14"/>
      <c r="W334" s="14"/>
      <c r="X334" s="7"/>
      <c r="Y334" s="7"/>
      <c r="Z334" s="14"/>
      <c r="AA334" s="14"/>
      <c r="AB334" s="14"/>
      <c r="AC334" s="14"/>
      <c r="AD334" s="14"/>
      <c r="AE334" s="14"/>
      <c r="AF334"/>
    </row>
    <row r="335" spans="1:32" ht="12.75" customHeight="1" x14ac:dyDescent="0.25">
      <c r="A335" s="259" t="str">
        <f>B315</f>
        <v>A</v>
      </c>
      <c r="B335" s="236" t="str">
        <f ca="1">IF(AND(OFFSET($AO$1,$C315-1,8,1,1),$A316&lt;&gt;"",$J316&lt;&gt;""),CHOOSE($C315,$AQ$1,$AQ$2,$AQ$3,$AQ$4,$AQ$5,$AQ$6,$AQ$7,$AQ$8,$AQ$9,$AQ$10,$AQ$11,$AQ$12),"")</f>
        <v/>
      </c>
      <c r="C335" s="237"/>
      <c r="D335" s="237"/>
      <c r="E335" s="237"/>
      <c r="F335" s="237"/>
      <c r="G335" s="237"/>
      <c r="H335" s="233"/>
      <c r="I335" s="233"/>
      <c r="J335" s="233"/>
      <c r="K335" s="233"/>
      <c r="L335" s="233"/>
      <c r="M335" s="245" t="str">
        <f ca="1">IF(OR(AND($B328&lt;&gt;"",$B335&lt;&gt;"",$D346&lt;=$C346),AND($B330&lt;&gt;"",$B337&lt;&gt;"",$H346&lt;=$G346)),"Invalid Lineup","")</f>
        <v/>
      </c>
      <c r="N335" s="246"/>
      <c r="O335" s="246"/>
      <c r="P335" s="247"/>
      <c r="Q335" s="40" t="str">
        <f>IF($L335=$L337,IF($K335=$K337,IF($J335&lt;&gt;"",IF($J335&gt;$J337,"W","L"),""),IF($K335&gt;$K337,"W","L")),IF($L335&gt;$L337,"W","L"))</f>
        <v/>
      </c>
      <c r="R335" s="14"/>
      <c r="S335" s="14"/>
      <c r="T335" s="14"/>
      <c r="U335" s="14"/>
      <c r="V335" s="14"/>
      <c r="W335" s="14"/>
      <c r="X335" s="7"/>
      <c r="Y335" s="7"/>
      <c r="Z335" s="14"/>
      <c r="AA335" s="14"/>
      <c r="AB335" s="14"/>
      <c r="AC335" s="14"/>
      <c r="AD335" s="14"/>
      <c r="AE335" s="14"/>
      <c r="AF335"/>
    </row>
    <row r="336" spans="1:32" ht="12.75" customHeight="1" x14ac:dyDescent="0.25">
      <c r="A336" s="260"/>
      <c r="B336" s="238"/>
      <c r="C336" s="239"/>
      <c r="D336" s="239"/>
      <c r="E336" s="239"/>
      <c r="F336" s="239"/>
      <c r="G336" s="239"/>
      <c r="H336" s="234"/>
      <c r="I336" s="234"/>
      <c r="J336" s="234"/>
      <c r="K336" s="234"/>
      <c r="L336" s="234"/>
      <c r="M336" s="245"/>
      <c r="N336" s="246"/>
      <c r="O336" s="246"/>
      <c r="P336" s="247"/>
      <c r="Q336" s="110" t="str">
        <f>IF($Q335&lt;&gt;"",IF($Q335="W",IF(SUM(IF($H335&gt;$H337,1,0),IF($I335&gt;$I337,1,0),IF($J335&gt;$J337,1,0),IF($K335&gt;$K337,1,0),IF($L335&gt;$L337,1,0))&lt;&gt;3,"Error",""),""),"")</f>
        <v/>
      </c>
      <c r="R336" s="295" t="str">
        <f>$A316</f>
        <v/>
      </c>
      <c r="S336" s="295"/>
      <c r="T336" s="295"/>
      <c r="U336" s="295"/>
      <c r="V336" s="295"/>
      <c r="W336" s="295"/>
      <c r="X336" s="219" t="str">
        <f>CONCATENATE("(",$B315," vs ",$K315,")")</f>
        <v>(A vs K)</v>
      </c>
      <c r="Y336" s="219"/>
      <c r="Z336" s="295" t="str">
        <f>$J316</f>
        <v/>
      </c>
      <c r="AA336" s="295"/>
      <c r="AB336" s="295"/>
      <c r="AC336" s="295"/>
      <c r="AD336" s="295"/>
      <c r="AE336" s="295"/>
      <c r="AF336"/>
    </row>
    <row r="337" spans="1:32" ht="12.75" customHeight="1" x14ac:dyDescent="0.25">
      <c r="A337" s="259" t="str">
        <f>K315</f>
        <v>K</v>
      </c>
      <c r="B337" s="236" t="str">
        <f ca="1">IF(AND(OFFSET($AO$1,$L315-1,8,1,1),$A316&lt;&gt;"",$J316&lt;&gt;""),CHOOSE($L315,$AQ$1,$AQ$2,$AQ$3,$AQ$4,$AQ$5,$AQ$6,$AQ$7,$AQ$8,$AQ$9,$AQ$10,$AQ$11,$AQ$12),"")</f>
        <v/>
      </c>
      <c r="C337" s="237"/>
      <c r="D337" s="237"/>
      <c r="E337" s="237"/>
      <c r="F337" s="237"/>
      <c r="G337" s="237"/>
      <c r="H337" s="233"/>
      <c r="I337" s="233"/>
      <c r="J337" s="233"/>
      <c r="K337" s="233"/>
      <c r="L337" s="233"/>
      <c r="M337" s="250" t="s">
        <v>169</v>
      </c>
      <c r="N337" s="251"/>
      <c r="O337" s="251"/>
      <c r="P337" s="252"/>
      <c r="Q337" s="40" t="str">
        <f>IF($Q335&lt;&gt;"",IF($Q335="W","L","W"),"")</f>
        <v/>
      </c>
      <c r="R337"/>
      <c r="S337"/>
      <c r="T337"/>
      <c r="U337"/>
      <c r="V337"/>
      <c r="W337"/>
      <c r="X337"/>
      <c r="Y337"/>
      <c r="Z337"/>
      <c r="AA337"/>
      <c r="AB337"/>
      <c r="AC337"/>
      <c r="AD337"/>
      <c r="AE337"/>
      <c r="AF337"/>
    </row>
    <row r="338" spans="1:32" ht="12.75" customHeight="1" x14ac:dyDescent="0.25">
      <c r="A338" s="260"/>
      <c r="B338" s="238"/>
      <c r="C338" s="239"/>
      <c r="D338" s="239"/>
      <c r="E338" s="239"/>
      <c r="F338" s="239"/>
      <c r="G338" s="239"/>
      <c r="H338" s="234"/>
      <c r="I338" s="234"/>
      <c r="J338" s="235"/>
      <c r="K338" s="235"/>
      <c r="L338" s="235"/>
      <c r="M338" s="250"/>
      <c r="N338" s="251"/>
      <c r="O338" s="251"/>
      <c r="P338" s="252"/>
      <c r="Q338" s="110" t="str">
        <f>IF($Q337&lt;&gt;"",IF($Q337="W",IF(SUM(IF($H337&gt;$H335,1,0),IF($I337&gt;$I335,1,0),IF($J337&gt;$J335,1,0),IF($K337&gt;$K335,1,0),IF($L337&gt;$L335,1,0))&lt;&gt;3,"Error",""),""),"")</f>
        <v/>
      </c>
      <c r="R338" t="str">
        <f>$A333</f>
        <v>3rd Singles</v>
      </c>
      <c r="S338"/>
      <c r="T338"/>
      <c r="U338"/>
      <c r="V338"/>
      <c r="W338"/>
      <c r="X338"/>
      <c r="Y338"/>
      <c r="Z338"/>
      <c r="AA338"/>
      <c r="AB338"/>
      <c r="AC338"/>
      <c r="AD338"/>
      <c r="AE338"/>
      <c r="AF338"/>
    </row>
    <row r="339" spans="1:32" ht="12.75" customHeight="1" x14ac:dyDescent="0.25">
      <c r="Q339" s="6"/>
      <c r="R339" s="47" t="s">
        <v>160</v>
      </c>
      <c r="S339" s="86" t="s">
        <v>58</v>
      </c>
      <c r="T339" s="87"/>
      <c r="U339" s="87"/>
      <c r="V339" s="87"/>
      <c r="W339" s="87"/>
      <c r="X339" s="88"/>
      <c r="Y339" s="47">
        <v>1</v>
      </c>
      <c r="Z339" s="47">
        <v>2</v>
      </c>
      <c r="AA339" s="47">
        <v>3</v>
      </c>
      <c r="AB339" s="47">
        <v>4</v>
      </c>
      <c r="AC339" s="47">
        <v>5</v>
      </c>
      <c r="AD339" s="89"/>
      <c r="AE339" s="90"/>
      <c r="AF339" s="91"/>
    </row>
    <row r="340" spans="1:32" ht="12.75" customHeight="1" x14ac:dyDescent="0.25">
      <c r="A340" s="15" t="s">
        <v>168</v>
      </c>
      <c r="H340" s="110" t="str">
        <f ca="1">IF($Q342&lt;&gt;"",IF(AND($B342&lt;&gt;"Missing Player",$B344&lt;&gt;"Missing Player"),IF(AND(AND($H342&gt;-1,$H344&gt;-1),OR($H342&gt;10,$H344&gt;10),ABS($H342-$H344)&gt;1,IF(OR($H342&gt;11,$H344&gt;11),ABS($H342-$H344)=2,TRUE),$H342=INT($H342),$H344=INT($H344)),"","Error"),""),"")</f>
        <v/>
      </c>
      <c r="I340" s="110" t="str">
        <f ca="1">IF($Q342&lt;&gt;"",IF(AND($B342&lt;&gt;"Missing Player",$B344&lt;&gt;"Missing Player"),IF(AND(AND($I342&gt;-1,$I344&gt;-1),OR($I342&gt;10,$I344&gt;10),ABS($I342-$I344)&gt;1,IF(OR($I342&gt;11,$I344&gt;11),ABS($I342-$I344)=2,TRUE),$I342=INT($I342),$I344=INT($I344)),"","Error"),""),"")</f>
        <v/>
      </c>
      <c r="J340" s="110" t="str">
        <f ca="1">IF($Q342&lt;&gt;"",IF(AND($B342&lt;&gt;"Missing Player",$B344&lt;&gt;"Missing Player"),IF(AND(AND($J342&gt;-1,$J344&gt;-1),OR($J342&gt;10,$J344&gt;10),ABS($J342-$J344)&gt;1,IF(OR($J342&gt;11,$J344&gt;11),ABS($J342-$J344)=2,TRUE),$J342=INT($J342),$J344=INT($J344)),"","Error"),""),"")</f>
        <v/>
      </c>
      <c r="K340" s="110" t="str">
        <f ca="1">IF($Q342&lt;&gt;"",IF(AND($K342&lt;&gt;"",$K344&lt;&gt;""), IF(AND(AND($K342&gt;-1,$K344&gt;-1),OR($K342&gt;10,$K344&gt;10),ABS($K342-$K344)&gt;1,IF(OR($K342&gt;11,$K344&gt;11),ABS($K342-$K344)=2,TRUE),$K342=INT($K342),$K344=INT($K344)),"","Error"),""),"")</f>
        <v/>
      </c>
      <c r="L340" s="110" t="str">
        <f ca="1">IF($Q342&lt;&gt;"",IF(AND($L342&lt;&gt;"",$L344&lt;&gt;""), IF(AND(AND($L342&gt;-1,$L344&gt;-1),OR($L342&gt;10,$L344&gt;10),ABS($L342-$L344)&gt;1,IF(OR($L342&gt;11,$L344&gt;11),ABS($L342-$L344)=2,TRUE),$L342=INT($L342),$L344=INT($L344)),"","Error"),""),"")</f>
        <v/>
      </c>
      <c r="Q340" s="6"/>
      <c r="R340" s="259" t="str">
        <f>$B315</f>
        <v>A</v>
      </c>
      <c r="S340" s="307" t="str">
        <f ca="1">IF($B335&lt;&gt;"",$B335,"")</f>
        <v/>
      </c>
      <c r="T340" s="308"/>
      <c r="U340" s="308"/>
      <c r="V340" s="308"/>
      <c r="W340" s="308"/>
      <c r="X340" s="309"/>
      <c r="Y340" s="284"/>
      <c r="Z340" s="284"/>
      <c r="AA340" s="284"/>
      <c r="AB340" s="284"/>
      <c r="AC340" s="284"/>
      <c r="AD340" s="296"/>
      <c r="AE340" s="290"/>
      <c r="AF340" s="291"/>
    </row>
    <row r="341" spans="1:32" ht="12.75" customHeight="1" x14ac:dyDescent="0.25">
      <c r="A341" s="5" t="s">
        <v>160</v>
      </c>
      <c r="B341" s="256" t="s">
        <v>58</v>
      </c>
      <c r="C341" s="257"/>
      <c r="D341" s="257"/>
      <c r="E341" s="257"/>
      <c r="F341" s="257"/>
      <c r="G341" s="258"/>
      <c r="H341" s="5">
        <v>1</v>
      </c>
      <c r="I341" s="5">
        <v>2</v>
      </c>
      <c r="J341" s="5">
        <v>3</v>
      </c>
      <c r="K341" s="5">
        <v>4</v>
      </c>
      <c r="L341" s="5">
        <v>5</v>
      </c>
      <c r="M341" s="270"/>
      <c r="N341" s="271"/>
      <c r="O341" s="271"/>
      <c r="P341" s="272"/>
      <c r="Q341" s="6"/>
      <c r="R341" s="285"/>
      <c r="S341" s="310"/>
      <c r="T341" s="311"/>
      <c r="U341" s="311"/>
      <c r="V341" s="311"/>
      <c r="W341" s="311"/>
      <c r="X341" s="312"/>
      <c r="Y341" s="285"/>
      <c r="Z341" s="285"/>
      <c r="AA341" s="285"/>
      <c r="AB341" s="285"/>
      <c r="AC341" s="285"/>
      <c r="AD341" s="292"/>
      <c r="AE341" s="293"/>
      <c r="AF341" s="294"/>
    </row>
    <row r="342" spans="1:32" ht="12.75" customHeight="1" x14ac:dyDescent="0.25">
      <c r="A342" s="259" t="str">
        <f>B315</f>
        <v>A</v>
      </c>
      <c r="B342" s="236" t="str">
        <f ca="1">IF(AND(OFFSET($AO$1,$C315-1,8,1,1),$A316&lt;&gt;"",$J316&lt;&gt;""),CHOOSE($C315,$AR$1,$AR$2,$AR$3,$AR$4,$AR$5,$AR$6,$AR$7,$AR$8,$AR$9,$AR$10,$AR$11,$AR$12),"")</f>
        <v/>
      </c>
      <c r="C342" s="237"/>
      <c r="D342" s="237"/>
      <c r="E342" s="237"/>
      <c r="F342" s="237"/>
      <c r="G342" s="237"/>
      <c r="H342" s="233"/>
      <c r="I342" s="233"/>
      <c r="J342" s="233"/>
      <c r="K342" s="233"/>
      <c r="L342" s="233" t="str">
        <f ca="1">IF(AND($B342&lt;&gt;"",$Q321&lt;&gt;""),IF($B342="Missing Player",0,IF($B344="Missing Player",11,"")),"")</f>
        <v/>
      </c>
      <c r="M342" s="245" t="str">
        <f ca="1">IF(OR(AND($B335&lt;&gt;"",$B342&lt;&gt;"",$E346&lt;=$D346),AND($B337&lt;&gt;"",$B344&lt;&gt;"",$I346&lt;=$H346)),"Invalid Lineup","")</f>
        <v/>
      </c>
      <c r="N342" s="246"/>
      <c r="O342" s="246"/>
      <c r="P342" s="247"/>
      <c r="Q342" s="40" t="str">
        <f ca="1">IF($L342=$L344,IF($K342=$K344,IF($J342&lt;&gt;"",IF($J342&gt;$J344,"W","L"),""),IF($K342&gt;$K344,"W","L")),IF($L342&gt;$L344,"W","L"))</f>
        <v/>
      </c>
      <c r="R342" s="259" t="str">
        <f>$K315</f>
        <v>K</v>
      </c>
      <c r="S342" s="307" t="str">
        <f ca="1">IF($B337&lt;&gt;"",$B337,"")</f>
        <v/>
      </c>
      <c r="T342" s="308"/>
      <c r="U342" s="308"/>
      <c r="V342" s="308"/>
      <c r="W342" s="308"/>
      <c r="X342" s="309"/>
      <c r="Y342" s="284"/>
      <c r="Z342" s="284"/>
      <c r="AA342" s="284"/>
      <c r="AB342" s="284"/>
      <c r="AC342" s="297"/>
      <c r="AD342" s="289" t="s">
        <v>169</v>
      </c>
      <c r="AE342" s="290"/>
      <c r="AF342" s="291"/>
    </row>
    <row r="343" spans="1:32" ht="12.75" customHeight="1" x14ac:dyDescent="0.25">
      <c r="A343" s="260"/>
      <c r="B343" s="238"/>
      <c r="C343" s="239"/>
      <c r="D343" s="239"/>
      <c r="E343" s="239"/>
      <c r="F343" s="239"/>
      <c r="G343" s="239"/>
      <c r="H343" s="234"/>
      <c r="I343" s="234"/>
      <c r="J343" s="234"/>
      <c r="K343" s="234"/>
      <c r="L343" s="234"/>
      <c r="M343" s="245"/>
      <c r="N343" s="246"/>
      <c r="O343" s="246"/>
      <c r="P343" s="247"/>
      <c r="Q343" s="110" t="str">
        <f ca="1">IF($Q342&lt;&gt;"",IF($B344&lt;&gt;"Missing Player",IF($Q342="W",IF(SUM(IF($H342&gt;$H344,1,0),IF($I342&gt;$I344,1,0),IF($J342&gt;$J344,1,0),IF($K342&gt;$K344,1,0),IF($L342&gt;$L344,1,0))&lt;&gt;3,"Error",""),""),""),"")</f>
        <v/>
      </c>
      <c r="R343" s="285"/>
      <c r="S343" s="310"/>
      <c r="T343" s="311"/>
      <c r="U343" s="311"/>
      <c r="V343" s="311"/>
      <c r="W343" s="311"/>
      <c r="X343" s="312"/>
      <c r="Y343" s="285"/>
      <c r="Z343" s="285"/>
      <c r="AA343" s="285"/>
      <c r="AB343" s="285"/>
      <c r="AC343" s="285"/>
      <c r="AD343" s="292"/>
      <c r="AE343" s="293"/>
      <c r="AF343" s="294"/>
    </row>
    <row r="344" spans="1:32" ht="12.75" customHeight="1" x14ac:dyDescent="0.25">
      <c r="A344" s="259" t="str">
        <f>K315</f>
        <v>K</v>
      </c>
      <c r="B344" s="236" t="str">
        <f ca="1">IF(AND(OFFSET($AO$1,$L315-1,8,1,1),$A316&lt;&gt;"",$J316&lt;&gt;""),CHOOSE($L315,$AR$1,$AR$2,$AR$3,$AR$4,$AR$5,$AR$6,$AR$7,$AR$8,$AR$9,$AR$10,$AR$11,$AR$12),"")</f>
        <v/>
      </c>
      <c r="C344" s="237"/>
      <c r="D344" s="237"/>
      <c r="E344" s="237"/>
      <c r="F344" s="237"/>
      <c r="G344" s="237"/>
      <c r="H344" s="233"/>
      <c r="I344" s="233"/>
      <c r="J344" s="233"/>
      <c r="K344" s="233"/>
      <c r="L344" s="233" t="str">
        <f ca="1">IF(AND($B344&lt;&gt;"",$Q321&lt;&gt;""),IF($B344="Missing Player",0,IF($B342="Missing Player",11,"")),"")</f>
        <v/>
      </c>
      <c r="M344" s="250" t="s">
        <v>169</v>
      </c>
      <c r="N344" s="251"/>
      <c r="O344" s="251"/>
      <c r="P344" s="252"/>
      <c r="Q344" s="40" t="str">
        <f ca="1">IF($Q342&lt;&gt;"",IF($Q342="W","L","W"),"")</f>
        <v/>
      </c>
      <c r="R344" s="94"/>
      <c r="S344" s="84"/>
      <c r="T344" s="84"/>
      <c r="U344" s="84"/>
      <c r="V344" s="84"/>
      <c r="W344" s="84"/>
      <c r="X344" s="84"/>
      <c r="Y344" s="93"/>
      <c r="Z344" s="93"/>
      <c r="AA344" s="93"/>
      <c r="AB344" s="93"/>
      <c r="AC344" s="93"/>
      <c r="AD344" s="92"/>
      <c r="AE344" s="93"/>
      <c r="AF344" s="93"/>
    </row>
    <row r="345" spans="1:32" ht="12.75" customHeight="1" x14ac:dyDescent="0.25">
      <c r="A345" s="260"/>
      <c r="B345" s="238"/>
      <c r="C345" s="239"/>
      <c r="D345" s="239"/>
      <c r="E345" s="239"/>
      <c r="F345" s="239"/>
      <c r="G345" s="239"/>
      <c r="H345" s="234"/>
      <c r="I345" s="234"/>
      <c r="J345" s="235"/>
      <c r="K345" s="235"/>
      <c r="L345" s="235"/>
      <c r="M345" s="250"/>
      <c r="N345" s="251"/>
      <c r="O345" s="251"/>
      <c r="P345" s="252"/>
      <c r="Q345" s="110" t="str">
        <f ca="1">IF($Q344&lt;&gt;"",IF($B342&lt;&gt;"Missing Player",IF($Q344="W",IF(SUM(IF($H344&gt;$H342,1,0),IF($I344&gt;$I342,1,0),IF($J344&gt;$J342,1,0),IF($K344&gt;$K342,1,0),IF($L344&gt;$L342,1,0))&lt;&gt;3,"Error",""),""),""),"")</f>
        <v/>
      </c>
      <c r="R345" s="85"/>
      <c r="S345" s="95"/>
      <c r="T345" s="95"/>
      <c r="U345" s="95"/>
      <c r="V345" s="95"/>
      <c r="W345" s="95"/>
      <c r="X345" s="95"/>
      <c r="Y345" s="85"/>
      <c r="Z345" s="85"/>
      <c r="AA345" s="85"/>
      <c r="AB345" s="85"/>
      <c r="AC345" s="85"/>
      <c r="AD345" s="85"/>
      <c r="AE345" s="85"/>
      <c r="AF345" s="85"/>
    </row>
    <row r="346" spans="1:32" ht="12.75" customHeight="1" x14ac:dyDescent="0.25">
      <c r="B346" s="111" t="str">
        <f ca="1">IF(ISERROR(VLOOKUP($B321&amp;"("&amp;$B315&amp;")",Players!$S$4:$T$132,2,FALSE)),"",VLOOKUP($B321&amp;"("&amp;$B315&amp;")",Players!$S$4:$T$132,2,FALSE))</f>
        <v>A1</v>
      </c>
      <c r="C346" s="111" t="str">
        <f ca="1">IF(ISERROR(VLOOKUP($B328&amp;"("&amp;$B315&amp;")",Players!$S$4:$T$132,2,FALSE)),"",VLOOKUP($B328&amp;"("&amp;$B315&amp;")",Players!$S$4:$T$132,2,FALSE))</f>
        <v>A1</v>
      </c>
      <c r="D346" s="111" t="str">
        <f ca="1">IF(ISERROR(VLOOKUP($B335&amp;"("&amp;$B315&amp;")",Players!$S$4:$T$132,2,FALSE)),"",VLOOKUP($B335&amp;"("&amp;$B315&amp;")",Players!$S$4:$T$132,2,FALSE))</f>
        <v>A1</v>
      </c>
      <c r="E346" s="111" t="str">
        <f ca="1">IF(ISERROR(VLOOKUP($B342&amp;"("&amp;$B315&amp;")",Players!$S$4:$T$132,2,FALSE)),"",VLOOKUP($B342&amp;"("&amp;$B315&amp;")",Players!$S$4:$T$132,2,FALSE))</f>
        <v>A1</v>
      </c>
      <c r="F346" s="111" t="str">
        <f ca="1">IF(ISERROR(VLOOKUP($B323&amp;"("&amp;$K315&amp;")",Players!$S$4:$T$132,2,FALSE)),"",VLOOKUP($B323&amp;"("&amp;$K315&amp;")",Players!$S$4:$T$132,2,FALSE))</f>
        <v>K1</v>
      </c>
      <c r="G346" s="111" t="str">
        <f ca="1">IF(ISERROR(VLOOKUP($B330&amp;"("&amp;$K315&amp;")",Players!$S$4:$T$132,2,FALSE)),"",VLOOKUP($B330&amp;"("&amp;$K315&amp;")",Players!$S$4:$T$132,2,FALSE))</f>
        <v>K1</v>
      </c>
      <c r="H346" s="111" t="str">
        <f ca="1">IF(ISERROR(VLOOKUP($B337&amp;"("&amp;$K315&amp;")",Players!$S$4:$T$132,2,FALSE)),"",VLOOKUP($B337&amp;"("&amp;$K315&amp;")",Players!$S$4:$T$132,2,FALSE))</f>
        <v>K1</v>
      </c>
      <c r="I346" s="111" t="str">
        <f ca="1">IF(ISERROR(VLOOKUP($B344&amp;"("&amp;$K315&amp;")",Players!$S$4:$T$132,2,FALSE)),"",VLOOKUP($B344&amp;"("&amp;$K315&amp;")",Players!$S$4:$T$132,2,FALSE))</f>
        <v>K1</v>
      </c>
      <c r="Q346" s="6"/>
      <c r="R346" s="37"/>
      <c r="S346" s="95"/>
      <c r="T346" s="95"/>
      <c r="U346" s="95"/>
      <c r="V346" s="95"/>
      <c r="W346" s="95"/>
      <c r="X346" s="95"/>
      <c r="Y346" s="85"/>
      <c r="Z346" s="85"/>
      <c r="AA346" s="85"/>
      <c r="AB346" s="85"/>
      <c r="AC346" s="96"/>
      <c r="AD346" s="97"/>
      <c r="AE346" s="85"/>
      <c r="AF346" s="85"/>
    </row>
    <row r="347" spans="1:32" ht="12.75" customHeight="1" x14ac:dyDescent="0.25">
      <c r="A347" s="15" t="s">
        <v>157</v>
      </c>
      <c r="H347" s="110" t="str">
        <f ca="1">IF($Q349&lt;&gt;"",IF(AND($B350&lt;&gt;"Missing Player",$B352&lt;&gt;"Missing Player"),IF(AND(AND($H349&gt;-1,$H351&gt;-1),OR($H349&gt;10,$H351&gt;10),ABS($H349-$H351)&gt;1,IF(OR($H349&gt;11,$H351&gt;11),ABS($H349-$H351)=2,TRUE),$H349=INT($H349),$H351=INT($H351)),"","Error"),""),"")</f>
        <v/>
      </c>
      <c r="I347" s="110" t="str">
        <f ca="1">IF($Q349&lt;&gt;"",IF(AND($B350&lt;&gt;"Missing Player",$B352&lt;&gt;"Missing Player"),IF(AND(AND($I349&gt;-1,$I351&gt;-1),OR($I349&gt;10,$I351&gt;10),ABS($I349-$I351)&gt;1,IF(OR($I349&gt;11,$I351&gt;11),ABS($I349-$I351)=2,TRUE),$I349=INT($I349),$I351=INT($I351)),"","Error"),""),"")</f>
        <v/>
      </c>
      <c r="J347" s="110" t="str">
        <f ca="1">IF($Q349&lt;&gt;"",IF(AND($B350&lt;&gt;"Missing Player",$B352&lt;&gt;"Missing Player"),IF(AND(AND($J349&gt;-1,$J351&gt;-1),OR($J349&gt;10,$J351&gt;10),ABS($J349-$J351)&gt;1,IF(OR($J349&gt;11,$J351&gt;11),ABS($J349-$J351)=2,TRUE),$J349=INT($J349),$J351=INT($J351)),"","Error"),""),"")</f>
        <v/>
      </c>
      <c r="K347" s="110" t="str">
        <f ca="1">IF($Q349&lt;&gt;"",IF(AND($K349&lt;&gt;"",$K351&lt;&gt;""), IF(AND(AND($K349&gt;-1,$K351&gt;-1),OR($K349&gt;10,$K351&gt;10),ABS($K349-$K351)&gt;1,IF(OR($K349&gt;11,$K351&gt;11),ABS($K349-$K351)=2,TRUE),$K349=INT($K349),$K351=INT($K351)),"","Error"),""),"")</f>
        <v/>
      </c>
      <c r="L347" s="110" t="str">
        <f ca="1">IF($Q349&lt;&gt;"",IF(AND($L349&lt;&gt;"",$L351&lt;&gt;""), IF(AND(AND($L349&gt;-1,$L351&gt;-1),OR($L349&gt;10,$L351&gt;10),ABS($L349-$L351)&gt;1,IF(OR($L349&gt;11,$L351&gt;11),ABS($L349-$L351)=2,TRUE),$L349=INT($L349),$L351=INT($L351)),"","Error"),""),"")</f>
        <v/>
      </c>
      <c r="Q347" s="6"/>
      <c r="R347" s="85"/>
      <c r="S347" s="95"/>
      <c r="T347" s="95"/>
      <c r="U347" s="95"/>
      <c r="V347" s="95"/>
      <c r="W347" s="95"/>
      <c r="X347" s="95"/>
      <c r="Y347" s="85"/>
      <c r="Z347" s="85"/>
      <c r="AA347" s="85"/>
      <c r="AB347" s="85"/>
      <c r="AC347" s="85"/>
      <c r="AD347" s="85"/>
      <c r="AE347" s="85"/>
      <c r="AF347" s="85"/>
    </row>
    <row r="348" spans="1:32" ht="12.75" customHeight="1" x14ac:dyDescent="0.25">
      <c r="A348" s="5" t="s">
        <v>160</v>
      </c>
      <c r="B348" s="256" t="s">
        <v>58</v>
      </c>
      <c r="C348" s="257"/>
      <c r="D348" s="257"/>
      <c r="E348" s="257"/>
      <c r="F348" s="257"/>
      <c r="G348" s="258"/>
      <c r="H348" s="5">
        <v>1</v>
      </c>
      <c r="I348" s="5">
        <v>2</v>
      </c>
      <c r="J348" s="5">
        <v>3</v>
      </c>
      <c r="K348" s="5">
        <v>4</v>
      </c>
      <c r="L348" s="5">
        <v>5</v>
      </c>
      <c r="M348" s="270"/>
      <c r="N348" s="271"/>
      <c r="O348" s="271"/>
      <c r="P348" s="272"/>
      <c r="Q348" s="6"/>
      <c r="T348" s="7"/>
    </row>
    <row r="349" spans="1:32" ht="12.75" customHeight="1" x14ac:dyDescent="0.25">
      <c r="A349" s="259" t="str">
        <f>B315</f>
        <v>A</v>
      </c>
      <c r="B349" s="230" t="str">
        <f ca="1">IF($B321&lt;&gt;"",$B321,"")</f>
        <v/>
      </c>
      <c r="C349" s="231"/>
      <c r="D349" s="231"/>
      <c r="E349" s="231"/>
      <c r="F349" s="231"/>
      <c r="G349" s="232"/>
      <c r="H349" s="233"/>
      <c r="I349" s="233"/>
      <c r="J349" s="233"/>
      <c r="K349" s="233"/>
      <c r="L349" s="233" t="str">
        <f ca="1">IF($B342&lt;&gt;"",IF(AND($B342="Missing Player",$G353=2,$J353=2),0,IF(AND($B344="Missing Player",$G353=2,$J353=2),11,"")),"")</f>
        <v/>
      </c>
      <c r="M349" s="245" t="str">
        <f ca="1">IF(OR(AND($B349&lt;&gt;"",$B350&lt;&gt;"",$B349=$B350),AND($B351&lt;&gt;"",$B352&lt;&gt;"",$B351=$B352)),"Invalid Partner","")</f>
        <v/>
      </c>
      <c r="N349" s="246"/>
      <c r="O349" s="246"/>
      <c r="P349" s="247"/>
      <c r="Q349" s="37" t="str">
        <f ca="1">IF(L349=L351,IF(K349=K351,IF(J349&lt;&gt;"",IF(J349&gt;J351,"W","L"),""),IF(K349&gt;K351,"W","L")),IF(L349&gt;L351,"W","L"))</f>
        <v/>
      </c>
      <c r="T349" s="7"/>
    </row>
    <row r="350" spans="1:32" ht="12.75" customHeight="1" x14ac:dyDescent="0.25">
      <c r="A350" s="260"/>
      <c r="B350" s="266" t="str">
        <f ca="1">IF($B342="Missing Player",$B342,"")</f>
        <v/>
      </c>
      <c r="C350" s="267"/>
      <c r="D350" s="267"/>
      <c r="E350" s="267"/>
      <c r="F350" s="267"/>
      <c r="G350" s="268"/>
      <c r="H350" s="234"/>
      <c r="I350" s="234"/>
      <c r="J350" s="234"/>
      <c r="K350" s="234"/>
      <c r="L350" s="234"/>
      <c r="M350" s="245"/>
      <c r="N350" s="246"/>
      <c r="O350" s="246"/>
      <c r="P350" s="247"/>
      <c r="Q350" s="110" t="str">
        <f ca="1">IF($Q349&lt;&gt;"",IF($B352&lt;&gt;"Missing Player",IF($Q349="W",IF(SUM(IF($H349&gt;$H351,1,0),IF($I349&gt;$I351,1,0),IF($J349&gt;$J351,1,0),IF($K349&gt;$K351,1,0),IF($L349&gt;$L351,1,0))&lt;&gt;3,"Error",""),""),""),"")</f>
        <v/>
      </c>
      <c r="R350" s="295" t="str">
        <f>$A316</f>
        <v/>
      </c>
      <c r="S350" s="295"/>
      <c r="T350" s="295"/>
      <c r="U350" s="295"/>
      <c r="V350" s="295"/>
      <c r="W350" s="295"/>
      <c r="X350" s="219" t="str">
        <f>CONCATENATE("(",$B315," vs ",$K315,")")</f>
        <v>(A vs K)</v>
      </c>
      <c r="Y350" s="219"/>
      <c r="Z350" s="295" t="str">
        <f>$J316</f>
        <v/>
      </c>
      <c r="AA350" s="295"/>
      <c r="AB350" s="295"/>
      <c r="AC350" s="295"/>
      <c r="AD350" s="295"/>
      <c r="AE350" s="295"/>
      <c r="AF350"/>
    </row>
    <row r="351" spans="1:32" ht="12.75" customHeight="1" x14ac:dyDescent="0.25">
      <c r="A351" s="265" t="str">
        <f>K315</f>
        <v>K</v>
      </c>
      <c r="B351" s="230" t="str">
        <f ca="1">IF($B323&lt;&gt;"",$B323,"")</f>
        <v/>
      </c>
      <c r="C351" s="231"/>
      <c r="D351" s="231"/>
      <c r="E351" s="231"/>
      <c r="F351" s="231"/>
      <c r="G351" s="232"/>
      <c r="H351" s="233"/>
      <c r="I351" s="233"/>
      <c r="J351" s="233"/>
      <c r="K351" s="233"/>
      <c r="L351" s="233" t="str">
        <f ca="1">IF($B344&lt;&gt;"",IF(AND($B344="Missing Player",$G353=2,$J353=2),0,IF(AND($B342="Missing Player",$G353=2,$J353=2),11,"")),"")</f>
        <v/>
      </c>
      <c r="M351" s="250" t="s">
        <v>169</v>
      </c>
      <c r="N351" s="251"/>
      <c r="O351" s="251"/>
      <c r="P351" s="252"/>
      <c r="Q351" s="37" t="str">
        <f ca="1">IF(Q349&lt;&gt;"",IF(Q349="W","L","W"),"")</f>
        <v/>
      </c>
      <c r="R351"/>
      <c r="S351"/>
      <c r="T351"/>
      <c r="U351"/>
      <c r="V351"/>
      <c r="W351"/>
      <c r="X351"/>
      <c r="Y351"/>
      <c r="Z351"/>
      <c r="AA351"/>
      <c r="AB351"/>
      <c r="AC351"/>
      <c r="AD351"/>
      <c r="AE351"/>
      <c r="AF351"/>
    </row>
    <row r="352" spans="1:32" ht="12.75" customHeight="1" x14ac:dyDescent="0.25">
      <c r="A352" s="260"/>
      <c r="B352" s="266" t="str">
        <f ca="1">IF($B344="Missing Player",$B344,"")</f>
        <v/>
      </c>
      <c r="C352" s="267"/>
      <c r="D352" s="267"/>
      <c r="E352" s="267"/>
      <c r="F352" s="267"/>
      <c r="G352" s="268"/>
      <c r="H352" s="234"/>
      <c r="I352" s="234"/>
      <c r="J352" s="235"/>
      <c r="K352" s="235"/>
      <c r="L352" s="235"/>
      <c r="M352" s="250"/>
      <c r="N352" s="251"/>
      <c r="O352" s="251"/>
      <c r="P352" s="252"/>
      <c r="Q352" s="110" t="str">
        <f ca="1">IF($Q351&lt;&gt;"",IF($B350&lt;&gt;"Missing Player",IF($Q351="W",IF(SUM(IF($H351&gt;$H349,1,0),IF($I351&gt;$I349,1,0),IF($J351&gt;$J349,1,0),IF($K351&gt;$K349,1,0),IF($L351&gt;$L349,1,0))&lt;&gt;3,"Error",""),""),""),"")</f>
        <v/>
      </c>
      <c r="R352" t="str">
        <f>A340</f>
        <v>4th Singles</v>
      </c>
      <c r="S352"/>
      <c r="T352"/>
      <c r="U352"/>
      <c r="V352"/>
      <c r="W352"/>
      <c r="X352"/>
      <c r="Y352"/>
      <c r="Z352"/>
      <c r="AA352"/>
      <c r="AB352"/>
      <c r="AC352"/>
      <c r="AD352"/>
      <c r="AE352"/>
      <c r="AF352"/>
    </row>
    <row r="353" spans="1:32" ht="12.75" customHeight="1" x14ac:dyDescent="0.25">
      <c r="G353" s="53">
        <f ca="1">COUNTIF($Q321:$Q321,"W")+COUNTIF($Q328:$Q328,"W")+COUNTIF($Q335:$Q335,"W")+COUNTIF($Q342:$Q342,"W")</f>
        <v>0</v>
      </c>
      <c r="J353" s="53">
        <f ca="1">COUNTIF($Q323:$Q323,"W")+COUNTIF($Q330:$Q330,"W")+COUNTIF($Q337:$Q337,"W")+COUNTIF($Q344:$Q344,"W")</f>
        <v>0</v>
      </c>
      <c r="R353" s="47" t="s">
        <v>160</v>
      </c>
      <c r="S353" s="304" t="s">
        <v>58</v>
      </c>
      <c r="T353" s="305"/>
      <c r="U353" s="305"/>
      <c r="V353" s="305"/>
      <c r="W353" s="305"/>
      <c r="X353" s="306"/>
      <c r="Y353" s="47">
        <v>1</v>
      </c>
      <c r="Z353" s="47">
        <v>2</v>
      </c>
      <c r="AA353" s="47">
        <v>3</v>
      </c>
      <c r="AB353" s="47">
        <v>4</v>
      </c>
      <c r="AC353" s="47">
        <v>5</v>
      </c>
      <c r="AD353" s="286"/>
      <c r="AE353" s="287"/>
      <c r="AF353" s="288"/>
    </row>
    <row r="354" spans="1:32" ht="12.75" customHeight="1" thickBot="1" x14ac:dyDescent="0.3">
      <c r="F354" s="212" t="s">
        <v>170</v>
      </c>
      <c r="G354" s="212"/>
      <c r="H354" s="212"/>
      <c r="I354" s="212"/>
      <c r="J354" s="212"/>
      <c r="K354" s="212"/>
      <c r="R354" s="259" t="str">
        <f>B315</f>
        <v>A</v>
      </c>
      <c r="S354" s="307" t="str">
        <f ca="1">IF($B342&lt;&gt;"",$B342,"")</f>
        <v/>
      </c>
      <c r="T354" s="308"/>
      <c r="U354" s="308"/>
      <c r="V354" s="308"/>
      <c r="W354" s="308"/>
      <c r="X354" s="309"/>
      <c r="Y354" s="284"/>
      <c r="Z354" s="284"/>
      <c r="AA354" s="297"/>
      <c r="AB354" s="297"/>
      <c r="AC354" s="297"/>
      <c r="AD354" s="296"/>
      <c r="AE354" s="298"/>
      <c r="AF354" s="299"/>
    </row>
    <row r="355" spans="1:32" ht="12.75" customHeight="1" x14ac:dyDescent="0.25">
      <c r="A355" s="16"/>
      <c r="B355" s="16"/>
      <c r="C355" s="16"/>
      <c r="D355" s="16"/>
      <c r="E355" s="16"/>
      <c r="G355" s="261" t="str">
        <f>B315</f>
        <v>A</v>
      </c>
      <c r="H355" s="262"/>
      <c r="I355" s="263" t="str">
        <f>K315</f>
        <v>K</v>
      </c>
      <c r="J355" s="264"/>
      <c r="L355" s="16"/>
      <c r="M355" s="16"/>
      <c r="N355" s="16"/>
      <c r="O355" s="16"/>
      <c r="P355" s="16"/>
      <c r="R355" s="260"/>
      <c r="S355" s="310"/>
      <c r="T355" s="311"/>
      <c r="U355" s="311"/>
      <c r="V355" s="311"/>
      <c r="W355" s="311"/>
      <c r="X355" s="312"/>
      <c r="Y355" s="285"/>
      <c r="Z355" s="285"/>
      <c r="AA355" s="303"/>
      <c r="AB355" s="303"/>
      <c r="AC355" s="303"/>
      <c r="AD355" s="300"/>
      <c r="AE355" s="301"/>
      <c r="AF355" s="302"/>
    </row>
    <row r="356" spans="1:32" ht="12.75" customHeight="1" thickBot="1" x14ac:dyDescent="0.3">
      <c r="A356" s="2" t="s">
        <v>160</v>
      </c>
      <c r="B356" s="40" t="str">
        <f>B315</f>
        <v>A</v>
      </c>
      <c r="C356" s="3" t="s">
        <v>158</v>
      </c>
      <c r="F356" s="53" t="str">
        <f>CONCATENATE($B315,"-",$K315)</f>
        <v>A-K</v>
      </c>
      <c r="G356" s="240" t="str">
        <f ca="1">IF(OR(Q321&lt;&gt;"",Q328&lt;&gt;"",Q335&lt;&gt;"",Q342&lt;&gt;"",Q349&lt;&gt;""),COUNTIF(Q321:Q321,"W")+COUNTIF(Q328:Q328,"W")+COUNTIF(Q335:Q335,"W")+COUNTIF(Q342:Q342,"W")+COUNTIF(Q349:Q349,"W"),"")</f>
        <v/>
      </c>
      <c r="H356" s="241"/>
      <c r="I356" s="242" t="str">
        <f ca="1">IF(OR(Q323&lt;&gt;"",Q330&lt;&gt;"",Q337&lt;&gt;"",Q344&lt;&gt;"",Q351&lt;&gt;""),COUNTIF(Q323:Q323,"W")+COUNTIF(Q330:Q330,"W")+COUNTIF(Q337:Q337,"W")+COUNTIF(Q344:Q344,"W")+COUNTIF(Q351:Q351,"W"),"")</f>
        <v/>
      </c>
      <c r="J356" s="243"/>
      <c r="L356" s="2" t="s">
        <v>160</v>
      </c>
      <c r="M356" s="40" t="str">
        <f>K315</f>
        <v>K</v>
      </c>
      <c r="N356" s="3" t="s">
        <v>158</v>
      </c>
      <c r="R356" s="259" t="str">
        <f>K315</f>
        <v>K</v>
      </c>
      <c r="S356" s="307" t="str">
        <f ca="1">IF($B344&lt;&gt;"",$B344,"")</f>
        <v/>
      </c>
      <c r="T356" s="308"/>
      <c r="U356" s="308"/>
      <c r="V356" s="308"/>
      <c r="W356" s="308"/>
      <c r="X356" s="309"/>
      <c r="Y356" s="284"/>
      <c r="Z356" s="284"/>
      <c r="AA356" s="297"/>
      <c r="AB356" s="297"/>
      <c r="AC356" s="297"/>
      <c r="AD356" s="289" t="s">
        <v>169</v>
      </c>
      <c r="AE356" s="290"/>
      <c r="AF356" s="291"/>
    </row>
    <row r="357" spans="1:32" ht="12.75" customHeight="1" x14ac:dyDescent="0.35">
      <c r="F357" s="18" t="s">
        <v>403</v>
      </c>
      <c r="G357" s="17"/>
      <c r="H357" s="17"/>
      <c r="I357" s="17"/>
      <c r="J357" s="17"/>
      <c r="R357" s="285"/>
      <c r="S357" s="310"/>
      <c r="T357" s="311"/>
      <c r="U357" s="311"/>
      <c r="V357" s="311"/>
      <c r="W357" s="311"/>
      <c r="X357" s="312"/>
      <c r="Y357" s="285"/>
      <c r="Z357" s="285"/>
      <c r="AA357" s="285"/>
      <c r="AB357" s="285"/>
      <c r="AC357" s="285"/>
      <c r="AD357" s="292"/>
      <c r="AE357" s="293"/>
      <c r="AF357" s="294"/>
    </row>
    <row r="358" spans="1:32" ht="12.75" customHeight="1" x14ac:dyDescent="0.25">
      <c r="R358" s="1"/>
      <c r="S358" s="11"/>
      <c r="T358" s="11"/>
      <c r="U358" s="11"/>
      <c r="V358" s="11"/>
      <c r="W358" s="11"/>
    </row>
    <row r="359" spans="1:32" ht="12.75" customHeight="1" x14ac:dyDescent="0.25">
      <c r="F359" s="212"/>
      <c r="G359" s="212"/>
      <c r="H359" s="212"/>
      <c r="I359" s="212"/>
      <c r="R359" s="1"/>
      <c r="S359" s="11"/>
      <c r="T359" s="11"/>
      <c r="U359" s="11"/>
      <c r="V359" s="11"/>
      <c r="W359" s="11"/>
    </row>
    <row r="360" spans="1:32" ht="12.75" customHeight="1" x14ac:dyDescent="0.25">
      <c r="F360" s="212"/>
      <c r="G360" s="212"/>
      <c r="H360" s="212"/>
      <c r="I360" s="212"/>
      <c r="R360" s="1"/>
      <c r="S360" s="11"/>
      <c r="T360" s="11"/>
      <c r="U360" s="11"/>
      <c r="V360" s="11"/>
      <c r="W360" s="11"/>
    </row>
    <row r="361" spans="1:32" ht="12.75" customHeight="1" x14ac:dyDescent="0.25">
      <c r="K361" s="219" t="s">
        <v>176</v>
      </c>
      <c r="L361" s="219"/>
      <c r="M361" s="219"/>
      <c r="N361" s="219"/>
      <c r="O361" s="219"/>
      <c r="P361" s="219"/>
      <c r="R361" s="1"/>
      <c r="S361" s="11"/>
      <c r="T361" s="11"/>
      <c r="U361" s="11"/>
      <c r="V361" s="11"/>
      <c r="W361" s="11"/>
    </row>
    <row r="362" spans="1:32" ht="12.75" customHeight="1" x14ac:dyDescent="0.25">
      <c r="A362" s="9" t="s">
        <v>161</v>
      </c>
      <c r="B362"/>
      <c r="C362"/>
      <c r="D362" t="str">
        <f>Draw!$B$1</f>
        <v>Enter Division Name</v>
      </c>
      <c r="E362"/>
      <c r="F362" s="6"/>
      <c r="G362" s="6"/>
      <c r="H362" s="6"/>
      <c r="I362"/>
      <c r="J362"/>
      <c r="K362"/>
      <c r="L362"/>
      <c r="M362" s="219"/>
      <c r="N362" s="219"/>
      <c r="O362" s="219"/>
      <c r="P362" s="219"/>
      <c r="R362" s="1"/>
      <c r="S362" s="11"/>
      <c r="T362" s="11"/>
      <c r="U362" s="11"/>
      <c r="V362" s="11"/>
      <c r="W362" s="11"/>
    </row>
    <row r="363" spans="1:32" ht="12.75" customHeight="1" x14ac:dyDescent="0.25">
      <c r="A363" s="2" t="s">
        <v>162</v>
      </c>
      <c r="D363" t="str">
        <f>Draw!$D$1</f>
        <v>Enter Hosting Location (City, ST)</v>
      </c>
      <c r="J363" t="str">
        <f ca="1">$J$6</f>
        <v>[NCTTA Teams Template (v3.4).xlsx]</v>
      </c>
      <c r="R363" s="1"/>
      <c r="S363" s="11"/>
      <c r="T363" s="11"/>
      <c r="U363" s="11"/>
      <c r="V363" s="11"/>
      <c r="W363" s="11"/>
    </row>
    <row r="364" spans="1:32" ht="12.75" customHeight="1" x14ac:dyDescent="0.25">
      <c r="A364" s="2" t="s">
        <v>163</v>
      </c>
      <c r="D364" s="275" t="str">
        <f>Draw!$P$1</f>
        <v>Enter Date</v>
      </c>
      <c r="E364" s="275"/>
      <c r="F364" s="275"/>
      <c r="G364" s="275"/>
      <c r="J364" s="244" t="str">
        <f>CHOOSE(Draw!$T$1,"Round 2, Match 2","Round 3, Match 2","Round 1, Match 4","Round 2, Match 3","Round 4, Match 2","Round 3, Match 2","Round 3, Match 2","Round 2, Match 4","Round 2, Match 4","Round 2, Match 3","Round 2, Match 3")</f>
        <v>Round 2, Match 2</v>
      </c>
      <c r="K364" s="244"/>
      <c r="L364" s="244"/>
      <c r="M364" s="277" t="str">
        <f>IF(AND($J364&lt;&gt;"",Draw!$AC$10&lt;&gt;"",Draw!$AC$13&lt;&gt;""),Draw!$AC$10+TIME(0,VALUE(MID($J364,7,FIND(",",$J364)-FIND(" ",$J364)-1)-1)*Draw!$AC$13,0),"")</f>
        <v/>
      </c>
      <c r="N364" s="277"/>
      <c r="O364" s="125" t="str">
        <f>$F407</f>
        <v>J-L</v>
      </c>
      <c r="R364" s="1"/>
      <c r="S364" s="11"/>
      <c r="T364" s="11"/>
      <c r="U364" s="11"/>
      <c r="V364" s="11"/>
      <c r="W364" s="11"/>
    </row>
    <row r="365" spans="1:32" ht="12.75" customHeight="1" x14ac:dyDescent="0.25">
      <c r="A365" s="6"/>
      <c r="B365"/>
      <c r="C365"/>
      <c r="D365"/>
      <c r="E365"/>
      <c r="F365" s="6"/>
      <c r="G365" s="6"/>
      <c r="H365" s="11"/>
      <c r="I365" s="6"/>
      <c r="J365"/>
      <c r="K365"/>
      <c r="L365"/>
      <c r="M365"/>
      <c r="N365"/>
      <c r="O365" s="269" t="str">
        <f>IF(OR(AND(VLOOKUP($B366,$AM$1:$AX$12,12,FALSE)="C",VLOOKUP($K366,$AM$1:$AX$12,12,FALSE)="C"),AND(VLOOKUP($B366,$AM$1:$AX$12,12,FALSE)="W",VLOOKUP($K366,$AM$1:$AX$12,12,FALSE)="W")),"Official",IF(AND($A367="",$J367=""),"","Scrimmage"))</f>
        <v/>
      </c>
      <c r="P365" s="269"/>
      <c r="R365" s="1"/>
      <c r="S365" s="11"/>
      <c r="T365" s="11"/>
      <c r="U365" s="11"/>
      <c r="V365" s="11"/>
      <c r="W365" s="11"/>
    </row>
    <row r="366" spans="1:32" ht="12.75" customHeight="1" x14ac:dyDescent="0.25">
      <c r="A366" s="12" t="s">
        <v>160</v>
      </c>
      <c r="B366" s="98" t="str">
        <f>CHOOSE(Draw!$T$1,"J","B","F","G","D","B","D","C","D","B","C")</f>
        <v>J</v>
      </c>
      <c r="C366" s="109">
        <f>VLOOKUP($B366,$AM$1:$AN$12,2)</f>
        <v>10</v>
      </c>
      <c r="D366" s="10"/>
      <c r="E366" s="10"/>
      <c r="F366" s="8"/>
      <c r="H366" s="1" t="s">
        <v>164</v>
      </c>
      <c r="J366" s="12" t="s">
        <v>160</v>
      </c>
      <c r="K366" s="98" t="str">
        <f>CHOOSE(Draw!$T$1,"L","D","H","H","E","D","F","D","E","G","H")</f>
        <v>L</v>
      </c>
      <c r="L366" s="109">
        <f>VLOOKUP($K366,$AM$1:$AN$12,2)</f>
        <v>12</v>
      </c>
      <c r="M366" s="10"/>
      <c r="N366" s="10"/>
      <c r="O366" s="13"/>
      <c r="R366" s="1"/>
      <c r="S366" s="11"/>
      <c r="T366" s="11"/>
      <c r="U366" s="11"/>
      <c r="V366" s="11"/>
      <c r="W366" s="11"/>
    </row>
    <row r="367" spans="1:32" ht="12.75" customHeight="1" x14ac:dyDescent="0.25">
      <c r="A367" s="253" t="str">
        <f>IF(VLOOKUP($B366,Draw!$A$4:$B$27,2)&lt;&gt;0,VLOOKUP($B366,Draw!$A$4:$B$27,2),"")</f>
        <v/>
      </c>
      <c r="B367" s="254"/>
      <c r="C367" s="254"/>
      <c r="D367" s="254"/>
      <c r="E367" s="254"/>
      <c r="F367" s="255"/>
      <c r="G367" s="273" t="s">
        <v>411</v>
      </c>
      <c r="H367" s="249"/>
      <c r="I367" s="274"/>
      <c r="J367" s="253" t="str">
        <f>IF(VLOOKUP($K366,Draw!$A$4:$B$27,2)&lt;&gt;0,VLOOKUP($K366,Draw!$A$4:$B$27,2),"")</f>
        <v/>
      </c>
      <c r="K367" s="254"/>
      <c r="L367" s="254"/>
      <c r="M367" s="254"/>
      <c r="N367" s="254"/>
      <c r="O367" s="255"/>
      <c r="P367"/>
      <c r="R367" s="1"/>
      <c r="S367" s="11"/>
      <c r="T367" s="11"/>
      <c r="U367" s="11"/>
      <c r="V367" s="11"/>
      <c r="W367" s="11"/>
    </row>
    <row r="368" spans="1:32" ht="12.75" customHeight="1" x14ac:dyDescent="0.25">
      <c r="A368" s="6"/>
      <c r="B368"/>
      <c r="C368"/>
      <c r="D368"/>
      <c r="E368"/>
      <c r="F368" s="6"/>
      <c r="G368" s="248" t="str">
        <f>"Page "&amp;VALUE(RIGHT($G367,LEN($G367)-SEARCH("-",$G367)))/2</f>
        <v>Page 8</v>
      </c>
      <c r="H368" s="249"/>
      <c r="I368" s="249"/>
      <c r="J368"/>
      <c r="K368"/>
      <c r="L368"/>
      <c r="M368"/>
      <c r="N368"/>
      <c r="O368"/>
      <c r="P368"/>
      <c r="R368" s="1"/>
      <c r="S368" s="11"/>
      <c r="T368" s="11"/>
      <c r="U368" s="11"/>
      <c r="V368" s="11"/>
      <c r="W368" s="11"/>
      <c r="AF368"/>
    </row>
    <row r="369" spans="1:32" ht="12.75" customHeight="1" x14ac:dyDescent="0.25">
      <c r="A369" s="276" t="s">
        <v>177</v>
      </c>
      <c r="B369" s="276"/>
      <c r="C369" s="276"/>
      <c r="D369" s="276"/>
      <c r="E369" s="276"/>
      <c r="F369" s="276"/>
      <c r="G369" s="276"/>
      <c r="H369" s="276"/>
      <c r="I369" s="276"/>
      <c r="J369" s="276"/>
      <c r="K369" s="276"/>
      <c r="L369" s="276"/>
      <c r="M369" s="276"/>
      <c r="N369" s="276"/>
      <c r="O369" s="276"/>
      <c r="P369" s="276"/>
      <c r="Q369" s="6"/>
      <c r="R369" s="1"/>
      <c r="S369" s="11"/>
      <c r="T369" s="11"/>
      <c r="U369" s="11"/>
      <c r="V369" s="11"/>
      <c r="W369" s="11"/>
      <c r="AF369" s="14"/>
    </row>
    <row r="370" spans="1:32" ht="12.75" customHeight="1" x14ac:dyDescent="0.25">
      <c r="A370" s="15" t="s">
        <v>165</v>
      </c>
      <c r="H370" s="110" t="str">
        <f>IF($Q372&lt;&gt;"",IF(AND(AND($H372&gt;-1,$H374&gt;-1),OR($H372&gt;10,$H374&gt;10),ABS($H372-$H374)&gt;1,IF(OR($H372&gt;11,$H374&gt;11),ABS($H372-$H374)=2,TRUE),$H372=INT($H372),$H374=INT($H374)),"","Error"),"")</f>
        <v/>
      </c>
      <c r="I370" s="110" t="str">
        <f>IF($Q372&lt;&gt;"",IF(AND(AND($I372&gt;-1,$I374&gt;-1),OR($I372&gt;10,$I374&gt;10),ABS($I372-$I374)&gt;1,IF(OR($I372&gt;11,$I374&gt;11),ABS($I372-$I374)=2,TRUE),$I372=INT($I372),$I374=INT($I374)),"","Error"),"")</f>
        <v/>
      </c>
      <c r="J370" s="110" t="str">
        <f>IF($Q372&lt;&gt;"",IF(AND(AND($J372&gt;-1,$J374&gt;-1),OR($J372&gt;10,$J374&gt;10),ABS($J372-$J374)&gt;1,IF(OR($J372&gt;11,$J374&gt;11),ABS($J372-$J374)=2,TRUE),$J372=INT($J372),$J374=INT($J374)),"","Error"),"")</f>
        <v/>
      </c>
      <c r="K370" s="110" t="str">
        <f>IF($Q372&lt;&gt;"",IF(AND($K372&lt;&gt;"",$K374&lt;&gt;""), IF(AND(AND($K372&gt;-1,$K374&gt;-1),OR($K372&gt;10,$K374&gt;10),ABS($K372-$K374)&gt;1,IF(OR($K372&gt;11,$K374&gt;11),ABS($K372-$K374)=2,TRUE),$K372=INT($K372),$K374=INT($K374)),"","Error"),""),"")</f>
        <v/>
      </c>
      <c r="L370" s="110" t="str">
        <f>IF($Q372&lt;&gt;"",IF(AND($L372&lt;&gt;"",$L374&lt;&gt;""), IF(AND(AND($L372&gt;-1,$L374&gt;-1),OR($L372&gt;10,$L374&gt;10),ABS($L372-$L374)&gt;1,IF(OR($L372&gt;11,$L374&gt;11),ABS($L372-$L374)=2,TRUE),$L372=INT($L372),$L374=INT($L374)),"","Error"),""),"")</f>
        <v/>
      </c>
      <c r="R370" s="1"/>
      <c r="S370" s="11"/>
      <c r="T370" s="11"/>
      <c r="U370" s="11"/>
      <c r="V370" s="11"/>
      <c r="W370" s="11"/>
    </row>
    <row r="371" spans="1:32" ht="12.75" customHeight="1" x14ac:dyDescent="0.25">
      <c r="A371" s="5" t="s">
        <v>160</v>
      </c>
      <c r="B371" s="256" t="s">
        <v>58</v>
      </c>
      <c r="C371" s="257"/>
      <c r="D371" s="257"/>
      <c r="E371" s="257"/>
      <c r="F371" s="257"/>
      <c r="G371" s="258"/>
      <c r="H371" s="5">
        <v>1</v>
      </c>
      <c r="I371" s="5">
        <v>2</v>
      </c>
      <c r="J371" s="5">
        <v>3</v>
      </c>
      <c r="K371" s="5">
        <v>4</v>
      </c>
      <c r="L371" s="5">
        <v>5</v>
      </c>
      <c r="M371" s="270"/>
      <c r="N371" s="271"/>
      <c r="O371" s="271"/>
      <c r="P371" s="272"/>
      <c r="R371" s="1"/>
      <c r="S371" s="11"/>
      <c r="T371" s="11"/>
      <c r="U371" s="11"/>
      <c r="V371" s="11"/>
      <c r="W371" s="11"/>
    </row>
    <row r="372" spans="1:32" ht="12.75" customHeight="1" x14ac:dyDescent="0.25">
      <c r="A372" s="259" t="str">
        <f>B366</f>
        <v>J</v>
      </c>
      <c r="B372" s="236" t="str">
        <f ca="1">IF(AND(OFFSET($AO$1,$C366-1,8,1,1),$A367&lt;&gt;"",$J367&lt;&gt;""),CHOOSE($C366,$AO$1,$AO$2,$AO$3,$AO$4,$AO$5,$AO$6,$AO$7,$AO$8,$AO$9,$AO$10,$AO$11,$AO$12),"")</f>
        <v/>
      </c>
      <c r="C372" s="237"/>
      <c r="D372" s="237"/>
      <c r="E372" s="237"/>
      <c r="F372" s="237"/>
      <c r="G372" s="237"/>
      <c r="H372" s="233"/>
      <c r="I372" s="233"/>
      <c r="J372" s="233"/>
      <c r="K372" s="233"/>
      <c r="L372" s="233"/>
      <c r="M372" s="281"/>
      <c r="N372" s="282"/>
      <c r="O372" s="282"/>
      <c r="P372" s="283"/>
      <c r="Q372" s="40" t="str">
        <f>IF($L372=$L374,IF($K372=$K374,IF($J372&lt;&gt;"",IF($J372&gt;$J374,"W","L"),""),IF($K372&gt;$K374,"W","L")),IF($L372&gt;$L374,"W","L"))</f>
        <v/>
      </c>
      <c r="R372" s="1"/>
      <c r="S372" s="11"/>
      <c r="T372" s="11"/>
      <c r="U372" s="11"/>
      <c r="V372" s="11"/>
      <c r="W372" s="11"/>
    </row>
    <row r="373" spans="1:32" ht="12.75" customHeight="1" x14ac:dyDescent="0.25">
      <c r="A373" s="260"/>
      <c r="B373" s="238"/>
      <c r="C373" s="239"/>
      <c r="D373" s="239"/>
      <c r="E373" s="239"/>
      <c r="F373" s="239"/>
      <c r="G373" s="239"/>
      <c r="H373" s="234"/>
      <c r="I373" s="234"/>
      <c r="J373" s="234"/>
      <c r="K373" s="234"/>
      <c r="L373" s="234"/>
      <c r="M373" s="281"/>
      <c r="N373" s="282"/>
      <c r="O373" s="282"/>
      <c r="P373" s="283"/>
      <c r="Q373" s="110" t="str">
        <f>IF($Q372&lt;&gt;"",IF($Q372="W",IF(SUM(IF($H372&gt;$H374,1,0),IF($I372&gt;$I374,1,0),IF($J372&gt;$J374,1,0),IF($K372&gt;$K374,1,0),IF($L372&gt;$L374,1,0))&lt;&gt;3,"Error",""),""),"")</f>
        <v/>
      </c>
      <c r="R373" s="295" t="str">
        <f>$A367</f>
        <v/>
      </c>
      <c r="S373" s="295"/>
      <c r="T373" s="295"/>
      <c r="U373" s="295"/>
      <c r="V373" s="295"/>
      <c r="W373" s="295"/>
      <c r="X373" s="219" t="str">
        <f>CONCATENATE("(",$B366," vs ",$K366,")")</f>
        <v>(J vs L)</v>
      </c>
      <c r="Y373" s="219"/>
      <c r="Z373" s="295" t="str">
        <f>$J367</f>
        <v/>
      </c>
      <c r="AA373" s="295"/>
      <c r="AB373" s="295"/>
      <c r="AC373" s="295"/>
      <c r="AD373" s="295"/>
      <c r="AE373" s="295"/>
      <c r="AF373"/>
    </row>
    <row r="374" spans="1:32" ht="12.75" customHeight="1" x14ac:dyDescent="0.25">
      <c r="A374" s="259" t="str">
        <f>K366</f>
        <v>L</v>
      </c>
      <c r="B374" s="236" t="str">
        <f ca="1">IF(AND(OFFSET($AO$1,$L366-1,8,1,1),$A367&lt;&gt;"",$J367&lt;&gt;""),CHOOSE($L366,$AO$1,$AO$2,$AO$3,$AO$4,$AO$5,$AO$6,$AO$7,$AO$8,$AO$9,$AO$10,$AO$11,$AO$12),"")</f>
        <v/>
      </c>
      <c r="C374" s="237"/>
      <c r="D374" s="237"/>
      <c r="E374" s="237"/>
      <c r="F374" s="237"/>
      <c r="G374" s="237"/>
      <c r="H374" s="233"/>
      <c r="I374" s="233"/>
      <c r="J374" s="233"/>
      <c r="K374" s="233"/>
      <c r="L374" s="233"/>
      <c r="M374" s="250" t="s">
        <v>169</v>
      </c>
      <c r="N374" s="251"/>
      <c r="O374" s="251"/>
      <c r="P374" s="252"/>
      <c r="Q374" s="40" t="str">
        <f>IF($Q372&lt;&gt;"",IF($Q372="W","L","W"),"")</f>
        <v/>
      </c>
      <c r="R374"/>
      <c r="S374"/>
      <c r="T374"/>
      <c r="U374"/>
      <c r="V374"/>
      <c r="W374"/>
      <c r="X374"/>
      <c r="Y374"/>
      <c r="Z374"/>
      <c r="AA374"/>
      <c r="AB374"/>
      <c r="AC374"/>
      <c r="AD374"/>
      <c r="AE374"/>
      <c r="AF374"/>
    </row>
    <row r="375" spans="1:32" ht="12.75" customHeight="1" x14ac:dyDescent="0.25">
      <c r="A375" s="260"/>
      <c r="B375" s="238"/>
      <c r="C375" s="239"/>
      <c r="D375" s="239"/>
      <c r="E375" s="239"/>
      <c r="F375" s="239"/>
      <c r="G375" s="239"/>
      <c r="H375" s="234"/>
      <c r="I375" s="234"/>
      <c r="J375" s="235"/>
      <c r="K375" s="235"/>
      <c r="L375" s="235"/>
      <c r="M375" s="250"/>
      <c r="N375" s="251"/>
      <c r="O375" s="251"/>
      <c r="P375" s="252"/>
      <c r="Q375" s="110" t="str">
        <f>IF($Q374&lt;&gt;"",IF($Q374="W",IF(SUM(IF($H374&gt;$H372,1,0),IF($I374&gt;$I372,1,0),IF($J374&gt;$J372,1,0),IF($K374&gt;$K372,1,0),IF($L374&gt;$L372,1,0))&lt;&gt;3,"Error",""),""),"")</f>
        <v/>
      </c>
      <c r="R375" t="str">
        <f>$A377</f>
        <v>2nd Singles</v>
      </c>
      <c r="S375"/>
      <c r="T375"/>
      <c r="U375"/>
      <c r="V375"/>
      <c r="W375"/>
      <c r="X375"/>
      <c r="Y375"/>
      <c r="Z375"/>
      <c r="AA375"/>
      <c r="AB375"/>
      <c r="AC375"/>
      <c r="AD375"/>
      <c r="AE375"/>
      <c r="AF375"/>
    </row>
    <row r="376" spans="1:32" ht="12.75" customHeight="1" x14ac:dyDescent="0.25">
      <c r="Q376" s="6"/>
      <c r="R376" s="47" t="s">
        <v>160</v>
      </c>
      <c r="S376" s="304" t="s">
        <v>58</v>
      </c>
      <c r="T376" s="305"/>
      <c r="U376" s="305"/>
      <c r="V376" s="305"/>
      <c r="W376" s="305"/>
      <c r="X376" s="306"/>
      <c r="Y376" s="47">
        <v>1</v>
      </c>
      <c r="Z376" s="47">
        <v>2</v>
      </c>
      <c r="AA376" s="47">
        <v>3</v>
      </c>
      <c r="AB376" s="47">
        <v>4</v>
      </c>
      <c r="AC376" s="47">
        <v>5</v>
      </c>
      <c r="AD376" s="286"/>
      <c r="AE376" s="287"/>
      <c r="AF376" s="288"/>
    </row>
    <row r="377" spans="1:32" ht="12.75" customHeight="1" x14ac:dyDescent="0.25">
      <c r="A377" s="15" t="s">
        <v>166</v>
      </c>
      <c r="H377" s="110" t="str">
        <f>IF($Q379&lt;&gt;"",IF(AND(AND($H379&gt;-1,$H381&gt;-1),OR($H379&gt;10,$H381&gt;10),ABS($H379-$H381)&gt;1,IF(OR($H379&gt;11,$H381&gt;11),ABS($H379-$H381)=2,TRUE),$H379=INT($H379),$H381=INT($H381)),"","Error"),"")</f>
        <v/>
      </c>
      <c r="I377" s="110" t="str">
        <f>IF($Q379&lt;&gt;"",IF(AND(AND($I379&gt;-1,$I381&gt;-1),OR($I379&gt;10,$I381&gt;10),ABS($I379-$I381)&gt;1,IF(OR($I379&gt;11,$I381&gt;11),ABS($I379-$I381)=2,TRUE),$I379=INT($I379),$I381=INT($I381)),"","Error"),"")</f>
        <v/>
      </c>
      <c r="J377" s="110" t="str">
        <f>IF($Q379&lt;&gt;"",IF(AND(AND($J379&gt;-1,$J381&gt;-1),OR($J379&gt;10,$J381&gt;10),ABS($J379-$J381)&gt;1,IF(OR($J379&gt;11,$J381&gt;11),ABS($J379-$J381)=2,TRUE),$J379=INT($J379),$J381=INT($J381)),"","Error"),"")</f>
        <v/>
      </c>
      <c r="K377" s="110" t="str">
        <f>IF($Q379&lt;&gt;"",IF(AND($K379&lt;&gt;"",$K381&lt;&gt;""), IF(AND(AND($K379&gt;-1,$K381&gt;-1),OR($K379&gt;10,$K381&gt;10),ABS($K379-$K381)&gt;1,IF(OR($K379&gt;11,$K381&gt;11),ABS($K379-$K381)=2,TRUE),$K379=INT($K379),$K381=INT($K381)),"","Error"),""),"")</f>
        <v/>
      </c>
      <c r="L377" s="110" t="str">
        <f>IF($Q379&lt;&gt;"",IF(AND($L379&lt;&gt;"",$L381&lt;&gt;""), IF(AND(AND($L379&gt;-1,$L381&gt;-1),OR($L379&gt;10,$L381&gt;10),ABS($L379-$L381)&gt;1,IF(OR($L379&gt;11,$L381&gt;11),ABS($L379-$L381)=2,TRUE),$L379=INT($L379),$L381=INT($L381)),"","Error"),""),"")</f>
        <v/>
      </c>
      <c r="Q377" s="6"/>
      <c r="R377" s="259" t="str">
        <f>$B366</f>
        <v>J</v>
      </c>
      <c r="S377" s="307" t="str">
        <f ca="1">IF($B379&lt;&gt;"",$B379,"")</f>
        <v/>
      </c>
      <c r="T377" s="308"/>
      <c r="U377" s="308"/>
      <c r="V377" s="308"/>
      <c r="W377" s="308"/>
      <c r="X377" s="309"/>
      <c r="Y377" s="284"/>
      <c r="Z377" s="284"/>
      <c r="AA377" s="284"/>
      <c r="AB377" s="284"/>
      <c r="AC377" s="284"/>
      <c r="AD377" s="296"/>
      <c r="AE377" s="290"/>
      <c r="AF377" s="291"/>
    </row>
    <row r="378" spans="1:32" ht="12.75" customHeight="1" x14ac:dyDescent="0.25">
      <c r="A378" s="5" t="s">
        <v>160</v>
      </c>
      <c r="B378" s="256" t="s">
        <v>58</v>
      </c>
      <c r="C378" s="257"/>
      <c r="D378" s="257"/>
      <c r="E378" s="257"/>
      <c r="F378" s="257"/>
      <c r="G378" s="258"/>
      <c r="H378" s="5">
        <v>1</v>
      </c>
      <c r="I378" s="5">
        <v>2</v>
      </c>
      <c r="J378" s="5">
        <v>3</v>
      </c>
      <c r="K378" s="5">
        <v>4</v>
      </c>
      <c r="L378" s="5">
        <v>5</v>
      </c>
      <c r="M378" s="270"/>
      <c r="N378" s="271"/>
      <c r="O378" s="271"/>
      <c r="P378" s="272"/>
      <c r="Q378" s="6"/>
      <c r="R378" s="285"/>
      <c r="S378" s="310"/>
      <c r="T378" s="311"/>
      <c r="U378" s="311"/>
      <c r="V378" s="311"/>
      <c r="W378" s="311"/>
      <c r="X378" s="312"/>
      <c r="Y378" s="285"/>
      <c r="Z378" s="285"/>
      <c r="AA378" s="285"/>
      <c r="AB378" s="285"/>
      <c r="AC378" s="285"/>
      <c r="AD378" s="292"/>
      <c r="AE378" s="293"/>
      <c r="AF378" s="294"/>
    </row>
    <row r="379" spans="1:32" ht="12.75" customHeight="1" x14ac:dyDescent="0.25">
      <c r="A379" s="259" t="str">
        <f>B366</f>
        <v>J</v>
      </c>
      <c r="B379" s="236" t="str">
        <f ca="1">IF(AND(OFFSET($AO$1,$C366-1,8,1,1),$A367&lt;&gt;"",$J367&lt;&gt;""),CHOOSE($C366,$AP$1,$AP$2,$AP$3,$AP$4,$AP$5,$AP$6,$AP$7,$AP$8,$AP$9,$AP$10,$AP$11,$AP$12),"")</f>
        <v/>
      </c>
      <c r="C379" s="237"/>
      <c r="D379" s="237"/>
      <c r="E379" s="237"/>
      <c r="F379" s="237"/>
      <c r="G379" s="237"/>
      <c r="H379" s="233"/>
      <c r="I379" s="233"/>
      <c r="J379" s="233"/>
      <c r="K379" s="233"/>
      <c r="L379" s="233"/>
      <c r="M379" s="245" t="str">
        <f ca="1">IF(OR(AND($B372&lt;&gt;"",$B379&lt;&gt;"",$C397&lt;=$B397),AND($B374&lt;&gt;"",$B381&lt;&gt;"",$G397&lt;=$F397)),"Invalid Lineup","")</f>
        <v/>
      </c>
      <c r="N379" s="246"/>
      <c r="O379" s="246"/>
      <c r="P379" s="247"/>
      <c r="Q379" s="40" t="str">
        <f>IF($L379=$L381,IF($K379=$K381,IF($J379&lt;&gt;"",IF($J379&gt;$J381,"W","L"),""),IF($K379&gt;$K381,"W","L")),IF($L379&gt;$L381,"W","L"))</f>
        <v/>
      </c>
      <c r="R379" s="259" t="str">
        <f>$K366</f>
        <v>L</v>
      </c>
      <c r="S379" s="307" t="str">
        <f ca="1">IF($B381&lt;&gt;"",$B381,"")</f>
        <v/>
      </c>
      <c r="T379" s="308"/>
      <c r="U379" s="308"/>
      <c r="V379" s="308"/>
      <c r="W379" s="308"/>
      <c r="X379" s="309"/>
      <c r="Y379" s="284"/>
      <c r="Z379" s="284"/>
      <c r="AA379" s="284"/>
      <c r="AB379" s="284"/>
      <c r="AC379" s="297"/>
      <c r="AD379" s="289" t="s">
        <v>169</v>
      </c>
      <c r="AE379" s="290"/>
      <c r="AF379" s="291"/>
    </row>
    <row r="380" spans="1:32" ht="12.75" customHeight="1" x14ac:dyDescent="0.25">
      <c r="A380" s="260"/>
      <c r="B380" s="238"/>
      <c r="C380" s="239"/>
      <c r="D380" s="239"/>
      <c r="E380" s="239"/>
      <c r="F380" s="239"/>
      <c r="G380" s="239"/>
      <c r="H380" s="234"/>
      <c r="I380" s="234"/>
      <c r="J380" s="234"/>
      <c r="K380" s="234"/>
      <c r="L380" s="234"/>
      <c r="M380" s="245"/>
      <c r="N380" s="246"/>
      <c r="O380" s="246"/>
      <c r="P380" s="247"/>
      <c r="Q380" s="110" t="str">
        <f>IF($Q379&lt;&gt;"",IF($Q379="W",IF(SUM(IF($H379&gt;$H381,1,0),IF($I379&gt;$I381,1,0),IF($J379&gt;$J381,1,0),IF($K379&gt;$K381,1,0),IF($L379&gt;$L381,1,0))&lt;&gt;3,"Error",""),""),"")</f>
        <v/>
      </c>
      <c r="R380" s="285"/>
      <c r="S380" s="310"/>
      <c r="T380" s="311"/>
      <c r="U380" s="311"/>
      <c r="V380" s="311"/>
      <c r="W380" s="311"/>
      <c r="X380" s="312"/>
      <c r="Y380" s="285"/>
      <c r="Z380" s="285"/>
      <c r="AA380" s="285"/>
      <c r="AB380" s="285"/>
      <c r="AC380" s="285"/>
      <c r="AD380" s="292"/>
      <c r="AE380" s="293"/>
      <c r="AF380" s="294"/>
    </row>
    <row r="381" spans="1:32" ht="12.75" customHeight="1" x14ac:dyDescent="0.25">
      <c r="A381" s="259" t="str">
        <f>K366</f>
        <v>L</v>
      </c>
      <c r="B381" s="236" t="str">
        <f ca="1">IF(AND(OFFSET($AO$1,$L366-1,8,1,1),$A367&lt;&gt;"",$J367&lt;&gt;""),CHOOSE($L366,$AP$1,$AP$2,$AP$3,$AP$4,$AP$5,$AP$6,$AP$7,$AP$8,$AP$9,$AP$10,$AP$11,$AP$12),"")</f>
        <v/>
      </c>
      <c r="C381" s="237"/>
      <c r="D381" s="237"/>
      <c r="E381" s="237"/>
      <c r="F381" s="237"/>
      <c r="G381" s="237"/>
      <c r="H381" s="233"/>
      <c r="I381" s="233"/>
      <c r="J381" s="233"/>
      <c r="K381" s="233"/>
      <c r="L381" s="233"/>
      <c r="M381" s="250" t="s">
        <v>169</v>
      </c>
      <c r="N381" s="251"/>
      <c r="O381" s="251"/>
      <c r="P381" s="252"/>
      <c r="Q381" s="40" t="str">
        <f>IF($Q379&lt;&gt;"",IF($Q379="W","L","W"),"")</f>
        <v/>
      </c>
      <c r="R381" s="14"/>
      <c r="S381" s="14"/>
      <c r="T381" s="14"/>
      <c r="U381" s="14"/>
      <c r="V381" s="14"/>
      <c r="W381" s="14"/>
      <c r="X381" s="7"/>
      <c r="Y381" s="7"/>
      <c r="Z381" s="14"/>
      <c r="AA381" s="14"/>
      <c r="AB381" s="14"/>
      <c r="AC381" s="14"/>
      <c r="AD381" s="14"/>
      <c r="AE381" s="14"/>
      <c r="AF381"/>
    </row>
    <row r="382" spans="1:32" ht="12.75" customHeight="1" x14ac:dyDescent="0.25">
      <c r="A382" s="260"/>
      <c r="B382" s="238"/>
      <c r="C382" s="239"/>
      <c r="D382" s="239"/>
      <c r="E382" s="239"/>
      <c r="F382" s="239"/>
      <c r="G382" s="239"/>
      <c r="H382" s="234"/>
      <c r="I382" s="234"/>
      <c r="J382" s="235"/>
      <c r="K382" s="235"/>
      <c r="L382" s="235"/>
      <c r="M382" s="250"/>
      <c r="N382" s="251"/>
      <c r="O382" s="251"/>
      <c r="P382" s="252"/>
      <c r="Q382" s="110" t="str">
        <f>IF($Q381&lt;&gt;"",IF($Q381="W",IF(SUM(IF($H381&gt;$H379,1,0),IF($I381&gt;$I379,1,0),IF($J381&gt;$J379,1,0),IF($K381&gt;$K379,1,0),IF($L381&gt;$L379,1,0))&lt;&gt;3,"Error",""),""),"")</f>
        <v/>
      </c>
      <c r="R382" s="14"/>
      <c r="S382" s="14"/>
      <c r="T382" s="14"/>
      <c r="U382" s="14"/>
      <c r="V382" s="14"/>
      <c r="W382" s="14"/>
      <c r="X382" s="7"/>
      <c r="Y382" s="7"/>
      <c r="Z382" s="14"/>
      <c r="AA382" s="14"/>
      <c r="AB382" s="14"/>
      <c r="AC382" s="14"/>
      <c r="AD382" s="14"/>
      <c r="AE382" s="14"/>
      <c r="AF382"/>
    </row>
    <row r="383" spans="1:32" ht="12.75" customHeight="1" x14ac:dyDescent="0.25">
      <c r="Q383" s="6"/>
      <c r="R383" s="14"/>
      <c r="S383" s="14"/>
      <c r="T383" s="14"/>
      <c r="U383" s="14"/>
      <c r="V383" s="14"/>
      <c r="W383" s="14"/>
      <c r="X383" s="7"/>
      <c r="Y383" s="7"/>
      <c r="Z383" s="14"/>
      <c r="AA383" s="14"/>
      <c r="AB383" s="14"/>
      <c r="AC383" s="14"/>
      <c r="AD383" s="14"/>
      <c r="AE383" s="14"/>
      <c r="AF383"/>
    </row>
    <row r="384" spans="1:32" ht="12.75" customHeight="1" x14ac:dyDescent="0.25">
      <c r="A384" s="15" t="s">
        <v>167</v>
      </c>
      <c r="H384" s="110" t="str">
        <f>IF($Q386&lt;&gt;"",IF(AND(AND($H386&gt;-1,$H388&gt;-1),OR($H386&gt;10,$H388&gt;10),ABS($H386-$H388)&gt;1,IF(OR($H386&gt;11,$H388&gt;11),ABS($H386-$H388)=2,TRUE),$H386=INT($H386),$H388=INT($H388)),"","Error"),"")</f>
        <v/>
      </c>
      <c r="I384" s="110" t="str">
        <f>IF($Q386&lt;&gt;"",IF(AND(AND($I386&gt;-1,$I388&gt;-1),OR($I386&gt;10,$I388&gt;10),ABS($I386-$I388)&gt;1,IF(OR($I386&gt;11,$I388&gt;11),ABS($I386-$I388)=2,TRUE),$I386=INT($I386),$I388=INT($I388)),"","Error"),"")</f>
        <v/>
      </c>
      <c r="J384" s="110" t="str">
        <f>IF($Q386&lt;&gt;"",IF(AND(AND($J386&gt;-1,$J388&gt;-1),OR($J386&gt;10,$J388&gt;10),ABS($J386-$J388)&gt;1,IF(OR($J386&gt;11,$J388&gt;11),ABS($J386-$J388)=2,TRUE),$J386=INT($J386),$J388=INT($J388)),"","Error"),"")</f>
        <v/>
      </c>
      <c r="K384" s="110" t="str">
        <f>IF($Q386&lt;&gt;"",IF(AND($K386&lt;&gt;"",$K388&lt;&gt;""), IF(AND(AND($K386&gt;-1,$K388&gt;-1),OR($K386&gt;10,$K388&gt;10),ABS($K386-$K388)&gt;1,IF(OR($K386&gt;11,$K388&gt;11),ABS($K386-$K388)=2,TRUE),$K386=INT($K386),$K388=INT($K388)),"","Error"),""),"")</f>
        <v/>
      </c>
      <c r="L384" s="110" t="str">
        <f>IF($Q386&lt;&gt;"",IF(AND($L386&lt;&gt;"",$L388&lt;&gt;""), IF(AND(AND($L386&gt;-1,$L388&gt;-1),OR($L386&gt;10,$L388&gt;10),ABS($L386-$L388)&gt;1,IF(OR($L386&gt;11,$L388&gt;11),ABS($L386-$L388)=2,TRUE),$L386=INT($L386),$L388=INT($L388)),"","Error"),""),"")</f>
        <v/>
      </c>
      <c r="Q384" s="6"/>
      <c r="R384" s="14"/>
      <c r="S384" s="14"/>
      <c r="T384" s="14"/>
      <c r="U384" s="14"/>
      <c r="V384" s="14"/>
      <c r="W384" s="14"/>
      <c r="X384" s="7"/>
      <c r="Y384" s="7"/>
      <c r="Z384" s="14"/>
      <c r="AA384" s="14"/>
      <c r="AB384" s="14"/>
      <c r="AC384" s="14"/>
      <c r="AD384" s="14"/>
      <c r="AE384" s="14"/>
      <c r="AF384"/>
    </row>
    <row r="385" spans="1:32" ht="12.75" customHeight="1" x14ac:dyDescent="0.25">
      <c r="A385" s="5" t="s">
        <v>160</v>
      </c>
      <c r="B385" s="256" t="s">
        <v>58</v>
      </c>
      <c r="C385" s="257"/>
      <c r="D385" s="257"/>
      <c r="E385" s="257"/>
      <c r="F385" s="257"/>
      <c r="G385" s="258"/>
      <c r="H385" s="5">
        <v>1</v>
      </c>
      <c r="I385" s="5">
        <v>2</v>
      </c>
      <c r="J385" s="5">
        <v>3</v>
      </c>
      <c r="K385" s="5">
        <v>4</v>
      </c>
      <c r="L385" s="5">
        <v>5</v>
      </c>
      <c r="M385" s="270"/>
      <c r="N385" s="271"/>
      <c r="O385" s="271"/>
      <c r="P385" s="272"/>
      <c r="Q385" s="6"/>
      <c r="R385" s="14"/>
      <c r="S385" s="14"/>
      <c r="T385" s="14"/>
      <c r="U385" s="14"/>
      <c r="V385" s="14"/>
      <c r="W385" s="14"/>
      <c r="X385" s="7"/>
      <c r="Y385" s="7"/>
      <c r="Z385" s="14"/>
      <c r="AA385" s="14"/>
      <c r="AB385" s="14"/>
      <c r="AC385" s="14"/>
      <c r="AD385" s="14"/>
      <c r="AE385" s="14"/>
      <c r="AF385"/>
    </row>
    <row r="386" spans="1:32" ht="12.75" customHeight="1" x14ac:dyDescent="0.25">
      <c r="A386" s="259" t="str">
        <f>B366</f>
        <v>J</v>
      </c>
      <c r="B386" s="236" t="str">
        <f ca="1">IF(AND(OFFSET($AO$1,$C366-1,8,1,1),$A367&lt;&gt;"",$J367&lt;&gt;""),CHOOSE($C366,$AQ$1,$AQ$2,$AQ$3,$AQ$4,$AQ$5,$AQ$6,$AQ$7,$AQ$8,$AQ$9,$AQ$10,$AQ$11,$AQ$12),"")</f>
        <v/>
      </c>
      <c r="C386" s="237"/>
      <c r="D386" s="237"/>
      <c r="E386" s="237"/>
      <c r="F386" s="237"/>
      <c r="G386" s="237"/>
      <c r="H386" s="233"/>
      <c r="I386" s="233"/>
      <c r="J386" s="233"/>
      <c r="K386" s="233"/>
      <c r="L386" s="233"/>
      <c r="M386" s="245" t="str">
        <f ca="1">IF(OR(AND($B379&lt;&gt;"",$B386&lt;&gt;"",$D397&lt;=$C397),AND($B381&lt;&gt;"",$B388&lt;&gt;"",$H397&lt;=$G397)),"Invalid Lineup","")</f>
        <v/>
      </c>
      <c r="N386" s="246"/>
      <c r="O386" s="246"/>
      <c r="P386" s="247"/>
      <c r="Q386" s="40" t="str">
        <f>IF($L386=$L388,IF($K386=$K388,IF($J386&lt;&gt;"",IF($J386&gt;$J388,"W","L"),""),IF($K386&gt;$K388,"W","L")),IF($L386&gt;$L388,"W","L"))</f>
        <v/>
      </c>
      <c r="R386" s="14"/>
      <c r="S386" s="14"/>
      <c r="T386" s="14"/>
      <c r="U386" s="14"/>
      <c r="V386" s="14"/>
      <c r="W386" s="14"/>
      <c r="X386" s="7"/>
      <c r="Y386" s="7"/>
      <c r="Z386" s="14"/>
      <c r="AA386" s="14"/>
      <c r="AB386" s="14"/>
      <c r="AC386" s="14"/>
      <c r="AD386" s="14"/>
      <c r="AE386" s="14"/>
      <c r="AF386"/>
    </row>
    <row r="387" spans="1:32" ht="12.75" customHeight="1" x14ac:dyDescent="0.25">
      <c r="A387" s="260"/>
      <c r="B387" s="238"/>
      <c r="C387" s="239"/>
      <c r="D387" s="239"/>
      <c r="E387" s="239"/>
      <c r="F387" s="239"/>
      <c r="G387" s="239"/>
      <c r="H387" s="234"/>
      <c r="I387" s="234"/>
      <c r="J387" s="234"/>
      <c r="K387" s="234"/>
      <c r="L387" s="234"/>
      <c r="M387" s="245"/>
      <c r="N387" s="246"/>
      <c r="O387" s="246"/>
      <c r="P387" s="247"/>
      <c r="Q387" s="110" t="str">
        <f>IF($Q386&lt;&gt;"",IF($Q386="W",IF(SUM(IF($H386&gt;$H388,1,0),IF($I386&gt;$I388,1,0),IF($J386&gt;$J388,1,0),IF($K386&gt;$K388,1,0),IF($L386&gt;$L388,1,0))&lt;&gt;3,"Error",""),""),"")</f>
        <v/>
      </c>
      <c r="R387" s="295" t="str">
        <f>$A367</f>
        <v/>
      </c>
      <c r="S387" s="295"/>
      <c r="T387" s="295"/>
      <c r="U387" s="295"/>
      <c r="V387" s="295"/>
      <c r="W387" s="295"/>
      <c r="X387" s="219" t="str">
        <f>CONCATENATE("(",$B366," vs ",$K366,")")</f>
        <v>(J vs L)</v>
      </c>
      <c r="Y387" s="219"/>
      <c r="Z387" s="295" t="str">
        <f>$J367</f>
        <v/>
      </c>
      <c r="AA387" s="295"/>
      <c r="AB387" s="295"/>
      <c r="AC387" s="295"/>
      <c r="AD387" s="295"/>
      <c r="AE387" s="295"/>
      <c r="AF387"/>
    </row>
    <row r="388" spans="1:32" ht="12.75" customHeight="1" x14ac:dyDescent="0.25">
      <c r="A388" s="259" t="str">
        <f>K366</f>
        <v>L</v>
      </c>
      <c r="B388" s="236" t="str">
        <f ca="1">IF(AND(OFFSET($AO$1,$L366-1,8,1,1),$A367&lt;&gt;"",$J367&lt;&gt;""),CHOOSE($L366,$AQ$1,$AQ$2,$AQ$3,$AQ$4,$AQ$5,$AQ$6,$AQ$7,$AQ$8,$AQ$9,$AQ$10,$AQ$11,$AQ$12),"")</f>
        <v/>
      </c>
      <c r="C388" s="237"/>
      <c r="D388" s="237"/>
      <c r="E388" s="237"/>
      <c r="F388" s="237"/>
      <c r="G388" s="237"/>
      <c r="H388" s="233"/>
      <c r="I388" s="233"/>
      <c r="J388" s="233"/>
      <c r="K388" s="233"/>
      <c r="L388" s="233"/>
      <c r="M388" s="250" t="s">
        <v>169</v>
      </c>
      <c r="N388" s="251"/>
      <c r="O388" s="251"/>
      <c r="P388" s="252"/>
      <c r="Q388" s="40" t="str">
        <f>IF($Q386&lt;&gt;"",IF($Q386="W","L","W"),"")</f>
        <v/>
      </c>
      <c r="R388"/>
      <c r="S388"/>
      <c r="T388"/>
      <c r="U388"/>
      <c r="V388"/>
      <c r="W388"/>
      <c r="X388"/>
      <c r="Y388"/>
      <c r="Z388"/>
      <c r="AA388"/>
      <c r="AB388"/>
      <c r="AC388"/>
      <c r="AD388"/>
      <c r="AE388"/>
      <c r="AF388"/>
    </row>
    <row r="389" spans="1:32" ht="12.75" customHeight="1" x14ac:dyDescent="0.25">
      <c r="A389" s="260"/>
      <c r="B389" s="238"/>
      <c r="C389" s="239"/>
      <c r="D389" s="239"/>
      <c r="E389" s="239"/>
      <c r="F389" s="239"/>
      <c r="G389" s="239"/>
      <c r="H389" s="234"/>
      <c r="I389" s="234"/>
      <c r="J389" s="235"/>
      <c r="K389" s="235"/>
      <c r="L389" s="235"/>
      <c r="M389" s="250"/>
      <c r="N389" s="251"/>
      <c r="O389" s="251"/>
      <c r="P389" s="252"/>
      <c r="Q389" s="110" t="str">
        <f>IF($Q388&lt;&gt;"",IF($Q388="W",IF(SUM(IF($H388&gt;$H386,1,0),IF($I388&gt;$I386,1,0),IF($J388&gt;$J386,1,0),IF($K388&gt;$K386,1,0),IF($L388&gt;$L386,1,0))&lt;&gt;3,"Error",""),""),"")</f>
        <v/>
      </c>
      <c r="R389" t="str">
        <f>$A384</f>
        <v>3rd Singles</v>
      </c>
      <c r="S389"/>
      <c r="T389"/>
      <c r="U389"/>
      <c r="V389"/>
      <c r="W389"/>
      <c r="X389"/>
      <c r="Y389"/>
      <c r="Z389"/>
      <c r="AA389"/>
      <c r="AB389"/>
      <c r="AC389"/>
      <c r="AD389"/>
      <c r="AE389"/>
      <c r="AF389"/>
    </row>
    <row r="390" spans="1:32" ht="12.75" customHeight="1" x14ac:dyDescent="0.25">
      <c r="Q390" s="6"/>
      <c r="R390" s="47" t="s">
        <v>160</v>
      </c>
      <c r="S390" s="86" t="s">
        <v>58</v>
      </c>
      <c r="T390" s="87"/>
      <c r="U390" s="87"/>
      <c r="V390" s="87"/>
      <c r="W390" s="87"/>
      <c r="X390" s="88"/>
      <c r="Y390" s="47">
        <v>1</v>
      </c>
      <c r="Z390" s="47">
        <v>2</v>
      </c>
      <c r="AA390" s="47">
        <v>3</v>
      </c>
      <c r="AB390" s="47">
        <v>4</v>
      </c>
      <c r="AC390" s="47">
        <v>5</v>
      </c>
      <c r="AD390" s="89"/>
      <c r="AE390" s="90"/>
      <c r="AF390" s="91"/>
    </row>
    <row r="391" spans="1:32" ht="12.75" customHeight="1" x14ac:dyDescent="0.25">
      <c r="A391" s="15" t="s">
        <v>168</v>
      </c>
      <c r="H391" s="110" t="str">
        <f ca="1">IF($Q393&lt;&gt;"",IF(AND($B393&lt;&gt;"Missing Player",$B395&lt;&gt;"Missing Player"),IF(AND(AND($H393&gt;-1,$H395&gt;-1),OR($H393&gt;10,$H395&gt;10),ABS($H393-$H395)&gt;1,IF(OR($H393&gt;11,$H395&gt;11),ABS($H393-$H395)=2,TRUE),$H393=INT($H393),$H395=INT($H395)),"","Error"),""),"")</f>
        <v/>
      </c>
      <c r="I391" s="110" t="str">
        <f ca="1">IF($Q393&lt;&gt;"",IF(AND($B393&lt;&gt;"Missing Player",$B395&lt;&gt;"Missing Player"),IF(AND(AND($I393&gt;-1,$I395&gt;-1),OR($I393&gt;10,$I395&gt;10),ABS($I393-$I395)&gt;1,IF(OR($I393&gt;11,$I395&gt;11),ABS($I393-$I395)=2,TRUE),$I393=INT($I393),$I395=INT($I395)),"","Error"),""),"")</f>
        <v/>
      </c>
      <c r="J391" s="110" t="str">
        <f ca="1">IF($Q393&lt;&gt;"",IF(AND($B393&lt;&gt;"Missing Player",$B395&lt;&gt;"Missing Player"),IF(AND(AND($J393&gt;-1,$J395&gt;-1),OR($J393&gt;10,$J395&gt;10),ABS($J393-$J395)&gt;1,IF(OR($J393&gt;11,$J395&gt;11),ABS($J393-$J395)=2,TRUE),$J393=INT($J393),$J395=INT($J395)),"","Error"),""),"")</f>
        <v/>
      </c>
      <c r="K391" s="110" t="str">
        <f ca="1">IF($Q393&lt;&gt;"",IF(AND($K393&lt;&gt;"",$K395&lt;&gt;""), IF(AND(AND($K393&gt;-1,$K395&gt;-1),OR($K393&gt;10,$K395&gt;10),ABS($K393-$K395)&gt;1,IF(OR($K393&gt;11,$K395&gt;11),ABS($K393-$K395)=2,TRUE),$K393=INT($K393),$K395=INT($K395)),"","Error"),""),"")</f>
        <v/>
      </c>
      <c r="L391" s="110" t="str">
        <f ca="1">IF($Q393&lt;&gt;"",IF(AND($L393&lt;&gt;"",$L395&lt;&gt;""), IF(AND(AND($L393&gt;-1,$L395&gt;-1),OR($L393&gt;10,$L395&gt;10),ABS($L393-$L395)&gt;1,IF(OR($L393&gt;11,$L395&gt;11),ABS($L393-$L395)=2,TRUE),$L393=INT($L393),$L395=INT($L395)),"","Error"),""),"")</f>
        <v/>
      </c>
      <c r="Q391" s="6"/>
      <c r="R391" s="259" t="str">
        <f>$B366</f>
        <v>J</v>
      </c>
      <c r="S391" s="307" t="str">
        <f ca="1">IF($B386&lt;&gt;"",$B386,"")</f>
        <v/>
      </c>
      <c r="T391" s="308"/>
      <c r="U391" s="308"/>
      <c r="V391" s="308"/>
      <c r="W391" s="308"/>
      <c r="X391" s="309"/>
      <c r="Y391" s="284"/>
      <c r="Z391" s="284"/>
      <c r="AA391" s="284"/>
      <c r="AB391" s="284"/>
      <c r="AC391" s="284"/>
      <c r="AD391" s="296"/>
      <c r="AE391" s="290"/>
      <c r="AF391" s="291"/>
    </row>
    <row r="392" spans="1:32" ht="12.75" customHeight="1" x14ac:dyDescent="0.25">
      <c r="A392" s="5" t="s">
        <v>160</v>
      </c>
      <c r="B392" s="256" t="s">
        <v>58</v>
      </c>
      <c r="C392" s="257"/>
      <c r="D392" s="257"/>
      <c r="E392" s="257"/>
      <c r="F392" s="257"/>
      <c r="G392" s="258"/>
      <c r="H392" s="5">
        <v>1</v>
      </c>
      <c r="I392" s="5">
        <v>2</v>
      </c>
      <c r="J392" s="5">
        <v>3</v>
      </c>
      <c r="K392" s="5">
        <v>4</v>
      </c>
      <c r="L392" s="5">
        <v>5</v>
      </c>
      <c r="M392" s="270"/>
      <c r="N392" s="271"/>
      <c r="O392" s="271"/>
      <c r="P392" s="272"/>
      <c r="Q392" s="6"/>
      <c r="R392" s="285"/>
      <c r="S392" s="310"/>
      <c r="T392" s="311"/>
      <c r="U392" s="311"/>
      <c r="V392" s="311"/>
      <c r="W392" s="311"/>
      <c r="X392" s="312"/>
      <c r="Y392" s="285"/>
      <c r="Z392" s="285"/>
      <c r="AA392" s="285"/>
      <c r="AB392" s="285"/>
      <c r="AC392" s="285"/>
      <c r="AD392" s="292"/>
      <c r="AE392" s="293"/>
      <c r="AF392" s="294"/>
    </row>
    <row r="393" spans="1:32" ht="12.75" customHeight="1" x14ac:dyDescent="0.25">
      <c r="A393" s="259" t="str">
        <f>B366</f>
        <v>J</v>
      </c>
      <c r="B393" s="236" t="str">
        <f ca="1">IF(AND(OFFSET($AO$1,$C366-1,8,1,1),$A367&lt;&gt;"",$J367&lt;&gt;""),CHOOSE($C366,$AR$1,$AR$2,$AR$3,$AR$4,$AR$5,$AR$6,$AR$7,$AR$8,$AR$9,$AR$10,$AR$11,$AR$12),"")</f>
        <v/>
      </c>
      <c r="C393" s="237"/>
      <c r="D393" s="237"/>
      <c r="E393" s="237"/>
      <c r="F393" s="237"/>
      <c r="G393" s="237"/>
      <c r="H393" s="233"/>
      <c r="I393" s="233"/>
      <c r="J393" s="233"/>
      <c r="K393" s="233"/>
      <c r="L393" s="233" t="str">
        <f ca="1">IF(AND($B393&lt;&gt;"",$Q372&lt;&gt;""),IF($B393="Missing Player",0,IF($B395="Missing Player",11,"")),"")</f>
        <v/>
      </c>
      <c r="M393" s="245" t="str">
        <f ca="1">IF(OR(AND($B386&lt;&gt;"",$B393&lt;&gt;"",$E397&lt;=$D397),AND($B388&lt;&gt;"",$B395&lt;&gt;"",$I397&lt;=$H397)),"Invalid Lineup","")</f>
        <v/>
      </c>
      <c r="N393" s="246"/>
      <c r="O393" s="246"/>
      <c r="P393" s="247"/>
      <c r="Q393" s="40" t="str">
        <f ca="1">IF($L393=$L395,IF($K393=$K395,IF($J393&lt;&gt;"",IF($J393&gt;$J395,"W","L"),""),IF($K393&gt;$K395,"W","L")),IF($L393&gt;$L395,"W","L"))</f>
        <v/>
      </c>
      <c r="R393" s="259" t="str">
        <f>$K366</f>
        <v>L</v>
      </c>
      <c r="S393" s="307" t="str">
        <f ca="1">IF($B388&lt;&gt;"",$B388,"")</f>
        <v/>
      </c>
      <c r="T393" s="308"/>
      <c r="U393" s="308"/>
      <c r="V393" s="308"/>
      <c r="W393" s="308"/>
      <c r="X393" s="309"/>
      <c r="Y393" s="284"/>
      <c r="Z393" s="284"/>
      <c r="AA393" s="284"/>
      <c r="AB393" s="284"/>
      <c r="AC393" s="297"/>
      <c r="AD393" s="289" t="s">
        <v>169</v>
      </c>
      <c r="AE393" s="290"/>
      <c r="AF393" s="291"/>
    </row>
    <row r="394" spans="1:32" ht="12.75" customHeight="1" x14ac:dyDescent="0.25">
      <c r="A394" s="260"/>
      <c r="B394" s="238"/>
      <c r="C394" s="239"/>
      <c r="D394" s="239"/>
      <c r="E394" s="239"/>
      <c r="F394" s="239"/>
      <c r="G394" s="239"/>
      <c r="H394" s="234"/>
      <c r="I394" s="234"/>
      <c r="J394" s="234"/>
      <c r="K394" s="234"/>
      <c r="L394" s="234"/>
      <c r="M394" s="245"/>
      <c r="N394" s="246"/>
      <c r="O394" s="246"/>
      <c r="P394" s="247"/>
      <c r="Q394" s="110" t="str">
        <f ca="1">IF($Q393&lt;&gt;"",IF($B395&lt;&gt;"Missing Player",IF($Q393="W",IF(SUM(IF($H393&gt;$H395,1,0),IF($I393&gt;$I395,1,0),IF($J393&gt;$J395,1,0),IF($K393&gt;$K395,1,0),IF($L393&gt;$L395,1,0))&lt;&gt;3,"Error",""),""),""),"")</f>
        <v/>
      </c>
      <c r="R394" s="285"/>
      <c r="S394" s="310"/>
      <c r="T394" s="311"/>
      <c r="U394" s="311"/>
      <c r="V394" s="311"/>
      <c r="W394" s="311"/>
      <c r="X394" s="312"/>
      <c r="Y394" s="285"/>
      <c r="Z394" s="285"/>
      <c r="AA394" s="285"/>
      <c r="AB394" s="285"/>
      <c r="AC394" s="285"/>
      <c r="AD394" s="292"/>
      <c r="AE394" s="293"/>
      <c r="AF394" s="294"/>
    </row>
    <row r="395" spans="1:32" ht="12.75" customHeight="1" x14ac:dyDescent="0.25">
      <c r="A395" s="259" t="str">
        <f>K366</f>
        <v>L</v>
      </c>
      <c r="B395" s="236" t="str">
        <f ca="1">IF(AND(OFFSET($AO$1,$L366-1,8,1,1),$A367&lt;&gt;"",$J367&lt;&gt;""),CHOOSE($L366,$AR$1,$AR$2,$AR$3,$AR$4,$AR$5,$AR$6,$AR$7,$AR$8,$AR$9,$AR$10,$AR$11,$AR$12),"")</f>
        <v/>
      </c>
      <c r="C395" s="237"/>
      <c r="D395" s="237"/>
      <c r="E395" s="237"/>
      <c r="F395" s="237"/>
      <c r="G395" s="237"/>
      <c r="H395" s="233"/>
      <c r="I395" s="233"/>
      <c r="J395" s="233"/>
      <c r="K395" s="233"/>
      <c r="L395" s="233" t="str">
        <f ca="1">IF(AND($B395&lt;&gt;"",$Q372&lt;&gt;""),IF($B395="Missing Player",0,IF($B393="Missing Player",11,"")),"")</f>
        <v/>
      </c>
      <c r="M395" s="250" t="s">
        <v>169</v>
      </c>
      <c r="N395" s="251"/>
      <c r="O395" s="251"/>
      <c r="P395" s="252"/>
      <c r="Q395" s="40" t="str">
        <f ca="1">IF($Q393&lt;&gt;"",IF($Q393="W","L","W"),"")</f>
        <v/>
      </c>
      <c r="R395" s="94"/>
      <c r="S395" s="84"/>
      <c r="T395" s="84"/>
      <c r="U395" s="84"/>
      <c r="V395" s="84"/>
      <c r="W395" s="84"/>
      <c r="X395" s="84"/>
      <c r="Y395" s="93"/>
      <c r="Z395" s="93"/>
      <c r="AA395" s="93"/>
      <c r="AB395" s="93"/>
      <c r="AC395" s="93"/>
      <c r="AD395" s="92"/>
      <c r="AE395" s="93"/>
      <c r="AF395" s="93"/>
    </row>
    <row r="396" spans="1:32" ht="12.75" customHeight="1" x14ac:dyDescent="0.25">
      <c r="A396" s="260"/>
      <c r="B396" s="238"/>
      <c r="C396" s="239"/>
      <c r="D396" s="239"/>
      <c r="E396" s="239"/>
      <c r="F396" s="239"/>
      <c r="G396" s="239"/>
      <c r="H396" s="234"/>
      <c r="I396" s="234"/>
      <c r="J396" s="235"/>
      <c r="K396" s="235"/>
      <c r="L396" s="235"/>
      <c r="M396" s="250"/>
      <c r="N396" s="251"/>
      <c r="O396" s="251"/>
      <c r="P396" s="252"/>
      <c r="Q396" s="110" t="str">
        <f ca="1">IF($Q395&lt;&gt;"",IF($B393&lt;&gt;"Missing Player",IF($Q395="W",IF(SUM(IF($H395&gt;$H393,1,0),IF($I395&gt;$I393,1,0),IF($J395&gt;$J393,1,0),IF($K395&gt;$K393,1,0),IF($L395&gt;$L393,1,0))&lt;&gt;3,"Error",""),""),""),"")</f>
        <v/>
      </c>
      <c r="R396" s="85"/>
      <c r="S396" s="95"/>
      <c r="T396" s="95"/>
      <c r="U396" s="95"/>
      <c r="V396" s="95"/>
      <c r="W396" s="95"/>
      <c r="X396" s="95"/>
      <c r="Y396" s="85"/>
      <c r="Z396" s="85"/>
      <c r="AA396" s="85"/>
      <c r="AB396" s="85"/>
      <c r="AC396" s="85"/>
      <c r="AD396" s="85"/>
      <c r="AE396" s="85"/>
      <c r="AF396" s="85"/>
    </row>
    <row r="397" spans="1:32" ht="12.75" customHeight="1" x14ac:dyDescent="0.25">
      <c r="B397" s="111" t="str">
        <f ca="1">IF(ISERROR(VLOOKUP($B372&amp;"("&amp;$B366&amp;")",Players!$S$4:$T$132,2,FALSE)),"",VLOOKUP($B372&amp;"("&amp;$B366&amp;")",Players!$S$4:$T$132,2,FALSE))</f>
        <v>J1</v>
      </c>
      <c r="C397" s="111" t="str">
        <f ca="1">IF(ISERROR(VLOOKUP($B379&amp;"("&amp;$B366&amp;")",Players!$S$4:$T$132,2,FALSE)),"",VLOOKUP($B379&amp;"("&amp;$B366&amp;")",Players!$S$4:$T$132,2,FALSE))</f>
        <v>J1</v>
      </c>
      <c r="D397" s="111" t="str">
        <f ca="1">IF(ISERROR(VLOOKUP($B386&amp;"("&amp;$B366&amp;")",Players!$S$4:$T$132,2,FALSE)),"",VLOOKUP($B386&amp;"("&amp;$B366&amp;")",Players!$S$4:$T$132,2,FALSE))</f>
        <v>J1</v>
      </c>
      <c r="E397" s="111" t="str">
        <f ca="1">IF(ISERROR(VLOOKUP($B393&amp;"("&amp;$B366&amp;")",Players!$S$4:$T$132,2,FALSE)),"",VLOOKUP($B393&amp;"("&amp;$B366&amp;")",Players!$S$4:$T$132,2,FALSE))</f>
        <v>J1</v>
      </c>
      <c r="F397" s="111" t="str">
        <f ca="1">IF(ISERROR(VLOOKUP($B374&amp;"("&amp;$K366&amp;")",Players!$S$4:$T$132,2,FALSE)),"",VLOOKUP($B374&amp;"("&amp;$K366&amp;")",Players!$S$4:$T$132,2,FALSE))</f>
        <v>L1</v>
      </c>
      <c r="G397" s="111" t="str">
        <f ca="1">IF(ISERROR(VLOOKUP($B381&amp;"("&amp;$K366&amp;")",Players!$S$4:$T$132,2,FALSE)),"",VLOOKUP($B381&amp;"("&amp;$K366&amp;")",Players!$S$4:$T$132,2,FALSE))</f>
        <v>L1</v>
      </c>
      <c r="H397" s="111" t="str">
        <f ca="1">IF(ISERROR(VLOOKUP($B388&amp;"("&amp;$K366&amp;")",Players!$S$4:$T$132,2,FALSE)),"",VLOOKUP($B388&amp;"("&amp;$K366&amp;")",Players!$S$4:$T$132,2,FALSE))</f>
        <v>L1</v>
      </c>
      <c r="I397" s="111" t="str">
        <f ca="1">IF(ISERROR(VLOOKUP($B395&amp;"("&amp;$K366&amp;")",Players!$S$4:$T$132,2,FALSE)),"",VLOOKUP($B395&amp;"("&amp;$K366&amp;")",Players!$S$4:$T$132,2,FALSE))</f>
        <v>L1</v>
      </c>
      <c r="Q397" s="6"/>
      <c r="R397" s="37"/>
      <c r="S397" s="95"/>
      <c r="T397" s="95"/>
      <c r="U397" s="95"/>
      <c r="V397" s="95"/>
      <c r="W397" s="95"/>
      <c r="X397" s="95"/>
      <c r="Y397" s="85"/>
      <c r="Z397" s="85"/>
      <c r="AA397" s="85"/>
      <c r="AB397" s="85"/>
      <c r="AC397" s="96"/>
      <c r="AD397" s="97"/>
      <c r="AE397" s="85"/>
      <c r="AF397" s="85"/>
    </row>
    <row r="398" spans="1:32" ht="12.75" customHeight="1" x14ac:dyDescent="0.25">
      <c r="A398" s="15" t="s">
        <v>157</v>
      </c>
      <c r="H398" s="110" t="str">
        <f ca="1">IF($Q400&lt;&gt;"",IF(AND($B401&lt;&gt;"Missing Player",$B403&lt;&gt;"Missing Player"),IF(AND(AND($H400&gt;-1,$H402&gt;-1),OR($H400&gt;10,$H402&gt;10),ABS($H400-$H402)&gt;1,IF(OR($H400&gt;11,$H402&gt;11),ABS($H400-$H402)=2,TRUE),$H400=INT($H400),$H402=INT($H402)),"","Error"),""),"")</f>
        <v/>
      </c>
      <c r="I398" s="110" t="str">
        <f ca="1">IF($Q400&lt;&gt;"",IF(AND($B401&lt;&gt;"Missing Player",$B403&lt;&gt;"Missing Player"),IF(AND(AND($I400&gt;-1,$I402&gt;-1),OR($I400&gt;10,$I402&gt;10),ABS($I400-$I402)&gt;1,IF(OR($I400&gt;11,$I402&gt;11),ABS($I400-$I402)=2,TRUE),$I400=INT($I400),$I402=INT($I402)),"","Error"),""),"")</f>
        <v/>
      </c>
      <c r="J398" s="110" t="str">
        <f ca="1">IF($Q400&lt;&gt;"",IF(AND($B401&lt;&gt;"Missing Player",$B403&lt;&gt;"Missing Player"),IF(AND(AND($J400&gt;-1,$J402&gt;-1),OR($J400&gt;10,$J402&gt;10),ABS($J400-$J402)&gt;1,IF(OR($J400&gt;11,$J402&gt;11),ABS($J400-$J402)=2,TRUE),$J400=INT($J400),$J402=INT($J402)),"","Error"),""),"")</f>
        <v/>
      </c>
      <c r="K398" s="110" t="str">
        <f ca="1">IF($Q400&lt;&gt;"",IF(AND($K400&lt;&gt;"",$K402&lt;&gt;""), IF(AND(AND($K400&gt;-1,$K402&gt;-1),OR($K400&gt;10,$K402&gt;10),ABS($K400-$K402)&gt;1,IF(OR($K400&gt;11,$K402&gt;11),ABS($K400-$K402)=2,TRUE),$K400=INT($K400),$K402=INT($K402)),"","Error"),""),"")</f>
        <v/>
      </c>
      <c r="L398" s="110" t="str">
        <f ca="1">IF($Q400&lt;&gt;"",IF(AND($L400&lt;&gt;"",$L402&lt;&gt;""), IF(AND(AND($L400&gt;-1,$L402&gt;-1),OR($L400&gt;10,$L402&gt;10),ABS($L400-$L402)&gt;1,IF(OR($L400&gt;11,$L402&gt;11),ABS($L400-$L402)=2,TRUE),$L400=INT($L400),$L402=INT($L402)),"","Error"),""),"")</f>
        <v/>
      </c>
      <c r="Q398" s="6"/>
      <c r="R398" s="85"/>
      <c r="S398" s="95"/>
      <c r="T398" s="95"/>
      <c r="U398" s="95"/>
      <c r="V398" s="95"/>
      <c r="W398" s="95"/>
      <c r="X398" s="95"/>
      <c r="Y398" s="85"/>
      <c r="Z398" s="85"/>
      <c r="AA398" s="85"/>
      <c r="AB398" s="85"/>
      <c r="AC398" s="85"/>
      <c r="AD398" s="85"/>
      <c r="AE398" s="85"/>
      <c r="AF398" s="85"/>
    </row>
    <row r="399" spans="1:32" ht="12.75" customHeight="1" x14ac:dyDescent="0.25">
      <c r="A399" s="5" t="s">
        <v>160</v>
      </c>
      <c r="B399" s="256" t="s">
        <v>58</v>
      </c>
      <c r="C399" s="257"/>
      <c r="D399" s="257"/>
      <c r="E399" s="257"/>
      <c r="F399" s="257"/>
      <c r="G399" s="258"/>
      <c r="H399" s="5">
        <v>1</v>
      </c>
      <c r="I399" s="5">
        <v>2</v>
      </c>
      <c r="J399" s="5">
        <v>3</v>
      </c>
      <c r="K399" s="5">
        <v>4</v>
      </c>
      <c r="L399" s="5">
        <v>5</v>
      </c>
      <c r="M399" s="270"/>
      <c r="N399" s="271"/>
      <c r="O399" s="271"/>
      <c r="P399" s="272"/>
      <c r="Q399" s="6"/>
      <c r="T399" s="7"/>
    </row>
    <row r="400" spans="1:32" ht="12.75" customHeight="1" x14ac:dyDescent="0.25">
      <c r="A400" s="259" t="str">
        <f>B366</f>
        <v>J</v>
      </c>
      <c r="B400" s="230" t="str">
        <f ca="1">IF($B372&lt;&gt;"",$B372,"")</f>
        <v/>
      </c>
      <c r="C400" s="231"/>
      <c r="D400" s="231"/>
      <c r="E400" s="231"/>
      <c r="F400" s="231"/>
      <c r="G400" s="232"/>
      <c r="H400" s="233"/>
      <c r="I400" s="233"/>
      <c r="J400" s="233"/>
      <c r="K400" s="233"/>
      <c r="L400" s="233" t="str">
        <f ca="1">IF($B393&lt;&gt;"",IF(AND($B393="Missing Player",$G404=2,$J404=2),0,IF(AND($B395="Missing Player",$G404=2,$J404=2),11,"")),"")</f>
        <v/>
      </c>
      <c r="M400" s="245" t="str">
        <f ca="1">IF(OR(AND($B400&lt;&gt;"",$B401&lt;&gt;"",$B400=$B401),AND($B402&lt;&gt;"",$B403&lt;&gt;"",$B402=$B403)),"Invalid Partner","")</f>
        <v/>
      </c>
      <c r="N400" s="246"/>
      <c r="O400" s="246"/>
      <c r="P400" s="247"/>
      <c r="Q400" s="37" t="str">
        <f ca="1">IF(L400=L402,IF(K400=K402,IF(J400&lt;&gt;"",IF(J400&gt;J402,"W","L"),""),IF(K400&gt;K402,"W","L")),IF(L400&gt;L402,"W","L"))</f>
        <v/>
      </c>
      <c r="T400" s="7"/>
    </row>
    <row r="401" spans="1:32" ht="12.75" customHeight="1" x14ac:dyDescent="0.25">
      <c r="A401" s="260"/>
      <c r="B401" s="266" t="str">
        <f ca="1">IF($B393="Missing Player",$B393,"")</f>
        <v/>
      </c>
      <c r="C401" s="267"/>
      <c r="D401" s="267"/>
      <c r="E401" s="267"/>
      <c r="F401" s="267"/>
      <c r="G401" s="268"/>
      <c r="H401" s="234"/>
      <c r="I401" s="234"/>
      <c r="J401" s="234"/>
      <c r="K401" s="234"/>
      <c r="L401" s="234"/>
      <c r="M401" s="245"/>
      <c r="N401" s="246"/>
      <c r="O401" s="246"/>
      <c r="P401" s="247"/>
      <c r="Q401" s="110" t="str">
        <f ca="1">IF($Q400&lt;&gt;"",IF($B403&lt;&gt;"Missing Player",IF($Q400="W",IF(SUM(IF($H400&gt;$H402,1,0),IF($I400&gt;$I402,1,0),IF($J400&gt;$J402,1,0),IF($K400&gt;$K402,1,0),IF($L400&gt;$L402,1,0))&lt;&gt;3,"Error",""),""),""),"")</f>
        <v/>
      </c>
      <c r="R401" s="295" t="str">
        <f>$A367</f>
        <v/>
      </c>
      <c r="S401" s="295"/>
      <c r="T401" s="295"/>
      <c r="U401" s="295"/>
      <c r="V401" s="295"/>
      <c r="W401" s="295"/>
      <c r="X401" s="219" t="str">
        <f>CONCATENATE("(",$B366," vs ",$K366,")")</f>
        <v>(J vs L)</v>
      </c>
      <c r="Y401" s="219"/>
      <c r="Z401" s="295" t="str">
        <f>$J367</f>
        <v/>
      </c>
      <c r="AA401" s="295"/>
      <c r="AB401" s="295"/>
      <c r="AC401" s="295"/>
      <c r="AD401" s="295"/>
      <c r="AE401" s="295"/>
      <c r="AF401"/>
    </row>
    <row r="402" spans="1:32" ht="12.75" customHeight="1" x14ac:dyDescent="0.25">
      <c r="A402" s="265" t="str">
        <f>K366</f>
        <v>L</v>
      </c>
      <c r="B402" s="230" t="str">
        <f ca="1">IF($B374&lt;&gt;"",$B374,"")</f>
        <v/>
      </c>
      <c r="C402" s="231"/>
      <c r="D402" s="231"/>
      <c r="E402" s="231"/>
      <c r="F402" s="231"/>
      <c r="G402" s="232"/>
      <c r="H402" s="233"/>
      <c r="I402" s="233"/>
      <c r="J402" s="233"/>
      <c r="K402" s="233"/>
      <c r="L402" s="233" t="str">
        <f ca="1">IF($B395&lt;&gt;"",IF(AND($B395="Missing Player",$G404=2,$J404=2),0,IF(AND($B393="Missing Player",$G404=2,$J404=2),11,"")),"")</f>
        <v/>
      </c>
      <c r="M402" s="250" t="s">
        <v>169</v>
      </c>
      <c r="N402" s="251"/>
      <c r="O402" s="251"/>
      <c r="P402" s="252"/>
      <c r="Q402" s="37" t="str">
        <f ca="1">IF(Q400&lt;&gt;"",IF(Q400="W","L","W"),"")</f>
        <v/>
      </c>
      <c r="R402"/>
      <c r="S402"/>
      <c r="T402"/>
      <c r="U402"/>
      <c r="V402"/>
      <c r="W402"/>
      <c r="X402"/>
      <c r="Y402"/>
      <c r="Z402"/>
      <c r="AA402"/>
      <c r="AB402"/>
      <c r="AC402"/>
      <c r="AD402"/>
      <c r="AE402"/>
      <c r="AF402"/>
    </row>
    <row r="403" spans="1:32" ht="12.75" customHeight="1" x14ac:dyDescent="0.25">
      <c r="A403" s="260"/>
      <c r="B403" s="266" t="str">
        <f ca="1">IF($B395="Missing Player",$B395,"")</f>
        <v/>
      </c>
      <c r="C403" s="267"/>
      <c r="D403" s="267"/>
      <c r="E403" s="267"/>
      <c r="F403" s="267"/>
      <c r="G403" s="268"/>
      <c r="H403" s="234"/>
      <c r="I403" s="234"/>
      <c r="J403" s="235"/>
      <c r="K403" s="235"/>
      <c r="L403" s="235"/>
      <c r="M403" s="250"/>
      <c r="N403" s="251"/>
      <c r="O403" s="251"/>
      <c r="P403" s="252"/>
      <c r="Q403" s="110" t="str">
        <f ca="1">IF($Q402&lt;&gt;"",IF($B401&lt;&gt;"Missing Player",IF($Q402="W",IF(SUM(IF($H402&gt;$H400,1,0),IF($I402&gt;$I400,1,0),IF($J402&gt;$J400,1,0),IF($K402&gt;$K400,1,0),IF($L402&gt;$L400,1,0))&lt;&gt;3,"Error",""),""),""),"")</f>
        <v/>
      </c>
      <c r="R403" t="str">
        <f>A391</f>
        <v>4th Singles</v>
      </c>
      <c r="S403"/>
      <c r="T403"/>
      <c r="U403"/>
      <c r="V403"/>
      <c r="W403"/>
      <c r="X403"/>
      <c r="Y403"/>
      <c r="Z403"/>
      <c r="AA403"/>
      <c r="AB403"/>
      <c r="AC403"/>
      <c r="AD403"/>
      <c r="AE403"/>
      <c r="AF403"/>
    </row>
    <row r="404" spans="1:32" ht="12.75" customHeight="1" x14ac:dyDescent="0.25">
      <c r="G404" s="53">
        <f ca="1">COUNTIF($Q372:$Q372,"W")+COUNTIF($Q379:$Q379,"W")+COUNTIF($Q386:$Q386,"W")+COUNTIF($Q393:$Q393,"W")</f>
        <v>0</v>
      </c>
      <c r="J404" s="53">
        <f ca="1">COUNTIF($Q374:$Q374,"W")+COUNTIF($Q381:$Q381,"W")+COUNTIF($Q388:$Q388,"W")+COUNTIF($Q395:$Q395,"W")</f>
        <v>0</v>
      </c>
      <c r="R404" s="47" t="s">
        <v>160</v>
      </c>
      <c r="S404" s="304" t="s">
        <v>58</v>
      </c>
      <c r="T404" s="305"/>
      <c r="U404" s="305"/>
      <c r="V404" s="305"/>
      <c r="W404" s="305"/>
      <c r="X404" s="306"/>
      <c r="Y404" s="47">
        <v>1</v>
      </c>
      <c r="Z404" s="47">
        <v>2</v>
      </c>
      <c r="AA404" s="47">
        <v>3</v>
      </c>
      <c r="AB404" s="47">
        <v>4</v>
      </c>
      <c r="AC404" s="47">
        <v>5</v>
      </c>
      <c r="AD404" s="286"/>
      <c r="AE404" s="287"/>
      <c r="AF404" s="288"/>
    </row>
    <row r="405" spans="1:32" ht="12.75" customHeight="1" thickBot="1" x14ac:dyDescent="0.3">
      <c r="F405" s="212" t="s">
        <v>170</v>
      </c>
      <c r="G405" s="212"/>
      <c r="H405" s="212"/>
      <c r="I405" s="212"/>
      <c r="J405" s="212"/>
      <c r="K405" s="212"/>
      <c r="R405" s="259" t="str">
        <f>B366</f>
        <v>J</v>
      </c>
      <c r="S405" s="307" t="str">
        <f ca="1">IF($B393&lt;&gt;"",$B393,"")</f>
        <v/>
      </c>
      <c r="T405" s="308"/>
      <c r="U405" s="308"/>
      <c r="V405" s="308"/>
      <c r="W405" s="308"/>
      <c r="X405" s="309"/>
      <c r="Y405" s="284"/>
      <c r="Z405" s="284"/>
      <c r="AA405" s="297"/>
      <c r="AB405" s="297"/>
      <c r="AC405" s="297"/>
      <c r="AD405" s="296"/>
      <c r="AE405" s="298"/>
      <c r="AF405" s="299"/>
    </row>
    <row r="406" spans="1:32" ht="12.75" customHeight="1" x14ac:dyDescent="0.25">
      <c r="A406" s="16"/>
      <c r="B406" s="16"/>
      <c r="C406" s="16"/>
      <c r="D406" s="16"/>
      <c r="E406" s="16"/>
      <c r="G406" s="261" t="str">
        <f>B366</f>
        <v>J</v>
      </c>
      <c r="H406" s="262"/>
      <c r="I406" s="263" t="str">
        <f>K366</f>
        <v>L</v>
      </c>
      <c r="J406" s="264"/>
      <c r="L406" s="16"/>
      <c r="M406" s="16"/>
      <c r="N406" s="16"/>
      <c r="O406" s="16"/>
      <c r="P406" s="16"/>
      <c r="R406" s="260"/>
      <c r="S406" s="310"/>
      <c r="T406" s="311"/>
      <c r="U406" s="311"/>
      <c r="V406" s="311"/>
      <c r="W406" s="311"/>
      <c r="X406" s="312"/>
      <c r="Y406" s="285"/>
      <c r="Z406" s="285"/>
      <c r="AA406" s="303"/>
      <c r="AB406" s="303"/>
      <c r="AC406" s="303"/>
      <c r="AD406" s="300"/>
      <c r="AE406" s="301"/>
      <c r="AF406" s="302"/>
    </row>
    <row r="407" spans="1:32" ht="12.75" customHeight="1" thickBot="1" x14ac:dyDescent="0.3">
      <c r="A407" s="2" t="s">
        <v>160</v>
      </c>
      <c r="B407" s="40" t="str">
        <f>B366</f>
        <v>J</v>
      </c>
      <c r="C407" s="3" t="s">
        <v>158</v>
      </c>
      <c r="F407" s="53" t="str">
        <f>CONCATENATE($B366,"-",$K366)</f>
        <v>J-L</v>
      </c>
      <c r="G407" s="240" t="str">
        <f ca="1">IF(OR(Q372&lt;&gt;"",Q379&lt;&gt;"",Q386&lt;&gt;"",Q393&lt;&gt;"",Q400&lt;&gt;""),COUNTIF(Q372:Q372,"W")+COUNTIF(Q379:Q379,"W")+COUNTIF(Q386:Q386,"W")+COUNTIF(Q393:Q393,"W")+COUNTIF(Q400:Q400,"W"),"")</f>
        <v/>
      </c>
      <c r="H407" s="241"/>
      <c r="I407" s="242" t="str">
        <f ca="1">IF(OR(Q374&lt;&gt;"",Q381&lt;&gt;"",Q388&lt;&gt;"",Q395&lt;&gt;"",Q402&lt;&gt;""),COUNTIF(Q374:Q374,"W")+COUNTIF(Q381:Q381,"W")+COUNTIF(Q388:Q388,"W")+COUNTIF(Q395:Q395,"W")+COUNTIF(Q402:Q402,"W"),"")</f>
        <v/>
      </c>
      <c r="J407" s="243"/>
      <c r="L407" s="2" t="s">
        <v>160</v>
      </c>
      <c r="M407" s="40" t="str">
        <f>K366</f>
        <v>L</v>
      </c>
      <c r="N407" s="3" t="s">
        <v>158</v>
      </c>
      <c r="R407" s="259" t="str">
        <f>K366</f>
        <v>L</v>
      </c>
      <c r="S407" s="307" t="str">
        <f ca="1">IF($B395&lt;&gt;"",$B395,"")</f>
        <v/>
      </c>
      <c r="T407" s="308"/>
      <c r="U407" s="308"/>
      <c r="V407" s="308"/>
      <c r="W407" s="308"/>
      <c r="X407" s="309"/>
      <c r="Y407" s="284"/>
      <c r="Z407" s="284"/>
      <c r="AA407" s="297"/>
      <c r="AB407" s="297"/>
      <c r="AC407" s="297"/>
      <c r="AD407" s="289" t="s">
        <v>169</v>
      </c>
      <c r="AE407" s="290"/>
      <c r="AF407" s="291"/>
    </row>
    <row r="408" spans="1:32" ht="12.75" customHeight="1" x14ac:dyDescent="0.35">
      <c r="F408" s="18" t="s">
        <v>403</v>
      </c>
      <c r="G408" s="17"/>
      <c r="H408" s="17"/>
      <c r="I408" s="17"/>
      <c r="J408" s="17"/>
      <c r="R408" s="285"/>
      <c r="S408" s="310"/>
      <c r="T408" s="311"/>
      <c r="U408" s="311"/>
      <c r="V408" s="311"/>
      <c r="W408" s="311"/>
      <c r="X408" s="312"/>
      <c r="Y408" s="285"/>
      <c r="Z408" s="285"/>
      <c r="AA408" s="285"/>
      <c r="AB408" s="285"/>
      <c r="AC408" s="285"/>
      <c r="AD408" s="292"/>
      <c r="AE408" s="293"/>
      <c r="AF408" s="294"/>
    </row>
    <row r="409" spans="1:32" ht="12.75" customHeight="1" x14ac:dyDescent="0.25">
      <c r="R409" s="1"/>
      <c r="S409" s="11"/>
      <c r="T409" s="11"/>
      <c r="U409" s="11"/>
      <c r="V409" s="11"/>
      <c r="W409" s="11"/>
    </row>
    <row r="410" spans="1:32" ht="12.75" customHeight="1" x14ac:dyDescent="0.25">
      <c r="F410" s="212"/>
      <c r="G410" s="212"/>
      <c r="H410" s="212"/>
      <c r="I410" s="212"/>
      <c r="R410" s="1"/>
      <c r="S410" s="11"/>
      <c r="T410" s="11"/>
      <c r="U410" s="11"/>
      <c r="V410" s="11"/>
      <c r="W410" s="11"/>
    </row>
    <row r="411" spans="1:32" ht="12.75" customHeight="1" x14ac:dyDescent="0.25">
      <c r="F411" s="212"/>
      <c r="G411" s="212"/>
      <c r="H411" s="212"/>
      <c r="I411" s="212"/>
      <c r="R411" s="1"/>
      <c r="S411" s="11"/>
      <c r="T411" s="11"/>
      <c r="U411" s="11"/>
      <c r="V411" s="11"/>
      <c r="W411" s="11"/>
    </row>
    <row r="412" spans="1:32" ht="12.75" customHeight="1" x14ac:dyDescent="0.25">
      <c r="K412" s="219" t="s">
        <v>176</v>
      </c>
      <c r="L412" s="219"/>
      <c r="M412" s="219"/>
      <c r="N412" s="219"/>
      <c r="O412" s="219"/>
      <c r="P412" s="219"/>
      <c r="R412" s="1"/>
      <c r="S412" s="11"/>
      <c r="T412" s="11"/>
      <c r="U412" s="11"/>
      <c r="V412" s="11"/>
      <c r="W412" s="11"/>
    </row>
    <row r="413" spans="1:32" ht="12.75" customHeight="1" x14ac:dyDescent="0.25">
      <c r="A413" s="9" t="s">
        <v>161</v>
      </c>
      <c r="B413"/>
      <c r="C413"/>
      <c r="D413" t="str">
        <f>Draw!$B$1</f>
        <v>Enter Division Name</v>
      </c>
      <c r="E413"/>
      <c r="F413" s="6"/>
      <c r="G413" s="6"/>
      <c r="H413" s="6"/>
      <c r="I413"/>
      <c r="J413"/>
      <c r="K413"/>
      <c r="L413"/>
      <c r="M413" s="219"/>
      <c r="N413" s="219"/>
      <c r="O413" s="219"/>
      <c r="P413" s="219"/>
      <c r="R413" s="1"/>
      <c r="S413" s="11"/>
      <c r="T413" s="11"/>
      <c r="U413" s="11"/>
      <c r="V413" s="11"/>
      <c r="W413" s="11"/>
    </row>
    <row r="414" spans="1:32" ht="12.75" customHeight="1" x14ac:dyDescent="0.25">
      <c r="A414" s="2" t="s">
        <v>162</v>
      </c>
      <c r="D414" t="str">
        <f>Draw!$D$1</f>
        <v>Enter Hosting Location (City, ST)</v>
      </c>
      <c r="J414" t="str">
        <f ca="1">$J$6</f>
        <v>[NCTTA Teams Template (v3.4).xlsx]</v>
      </c>
      <c r="R414" s="1"/>
      <c r="S414" s="11"/>
      <c r="T414" s="11"/>
      <c r="U414" s="11"/>
      <c r="V414" s="11"/>
      <c r="W414" s="11"/>
    </row>
    <row r="415" spans="1:32" ht="12.75" customHeight="1" x14ac:dyDescent="0.25">
      <c r="A415" s="2" t="s">
        <v>163</v>
      </c>
      <c r="D415" s="275" t="str">
        <f>Draw!$P$1</f>
        <v>Enter Date</v>
      </c>
      <c r="E415" s="275"/>
      <c r="F415" s="275"/>
      <c r="G415" s="275"/>
      <c r="J415" s="244" t="str">
        <f>CHOOSE(Draw!$T$1,"Round 2, Match 3","Round 3, Match 3","Round 2, Match 3","Round 3, Match 3","Round 5, Match 1","Round 3, Match 3","Round 3, Match 3","Round 3, Match 1","Round 3, Match 1","Round 2, Match 4","Round 2, Match 4")</f>
        <v>Round 2, Match 3</v>
      </c>
      <c r="K415" s="244"/>
      <c r="L415" s="244"/>
      <c r="M415" s="277" t="str">
        <f>IF(AND($J415&lt;&gt;"",Draw!$AC$10&lt;&gt;"",Draw!$AC$13&lt;&gt;""),Draw!$AC$10+TIME(0,VALUE(MID($J415,7,FIND(",",$J415)-FIND(" ",$J415)-1)-1)*Draw!$AC$13,0),"")</f>
        <v/>
      </c>
      <c r="N415" s="277"/>
      <c r="O415" s="125" t="str">
        <f>$F458</f>
        <v>B-I</v>
      </c>
      <c r="R415" s="1"/>
      <c r="S415" s="11"/>
      <c r="T415" s="11"/>
      <c r="U415" s="11"/>
      <c r="V415" s="11"/>
      <c r="W415" s="11"/>
    </row>
    <row r="416" spans="1:32" ht="12.75" customHeight="1" x14ac:dyDescent="0.25">
      <c r="A416" s="6"/>
      <c r="B416"/>
      <c r="C416"/>
      <c r="D416"/>
      <c r="E416"/>
      <c r="F416" s="6"/>
      <c r="G416" s="6"/>
      <c r="H416" s="11"/>
      <c r="I416" s="6"/>
      <c r="J416"/>
      <c r="K416"/>
      <c r="L416"/>
      <c r="M416"/>
      <c r="N416"/>
      <c r="O416" s="269" t="str">
        <f>IF(OR(AND(VLOOKUP($B417,$AM$1:$AX$12,12,FALSE)="C",VLOOKUP($K417,$AM$1:$AX$12,12,FALSE)="C"),AND(VLOOKUP($B417,$AM$1:$AX$12,12,FALSE)="W",VLOOKUP($K417,$AM$1:$AX$12,12,FALSE)="W")),"Official",IF(AND($A418="",$J418=""),"","Scrimmage"))</f>
        <v/>
      </c>
      <c r="P416" s="269"/>
      <c r="R416" s="1"/>
      <c r="S416" s="11"/>
      <c r="T416" s="11"/>
      <c r="U416" s="11"/>
      <c r="V416" s="11"/>
      <c r="W416" s="11"/>
    </row>
    <row r="417" spans="1:32" ht="12.75" customHeight="1" x14ac:dyDescent="0.25">
      <c r="A417" s="12" t="s">
        <v>160</v>
      </c>
      <c r="B417" s="98" t="str">
        <f>CHOOSE(Draw!$T$1,"B","E","E","H","A","E","C","A","A","C","D")</f>
        <v>B</v>
      </c>
      <c r="C417" s="109">
        <f>VLOOKUP($B417,$AM$1:$AN$12,2)</f>
        <v>2</v>
      </c>
      <c r="D417" s="10"/>
      <c r="E417" s="10"/>
      <c r="F417" s="8"/>
      <c r="H417" s="1" t="s">
        <v>164</v>
      </c>
      <c r="J417" s="12" t="s">
        <v>160</v>
      </c>
      <c r="K417" s="98" t="str">
        <f>CHOOSE(Draw!$T$1,"I","F","F","I","E","F","G","E","H","F","G")</f>
        <v>I</v>
      </c>
      <c r="L417" s="109">
        <f>VLOOKUP($K417,$AM$1:$AN$12,2)</f>
        <v>9</v>
      </c>
      <c r="M417" s="10"/>
      <c r="N417" s="10"/>
      <c r="O417" s="13"/>
      <c r="R417" s="1"/>
      <c r="S417" s="11"/>
      <c r="T417" s="11"/>
      <c r="U417" s="11"/>
      <c r="V417" s="11"/>
      <c r="W417" s="11"/>
    </row>
    <row r="418" spans="1:32" ht="12.75" customHeight="1" x14ac:dyDescent="0.25">
      <c r="A418" s="253" t="str">
        <f>IF(VLOOKUP($B417,Draw!$A$4:$B$27,2)&lt;&gt;0,VLOOKUP($B417,Draw!$A$4:$B$27,2),"")</f>
        <v/>
      </c>
      <c r="B418" s="254"/>
      <c r="C418" s="254"/>
      <c r="D418" s="254"/>
      <c r="E418" s="254"/>
      <c r="F418" s="255"/>
      <c r="G418" s="273" t="s">
        <v>412</v>
      </c>
      <c r="H418" s="249"/>
      <c r="I418" s="274"/>
      <c r="J418" s="253" t="str">
        <f>IF(VLOOKUP($K417,Draw!$A$4:$B$27,2)&lt;&gt;0,VLOOKUP($K417,Draw!$A$4:$B$27,2),"")</f>
        <v/>
      </c>
      <c r="K418" s="254"/>
      <c r="L418" s="254"/>
      <c r="M418" s="254"/>
      <c r="N418" s="254"/>
      <c r="O418" s="255"/>
      <c r="P418"/>
      <c r="R418" s="1"/>
      <c r="S418" s="11"/>
      <c r="T418" s="11"/>
      <c r="U418" s="11"/>
      <c r="V418" s="11"/>
      <c r="W418" s="11"/>
    </row>
    <row r="419" spans="1:32" ht="12.75" customHeight="1" x14ac:dyDescent="0.25">
      <c r="A419" s="6"/>
      <c r="B419"/>
      <c r="C419"/>
      <c r="D419"/>
      <c r="E419"/>
      <c r="F419" s="6"/>
      <c r="G419" s="248" t="str">
        <f>"Page "&amp;VALUE(RIGHT($G418,LEN($G418)-SEARCH("-",$G418)))/2</f>
        <v>Page 9</v>
      </c>
      <c r="H419" s="249"/>
      <c r="I419" s="249"/>
      <c r="J419"/>
      <c r="K419"/>
      <c r="L419"/>
      <c r="M419"/>
      <c r="N419"/>
      <c r="O419"/>
      <c r="P419"/>
      <c r="R419" s="1"/>
      <c r="S419" s="11"/>
      <c r="T419" s="11"/>
      <c r="U419" s="11"/>
      <c r="V419" s="11"/>
      <c r="W419" s="11"/>
      <c r="AF419"/>
    </row>
    <row r="420" spans="1:32" ht="12.75" customHeight="1" x14ac:dyDescent="0.25">
      <c r="A420" s="276" t="s">
        <v>177</v>
      </c>
      <c r="B420" s="276"/>
      <c r="C420" s="276"/>
      <c r="D420" s="276"/>
      <c r="E420" s="276"/>
      <c r="F420" s="276"/>
      <c r="G420" s="276"/>
      <c r="H420" s="276"/>
      <c r="I420" s="276"/>
      <c r="J420" s="276"/>
      <c r="K420" s="276"/>
      <c r="L420" s="276"/>
      <c r="M420" s="276"/>
      <c r="N420" s="276"/>
      <c r="O420" s="276"/>
      <c r="P420" s="276"/>
      <c r="Q420" s="6"/>
      <c r="R420" s="1"/>
      <c r="S420" s="11"/>
      <c r="T420" s="11"/>
      <c r="U420" s="11"/>
      <c r="V420" s="11"/>
      <c r="W420" s="11"/>
      <c r="AF420" s="14"/>
    </row>
    <row r="421" spans="1:32" ht="12.75" customHeight="1" x14ac:dyDescent="0.25">
      <c r="A421" s="15" t="s">
        <v>165</v>
      </c>
      <c r="H421" s="110" t="str">
        <f>IF($Q423&lt;&gt;"",IF(AND(AND($H423&gt;-1,$H425&gt;-1),OR($H423&gt;10,$H425&gt;10),ABS($H423-$H425)&gt;1,IF(OR($H423&gt;11,$H425&gt;11),ABS($H423-$H425)=2,TRUE),$H423=INT($H423),$H425=INT($H425)),"","Error"),"")</f>
        <v/>
      </c>
      <c r="I421" s="110" t="str">
        <f>IF($Q423&lt;&gt;"",IF(AND(AND($I423&gt;-1,$I425&gt;-1),OR($I423&gt;10,$I425&gt;10),ABS($I423-$I425)&gt;1,IF(OR($I423&gt;11,$I425&gt;11),ABS($I423-$I425)=2,TRUE),$I423=INT($I423),$I425=INT($I425)),"","Error"),"")</f>
        <v/>
      </c>
      <c r="J421" s="110" t="str">
        <f>IF($Q423&lt;&gt;"",IF(AND(AND($J423&gt;-1,$J425&gt;-1),OR($J423&gt;10,$J425&gt;10),ABS($J423-$J425)&gt;1,IF(OR($J423&gt;11,$J425&gt;11),ABS($J423-$J425)=2,TRUE),$J423=INT($J423),$J425=INT($J425)),"","Error"),"")</f>
        <v/>
      </c>
      <c r="K421" s="110" t="str">
        <f>IF($Q423&lt;&gt;"",IF(AND($K423&lt;&gt;"",$K425&lt;&gt;""), IF(AND(AND($K423&gt;-1,$K425&gt;-1),OR($K423&gt;10,$K425&gt;10),ABS($K423-$K425)&gt;1,IF(OR($K423&gt;11,$K425&gt;11),ABS($K423-$K425)=2,TRUE),$K423=INT($K423),$K425=INT($K425)),"","Error"),""),"")</f>
        <v/>
      </c>
      <c r="L421" s="110" t="str">
        <f>IF($Q423&lt;&gt;"",IF(AND($L423&lt;&gt;"",$L425&lt;&gt;""), IF(AND(AND($L423&gt;-1,$L425&gt;-1),OR($L423&gt;10,$L425&gt;10),ABS($L423-$L425)&gt;1,IF(OR($L423&gt;11,$L425&gt;11),ABS($L423-$L425)=2,TRUE),$L423=INT($L423),$L425=INT($L425)),"","Error"),""),"")</f>
        <v/>
      </c>
      <c r="R421" s="1"/>
      <c r="S421" s="11"/>
      <c r="T421" s="11"/>
      <c r="U421" s="11"/>
      <c r="V421" s="11"/>
      <c r="W421" s="11"/>
    </row>
    <row r="422" spans="1:32" ht="12.75" customHeight="1" x14ac:dyDescent="0.25">
      <c r="A422" s="5" t="s">
        <v>160</v>
      </c>
      <c r="B422" s="256" t="s">
        <v>58</v>
      </c>
      <c r="C422" s="257"/>
      <c r="D422" s="257"/>
      <c r="E422" s="257"/>
      <c r="F422" s="257"/>
      <c r="G422" s="258"/>
      <c r="H422" s="5">
        <v>1</v>
      </c>
      <c r="I422" s="5">
        <v>2</v>
      </c>
      <c r="J422" s="5">
        <v>3</v>
      </c>
      <c r="K422" s="5">
        <v>4</v>
      </c>
      <c r="L422" s="5">
        <v>5</v>
      </c>
      <c r="M422" s="270"/>
      <c r="N422" s="271"/>
      <c r="O422" s="271"/>
      <c r="P422" s="272"/>
      <c r="R422" s="1"/>
      <c r="S422" s="11"/>
      <c r="T422" s="11"/>
      <c r="U422" s="11"/>
      <c r="V422" s="11"/>
      <c r="W422" s="11"/>
    </row>
    <row r="423" spans="1:32" ht="12.75" customHeight="1" x14ac:dyDescent="0.25">
      <c r="A423" s="259" t="str">
        <f>B417</f>
        <v>B</v>
      </c>
      <c r="B423" s="236" t="str">
        <f ca="1">IF(AND(OFFSET($AO$1,$C417-1,8,1,1),$A418&lt;&gt;"",$J418&lt;&gt;""),CHOOSE($C417,$AO$1,$AO$2,$AO$3,$AO$4,$AO$5,$AO$6,$AO$7,$AO$8,$AO$9,$AO$10,$AO$11,$AO$12),"")</f>
        <v/>
      </c>
      <c r="C423" s="237"/>
      <c r="D423" s="237"/>
      <c r="E423" s="237"/>
      <c r="F423" s="237"/>
      <c r="G423" s="237"/>
      <c r="H423" s="233"/>
      <c r="I423" s="233"/>
      <c r="J423" s="233"/>
      <c r="K423" s="233"/>
      <c r="L423" s="233"/>
      <c r="M423" s="281"/>
      <c r="N423" s="282"/>
      <c r="O423" s="282"/>
      <c r="P423" s="283"/>
      <c r="Q423" s="40" t="str">
        <f>IF($L423=$L425,IF($K423=$K425,IF($J423&lt;&gt;"",IF($J423&gt;$J425,"W","L"),""),IF($K423&gt;$K425,"W","L")),IF($L423&gt;$L425,"W","L"))</f>
        <v/>
      </c>
      <c r="R423" s="1"/>
      <c r="S423" s="11"/>
      <c r="T423" s="11"/>
      <c r="U423" s="11"/>
      <c r="V423" s="11"/>
      <c r="W423" s="11"/>
    </row>
    <row r="424" spans="1:32" ht="12.75" customHeight="1" x14ac:dyDescent="0.25">
      <c r="A424" s="260"/>
      <c r="B424" s="238"/>
      <c r="C424" s="239"/>
      <c r="D424" s="239"/>
      <c r="E424" s="239"/>
      <c r="F424" s="239"/>
      <c r="G424" s="239"/>
      <c r="H424" s="234"/>
      <c r="I424" s="234"/>
      <c r="J424" s="234"/>
      <c r="K424" s="234"/>
      <c r="L424" s="234"/>
      <c r="M424" s="281"/>
      <c r="N424" s="282"/>
      <c r="O424" s="282"/>
      <c r="P424" s="283"/>
      <c r="Q424" s="110" t="str">
        <f>IF($Q423&lt;&gt;"",IF($Q423="W",IF(SUM(IF($H423&gt;$H425,1,0),IF($I423&gt;$I425,1,0),IF($J423&gt;$J425,1,0),IF($K423&gt;$K425,1,0),IF($L423&gt;$L425,1,0))&lt;&gt;3,"Error",""),""),"")</f>
        <v/>
      </c>
      <c r="R424" s="295" t="str">
        <f>$A418</f>
        <v/>
      </c>
      <c r="S424" s="295"/>
      <c r="T424" s="295"/>
      <c r="U424" s="295"/>
      <c r="V424" s="295"/>
      <c r="W424" s="295"/>
      <c r="X424" s="219" t="str">
        <f>CONCATENATE("(",$B417," vs ",$K417,")")</f>
        <v>(B vs I)</v>
      </c>
      <c r="Y424" s="219"/>
      <c r="Z424" s="295" t="str">
        <f>$J418</f>
        <v/>
      </c>
      <c r="AA424" s="295"/>
      <c r="AB424" s="295"/>
      <c r="AC424" s="295"/>
      <c r="AD424" s="295"/>
      <c r="AE424" s="295"/>
      <c r="AF424"/>
    </row>
    <row r="425" spans="1:32" ht="12.75" customHeight="1" x14ac:dyDescent="0.25">
      <c r="A425" s="259" t="str">
        <f>K417</f>
        <v>I</v>
      </c>
      <c r="B425" s="236" t="str">
        <f ca="1">IF(AND(OFFSET($AO$1,$L417-1,8,1,1),$A418&lt;&gt;"",$J418&lt;&gt;""),CHOOSE($L417,$AO$1,$AO$2,$AO$3,$AO$4,$AO$5,$AO$6,$AO$7,$AO$8,$AO$9,$AO$10,$AO$11,$AO$12),"")</f>
        <v/>
      </c>
      <c r="C425" s="237"/>
      <c r="D425" s="237"/>
      <c r="E425" s="237"/>
      <c r="F425" s="237"/>
      <c r="G425" s="237"/>
      <c r="H425" s="233"/>
      <c r="I425" s="233"/>
      <c r="J425" s="233"/>
      <c r="K425" s="233"/>
      <c r="L425" s="233"/>
      <c r="M425" s="250" t="s">
        <v>169</v>
      </c>
      <c r="N425" s="251"/>
      <c r="O425" s="251"/>
      <c r="P425" s="252"/>
      <c r="Q425" s="40" t="str">
        <f>IF($Q423&lt;&gt;"",IF($Q423="W","L","W"),"")</f>
        <v/>
      </c>
      <c r="R425"/>
      <c r="S425"/>
      <c r="T425"/>
      <c r="U425"/>
      <c r="V425"/>
      <c r="W425"/>
      <c r="X425"/>
      <c r="Y425"/>
      <c r="Z425"/>
      <c r="AA425"/>
      <c r="AB425"/>
      <c r="AC425"/>
      <c r="AD425"/>
      <c r="AE425"/>
      <c r="AF425"/>
    </row>
    <row r="426" spans="1:32" ht="12.75" customHeight="1" x14ac:dyDescent="0.25">
      <c r="A426" s="260"/>
      <c r="B426" s="238"/>
      <c r="C426" s="239"/>
      <c r="D426" s="239"/>
      <c r="E426" s="239"/>
      <c r="F426" s="239"/>
      <c r="G426" s="239"/>
      <c r="H426" s="234"/>
      <c r="I426" s="234"/>
      <c r="J426" s="235"/>
      <c r="K426" s="235"/>
      <c r="L426" s="235"/>
      <c r="M426" s="250"/>
      <c r="N426" s="251"/>
      <c r="O426" s="251"/>
      <c r="P426" s="252"/>
      <c r="Q426" s="110" t="str">
        <f>IF($Q425&lt;&gt;"",IF($Q425="W",IF(SUM(IF($H425&gt;$H423,1,0),IF($I425&gt;$I423,1,0),IF($J425&gt;$J423,1,0),IF($K425&gt;$K423,1,0),IF($L425&gt;$L423,1,0))&lt;&gt;3,"Error",""),""),"")</f>
        <v/>
      </c>
      <c r="R426" t="str">
        <f>$A428</f>
        <v>2nd Singles</v>
      </c>
      <c r="S426"/>
      <c r="T426"/>
      <c r="U426"/>
      <c r="V426"/>
      <c r="W426"/>
      <c r="X426"/>
      <c r="Y426"/>
      <c r="Z426"/>
      <c r="AA426"/>
      <c r="AB426"/>
      <c r="AC426"/>
      <c r="AD426"/>
      <c r="AE426"/>
      <c r="AF426"/>
    </row>
    <row r="427" spans="1:32" ht="12.75" customHeight="1" x14ac:dyDescent="0.25">
      <c r="Q427" s="6"/>
      <c r="R427" s="47" t="s">
        <v>160</v>
      </c>
      <c r="S427" s="304" t="s">
        <v>58</v>
      </c>
      <c r="T427" s="305"/>
      <c r="U427" s="305"/>
      <c r="V427" s="305"/>
      <c r="W427" s="305"/>
      <c r="X427" s="306"/>
      <c r="Y427" s="47">
        <v>1</v>
      </c>
      <c r="Z427" s="47">
        <v>2</v>
      </c>
      <c r="AA427" s="47">
        <v>3</v>
      </c>
      <c r="AB427" s="47">
        <v>4</v>
      </c>
      <c r="AC427" s="47">
        <v>5</v>
      </c>
      <c r="AD427" s="286"/>
      <c r="AE427" s="287"/>
      <c r="AF427" s="288"/>
    </row>
    <row r="428" spans="1:32" ht="12.75" customHeight="1" x14ac:dyDescent="0.25">
      <c r="A428" s="15" t="s">
        <v>166</v>
      </c>
      <c r="H428" s="110" t="str">
        <f>IF($Q430&lt;&gt;"",IF(AND(AND($H430&gt;-1,$H432&gt;-1),OR($H430&gt;10,$H432&gt;10),ABS($H430-$H432)&gt;1,IF(OR($H430&gt;11,$H432&gt;11),ABS($H430-$H432)=2,TRUE),$H430=INT($H430),$H432=INT($H432)),"","Error"),"")</f>
        <v/>
      </c>
      <c r="I428" s="110" t="str">
        <f>IF($Q430&lt;&gt;"",IF(AND(AND($I430&gt;-1,$I432&gt;-1),OR($I430&gt;10,$I432&gt;10),ABS($I430-$I432)&gt;1,IF(OR($I430&gt;11,$I432&gt;11),ABS($I430-$I432)=2,TRUE),$I430=INT($I430),$I432=INT($I432)),"","Error"),"")</f>
        <v/>
      </c>
      <c r="J428" s="110" t="str">
        <f>IF($Q430&lt;&gt;"",IF(AND(AND($J430&gt;-1,$J432&gt;-1),OR($J430&gt;10,$J432&gt;10),ABS($J430-$J432)&gt;1,IF(OR($J430&gt;11,$J432&gt;11),ABS($J430-$J432)=2,TRUE),$J430=INT($J430),$J432=INT($J432)),"","Error"),"")</f>
        <v/>
      </c>
      <c r="K428" s="110" t="str">
        <f>IF($Q430&lt;&gt;"",IF(AND($K430&lt;&gt;"",$K432&lt;&gt;""), IF(AND(AND($K430&gt;-1,$K432&gt;-1),OR($K430&gt;10,$K432&gt;10),ABS($K430-$K432)&gt;1,IF(OR($K430&gt;11,$K432&gt;11),ABS($K430-$K432)=2,TRUE),$K430=INT($K430),$K432=INT($K432)),"","Error"),""),"")</f>
        <v/>
      </c>
      <c r="L428" s="110" t="str">
        <f>IF($Q430&lt;&gt;"",IF(AND($L430&lt;&gt;"",$L432&lt;&gt;""), IF(AND(AND($L430&gt;-1,$L432&gt;-1),OR($L430&gt;10,$L432&gt;10),ABS($L430-$L432)&gt;1,IF(OR($L430&gt;11,$L432&gt;11),ABS($L430-$L432)=2,TRUE),$L430=INT($L430),$L432=INT($L432)),"","Error"),""),"")</f>
        <v/>
      </c>
      <c r="Q428" s="6"/>
      <c r="R428" s="259" t="str">
        <f>$B417</f>
        <v>B</v>
      </c>
      <c r="S428" s="307" t="str">
        <f ca="1">IF($B430&lt;&gt;"",$B430,"")</f>
        <v/>
      </c>
      <c r="T428" s="308"/>
      <c r="U428" s="308"/>
      <c r="V428" s="308"/>
      <c r="W428" s="308"/>
      <c r="X428" s="309"/>
      <c r="Y428" s="284"/>
      <c r="Z428" s="284"/>
      <c r="AA428" s="284"/>
      <c r="AB428" s="284"/>
      <c r="AC428" s="284"/>
      <c r="AD428" s="296"/>
      <c r="AE428" s="290"/>
      <c r="AF428" s="291"/>
    </row>
    <row r="429" spans="1:32" ht="12.75" customHeight="1" x14ac:dyDescent="0.25">
      <c r="A429" s="5" t="s">
        <v>160</v>
      </c>
      <c r="B429" s="256" t="s">
        <v>58</v>
      </c>
      <c r="C429" s="257"/>
      <c r="D429" s="257"/>
      <c r="E429" s="257"/>
      <c r="F429" s="257"/>
      <c r="G429" s="258"/>
      <c r="H429" s="5">
        <v>1</v>
      </c>
      <c r="I429" s="5">
        <v>2</v>
      </c>
      <c r="J429" s="5">
        <v>3</v>
      </c>
      <c r="K429" s="5">
        <v>4</v>
      </c>
      <c r="L429" s="5">
        <v>5</v>
      </c>
      <c r="M429" s="270"/>
      <c r="N429" s="271"/>
      <c r="O429" s="271"/>
      <c r="P429" s="272"/>
      <c r="Q429" s="6"/>
      <c r="R429" s="285"/>
      <c r="S429" s="310"/>
      <c r="T429" s="311"/>
      <c r="U429" s="311"/>
      <c r="V429" s="311"/>
      <c r="W429" s="311"/>
      <c r="X429" s="312"/>
      <c r="Y429" s="285"/>
      <c r="Z429" s="285"/>
      <c r="AA429" s="285"/>
      <c r="AB429" s="285"/>
      <c r="AC429" s="285"/>
      <c r="AD429" s="292"/>
      <c r="AE429" s="293"/>
      <c r="AF429" s="294"/>
    </row>
    <row r="430" spans="1:32" ht="12.75" customHeight="1" x14ac:dyDescent="0.25">
      <c r="A430" s="259" t="str">
        <f>B417</f>
        <v>B</v>
      </c>
      <c r="B430" s="236" t="str">
        <f ca="1">IF(AND(OFFSET($AO$1,$C417-1,8,1,1),$A418&lt;&gt;"",$J418&lt;&gt;""),CHOOSE($C417,$AP$1,$AP$2,$AP$3,$AP$4,$AP$5,$AP$6,$AP$7,$AP$8,$AP$9,$AP$10,$AP$11,$AP$12),"")</f>
        <v/>
      </c>
      <c r="C430" s="237"/>
      <c r="D430" s="237"/>
      <c r="E430" s="237"/>
      <c r="F430" s="237"/>
      <c r="G430" s="237"/>
      <c r="H430" s="233"/>
      <c r="I430" s="233"/>
      <c r="J430" s="233"/>
      <c r="K430" s="233"/>
      <c r="L430" s="233"/>
      <c r="M430" s="245" t="str">
        <f ca="1">IF(OR(AND($B423&lt;&gt;"",$B430&lt;&gt;"",$C448&lt;=$B448),AND($B425&lt;&gt;"",$B432&lt;&gt;"",$G448&lt;=$F448)),"Invalid Lineup","")</f>
        <v/>
      </c>
      <c r="N430" s="246"/>
      <c r="O430" s="246"/>
      <c r="P430" s="247"/>
      <c r="Q430" s="40" t="str">
        <f>IF($L430=$L432,IF($K430=$K432,IF($J430&lt;&gt;"",IF($J430&gt;$J432,"W","L"),""),IF($K430&gt;$K432,"W","L")),IF($L430&gt;$L432,"W","L"))</f>
        <v/>
      </c>
      <c r="R430" s="259" t="str">
        <f>$K417</f>
        <v>I</v>
      </c>
      <c r="S430" s="307" t="str">
        <f ca="1">IF($B432&lt;&gt;"",$B432,"")</f>
        <v/>
      </c>
      <c r="T430" s="308"/>
      <c r="U430" s="308"/>
      <c r="V430" s="308"/>
      <c r="W430" s="308"/>
      <c r="X430" s="309"/>
      <c r="Y430" s="284"/>
      <c r="Z430" s="284"/>
      <c r="AA430" s="284"/>
      <c r="AB430" s="284"/>
      <c r="AC430" s="297"/>
      <c r="AD430" s="289" t="s">
        <v>169</v>
      </c>
      <c r="AE430" s="290"/>
      <c r="AF430" s="291"/>
    </row>
    <row r="431" spans="1:32" ht="12.75" customHeight="1" x14ac:dyDescent="0.25">
      <c r="A431" s="260"/>
      <c r="B431" s="238"/>
      <c r="C431" s="239"/>
      <c r="D431" s="239"/>
      <c r="E431" s="239"/>
      <c r="F431" s="239"/>
      <c r="G431" s="239"/>
      <c r="H431" s="234"/>
      <c r="I431" s="234"/>
      <c r="J431" s="234"/>
      <c r="K431" s="234"/>
      <c r="L431" s="234"/>
      <c r="M431" s="245"/>
      <c r="N431" s="246"/>
      <c r="O431" s="246"/>
      <c r="P431" s="247"/>
      <c r="Q431" s="110" t="str">
        <f>IF($Q430&lt;&gt;"",IF($Q430="W",IF(SUM(IF($H430&gt;$H432,1,0),IF($I430&gt;$I432,1,0),IF($J430&gt;$J432,1,0),IF($K430&gt;$K432,1,0),IF($L430&gt;$L432,1,0))&lt;&gt;3,"Error",""),""),"")</f>
        <v/>
      </c>
      <c r="R431" s="285"/>
      <c r="S431" s="310"/>
      <c r="T431" s="311"/>
      <c r="U431" s="311"/>
      <c r="V431" s="311"/>
      <c r="W431" s="311"/>
      <c r="X431" s="312"/>
      <c r="Y431" s="285"/>
      <c r="Z431" s="285"/>
      <c r="AA431" s="285"/>
      <c r="AB431" s="285"/>
      <c r="AC431" s="285"/>
      <c r="AD431" s="292"/>
      <c r="AE431" s="293"/>
      <c r="AF431" s="294"/>
    </row>
    <row r="432" spans="1:32" ht="12.75" customHeight="1" x14ac:dyDescent="0.25">
      <c r="A432" s="259" t="str">
        <f>K417</f>
        <v>I</v>
      </c>
      <c r="B432" s="236" t="str">
        <f ca="1">IF(AND(OFFSET($AO$1,$L417-1,8,1,1),$A418&lt;&gt;"",$J418&lt;&gt;""),CHOOSE($L417,$AP$1,$AP$2,$AP$3,$AP$4,$AP$5,$AP$6,$AP$7,$AP$8,$AP$9,$AP$10,$AP$11,$AP$12),"")</f>
        <v/>
      </c>
      <c r="C432" s="237"/>
      <c r="D432" s="237"/>
      <c r="E432" s="237"/>
      <c r="F432" s="237"/>
      <c r="G432" s="237"/>
      <c r="H432" s="233"/>
      <c r="I432" s="233"/>
      <c r="J432" s="233"/>
      <c r="K432" s="233"/>
      <c r="L432" s="233"/>
      <c r="M432" s="250" t="s">
        <v>169</v>
      </c>
      <c r="N432" s="251"/>
      <c r="O432" s="251"/>
      <c r="P432" s="252"/>
      <c r="Q432" s="40" t="str">
        <f>IF($Q430&lt;&gt;"",IF($Q430="W","L","W"),"")</f>
        <v/>
      </c>
      <c r="R432" s="14"/>
      <c r="S432" s="14"/>
      <c r="T432" s="14"/>
      <c r="U432" s="14"/>
      <c r="V432" s="14"/>
      <c r="W432" s="14"/>
      <c r="X432" s="7"/>
      <c r="Y432" s="7"/>
      <c r="Z432" s="14"/>
      <c r="AA432" s="14"/>
      <c r="AB432" s="14"/>
      <c r="AC432" s="14"/>
      <c r="AD432" s="14"/>
      <c r="AE432" s="14"/>
      <c r="AF432"/>
    </row>
    <row r="433" spans="1:32" ht="12.75" customHeight="1" x14ac:dyDescent="0.25">
      <c r="A433" s="260"/>
      <c r="B433" s="238"/>
      <c r="C433" s="239"/>
      <c r="D433" s="239"/>
      <c r="E433" s="239"/>
      <c r="F433" s="239"/>
      <c r="G433" s="239"/>
      <c r="H433" s="234"/>
      <c r="I433" s="234"/>
      <c r="J433" s="235"/>
      <c r="K433" s="235"/>
      <c r="L433" s="235"/>
      <c r="M433" s="250"/>
      <c r="N433" s="251"/>
      <c r="O433" s="251"/>
      <c r="P433" s="252"/>
      <c r="Q433" s="110" t="str">
        <f>IF($Q432&lt;&gt;"",IF($Q432="W",IF(SUM(IF($H432&gt;$H430,1,0),IF($I432&gt;$I430,1,0),IF($J432&gt;$J430,1,0),IF($K432&gt;$K430,1,0),IF($L432&gt;$L430,1,0))&lt;&gt;3,"Error",""),""),"")</f>
        <v/>
      </c>
      <c r="R433" s="14"/>
      <c r="S433" s="14"/>
      <c r="T433" s="14"/>
      <c r="U433" s="14"/>
      <c r="V433" s="14"/>
      <c r="W433" s="14"/>
      <c r="X433" s="7"/>
      <c r="Y433" s="7"/>
      <c r="Z433" s="14"/>
      <c r="AA433" s="14"/>
      <c r="AB433" s="14"/>
      <c r="AC433" s="14"/>
      <c r="AD433" s="14"/>
      <c r="AE433" s="14"/>
      <c r="AF433"/>
    </row>
    <row r="434" spans="1:32" ht="12.75" customHeight="1" x14ac:dyDescent="0.25">
      <c r="Q434" s="6"/>
      <c r="R434" s="14"/>
      <c r="S434" s="14"/>
      <c r="T434" s="14"/>
      <c r="U434" s="14"/>
      <c r="V434" s="14"/>
      <c r="W434" s="14"/>
      <c r="X434" s="7"/>
      <c r="Y434" s="7"/>
      <c r="Z434" s="14"/>
      <c r="AA434" s="14"/>
      <c r="AB434" s="14"/>
      <c r="AC434" s="14"/>
      <c r="AD434" s="14"/>
      <c r="AE434" s="14"/>
      <c r="AF434"/>
    </row>
    <row r="435" spans="1:32" ht="12.75" customHeight="1" x14ac:dyDescent="0.25">
      <c r="A435" s="15" t="s">
        <v>167</v>
      </c>
      <c r="H435" s="110" t="str">
        <f>IF($Q437&lt;&gt;"",IF(AND(AND($H437&gt;-1,$H439&gt;-1),OR($H437&gt;10,$H439&gt;10),ABS($H437-$H439)&gt;1,IF(OR($H437&gt;11,$H439&gt;11),ABS($H437-$H439)=2,TRUE),$H437=INT($H437),$H439=INT($H439)),"","Error"),"")</f>
        <v/>
      </c>
      <c r="I435" s="110" t="str">
        <f>IF($Q437&lt;&gt;"",IF(AND(AND($I437&gt;-1,$I439&gt;-1),OR($I437&gt;10,$I439&gt;10),ABS($I437-$I439)&gt;1,IF(OR($I437&gt;11,$I439&gt;11),ABS($I437-$I439)=2,TRUE),$I437=INT($I437),$I439=INT($I439)),"","Error"),"")</f>
        <v/>
      </c>
      <c r="J435" s="110" t="str">
        <f>IF($Q437&lt;&gt;"",IF(AND(AND($J437&gt;-1,$J439&gt;-1),OR($J437&gt;10,$J439&gt;10),ABS($J437-$J439)&gt;1,IF(OR($J437&gt;11,$J439&gt;11),ABS($J437-$J439)=2,TRUE),$J437=INT($J437),$J439=INT($J439)),"","Error"),"")</f>
        <v/>
      </c>
      <c r="K435" s="110" t="str">
        <f>IF($Q437&lt;&gt;"",IF(AND($K437&lt;&gt;"",$K439&lt;&gt;""), IF(AND(AND($K437&gt;-1,$K439&gt;-1),OR($K437&gt;10,$K439&gt;10),ABS($K437-$K439)&gt;1,IF(OR($K437&gt;11,$K439&gt;11),ABS($K437-$K439)=2,TRUE),$K437=INT($K437),$K439=INT($K439)),"","Error"),""),"")</f>
        <v/>
      </c>
      <c r="L435" s="110" t="str">
        <f>IF($Q437&lt;&gt;"",IF(AND($L437&lt;&gt;"",$L439&lt;&gt;""), IF(AND(AND($L437&gt;-1,$L439&gt;-1),OR($L437&gt;10,$L439&gt;10),ABS($L437-$L439)&gt;1,IF(OR($L437&gt;11,$L439&gt;11),ABS($L437-$L439)=2,TRUE),$L437=INT($L437),$L439=INT($L439)),"","Error"),""),"")</f>
        <v/>
      </c>
      <c r="Q435" s="6"/>
      <c r="R435" s="14"/>
      <c r="S435" s="14"/>
      <c r="T435" s="14"/>
      <c r="U435" s="14"/>
      <c r="V435" s="14"/>
      <c r="W435" s="14"/>
      <c r="X435" s="7"/>
      <c r="Y435" s="7"/>
      <c r="Z435" s="14"/>
      <c r="AA435" s="14"/>
      <c r="AB435" s="14"/>
      <c r="AC435" s="14"/>
      <c r="AD435" s="14"/>
      <c r="AE435" s="14"/>
      <c r="AF435"/>
    </row>
    <row r="436" spans="1:32" ht="12.75" customHeight="1" x14ac:dyDescent="0.25">
      <c r="A436" s="5" t="s">
        <v>160</v>
      </c>
      <c r="B436" s="256" t="s">
        <v>58</v>
      </c>
      <c r="C436" s="257"/>
      <c r="D436" s="257"/>
      <c r="E436" s="257"/>
      <c r="F436" s="257"/>
      <c r="G436" s="258"/>
      <c r="H436" s="5">
        <v>1</v>
      </c>
      <c r="I436" s="5">
        <v>2</v>
      </c>
      <c r="J436" s="5">
        <v>3</v>
      </c>
      <c r="K436" s="5">
        <v>4</v>
      </c>
      <c r="L436" s="5">
        <v>5</v>
      </c>
      <c r="M436" s="270"/>
      <c r="N436" s="271"/>
      <c r="O436" s="271"/>
      <c r="P436" s="272"/>
      <c r="Q436" s="6"/>
      <c r="R436" s="14"/>
      <c r="S436" s="14"/>
      <c r="T436" s="14"/>
      <c r="U436" s="14"/>
      <c r="V436" s="14"/>
      <c r="W436" s="14"/>
      <c r="X436" s="7"/>
      <c r="Y436" s="7"/>
      <c r="Z436" s="14"/>
      <c r="AA436" s="14"/>
      <c r="AB436" s="14"/>
      <c r="AC436" s="14"/>
      <c r="AD436" s="14"/>
      <c r="AE436" s="14"/>
      <c r="AF436"/>
    </row>
    <row r="437" spans="1:32" ht="12.75" customHeight="1" x14ac:dyDescent="0.25">
      <c r="A437" s="259" t="str">
        <f>B417</f>
        <v>B</v>
      </c>
      <c r="B437" s="236" t="str">
        <f ca="1">IF(AND(OFFSET($AO$1,$C417-1,8,1,1),$A418&lt;&gt;"",$J418&lt;&gt;""),CHOOSE($C417,$AQ$1,$AQ$2,$AQ$3,$AQ$4,$AQ$5,$AQ$6,$AQ$7,$AQ$8,$AQ$9,$AQ$10,$AQ$11,$AQ$12),"")</f>
        <v/>
      </c>
      <c r="C437" s="237"/>
      <c r="D437" s="237"/>
      <c r="E437" s="237"/>
      <c r="F437" s="237"/>
      <c r="G437" s="237"/>
      <c r="H437" s="233"/>
      <c r="I437" s="233"/>
      <c r="J437" s="233"/>
      <c r="K437" s="233"/>
      <c r="L437" s="233"/>
      <c r="M437" s="245" t="str">
        <f ca="1">IF(OR(AND($B430&lt;&gt;"",$B437&lt;&gt;"",$D448&lt;=$C448),AND($B432&lt;&gt;"",$B439&lt;&gt;"",$H448&lt;=$G448)),"Invalid Lineup","")</f>
        <v/>
      </c>
      <c r="N437" s="246"/>
      <c r="O437" s="246"/>
      <c r="P437" s="247"/>
      <c r="Q437" s="40" t="str">
        <f>IF($L437=$L439,IF($K437=$K439,IF($J437&lt;&gt;"",IF($J437&gt;$J439,"W","L"),""),IF($K437&gt;$K439,"W","L")),IF($L437&gt;$L439,"W","L"))</f>
        <v/>
      </c>
      <c r="R437" s="14"/>
      <c r="S437" s="14"/>
      <c r="T437" s="14"/>
      <c r="U437" s="14"/>
      <c r="V437" s="14"/>
      <c r="W437" s="14"/>
      <c r="X437" s="7"/>
      <c r="Y437" s="7"/>
      <c r="Z437" s="14"/>
      <c r="AA437" s="14"/>
      <c r="AB437" s="14"/>
      <c r="AC437" s="14"/>
      <c r="AD437" s="14"/>
      <c r="AE437" s="14"/>
      <c r="AF437"/>
    </row>
    <row r="438" spans="1:32" ht="12.75" customHeight="1" x14ac:dyDescent="0.25">
      <c r="A438" s="260"/>
      <c r="B438" s="238"/>
      <c r="C438" s="239"/>
      <c r="D438" s="239"/>
      <c r="E438" s="239"/>
      <c r="F438" s="239"/>
      <c r="G438" s="239"/>
      <c r="H438" s="234"/>
      <c r="I438" s="234"/>
      <c r="J438" s="234"/>
      <c r="K438" s="234"/>
      <c r="L438" s="234"/>
      <c r="M438" s="245"/>
      <c r="N438" s="246"/>
      <c r="O438" s="246"/>
      <c r="P438" s="247"/>
      <c r="Q438" s="110" t="str">
        <f>IF($Q437&lt;&gt;"",IF($Q437="W",IF(SUM(IF($H437&gt;$H439,1,0),IF($I437&gt;$I439,1,0),IF($J437&gt;$J439,1,0),IF($K437&gt;$K439,1,0),IF($L437&gt;$L439,1,0))&lt;&gt;3,"Error",""),""),"")</f>
        <v/>
      </c>
      <c r="R438" s="295" t="str">
        <f>$A418</f>
        <v/>
      </c>
      <c r="S438" s="295"/>
      <c r="T438" s="295"/>
      <c r="U438" s="295"/>
      <c r="V438" s="295"/>
      <c r="W438" s="295"/>
      <c r="X438" s="219" t="str">
        <f>CONCATENATE("(",$B417," vs ",$K417,")")</f>
        <v>(B vs I)</v>
      </c>
      <c r="Y438" s="219"/>
      <c r="Z438" s="295" t="str">
        <f>$J418</f>
        <v/>
      </c>
      <c r="AA438" s="295"/>
      <c r="AB438" s="295"/>
      <c r="AC438" s="295"/>
      <c r="AD438" s="295"/>
      <c r="AE438" s="295"/>
      <c r="AF438"/>
    </row>
    <row r="439" spans="1:32" ht="12.75" customHeight="1" x14ac:dyDescent="0.25">
      <c r="A439" s="259" t="str">
        <f>K417</f>
        <v>I</v>
      </c>
      <c r="B439" s="236" t="str">
        <f ca="1">IF(AND(OFFSET($AO$1,$L417-1,8,1,1),$A418&lt;&gt;"",$J418&lt;&gt;""),CHOOSE($L417,$AQ$1,$AQ$2,$AQ$3,$AQ$4,$AQ$5,$AQ$6,$AQ$7,$AQ$8,$AQ$9,$AQ$10,$AQ$11,$AQ$12),"")</f>
        <v/>
      </c>
      <c r="C439" s="237"/>
      <c r="D439" s="237"/>
      <c r="E439" s="237"/>
      <c r="F439" s="237"/>
      <c r="G439" s="237"/>
      <c r="H439" s="233"/>
      <c r="I439" s="233"/>
      <c r="J439" s="233"/>
      <c r="K439" s="233"/>
      <c r="L439" s="233"/>
      <c r="M439" s="250" t="s">
        <v>169</v>
      </c>
      <c r="N439" s="251"/>
      <c r="O439" s="251"/>
      <c r="P439" s="252"/>
      <c r="Q439" s="40" t="str">
        <f>IF($Q437&lt;&gt;"",IF($Q437="W","L","W"),"")</f>
        <v/>
      </c>
      <c r="R439"/>
      <c r="S439"/>
      <c r="T439"/>
      <c r="U439"/>
      <c r="V439"/>
      <c r="W439"/>
      <c r="X439"/>
      <c r="Y439"/>
      <c r="Z439"/>
      <c r="AA439"/>
      <c r="AB439"/>
      <c r="AC439"/>
      <c r="AD439"/>
      <c r="AE439"/>
      <c r="AF439"/>
    </row>
    <row r="440" spans="1:32" ht="12.75" customHeight="1" x14ac:dyDescent="0.25">
      <c r="A440" s="260"/>
      <c r="B440" s="238"/>
      <c r="C440" s="239"/>
      <c r="D440" s="239"/>
      <c r="E440" s="239"/>
      <c r="F440" s="239"/>
      <c r="G440" s="239"/>
      <c r="H440" s="234"/>
      <c r="I440" s="234"/>
      <c r="J440" s="235"/>
      <c r="K440" s="235"/>
      <c r="L440" s="235"/>
      <c r="M440" s="250"/>
      <c r="N440" s="251"/>
      <c r="O440" s="251"/>
      <c r="P440" s="252"/>
      <c r="Q440" s="110" t="str">
        <f>IF($Q439&lt;&gt;"",IF($Q439="W",IF(SUM(IF($H439&gt;$H437,1,0),IF($I439&gt;$I437,1,0),IF($J439&gt;$J437,1,0),IF($K439&gt;$K437,1,0),IF($L439&gt;$L437,1,0))&lt;&gt;3,"Error",""),""),"")</f>
        <v/>
      </c>
      <c r="R440" t="str">
        <f>$A435</f>
        <v>3rd Singles</v>
      </c>
      <c r="S440"/>
      <c r="T440"/>
      <c r="U440"/>
      <c r="V440"/>
      <c r="W440"/>
      <c r="X440"/>
      <c r="Y440"/>
      <c r="Z440"/>
      <c r="AA440"/>
      <c r="AB440"/>
      <c r="AC440"/>
      <c r="AD440"/>
      <c r="AE440"/>
      <c r="AF440"/>
    </row>
    <row r="441" spans="1:32" ht="12.75" customHeight="1" x14ac:dyDescent="0.25">
      <c r="Q441" s="6"/>
      <c r="R441" s="47" t="s">
        <v>160</v>
      </c>
      <c r="S441" s="86" t="s">
        <v>58</v>
      </c>
      <c r="T441" s="87"/>
      <c r="U441" s="87"/>
      <c r="V441" s="87"/>
      <c r="W441" s="87"/>
      <c r="X441" s="88"/>
      <c r="Y441" s="47">
        <v>1</v>
      </c>
      <c r="Z441" s="47">
        <v>2</v>
      </c>
      <c r="AA441" s="47">
        <v>3</v>
      </c>
      <c r="AB441" s="47">
        <v>4</v>
      </c>
      <c r="AC441" s="47">
        <v>5</v>
      </c>
      <c r="AD441" s="89"/>
      <c r="AE441" s="90"/>
      <c r="AF441" s="91"/>
    </row>
    <row r="442" spans="1:32" ht="12.75" customHeight="1" x14ac:dyDescent="0.25">
      <c r="A442" s="15" t="s">
        <v>168</v>
      </c>
      <c r="H442" s="110" t="str">
        <f ca="1">IF($Q444&lt;&gt;"",IF(AND($B444&lt;&gt;"Missing Player",$B446&lt;&gt;"Missing Player"),IF(AND(AND($H444&gt;-1,$H446&gt;-1),OR($H444&gt;10,$H446&gt;10),ABS($H444-$H446)&gt;1,IF(OR($H444&gt;11,$H446&gt;11),ABS($H444-$H446)=2,TRUE),$H444=INT($H444),$H446=INT($H446)),"","Error"),""),"")</f>
        <v/>
      </c>
      <c r="I442" s="110" t="str">
        <f ca="1">IF($Q444&lt;&gt;"",IF(AND($B444&lt;&gt;"Missing Player",$B446&lt;&gt;"Missing Player"),IF(AND(AND($I444&gt;-1,$I446&gt;-1),OR($I444&gt;10,$I446&gt;10),ABS($I444-$I446)&gt;1,IF(OR($I444&gt;11,$I446&gt;11),ABS($I444-$I446)=2,TRUE),$I444=INT($I444),$I446=INT($I446)),"","Error"),""),"")</f>
        <v/>
      </c>
      <c r="J442" s="110" t="str">
        <f ca="1">IF($Q444&lt;&gt;"",IF(AND($B444&lt;&gt;"Missing Player",$B446&lt;&gt;"Missing Player"),IF(AND(AND($J444&gt;-1,$J446&gt;-1),OR($J444&gt;10,$J446&gt;10),ABS($J444-$J446)&gt;1,IF(OR($J444&gt;11,$J446&gt;11),ABS($J444-$J446)=2,TRUE),$J444=INT($J444),$J446=INT($J446)),"","Error"),""),"")</f>
        <v/>
      </c>
      <c r="K442" s="110" t="str">
        <f ca="1">IF($Q444&lt;&gt;"",IF(AND($K444&lt;&gt;"",$K446&lt;&gt;""), IF(AND(AND($K444&gt;-1,$K446&gt;-1),OR($K444&gt;10,$K446&gt;10),ABS($K444-$K446)&gt;1,IF(OR($K444&gt;11,$K446&gt;11),ABS($K444-$K446)=2,TRUE),$K444=INT($K444),$K446=INT($K446)),"","Error"),""),"")</f>
        <v/>
      </c>
      <c r="L442" s="110" t="str">
        <f ca="1">IF($Q444&lt;&gt;"",IF(AND($L444&lt;&gt;"",$L446&lt;&gt;""), IF(AND(AND($L444&gt;-1,$L446&gt;-1),OR($L444&gt;10,$L446&gt;10),ABS($L444-$L446)&gt;1,IF(OR($L444&gt;11,$L446&gt;11),ABS($L444-$L446)=2,TRUE),$L444=INT($L444),$L446=INT($L446)),"","Error"),""),"")</f>
        <v/>
      </c>
      <c r="Q442" s="6"/>
      <c r="R442" s="259" t="str">
        <f>$B417</f>
        <v>B</v>
      </c>
      <c r="S442" s="307" t="str">
        <f ca="1">IF($B437&lt;&gt;"",$B437,"")</f>
        <v/>
      </c>
      <c r="T442" s="308"/>
      <c r="U442" s="308"/>
      <c r="V442" s="308"/>
      <c r="W442" s="308"/>
      <c r="X442" s="309"/>
      <c r="Y442" s="284"/>
      <c r="Z442" s="284"/>
      <c r="AA442" s="284"/>
      <c r="AB442" s="284"/>
      <c r="AC442" s="284"/>
      <c r="AD442" s="296"/>
      <c r="AE442" s="290"/>
      <c r="AF442" s="291"/>
    </row>
    <row r="443" spans="1:32" ht="12.75" customHeight="1" x14ac:dyDescent="0.25">
      <c r="A443" s="5" t="s">
        <v>160</v>
      </c>
      <c r="B443" s="256" t="s">
        <v>58</v>
      </c>
      <c r="C443" s="257"/>
      <c r="D443" s="257"/>
      <c r="E443" s="257"/>
      <c r="F443" s="257"/>
      <c r="G443" s="258"/>
      <c r="H443" s="5">
        <v>1</v>
      </c>
      <c r="I443" s="5">
        <v>2</v>
      </c>
      <c r="J443" s="5">
        <v>3</v>
      </c>
      <c r="K443" s="5">
        <v>4</v>
      </c>
      <c r="L443" s="5">
        <v>5</v>
      </c>
      <c r="M443" s="270"/>
      <c r="N443" s="271"/>
      <c r="O443" s="271"/>
      <c r="P443" s="272"/>
      <c r="Q443" s="6"/>
      <c r="R443" s="285"/>
      <c r="S443" s="310"/>
      <c r="T443" s="311"/>
      <c r="U443" s="311"/>
      <c r="V443" s="311"/>
      <c r="W443" s="311"/>
      <c r="X443" s="312"/>
      <c r="Y443" s="285"/>
      <c r="Z443" s="285"/>
      <c r="AA443" s="285"/>
      <c r="AB443" s="285"/>
      <c r="AC443" s="285"/>
      <c r="AD443" s="292"/>
      <c r="AE443" s="293"/>
      <c r="AF443" s="294"/>
    </row>
    <row r="444" spans="1:32" ht="12.75" customHeight="1" x14ac:dyDescent="0.25">
      <c r="A444" s="259" t="str">
        <f>B417</f>
        <v>B</v>
      </c>
      <c r="B444" s="236" t="str">
        <f ca="1">IF(AND(OFFSET($AO$1,$C417-1,8,1,1),$A418&lt;&gt;"",$J418&lt;&gt;""),CHOOSE($C417,$AR$1,$AR$2,$AR$3,$AR$4,$AR$5,$AR$6,$AR$7,$AR$8,$AR$9,$AR$10,$AR$11,$AR$12),"")</f>
        <v/>
      </c>
      <c r="C444" s="237"/>
      <c r="D444" s="237"/>
      <c r="E444" s="237"/>
      <c r="F444" s="237"/>
      <c r="G444" s="237"/>
      <c r="H444" s="233"/>
      <c r="I444" s="233"/>
      <c r="J444" s="233"/>
      <c r="K444" s="233"/>
      <c r="L444" s="233" t="str">
        <f ca="1">IF(AND($B444&lt;&gt;"",$Q423&lt;&gt;""),IF($B444="Missing Player",0,IF($B446="Missing Player",11,"")),"")</f>
        <v/>
      </c>
      <c r="M444" s="245" t="str">
        <f ca="1">IF(OR(AND($B437&lt;&gt;"",$B444&lt;&gt;"",$E448&lt;=$D448),AND($B439&lt;&gt;"",$B446&lt;&gt;"",$I448&lt;=$H448)),"Invalid Lineup","")</f>
        <v/>
      </c>
      <c r="N444" s="246"/>
      <c r="O444" s="246"/>
      <c r="P444" s="247"/>
      <c r="Q444" s="40" t="str">
        <f ca="1">IF($L444=$L446,IF($K444=$K446,IF($J444&lt;&gt;"",IF($J444&gt;$J446,"W","L"),""),IF($K444&gt;$K446,"W","L")),IF($L444&gt;$L446,"W","L"))</f>
        <v/>
      </c>
      <c r="R444" s="259" t="str">
        <f>$K417</f>
        <v>I</v>
      </c>
      <c r="S444" s="307" t="str">
        <f ca="1">IF($B439&lt;&gt;"",$B439,"")</f>
        <v/>
      </c>
      <c r="T444" s="308"/>
      <c r="U444" s="308"/>
      <c r="V444" s="308"/>
      <c r="W444" s="308"/>
      <c r="X444" s="309"/>
      <c r="Y444" s="284"/>
      <c r="Z444" s="284"/>
      <c r="AA444" s="284"/>
      <c r="AB444" s="284"/>
      <c r="AC444" s="297"/>
      <c r="AD444" s="289" t="s">
        <v>169</v>
      </c>
      <c r="AE444" s="290"/>
      <c r="AF444" s="291"/>
    </row>
    <row r="445" spans="1:32" ht="12.75" customHeight="1" x14ac:dyDescent="0.25">
      <c r="A445" s="260"/>
      <c r="B445" s="238"/>
      <c r="C445" s="239"/>
      <c r="D445" s="239"/>
      <c r="E445" s="239"/>
      <c r="F445" s="239"/>
      <c r="G445" s="239"/>
      <c r="H445" s="234"/>
      <c r="I445" s="234"/>
      <c r="J445" s="234"/>
      <c r="K445" s="234"/>
      <c r="L445" s="234"/>
      <c r="M445" s="245"/>
      <c r="N445" s="246"/>
      <c r="O445" s="246"/>
      <c r="P445" s="247"/>
      <c r="Q445" s="110" t="str">
        <f ca="1">IF($Q444&lt;&gt;"",IF($B446&lt;&gt;"Missing Player",IF($Q444="W",IF(SUM(IF($H444&gt;$H446,1,0),IF($I444&gt;$I446,1,0),IF($J444&gt;$J446,1,0),IF($K444&gt;$K446,1,0),IF($L444&gt;$L446,1,0))&lt;&gt;3,"Error",""),""),""),"")</f>
        <v/>
      </c>
      <c r="R445" s="285"/>
      <c r="S445" s="310"/>
      <c r="T445" s="311"/>
      <c r="U445" s="311"/>
      <c r="V445" s="311"/>
      <c r="W445" s="311"/>
      <c r="X445" s="312"/>
      <c r="Y445" s="285"/>
      <c r="Z445" s="285"/>
      <c r="AA445" s="285"/>
      <c r="AB445" s="285"/>
      <c r="AC445" s="285"/>
      <c r="AD445" s="292"/>
      <c r="AE445" s="293"/>
      <c r="AF445" s="294"/>
    </row>
    <row r="446" spans="1:32" ht="12.75" customHeight="1" x14ac:dyDescent="0.25">
      <c r="A446" s="259" t="str">
        <f>K417</f>
        <v>I</v>
      </c>
      <c r="B446" s="236" t="str">
        <f ca="1">IF(AND(OFFSET($AO$1,$L417-1,8,1,1),$A418&lt;&gt;"",$J418&lt;&gt;""),CHOOSE($L417,$AR$1,$AR$2,$AR$3,$AR$4,$AR$5,$AR$6,$AR$7,$AR$8,$AR$9,$AR$10,$AR$11,$AR$12),"")</f>
        <v/>
      </c>
      <c r="C446" s="237"/>
      <c r="D446" s="237"/>
      <c r="E446" s="237"/>
      <c r="F446" s="237"/>
      <c r="G446" s="237"/>
      <c r="H446" s="233"/>
      <c r="I446" s="233"/>
      <c r="J446" s="233"/>
      <c r="K446" s="233"/>
      <c r="L446" s="233" t="str">
        <f ca="1">IF(AND($B446&lt;&gt;"",$Q423&lt;&gt;""),IF($B446="Missing Player",0,IF($B444="Missing Player",11,"")),"")</f>
        <v/>
      </c>
      <c r="M446" s="250" t="s">
        <v>169</v>
      </c>
      <c r="N446" s="251"/>
      <c r="O446" s="251"/>
      <c r="P446" s="252"/>
      <c r="Q446" s="40" t="str">
        <f ca="1">IF($Q444&lt;&gt;"",IF($Q444="W","L","W"),"")</f>
        <v/>
      </c>
      <c r="R446" s="94"/>
      <c r="S446" s="84"/>
      <c r="T446" s="84"/>
      <c r="U446" s="84"/>
      <c r="V446" s="84"/>
      <c r="W446" s="84"/>
      <c r="X446" s="84"/>
      <c r="Y446" s="93"/>
      <c r="Z446" s="93"/>
      <c r="AA446" s="93"/>
      <c r="AB446" s="93"/>
      <c r="AC446" s="93"/>
      <c r="AD446" s="92"/>
      <c r="AE446" s="93"/>
      <c r="AF446" s="93"/>
    </row>
    <row r="447" spans="1:32" ht="12.75" customHeight="1" x14ac:dyDescent="0.25">
      <c r="A447" s="260"/>
      <c r="B447" s="238"/>
      <c r="C447" s="239"/>
      <c r="D447" s="239"/>
      <c r="E447" s="239"/>
      <c r="F447" s="239"/>
      <c r="G447" s="239"/>
      <c r="H447" s="234"/>
      <c r="I447" s="234"/>
      <c r="J447" s="235"/>
      <c r="K447" s="235"/>
      <c r="L447" s="235"/>
      <c r="M447" s="250"/>
      <c r="N447" s="251"/>
      <c r="O447" s="251"/>
      <c r="P447" s="252"/>
      <c r="Q447" s="110" t="str">
        <f ca="1">IF($Q446&lt;&gt;"",IF($B444&lt;&gt;"Missing Player",IF($Q446="W",IF(SUM(IF($H446&gt;$H444,1,0),IF($I446&gt;$I444,1,0),IF($J446&gt;$J444,1,0),IF($K446&gt;$K444,1,0),IF($L446&gt;$L444,1,0))&lt;&gt;3,"Error",""),""),""),"")</f>
        <v/>
      </c>
      <c r="R447" s="85"/>
      <c r="S447" s="95"/>
      <c r="T447" s="95"/>
      <c r="U447" s="95"/>
      <c r="V447" s="95"/>
      <c r="W447" s="95"/>
      <c r="X447" s="95"/>
      <c r="Y447" s="85"/>
      <c r="Z447" s="85"/>
      <c r="AA447" s="85"/>
      <c r="AB447" s="85"/>
      <c r="AC447" s="85"/>
      <c r="AD447" s="85"/>
      <c r="AE447" s="85"/>
      <c r="AF447" s="85"/>
    </row>
    <row r="448" spans="1:32" ht="12.75" customHeight="1" x14ac:dyDescent="0.25">
      <c r="B448" s="111" t="str">
        <f ca="1">IF(ISERROR(VLOOKUP($B423&amp;"("&amp;$B417&amp;")",Players!$S$4:$T$132,2,FALSE)),"",VLOOKUP($B423&amp;"("&amp;$B417&amp;")",Players!$S$4:$T$132,2,FALSE))</f>
        <v>B1</v>
      </c>
      <c r="C448" s="111" t="str">
        <f ca="1">IF(ISERROR(VLOOKUP($B430&amp;"("&amp;$B417&amp;")",Players!$S$4:$T$132,2,FALSE)),"",VLOOKUP($B430&amp;"("&amp;$B417&amp;")",Players!$S$4:$T$132,2,FALSE))</f>
        <v>B1</v>
      </c>
      <c r="D448" s="111" t="str">
        <f ca="1">IF(ISERROR(VLOOKUP($B437&amp;"("&amp;$B417&amp;")",Players!$S$4:$T$132,2,FALSE)),"",VLOOKUP($B437&amp;"("&amp;$B417&amp;")",Players!$S$4:$T$132,2,FALSE))</f>
        <v>B1</v>
      </c>
      <c r="E448" s="111" t="str">
        <f ca="1">IF(ISERROR(VLOOKUP($B444&amp;"("&amp;$B417&amp;")",Players!$S$4:$T$132,2,FALSE)),"",VLOOKUP($B444&amp;"("&amp;$B417&amp;")",Players!$S$4:$T$132,2,FALSE))</f>
        <v>B1</v>
      </c>
      <c r="F448" s="111" t="str">
        <f ca="1">IF(ISERROR(VLOOKUP($B425&amp;"("&amp;$K417&amp;")",Players!$S$4:$T$132,2,FALSE)),"",VLOOKUP($B425&amp;"("&amp;$K417&amp;")",Players!$S$4:$T$132,2,FALSE))</f>
        <v>I1</v>
      </c>
      <c r="G448" s="111" t="str">
        <f ca="1">IF(ISERROR(VLOOKUP($B432&amp;"("&amp;$K417&amp;")",Players!$S$4:$T$132,2,FALSE)),"",VLOOKUP($B432&amp;"("&amp;$K417&amp;")",Players!$S$4:$T$132,2,FALSE))</f>
        <v>I1</v>
      </c>
      <c r="H448" s="111" t="str">
        <f ca="1">IF(ISERROR(VLOOKUP($B439&amp;"("&amp;$K417&amp;")",Players!$S$4:$T$132,2,FALSE)),"",VLOOKUP($B439&amp;"("&amp;$K417&amp;")",Players!$S$4:$T$132,2,FALSE))</f>
        <v>I1</v>
      </c>
      <c r="I448" s="111" t="str">
        <f ca="1">IF(ISERROR(VLOOKUP($B446&amp;"("&amp;$K417&amp;")",Players!$S$4:$T$132,2,FALSE)),"",VLOOKUP($B446&amp;"("&amp;$K417&amp;")",Players!$S$4:$T$132,2,FALSE))</f>
        <v>I1</v>
      </c>
      <c r="Q448" s="6"/>
      <c r="R448" s="37"/>
      <c r="S448" s="95"/>
      <c r="T448" s="95"/>
      <c r="U448" s="95"/>
      <c r="V448" s="95"/>
      <c r="W448" s="95"/>
      <c r="X448" s="95"/>
      <c r="Y448" s="85"/>
      <c r="Z448" s="85"/>
      <c r="AA448" s="85"/>
      <c r="AB448" s="85"/>
      <c r="AC448" s="96"/>
      <c r="AD448" s="97"/>
      <c r="AE448" s="85"/>
      <c r="AF448" s="85"/>
    </row>
    <row r="449" spans="1:32" ht="12.75" customHeight="1" x14ac:dyDescent="0.25">
      <c r="A449" s="15" t="s">
        <v>157</v>
      </c>
      <c r="H449" s="110" t="str">
        <f ca="1">IF($Q451&lt;&gt;"",IF(AND($B452&lt;&gt;"Missing Player",$B454&lt;&gt;"Missing Player"),IF(AND(AND($H451&gt;-1,$H453&gt;-1),OR($H451&gt;10,$H453&gt;10),ABS($H451-$H453)&gt;1,IF(OR($H451&gt;11,$H453&gt;11),ABS($H451-$H453)=2,TRUE),$H451=INT($H451),$H453=INT($H453)),"","Error"),""),"")</f>
        <v/>
      </c>
      <c r="I449" s="110" t="str">
        <f ca="1">IF($Q451&lt;&gt;"",IF(AND($B452&lt;&gt;"Missing Player",$B454&lt;&gt;"Missing Player"),IF(AND(AND($I451&gt;-1,$I453&gt;-1),OR($I451&gt;10,$I453&gt;10),ABS($I451-$I453)&gt;1,IF(OR($I451&gt;11,$I453&gt;11),ABS($I451-$I453)=2,TRUE),$I451=INT($I451),$I453=INT($I453)),"","Error"),""),"")</f>
        <v/>
      </c>
      <c r="J449" s="110" t="str">
        <f ca="1">IF($Q451&lt;&gt;"",IF(AND($B452&lt;&gt;"Missing Player",$B454&lt;&gt;"Missing Player"),IF(AND(AND($J451&gt;-1,$J453&gt;-1),OR($J451&gt;10,$J453&gt;10),ABS($J451-$J453)&gt;1,IF(OR($J451&gt;11,$J453&gt;11),ABS($J451-$J453)=2,TRUE),$J451=INT($J451),$J453=INT($J453)),"","Error"),""),"")</f>
        <v/>
      </c>
      <c r="K449" s="110" t="str">
        <f ca="1">IF($Q451&lt;&gt;"",IF(AND($K451&lt;&gt;"",$K453&lt;&gt;""), IF(AND(AND($K451&gt;-1,$K453&gt;-1),OR($K451&gt;10,$K453&gt;10),ABS($K451-$K453)&gt;1,IF(OR($K451&gt;11,$K453&gt;11),ABS($K451-$K453)=2,TRUE),$K451=INT($K451),$K453=INT($K453)),"","Error"),""),"")</f>
        <v/>
      </c>
      <c r="L449" s="110" t="str">
        <f ca="1">IF($Q451&lt;&gt;"",IF(AND($L451&lt;&gt;"",$L453&lt;&gt;""), IF(AND(AND($L451&gt;-1,$L453&gt;-1),OR($L451&gt;10,$L453&gt;10),ABS($L451-$L453)&gt;1,IF(OR($L451&gt;11,$L453&gt;11),ABS($L451-$L453)=2,TRUE),$L451=INT($L451),$L453=INT($L453)),"","Error"),""),"")</f>
        <v/>
      </c>
      <c r="Q449" s="6"/>
      <c r="R449" s="85"/>
      <c r="S449" s="95"/>
      <c r="T449" s="95"/>
      <c r="U449" s="95"/>
      <c r="V449" s="95"/>
      <c r="W449" s="95"/>
      <c r="X449" s="95"/>
      <c r="Y449" s="85"/>
      <c r="Z449" s="85"/>
      <c r="AA449" s="85"/>
      <c r="AB449" s="85"/>
      <c r="AC449" s="85"/>
      <c r="AD449" s="85"/>
      <c r="AE449" s="85"/>
      <c r="AF449" s="85"/>
    </row>
    <row r="450" spans="1:32" ht="12.75" customHeight="1" x14ac:dyDescent="0.25">
      <c r="A450" s="5" t="s">
        <v>160</v>
      </c>
      <c r="B450" s="256" t="s">
        <v>58</v>
      </c>
      <c r="C450" s="257"/>
      <c r="D450" s="257"/>
      <c r="E450" s="257"/>
      <c r="F450" s="257"/>
      <c r="G450" s="258"/>
      <c r="H450" s="5">
        <v>1</v>
      </c>
      <c r="I450" s="5">
        <v>2</v>
      </c>
      <c r="J450" s="5">
        <v>3</v>
      </c>
      <c r="K450" s="5">
        <v>4</v>
      </c>
      <c r="L450" s="5">
        <v>5</v>
      </c>
      <c r="M450" s="270"/>
      <c r="N450" s="271"/>
      <c r="O450" s="271"/>
      <c r="P450" s="272"/>
      <c r="Q450" s="6"/>
      <c r="T450" s="7"/>
    </row>
    <row r="451" spans="1:32" ht="12.75" customHeight="1" x14ac:dyDescent="0.25">
      <c r="A451" s="259" t="str">
        <f>B417</f>
        <v>B</v>
      </c>
      <c r="B451" s="230" t="str">
        <f ca="1">IF($B423&lt;&gt;"",$B423,"")</f>
        <v/>
      </c>
      <c r="C451" s="231"/>
      <c r="D451" s="231"/>
      <c r="E451" s="231"/>
      <c r="F451" s="231"/>
      <c r="G451" s="232"/>
      <c r="H451" s="233"/>
      <c r="I451" s="233"/>
      <c r="J451" s="233"/>
      <c r="K451" s="233"/>
      <c r="L451" s="233" t="str">
        <f ca="1">IF($B444&lt;&gt;"",IF(AND($B444="Missing Player",$G455=2,$J455=2),0,IF(AND($B446="Missing Player",$G455=2,$J455=2),11,"")),"")</f>
        <v/>
      </c>
      <c r="M451" s="245" t="str">
        <f ca="1">IF(OR(AND($B451&lt;&gt;"",$B452&lt;&gt;"",$B451=$B452),AND($B453&lt;&gt;"",$B454&lt;&gt;"",$B453=$B454)),"Invalid Partner","")</f>
        <v/>
      </c>
      <c r="N451" s="246"/>
      <c r="O451" s="246"/>
      <c r="P451" s="247"/>
      <c r="Q451" s="37" t="str">
        <f ca="1">IF(L451=L453,IF(K451=K453,IF(J451&lt;&gt;"",IF(J451&gt;J453,"W","L"),""),IF(K451&gt;K453,"W","L")),IF(L451&gt;L453,"W","L"))</f>
        <v/>
      </c>
      <c r="T451" s="7"/>
    </row>
    <row r="452" spans="1:32" ht="12.75" customHeight="1" x14ac:dyDescent="0.25">
      <c r="A452" s="260"/>
      <c r="B452" s="266" t="str">
        <f ca="1">IF($B444="Missing Player",$B444,"")</f>
        <v/>
      </c>
      <c r="C452" s="267"/>
      <c r="D452" s="267"/>
      <c r="E452" s="267"/>
      <c r="F452" s="267"/>
      <c r="G452" s="268"/>
      <c r="H452" s="234"/>
      <c r="I452" s="234"/>
      <c r="J452" s="234"/>
      <c r="K452" s="234"/>
      <c r="L452" s="234"/>
      <c r="M452" s="245"/>
      <c r="N452" s="246"/>
      <c r="O452" s="246"/>
      <c r="P452" s="247"/>
      <c r="Q452" s="110" t="str">
        <f ca="1">IF($Q451&lt;&gt;"",IF($B454&lt;&gt;"Missing Player",IF($Q451="W",IF(SUM(IF($H451&gt;$H453,1,0),IF($I451&gt;$I453,1,0),IF($J451&gt;$J453,1,0),IF($K451&gt;$K453,1,0),IF($L451&gt;$L453,1,0))&lt;&gt;3,"Error",""),""),""),"")</f>
        <v/>
      </c>
      <c r="R452" s="295" t="str">
        <f>$A418</f>
        <v/>
      </c>
      <c r="S452" s="295"/>
      <c r="T452" s="295"/>
      <c r="U452" s="295"/>
      <c r="V452" s="295"/>
      <c r="W452" s="295"/>
      <c r="X452" s="219" t="str">
        <f>CONCATENATE("(",$B417," vs ",$K417,")")</f>
        <v>(B vs I)</v>
      </c>
      <c r="Y452" s="219"/>
      <c r="Z452" s="295" t="str">
        <f>$J418</f>
        <v/>
      </c>
      <c r="AA452" s="295"/>
      <c r="AB452" s="295"/>
      <c r="AC452" s="295"/>
      <c r="AD452" s="295"/>
      <c r="AE452" s="295"/>
      <c r="AF452"/>
    </row>
    <row r="453" spans="1:32" ht="12.75" customHeight="1" x14ac:dyDescent="0.25">
      <c r="A453" s="265" t="str">
        <f>K417</f>
        <v>I</v>
      </c>
      <c r="B453" s="230" t="str">
        <f ca="1">IF($B425&lt;&gt;"",$B425,"")</f>
        <v/>
      </c>
      <c r="C453" s="231"/>
      <c r="D453" s="231"/>
      <c r="E453" s="231"/>
      <c r="F453" s="231"/>
      <c r="G453" s="232"/>
      <c r="H453" s="233"/>
      <c r="I453" s="233"/>
      <c r="J453" s="233"/>
      <c r="K453" s="233"/>
      <c r="L453" s="233" t="str">
        <f ca="1">IF($B446&lt;&gt;"",IF(AND($B446="Missing Player",$G455=2,$J455=2),0,IF(AND($B444="Missing Player",$G455=2,$J455=2),11,"")),"")</f>
        <v/>
      </c>
      <c r="M453" s="250" t="s">
        <v>169</v>
      </c>
      <c r="N453" s="251"/>
      <c r="O453" s="251"/>
      <c r="P453" s="252"/>
      <c r="Q453" s="37" t="str">
        <f ca="1">IF(Q451&lt;&gt;"",IF(Q451="W","L","W"),"")</f>
        <v/>
      </c>
      <c r="R453"/>
      <c r="S453"/>
      <c r="T453"/>
      <c r="U453"/>
      <c r="V453"/>
      <c r="W453"/>
      <c r="X453"/>
      <c r="Y453"/>
      <c r="Z453"/>
      <c r="AA453"/>
      <c r="AB453"/>
      <c r="AC453"/>
      <c r="AD453"/>
      <c r="AE453"/>
      <c r="AF453"/>
    </row>
    <row r="454" spans="1:32" ht="12.75" customHeight="1" x14ac:dyDescent="0.25">
      <c r="A454" s="260"/>
      <c r="B454" s="266" t="str">
        <f ca="1">IF($B446="Missing Player",$B446,"")</f>
        <v/>
      </c>
      <c r="C454" s="267"/>
      <c r="D454" s="267"/>
      <c r="E454" s="267"/>
      <c r="F454" s="267"/>
      <c r="G454" s="268"/>
      <c r="H454" s="234"/>
      <c r="I454" s="234"/>
      <c r="J454" s="235"/>
      <c r="K454" s="235"/>
      <c r="L454" s="235"/>
      <c r="M454" s="250"/>
      <c r="N454" s="251"/>
      <c r="O454" s="251"/>
      <c r="P454" s="252"/>
      <c r="Q454" s="110" t="str">
        <f ca="1">IF($Q453&lt;&gt;"",IF($B452&lt;&gt;"Missing Player",IF($Q453="W",IF(SUM(IF($H453&gt;$H451,1,0),IF($I453&gt;$I451,1,0),IF($J453&gt;$J451,1,0),IF($K453&gt;$K451,1,0),IF($L453&gt;$L451,1,0))&lt;&gt;3,"Error",""),""),""),"")</f>
        <v/>
      </c>
      <c r="R454" t="str">
        <f>A442</f>
        <v>4th Singles</v>
      </c>
      <c r="S454"/>
      <c r="T454"/>
      <c r="U454"/>
      <c r="V454"/>
      <c r="W454"/>
      <c r="X454"/>
      <c r="Y454"/>
      <c r="Z454"/>
      <c r="AA454"/>
      <c r="AB454"/>
      <c r="AC454"/>
      <c r="AD454"/>
      <c r="AE454"/>
      <c r="AF454"/>
    </row>
    <row r="455" spans="1:32" ht="12.75" customHeight="1" x14ac:dyDescent="0.25">
      <c r="G455" s="53">
        <f ca="1">COUNTIF($Q423:$Q423,"W")+COUNTIF($Q430:$Q430,"W")+COUNTIF($Q437:$Q437,"W")+COUNTIF($Q444:$Q444,"W")</f>
        <v>0</v>
      </c>
      <c r="J455" s="53">
        <f ca="1">COUNTIF($Q425:$Q425,"W")+COUNTIF($Q432:$Q432,"W")+COUNTIF($Q439:$Q439,"W")+COUNTIF($Q446:$Q446,"W")</f>
        <v>0</v>
      </c>
      <c r="R455" s="47" t="s">
        <v>160</v>
      </c>
      <c r="S455" s="304" t="s">
        <v>58</v>
      </c>
      <c r="T455" s="305"/>
      <c r="U455" s="305"/>
      <c r="V455" s="305"/>
      <c r="W455" s="305"/>
      <c r="X455" s="306"/>
      <c r="Y455" s="47">
        <v>1</v>
      </c>
      <c r="Z455" s="47">
        <v>2</v>
      </c>
      <c r="AA455" s="47">
        <v>3</v>
      </c>
      <c r="AB455" s="47">
        <v>4</v>
      </c>
      <c r="AC455" s="47">
        <v>5</v>
      </c>
      <c r="AD455" s="286"/>
      <c r="AE455" s="287"/>
      <c r="AF455" s="288"/>
    </row>
    <row r="456" spans="1:32" ht="12.75" customHeight="1" thickBot="1" x14ac:dyDescent="0.3">
      <c r="F456" s="212" t="s">
        <v>170</v>
      </c>
      <c r="G456" s="212"/>
      <c r="H456" s="212"/>
      <c r="I456" s="212"/>
      <c r="J456" s="212"/>
      <c r="K456" s="212"/>
      <c r="R456" s="259" t="str">
        <f>B417</f>
        <v>B</v>
      </c>
      <c r="S456" s="307" t="str">
        <f ca="1">IF($B444&lt;&gt;"",$B444,"")</f>
        <v/>
      </c>
      <c r="T456" s="308"/>
      <c r="U456" s="308"/>
      <c r="V456" s="308"/>
      <c r="W456" s="308"/>
      <c r="X456" s="309"/>
      <c r="Y456" s="284"/>
      <c r="Z456" s="284"/>
      <c r="AA456" s="297"/>
      <c r="AB456" s="297"/>
      <c r="AC456" s="297"/>
      <c r="AD456" s="296"/>
      <c r="AE456" s="298"/>
      <c r="AF456" s="299"/>
    </row>
    <row r="457" spans="1:32" ht="12.75" customHeight="1" x14ac:dyDescent="0.25">
      <c r="A457" s="16"/>
      <c r="B457" s="16"/>
      <c r="C457" s="16"/>
      <c r="D457" s="16"/>
      <c r="E457" s="16"/>
      <c r="G457" s="261" t="str">
        <f>B417</f>
        <v>B</v>
      </c>
      <c r="H457" s="262"/>
      <c r="I457" s="263" t="str">
        <f>K417</f>
        <v>I</v>
      </c>
      <c r="J457" s="264"/>
      <c r="L457" s="16"/>
      <c r="M457" s="16"/>
      <c r="N457" s="16"/>
      <c r="O457" s="16"/>
      <c r="P457" s="16"/>
      <c r="R457" s="260"/>
      <c r="S457" s="310"/>
      <c r="T457" s="311"/>
      <c r="U457" s="311"/>
      <c r="V457" s="311"/>
      <c r="W457" s="311"/>
      <c r="X457" s="312"/>
      <c r="Y457" s="285"/>
      <c r="Z457" s="285"/>
      <c r="AA457" s="303"/>
      <c r="AB457" s="303"/>
      <c r="AC457" s="303"/>
      <c r="AD457" s="300"/>
      <c r="AE457" s="301"/>
      <c r="AF457" s="302"/>
    </row>
    <row r="458" spans="1:32" ht="12.75" customHeight="1" thickBot="1" x14ac:dyDescent="0.3">
      <c r="A458" s="2" t="s">
        <v>160</v>
      </c>
      <c r="B458" s="40" t="str">
        <f>B417</f>
        <v>B</v>
      </c>
      <c r="C458" s="3" t="s">
        <v>158</v>
      </c>
      <c r="F458" s="53" t="str">
        <f>CONCATENATE($B417,"-",$K417)</f>
        <v>B-I</v>
      </c>
      <c r="G458" s="240" t="str">
        <f ca="1">IF(OR(Q423&lt;&gt;"",Q430&lt;&gt;"",Q437&lt;&gt;"",Q444&lt;&gt;"",Q451&lt;&gt;""),COUNTIF(Q423:Q423,"W")+COUNTIF(Q430:Q430,"W")+COUNTIF(Q437:Q437,"W")+COUNTIF(Q444:Q444,"W")+COUNTIF(Q451:Q451,"W"),"")</f>
        <v/>
      </c>
      <c r="H458" s="241"/>
      <c r="I458" s="242" t="str">
        <f ca="1">IF(OR(Q425&lt;&gt;"",Q432&lt;&gt;"",Q439&lt;&gt;"",Q446&lt;&gt;"",Q453&lt;&gt;""),COUNTIF(Q425:Q425,"W")+COUNTIF(Q432:Q432,"W")+COUNTIF(Q439:Q439,"W")+COUNTIF(Q446:Q446,"W")+COUNTIF(Q453:Q453,"W"),"")</f>
        <v/>
      </c>
      <c r="J458" s="243"/>
      <c r="L458" s="2" t="s">
        <v>160</v>
      </c>
      <c r="M458" s="40" t="str">
        <f>K417</f>
        <v>I</v>
      </c>
      <c r="N458" s="3" t="s">
        <v>158</v>
      </c>
      <c r="R458" s="259" t="str">
        <f>K417</f>
        <v>I</v>
      </c>
      <c r="S458" s="307" t="str">
        <f ca="1">IF($B446&lt;&gt;"",$B446,"")</f>
        <v/>
      </c>
      <c r="T458" s="308"/>
      <c r="U458" s="308"/>
      <c r="V458" s="308"/>
      <c r="W458" s="308"/>
      <c r="X458" s="309"/>
      <c r="Y458" s="284"/>
      <c r="Z458" s="284"/>
      <c r="AA458" s="297"/>
      <c r="AB458" s="297"/>
      <c r="AC458" s="297"/>
      <c r="AD458" s="289" t="s">
        <v>169</v>
      </c>
      <c r="AE458" s="290"/>
      <c r="AF458" s="291"/>
    </row>
    <row r="459" spans="1:32" ht="12.75" customHeight="1" x14ac:dyDescent="0.35">
      <c r="F459" s="18" t="s">
        <v>403</v>
      </c>
      <c r="G459" s="17"/>
      <c r="H459" s="17"/>
      <c r="I459" s="17"/>
      <c r="J459" s="17"/>
      <c r="R459" s="285"/>
      <c r="S459" s="310"/>
      <c r="T459" s="311"/>
      <c r="U459" s="311"/>
      <c r="V459" s="311"/>
      <c r="W459" s="311"/>
      <c r="X459" s="312"/>
      <c r="Y459" s="285"/>
      <c r="Z459" s="285"/>
      <c r="AA459" s="285"/>
      <c r="AB459" s="285"/>
      <c r="AC459" s="285"/>
      <c r="AD459" s="292"/>
      <c r="AE459" s="293"/>
      <c r="AF459" s="294"/>
    </row>
    <row r="460" spans="1:32" ht="12.75" customHeight="1" x14ac:dyDescent="0.25">
      <c r="R460" s="1"/>
      <c r="S460" s="11"/>
      <c r="T460" s="11"/>
      <c r="U460" s="11"/>
      <c r="V460" s="11"/>
      <c r="W460" s="11"/>
    </row>
    <row r="461" spans="1:32" ht="12.75" customHeight="1" x14ac:dyDescent="0.25">
      <c r="F461" s="212"/>
      <c r="G461" s="212"/>
      <c r="H461" s="212"/>
      <c r="I461" s="212"/>
      <c r="R461" s="1"/>
      <c r="S461" s="11"/>
      <c r="T461" s="11"/>
      <c r="U461" s="11"/>
      <c r="V461" s="11"/>
      <c r="W461" s="11"/>
    </row>
    <row r="462" spans="1:32" ht="12.75" customHeight="1" x14ac:dyDescent="0.25">
      <c r="F462" s="212"/>
      <c r="G462" s="212"/>
      <c r="H462" s="212"/>
      <c r="I462" s="212"/>
      <c r="R462" s="1"/>
      <c r="S462" s="11"/>
      <c r="T462" s="11"/>
      <c r="U462" s="11"/>
      <c r="V462" s="11"/>
      <c r="W462" s="11"/>
    </row>
    <row r="463" spans="1:32" ht="12.75" customHeight="1" x14ac:dyDescent="0.25">
      <c r="K463" s="219" t="s">
        <v>176</v>
      </c>
      <c r="L463" s="219"/>
      <c r="M463" s="219"/>
      <c r="N463" s="219"/>
      <c r="O463" s="219"/>
      <c r="P463" s="219"/>
      <c r="R463" s="1"/>
      <c r="S463" s="11"/>
      <c r="T463" s="11"/>
      <c r="U463" s="11"/>
      <c r="V463" s="11"/>
      <c r="W463" s="11"/>
    </row>
    <row r="464" spans="1:32" ht="12.75" customHeight="1" x14ac:dyDescent="0.25">
      <c r="A464" s="9" t="s">
        <v>161</v>
      </c>
      <c r="B464"/>
      <c r="C464"/>
      <c r="D464" t="str">
        <f>Draw!$B$1</f>
        <v>Enter Division Name</v>
      </c>
      <c r="E464"/>
      <c r="F464" s="6"/>
      <c r="G464" s="6"/>
      <c r="H464" s="6"/>
      <c r="I464"/>
      <c r="J464"/>
      <c r="K464"/>
      <c r="L464"/>
      <c r="M464" s="219"/>
      <c r="N464" s="219"/>
      <c r="O464" s="219"/>
      <c r="P464" s="219"/>
      <c r="R464" s="1"/>
      <c r="S464" s="11"/>
      <c r="T464" s="11"/>
      <c r="U464" s="11"/>
      <c r="V464" s="11"/>
      <c r="W464" s="11"/>
    </row>
    <row r="465" spans="1:32" ht="12.75" customHeight="1" x14ac:dyDescent="0.25">
      <c r="A465" s="2" t="s">
        <v>162</v>
      </c>
      <c r="D465" t="str">
        <f>Draw!$D$1</f>
        <v>Enter Hosting Location (City, ST)</v>
      </c>
      <c r="J465" t="str">
        <f ca="1">$J$6</f>
        <v>[NCTTA Teams Template (v3.4).xlsx]</v>
      </c>
      <c r="R465" s="1"/>
      <c r="S465" s="11"/>
      <c r="T465" s="11"/>
      <c r="U465" s="11"/>
      <c r="V465" s="11"/>
      <c r="W465" s="11"/>
    </row>
    <row r="466" spans="1:32" ht="12.75" customHeight="1" x14ac:dyDescent="0.25">
      <c r="A466" s="2" t="s">
        <v>163</v>
      </c>
      <c r="D466" s="275" t="str">
        <f>Draw!$P$1</f>
        <v>Enter Date</v>
      </c>
      <c r="E466" s="275"/>
      <c r="F466" s="275"/>
      <c r="G466" s="275"/>
      <c r="J466" s="244" t="str">
        <f>CHOOSE(Draw!$T$1,"Round 2, Match 4","Round 4, Match 1","Round 2, Match 4","Round 1, Match 4","Round 5, Match 2","Round 4, Match 1","Round 4, Match 1","Round 3, Match 2","Round 3, Match 2","Round 2, Match 5","Round 2, Match 5")</f>
        <v>Round 2, Match 4</v>
      </c>
      <c r="K466" s="244"/>
      <c r="L466" s="244"/>
      <c r="M466" s="277" t="str">
        <f>IF(AND($J466&lt;&gt;"",Draw!$AC$10&lt;&gt;"",Draw!$AC$13&lt;&gt;""),Draw!$AC$10+TIME(0,VALUE(MID($J466,7,FIND(",",$J466)-FIND(" ",$J466)-1)-1)*Draw!$AC$13,0),"")</f>
        <v/>
      </c>
      <c r="N466" s="277"/>
      <c r="O466" s="125" t="str">
        <f>$F509</f>
        <v>C-H</v>
      </c>
      <c r="R466" s="1"/>
      <c r="S466" s="11"/>
      <c r="T466" s="11"/>
      <c r="U466" s="11"/>
      <c r="V466" s="11"/>
      <c r="W466" s="11"/>
    </row>
    <row r="467" spans="1:32" ht="12.75" customHeight="1" x14ac:dyDescent="0.25">
      <c r="A467" s="6"/>
      <c r="B467"/>
      <c r="C467"/>
      <c r="D467"/>
      <c r="E467"/>
      <c r="F467" s="6"/>
      <c r="G467" s="6"/>
      <c r="H467" s="11"/>
      <c r="I467" s="6"/>
      <c r="J467"/>
      <c r="K467"/>
      <c r="L467"/>
      <c r="M467"/>
      <c r="N467"/>
      <c r="O467" s="269" t="str">
        <f>IF(OR(AND(VLOOKUP($B468,$AM$1:$AX$12,12,FALSE)="C",VLOOKUP($K468,$AM$1:$AX$12,12,FALSE)="C"),AND(VLOOKUP($B468,$AM$1:$AX$12,12,FALSE)="W",VLOOKUP($K468,$AM$1:$AX$12,12,FALSE)="W")),"Official",IF(AND($A469="",$J469=""),"","Scrimmage"))</f>
        <v/>
      </c>
      <c r="P467" s="269"/>
      <c r="R467" s="1"/>
      <c r="S467" s="11"/>
      <c r="T467" s="11"/>
      <c r="U467" s="11"/>
      <c r="V467" s="11"/>
      <c r="W467" s="11"/>
    </row>
    <row r="468" spans="1:32" ht="12.75" customHeight="1" x14ac:dyDescent="0.25">
      <c r="A468" s="12" t="s">
        <v>160</v>
      </c>
      <c r="B468" s="98" t="str">
        <f>CHOOSE(Draw!$T$1,"C","A","G","J","B","A","A","D","G","D","E")</f>
        <v>C</v>
      </c>
      <c r="C468" s="109">
        <f>VLOOKUP($B468,$AM$1:$AN$12,2)</f>
        <v>3</v>
      </c>
      <c r="D468" s="10"/>
      <c r="E468" s="10"/>
      <c r="F468" s="8"/>
      <c r="H468" s="1" t="s">
        <v>164</v>
      </c>
      <c r="J468" s="12" t="s">
        <v>160</v>
      </c>
      <c r="K468" s="98" t="str">
        <f>CHOOSE(Draw!$T$1,"H","B","H","L","C","B","D","F","I","E","F")</f>
        <v>H</v>
      </c>
      <c r="L468" s="109">
        <f>VLOOKUP($K468,$AM$1:$AN$12,2)</f>
        <v>8</v>
      </c>
      <c r="M468" s="10"/>
      <c r="N468" s="10"/>
      <c r="O468" s="13"/>
      <c r="R468" s="1"/>
      <c r="S468" s="11"/>
      <c r="T468" s="11"/>
      <c r="U468" s="11"/>
      <c r="V468" s="11"/>
      <c r="W468" s="11"/>
    </row>
    <row r="469" spans="1:32" ht="12.75" customHeight="1" x14ac:dyDescent="0.25">
      <c r="A469" s="253" t="str">
        <f>IF(VLOOKUP($B468,Draw!$A$4:$B$27,2)&lt;&gt;0,VLOOKUP($B468,Draw!$A$4:$B$27,2),"")</f>
        <v/>
      </c>
      <c r="B469" s="254"/>
      <c r="C469" s="254"/>
      <c r="D469" s="254"/>
      <c r="E469" s="254"/>
      <c r="F469" s="255"/>
      <c r="G469" s="273" t="s">
        <v>413</v>
      </c>
      <c r="H469" s="249"/>
      <c r="I469" s="274"/>
      <c r="J469" s="253" t="str">
        <f>IF(VLOOKUP($K468,Draw!$A$4:$B$27,2)&lt;&gt;0,VLOOKUP($K468,Draw!$A$4:$B$27,2),"")</f>
        <v/>
      </c>
      <c r="K469" s="254"/>
      <c r="L469" s="254"/>
      <c r="M469" s="254"/>
      <c r="N469" s="254"/>
      <c r="O469" s="255"/>
      <c r="P469"/>
      <c r="R469" s="1"/>
      <c r="S469" s="11"/>
      <c r="T469" s="11"/>
      <c r="U469" s="11"/>
      <c r="V469" s="11"/>
      <c r="W469" s="11"/>
    </row>
    <row r="470" spans="1:32" ht="12.75" customHeight="1" x14ac:dyDescent="0.25">
      <c r="A470" s="6"/>
      <c r="B470"/>
      <c r="C470"/>
      <c r="D470"/>
      <c r="E470"/>
      <c r="F470" s="6"/>
      <c r="G470" s="248" t="str">
        <f>"Page "&amp;VALUE(RIGHT($G469,LEN($G469)-SEARCH("-",$G469)))/2</f>
        <v>Page 10</v>
      </c>
      <c r="H470" s="249"/>
      <c r="I470" s="249"/>
      <c r="J470"/>
      <c r="K470"/>
      <c r="L470"/>
      <c r="M470"/>
      <c r="N470"/>
      <c r="O470"/>
      <c r="P470"/>
      <c r="R470" s="1"/>
      <c r="S470" s="11"/>
      <c r="T470" s="11"/>
      <c r="U470" s="11"/>
      <c r="V470" s="11"/>
      <c r="W470" s="11"/>
      <c r="AF470"/>
    </row>
    <row r="471" spans="1:32" ht="12.75" customHeight="1" x14ac:dyDescent="0.25">
      <c r="A471" s="276" t="s">
        <v>177</v>
      </c>
      <c r="B471" s="276"/>
      <c r="C471" s="276"/>
      <c r="D471" s="276"/>
      <c r="E471" s="276"/>
      <c r="F471" s="276"/>
      <c r="G471" s="276"/>
      <c r="H471" s="276"/>
      <c r="I471" s="276"/>
      <c r="J471" s="276"/>
      <c r="K471" s="276"/>
      <c r="L471" s="276"/>
      <c r="M471" s="276"/>
      <c r="N471" s="276"/>
      <c r="O471" s="276"/>
      <c r="P471" s="276"/>
      <c r="Q471" s="6"/>
      <c r="R471" s="1"/>
      <c r="S471" s="11"/>
      <c r="T471" s="11"/>
      <c r="U471" s="11"/>
      <c r="V471" s="11"/>
      <c r="W471" s="11"/>
      <c r="AF471" s="14"/>
    </row>
    <row r="472" spans="1:32" ht="12.75" customHeight="1" x14ac:dyDescent="0.25">
      <c r="A472" s="15" t="s">
        <v>165</v>
      </c>
      <c r="H472" s="110" t="str">
        <f>IF($Q474&lt;&gt;"",IF(AND(AND($H474&gt;-1,$H476&gt;-1),OR($H474&gt;10,$H476&gt;10),ABS($H474-$H476)&gt;1,IF(OR($H474&gt;11,$H476&gt;11),ABS($H474-$H476)=2,TRUE),$H474=INT($H474),$H476=INT($H476)),"","Error"),"")</f>
        <v/>
      </c>
      <c r="I472" s="110" t="str">
        <f>IF($Q474&lt;&gt;"",IF(AND(AND($I474&gt;-1,$I476&gt;-1),OR($I474&gt;10,$I476&gt;10),ABS($I474-$I476)&gt;1,IF(OR($I474&gt;11,$I476&gt;11),ABS($I474-$I476)=2,TRUE),$I474=INT($I474),$I476=INT($I476)),"","Error"),"")</f>
        <v/>
      </c>
      <c r="J472" s="110" t="str">
        <f>IF($Q474&lt;&gt;"",IF(AND(AND($J474&gt;-1,$J476&gt;-1),OR($J474&gt;10,$J476&gt;10),ABS($J474-$J476)&gt;1,IF(OR($J474&gt;11,$J476&gt;11),ABS($J474-$J476)=2,TRUE),$J474=INT($J474),$J476=INT($J476)),"","Error"),"")</f>
        <v/>
      </c>
      <c r="K472" s="110" t="str">
        <f>IF($Q474&lt;&gt;"",IF(AND($K474&lt;&gt;"",$K476&lt;&gt;""), IF(AND(AND($K474&gt;-1,$K476&gt;-1),OR($K474&gt;10,$K476&gt;10),ABS($K474-$K476)&gt;1,IF(OR($K474&gt;11,$K476&gt;11),ABS($K474-$K476)=2,TRUE),$K474=INT($K474),$K476=INT($K476)),"","Error"),""),"")</f>
        <v/>
      </c>
      <c r="L472" s="110" t="str">
        <f>IF($Q474&lt;&gt;"",IF(AND($L474&lt;&gt;"",$L476&lt;&gt;""), IF(AND(AND($L474&gt;-1,$L476&gt;-1),OR($L474&gt;10,$L476&gt;10),ABS($L474-$L476)&gt;1,IF(OR($L474&gt;11,$L476&gt;11),ABS($L474-$L476)=2,TRUE),$L474=INT($L474),$L476=INT($L476)),"","Error"),""),"")</f>
        <v/>
      </c>
      <c r="R472" s="1"/>
      <c r="S472" s="11"/>
      <c r="T472" s="11"/>
      <c r="U472" s="11"/>
      <c r="V472" s="11"/>
      <c r="W472" s="11"/>
    </row>
    <row r="473" spans="1:32" ht="12.75" customHeight="1" x14ac:dyDescent="0.25">
      <c r="A473" s="5" t="s">
        <v>160</v>
      </c>
      <c r="B473" s="256" t="s">
        <v>58</v>
      </c>
      <c r="C473" s="257"/>
      <c r="D473" s="257"/>
      <c r="E473" s="257"/>
      <c r="F473" s="257"/>
      <c r="G473" s="258"/>
      <c r="H473" s="5">
        <v>1</v>
      </c>
      <c r="I473" s="5">
        <v>2</v>
      </c>
      <c r="J473" s="5">
        <v>3</v>
      </c>
      <c r="K473" s="5">
        <v>4</v>
      </c>
      <c r="L473" s="5">
        <v>5</v>
      </c>
      <c r="M473" s="270"/>
      <c r="N473" s="271"/>
      <c r="O473" s="271"/>
      <c r="P473" s="272"/>
      <c r="R473" s="1"/>
      <c r="S473" s="11"/>
      <c r="T473" s="11"/>
      <c r="U473" s="11"/>
      <c r="V473" s="11"/>
      <c r="W473" s="11"/>
    </row>
    <row r="474" spans="1:32" ht="12.75" customHeight="1" x14ac:dyDescent="0.25">
      <c r="A474" s="259" t="str">
        <f>B468</f>
        <v>C</v>
      </c>
      <c r="B474" s="236" t="str">
        <f ca="1">IF(AND(OFFSET($AO$1,$C468-1,8,1,1),$A469&lt;&gt;"",$J469&lt;&gt;""),CHOOSE($C468,$AO$1,$AO$2,$AO$3,$AO$4,$AO$5,$AO$6,$AO$7,$AO$8,$AO$9,$AO$10,$AO$11,$AO$12),"")</f>
        <v/>
      </c>
      <c r="C474" s="237"/>
      <c r="D474" s="237"/>
      <c r="E474" s="237"/>
      <c r="F474" s="237"/>
      <c r="G474" s="237"/>
      <c r="H474" s="233"/>
      <c r="I474" s="233"/>
      <c r="J474" s="233"/>
      <c r="K474" s="233"/>
      <c r="L474" s="233"/>
      <c r="M474" s="281"/>
      <c r="N474" s="282"/>
      <c r="O474" s="282"/>
      <c r="P474" s="283"/>
      <c r="Q474" s="40" t="str">
        <f>IF($L474=$L476,IF($K474=$K476,IF($J474&lt;&gt;"",IF($J474&gt;$J476,"W","L"),""),IF($K474&gt;$K476,"W","L")),IF($L474&gt;$L476,"W","L"))</f>
        <v/>
      </c>
      <c r="R474" s="1"/>
      <c r="S474" s="11"/>
      <c r="T474" s="11"/>
      <c r="U474" s="11"/>
      <c r="V474" s="11"/>
      <c r="W474" s="11"/>
    </row>
    <row r="475" spans="1:32" ht="12.75" customHeight="1" x14ac:dyDescent="0.25">
      <c r="A475" s="260"/>
      <c r="B475" s="238"/>
      <c r="C475" s="239"/>
      <c r="D475" s="239"/>
      <c r="E475" s="239"/>
      <c r="F475" s="239"/>
      <c r="G475" s="239"/>
      <c r="H475" s="234"/>
      <c r="I475" s="234"/>
      <c r="J475" s="234"/>
      <c r="K475" s="234"/>
      <c r="L475" s="234"/>
      <c r="M475" s="281"/>
      <c r="N475" s="282"/>
      <c r="O475" s="282"/>
      <c r="P475" s="283"/>
      <c r="Q475" s="110" t="str">
        <f>IF($Q474&lt;&gt;"",IF($Q474="W",IF(SUM(IF($H474&gt;$H476,1,0),IF($I474&gt;$I476,1,0),IF($J474&gt;$J476,1,0),IF($K474&gt;$K476,1,0),IF($L474&gt;$L476,1,0))&lt;&gt;3,"Error",""),""),"")</f>
        <v/>
      </c>
      <c r="R475" s="295" t="str">
        <f>$A469</f>
        <v/>
      </c>
      <c r="S475" s="295"/>
      <c r="T475" s="295"/>
      <c r="U475" s="295"/>
      <c r="V475" s="295"/>
      <c r="W475" s="295"/>
      <c r="X475" s="219" t="str">
        <f>CONCATENATE("(",$B468," vs ",$K468,")")</f>
        <v>(C vs H)</v>
      </c>
      <c r="Y475" s="219"/>
      <c r="Z475" s="295" t="str">
        <f>$J469</f>
        <v/>
      </c>
      <c r="AA475" s="295"/>
      <c r="AB475" s="295"/>
      <c r="AC475" s="295"/>
      <c r="AD475" s="295"/>
      <c r="AE475" s="295"/>
      <c r="AF475"/>
    </row>
    <row r="476" spans="1:32" ht="12.75" customHeight="1" x14ac:dyDescent="0.25">
      <c r="A476" s="259" t="str">
        <f>K468</f>
        <v>H</v>
      </c>
      <c r="B476" s="236" t="str">
        <f ca="1">IF(AND(OFFSET($AO$1,$L468-1,8,1,1),$A469&lt;&gt;"",$J469&lt;&gt;""),CHOOSE($L468,$AO$1,$AO$2,$AO$3,$AO$4,$AO$5,$AO$6,$AO$7,$AO$8,$AO$9,$AO$10,$AO$11,$AO$12),"")</f>
        <v/>
      </c>
      <c r="C476" s="237"/>
      <c r="D476" s="237"/>
      <c r="E476" s="237"/>
      <c r="F476" s="237"/>
      <c r="G476" s="237"/>
      <c r="H476" s="233"/>
      <c r="I476" s="233"/>
      <c r="J476" s="233"/>
      <c r="K476" s="233"/>
      <c r="L476" s="233"/>
      <c r="M476" s="250" t="s">
        <v>169</v>
      </c>
      <c r="N476" s="251"/>
      <c r="O476" s="251"/>
      <c r="P476" s="252"/>
      <c r="Q476" s="40" t="str">
        <f>IF($Q474&lt;&gt;"",IF($Q474="W","L","W"),"")</f>
        <v/>
      </c>
      <c r="R476"/>
      <c r="S476"/>
      <c r="T476"/>
      <c r="U476"/>
      <c r="V476"/>
      <c r="W476"/>
      <c r="X476"/>
      <c r="Y476"/>
      <c r="Z476"/>
      <c r="AA476"/>
      <c r="AB476"/>
      <c r="AC476"/>
      <c r="AD476"/>
      <c r="AE476"/>
      <c r="AF476"/>
    </row>
    <row r="477" spans="1:32" ht="12.75" customHeight="1" x14ac:dyDescent="0.25">
      <c r="A477" s="260"/>
      <c r="B477" s="238"/>
      <c r="C477" s="239"/>
      <c r="D477" s="239"/>
      <c r="E477" s="239"/>
      <c r="F477" s="239"/>
      <c r="G477" s="239"/>
      <c r="H477" s="234"/>
      <c r="I477" s="234"/>
      <c r="J477" s="235"/>
      <c r="K477" s="235"/>
      <c r="L477" s="235"/>
      <c r="M477" s="250"/>
      <c r="N477" s="251"/>
      <c r="O477" s="251"/>
      <c r="P477" s="252"/>
      <c r="Q477" s="110" t="str">
        <f>IF($Q476&lt;&gt;"",IF($Q476="W",IF(SUM(IF($H476&gt;$H474,1,0),IF($I476&gt;$I474,1,0),IF($J476&gt;$J474,1,0),IF($K476&gt;$K474,1,0),IF($L476&gt;$L474,1,0))&lt;&gt;3,"Error",""),""),"")</f>
        <v/>
      </c>
      <c r="R477" t="str">
        <f>$A479</f>
        <v>2nd Singles</v>
      </c>
      <c r="S477"/>
      <c r="T477"/>
      <c r="U477"/>
      <c r="V477"/>
      <c r="W477"/>
      <c r="X477"/>
      <c r="Y477"/>
      <c r="Z477"/>
      <c r="AA477"/>
      <c r="AB477"/>
      <c r="AC477"/>
      <c r="AD477"/>
      <c r="AE477"/>
      <c r="AF477"/>
    </row>
    <row r="478" spans="1:32" ht="12.75" customHeight="1" x14ac:dyDescent="0.25">
      <c r="Q478" s="6"/>
      <c r="R478" s="47" t="s">
        <v>160</v>
      </c>
      <c r="S478" s="304" t="s">
        <v>58</v>
      </c>
      <c r="T478" s="305"/>
      <c r="U478" s="305"/>
      <c r="V478" s="305"/>
      <c r="W478" s="305"/>
      <c r="X478" s="306"/>
      <c r="Y478" s="47">
        <v>1</v>
      </c>
      <c r="Z478" s="47">
        <v>2</v>
      </c>
      <c r="AA478" s="47">
        <v>3</v>
      </c>
      <c r="AB478" s="47">
        <v>4</v>
      </c>
      <c r="AC478" s="47">
        <v>5</v>
      </c>
      <c r="AD478" s="286"/>
      <c r="AE478" s="287"/>
      <c r="AF478" s="288"/>
    </row>
    <row r="479" spans="1:32" ht="12.75" customHeight="1" x14ac:dyDescent="0.25">
      <c r="A479" s="15" t="s">
        <v>166</v>
      </c>
      <c r="H479" s="110" t="str">
        <f>IF($Q481&lt;&gt;"",IF(AND(AND($H481&gt;-1,$H483&gt;-1),OR($H481&gt;10,$H483&gt;10),ABS($H481-$H483)&gt;1,IF(OR($H481&gt;11,$H483&gt;11),ABS($H481-$H483)=2,TRUE),$H481=INT($H481),$H483=INT($H483)),"","Error"),"")</f>
        <v/>
      </c>
      <c r="I479" s="110" t="str">
        <f>IF($Q481&lt;&gt;"",IF(AND(AND($I481&gt;-1,$I483&gt;-1),OR($I481&gt;10,$I483&gt;10),ABS($I481-$I483)&gt;1,IF(OR($I481&gt;11,$I483&gt;11),ABS($I481-$I483)=2,TRUE),$I481=INT($I481),$I483=INT($I483)),"","Error"),"")</f>
        <v/>
      </c>
      <c r="J479" s="110" t="str">
        <f>IF($Q481&lt;&gt;"",IF(AND(AND($J481&gt;-1,$J483&gt;-1),OR($J481&gt;10,$J483&gt;10),ABS($J481-$J483)&gt;1,IF(OR($J481&gt;11,$J483&gt;11),ABS($J481-$J483)=2,TRUE),$J481=INT($J481),$J483=INT($J483)),"","Error"),"")</f>
        <v/>
      </c>
      <c r="K479" s="110" t="str">
        <f>IF($Q481&lt;&gt;"",IF(AND($K481&lt;&gt;"",$K483&lt;&gt;""), IF(AND(AND($K481&gt;-1,$K483&gt;-1),OR($K481&gt;10,$K483&gt;10),ABS($K481-$K483)&gt;1,IF(OR($K481&gt;11,$K483&gt;11),ABS($K481-$K483)=2,TRUE),$K481=INT($K481),$K483=INT($K483)),"","Error"),""),"")</f>
        <v/>
      </c>
      <c r="L479" s="110" t="str">
        <f>IF($Q481&lt;&gt;"",IF(AND($L481&lt;&gt;"",$L483&lt;&gt;""), IF(AND(AND($L481&gt;-1,$L483&gt;-1),OR($L481&gt;10,$L483&gt;10),ABS($L481-$L483)&gt;1,IF(OR($L481&gt;11,$L483&gt;11),ABS($L481-$L483)=2,TRUE),$L481=INT($L481),$L483=INT($L483)),"","Error"),""),"")</f>
        <v/>
      </c>
      <c r="Q479" s="6"/>
      <c r="R479" s="259" t="str">
        <f>$B468</f>
        <v>C</v>
      </c>
      <c r="S479" s="307" t="str">
        <f ca="1">IF($B481&lt;&gt;"",$B481,"")</f>
        <v/>
      </c>
      <c r="T479" s="308"/>
      <c r="U479" s="308"/>
      <c r="V479" s="308"/>
      <c r="W479" s="308"/>
      <c r="X479" s="309"/>
      <c r="Y479" s="284"/>
      <c r="Z479" s="284"/>
      <c r="AA479" s="284"/>
      <c r="AB479" s="284"/>
      <c r="AC479" s="284"/>
      <c r="AD479" s="296"/>
      <c r="AE479" s="290"/>
      <c r="AF479" s="291"/>
    </row>
    <row r="480" spans="1:32" ht="12.75" customHeight="1" x14ac:dyDescent="0.25">
      <c r="A480" s="5" t="s">
        <v>160</v>
      </c>
      <c r="B480" s="256" t="s">
        <v>58</v>
      </c>
      <c r="C480" s="257"/>
      <c r="D480" s="257"/>
      <c r="E480" s="257"/>
      <c r="F480" s="257"/>
      <c r="G480" s="258"/>
      <c r="H480" s="5">
        <v>1</v>
      </c>
      <c r="I480" s="5">
        <v>2</v>
      </c>
      <c r="J480" s="5">
        <v>3</v>
      </c>
      <c r="K480" s="5">
        <v>4</v>
      </c>
      <c r="L480" s="5">
        <v>5</v>
      </c>
      <c r="M480" s="270"/>
      <c r="N480" s="271"/>
      <c r="O480" s="271"/>
      <c r="P480" s="272"/>
      <c r="Q480" s="6"/>
      <c r="R480" s="285"/>
      <c r="S480" s="310"/>
      <c r="T480" s="311"/>
      <c r="U480" s="311"/>
      <c r="V480" s="311"/>
      <c r="W480" s="311"/>
      <c r="X480" s="312"/>
      <c r="Y480" s="285"/>
      <c r="Z480" s="285"/>
      <c r="AA480" s="285"/>
      <c r="AB480" s="285"/>
      <c r="AC480" s="285"/>
      <c r="AD480" s="292"/>
      <c r="AE480" s="293"/>
      <c r="AF480" s="294"/>
    </row>
    <row r="481" spans="1:32" ht="12.75" customHeight="1" x14ac:dyDescent="0.25">
      <c r="A481" s="259" t="str">
        <f>B468</f>
        <v>C</v>
      </c>
      <c r="B481" s="236" t="str">
        <f ca="1">IF(AND(OFFSET($AO$1,$C468-1,8,1,1),$A469&lt;&gt;"",$J469&lt;&gt;""),CHOOSE($C468,$AP$1,$AP$2,$AP$3,$AP$4,$AP$5,$AP$6,$AP$7,$AP$8,$AP$9,$AP$10,$AP$11,$AP$12),"")</f>
        <v/>
      </c>
      <c r="C481" s="237"/>
      <c r="D481" s="237"/>
      <c r="E481" s="237"/>
      <c r="F481" s="237"/>
      <c r="G481" s="237"/>
      <c r="H481" s="233"/>
      <c r="I481" s="233"/>
      <c r="J481" s="233"/>
      <c r="K481" s="233"/>
      <c r="L481" s="233"/>
      <c r="M481" s="245" t="str">
        <f ca="1">IF(OR(AND($B474&lt;&gt;"",$B481&lt;&gt;"",$C499&lt;=$B499),AND($B476&lt;&gt;"",$B483&lt;&gt;"",$G499&lt;=$F499)),"Invalid Lineup","")</f>
        <v/>
      </c>
      <c r="N481" s="246"/>
      <c r="O481" s="246"/>
      <c r="P481" s="247"/>
      <c r="Q481" s="40" t="str">
        <f>IF($L481=$L483,IF($K481=$K483,IF($J481&lt;&gt;"",IF($J481&gt;$J483,"W","L"),""),IF($K481&gt;$K483,"W","L")),IF($L481&gt;$L483,"W","L"))</f>
        <v/>
      </c>
      <c r="R481" s="259" t="str">
        <f>$K468</f>
        <v>H</v>
      </c>
      <c r="S481" s="307" t="str">
        <f ca="1">IF($B483&lt;&gt;"",$B483,"")</f>
        <v/>
      </c>
      <c r="T481" s="308"/>
      <c r="U481" s="308"/>
      <c r="V481" s="308"/>
      <c r="W481" s="308"/>
      <c r="X481" s="309"/>
      <c r="Y481" s="284"/>
      <c r="Z481" s="284"/>
      <c r="AA481" s="284"/>
      <c r="AB481" s="284"/>
      <c r="AC481" s="297"/>
      <c r="AD481" s="289" t="s">
        <v>169</v>
      </c>
      <c r="AE481" s="290"/>
      <c r="AF481" s="291"/>
    </row>
    <row r="482" spans="1:32" ht="12.75" customHeight="1" x14ac:dyDescent="0.25">
      <c r="A482" s="260"/>
      <c r="B482" s="238"/>
      <c r="C482" s="239"/>
      <c r="D482" s="239"/>
      <c r="E482" s="239"/>
      <c r="F482" s="239"/>
      <c r="G482" s="239"/>
      <c r="H482" s="234"/>
      <c r="I482" s="234"/>
      <c r="J482" s="234"/>
      <c r="K482" s="234"/>
      <c r="L482" s="234"/>
      <c r="M482" s="245"/>
      <c r="N482" s="246"/>
      <c r="O482" s="246"/>
      <c r="P482" s="247"/>
      <c r="Q482" s="110" t="str">
        <f>IF($Q481&lt;&gt;"",IF($Q481="W",IF(SUM(IF($H481&gt;$H483,1,0),IF($I481&gt;$I483,1,0),IF($J481&gt;$J483,1,0),IF($K481&gt;$K483,1,0),IF($L481&gt;$L483,1,0))&lt;&gt;3,"Error",""),""),"")</f>
        <v/>
      </c>
      <c r="R482" s="285"/>
      <c r="S482" s="310"/>
      <c r="T482" s="311"/>
      <c r="U482" s="311"/>
      <c r="V482" s="311"/>
      <c r="W482" s="311"/>
      <c r="X482" s="312"/>
      <c r="Y482" s="285"/>
      <c r="Z482" s="285"/>
      <c r="AA482" s="285"/>
      <c r="AB482" s="285"/>
      <c r="AC482" s="285"/>
      <c r="AD482" s="292"/>
      <c r="AE482" s="293"/>
      <c r="AF482" s="294"/>
    </row>
    <row r="483" spans="1:32" ht="12.75" customHeight="1" x14ac:dyDescent="0.25">
      <c r="A483" s="259" t="str">
        <f>K468</f>
        <v>H</v>
      </c>
      <c r="B483" s="236" t="str">
        <f ca="1">IF(AND(OFFSET($AO$1,$L468-1,8,1,1),$A469&lt;&gt;"",$J469&lt;&gt;""),CHOOSE($L468,$AP$1,$AP$2,$AP$3,$AP$4,$AP$5,$AP$6,$AP$7,$AP$8,$AP$9,$AP$10,$AP$11,$AP$12),"")</f>
        <v/>
      </c>
      <c r="C483" s="237"/>
      <c r="D483" s="237"/>
      <c r="E483" s="237"/>
      <c r="F483" s="237"/>
      <c r="G483" s="237"/>
      <c r="H483" s="233"/>
      <c r="I483" s="233"/>
      <c r="J483" s="233"/>
      <c r="K483" s="233"/>
      <c r="L483" s="233"/>
      <c r="M483" s="250" t="s">
        <v>169</v>
      </c>
      <c r="N483" s="251"/>
      <c r="O483" s="251"/>
      <c r="P483" s="252"/>
      <c r="Q483" s="40" t="str">
        <f>IF($Q481&lt;&gt;"",IF($Q481="W","L","W"),"")</f>
        <v/>
      </c>
      <c r="R483" s="14"/>
      <c r="S483" s="14"/>
      <c r="T483" s="14"/>
      <c r="U483" s="14"/>
      <c r="V483" s="14"/>
      <c r="W483" s="14"/>
      <c r="X483" s="7"/>
      <c r="Y483" s="7"/>
      <c r="Z483" s="14"/>
      <c r="AA483" s="14"/>
      <c r="AB483" s="14"/>
      <c r="AC483" s="14"/>
      <c r="AD483" s="14"/>
      <c r="AE483" s="14"/>
      <c r="AF483"/>
    </row>
    <row r="484" spans="1:32" ht="12.75" customHeight="1" x14ac:dyDescent="0.25">
      <c r="A484" s="260"/>
      <c r="B484" s="238"/>
      <c r="C484" s="239"/>
      <c r="D484" s="239"/>
      <c r="E484" s="239"/>
      <c r="F484" s="239"/>
      <c r="G484" s="239"/>
      <c r="H484" s="234"/>
      <c r="I484" s="234"/>
      <c r="J484" s="235"/>
      <c r="K484" s="235"/>
      <c r="L484" s="235"/>
      <c r="M484" s="250"/>
      <c r="N484" s="251"/>
      <c r="O484" s="251"/>
      <c r="P484" s="252"/>
      <c r="Q484" s="110" t="str">
        <f>IF($Q483&lt;&gt;"",IF($Q483="W",IF(SUM(IF($H483&gt;$H481,1,0),IF($I483&gt;$I481,1,0),IF($J483&gt;$J481,1,0),IF($K483&gt;$K481,1,0),IF($L483&gt;$L481,1,0))&lt;&gt;3,"Error",""),""),"")</f>
        <v/>
      </c>
      <c r="R484" s="14"/>
      <c r="S484" s="14"/>
      <c r="T484" s="14"/>
      <c r="U484" s="14"/>
      <c r="V484" s="14"/>
      <c r="W484" s="14"/>
      <c r="X484" s="7"/>
      <c r="Y484" s="7"/>
      <c r="Z484" s="14"/>
      <c r="AA484" s="14"/>
      <c r="AB484" s="14"/>
      <c r="AC484" s="14"/>
      <c r="AD484" s="14"/>
      <c r="AE484" s="14"/>
      <c r="AF484"/>
    </row>
    <row r="485" spans="1:32" ht="12.75" customHeight="1" x14ac:dyDescent="0.25">
      <c r="Q485" s="6"/>
      <c r="R485" s="14"/>
      <c r="S485" s="14"/>
      <c r="T485" s="14"/>
      <c r="U485" s="14"/>
      <c r="V485" s="14"/>
      <c r="W485" s="14"/>
      <c r="X485" s="7"/>
      <c r="Y485" s="7"/>
      <c r="Z485" s="14"/>
      <c r="AA485" s="14"/>
      <c r="AB485" s="14"/>
      <c r="AC485" s="14"/>
      <c r="AD485" s="14"/>
      <c r="AE485" s="14"/>
      <c r="AF485"/>
    </row>
    <row r="486" spans="1:32" ht="12.75" customHeight="1" x14ac:dyDescent="0.25">
      <c r="A486" s="15" t="s">
        <v>167</v>
      </c>
      <c r="H486" s="110" t="str">
        <f>IF($Q488&lt;&gt;"",IF(AND(AND($H488&gt;-1,$H490&gt;-1),OR($H488&gt;10,$H490&gt;10),ABS($H488-$H490)&gt;1,IF(OR($H488&gt;11,$H490&gt;11),ABS($H488-$H490)=2,TRUE),$H488=INT($H488),$H490=INT($H490)),"","Error"),"")</f>
        <v/>
      </c>
      <c r="I486" s="110" t="str">
        <f>IF($Q488&lt;&gt;"",IF(AND(AND($I488&gt;-1,$I490&gt;-1),OR($I488&gt;10,$I490&gt;10),ABS($I488-$I490)&gt;1,IF(OR($I488&gt;11,$I490&gt;11),ABS($I488-$I490)=2,TRUE),$I488=INT($I488),$I490=INT($I490)),"","Error"),"")</f>
        <v/>
      </c>
      <c r="J486" s="110" t="str">
        <f>IF($Q488&lt;&gt;"",IF(AND(AND($J488&gt;-1,$J490&gt;-1),OR($J488&gt;10,$J490&gt;10),ABS($J488-$J490)&gt;1,IF(OR($J488&gt;11,$J490&gt;11),ABS($J488-$J490)=2,TRUE),$J488=INT($J488),$J490=INT($J490)),"","Error"),"")</f>
        <v/>
      </c>
      <c r="K486" s="110" t="str">
        <f>IF($Q488&lt;&gt;"",IF(AND($K488&lt;&gt;"",$K490&lt;&gt;""), IF(AND(AND($K488&gt;-1,$K490&gt;-1),OR($K488&gt;10,$K490&gt;10),ABS($K488-$K490)&gt;1,IF(OR($K488&gt;11,$K490&gt;11),ABS($K488-$K490)=2,TRUE),$K488=INT($K488),$K490=INT($K490)),"","Error"),""),"")</f>
        <v/>
      </c>
      <c r="L486" s="110" t="str">
        <f>IF($Q488&lt;&gt;"",IF(AND($L488&lt;&gt;"",$L490&lt;&gt;""), IF(AND(AND($L488&gt;-1,$L490&gt;-1),OR($L488&gt;10,$L490&gt;10),ABS($L488-$L490)&gt;1,IF(OR($L488&gt;11,$L490&gt;11),ABS($L488-$L490)=2,TRUE),$L488=INT($L488),$L490=INT($L490)),"","Error"),""),"")</f>
        <v/>
      </c>
      <c r="Q486" s="6"/>
      <c r="R486" s="14"/>
      <c r="S486" s="14"/>
      <c r="T486" s="14"/>
      <c r="U486" s="14"/>
      <c r="V486" s="14"/>
      <c r="W486" s="14"/>
      <c r="X486" s="7"/>
      <c r="Y486" s="7"/>
      <c r="Z486" s="14"/>
      <c r="AA486" s="14"/>
      <c r="AB486" s="14"/>
      <c r="AC486" s="14"/>
      <c r="AD486" s="14"/>
      <c r="AE486" s="14"/>
      <c r="AF486"/>
    </row>
    <row r="487" spans="1:32" ht="12.75" customHeight="1" x14ac:dyDescent="0.25">
      <c r="A487" s="5" t="s">
        <v>160</v>
      </c>
      <c r="B487" s="256" t="s">
        <v>58</v>
      </c>
      <c r="C487" s="257"/>
      <c r="D487" s="257"/>
      <c r="E487" s="257"/>
      <c r="F487" s="257"/>
      <c r="G487" s="258"/>
      <c r="H487" s="5">
        <v>1</v>
      </c>
      <c r="I487" s="5">
        <v>2</v>
      </c>
      <c r="J487" s="5">
        <v>3</v>
      </c>
      <c r="K487" s="5">
        <v>4</v>
      </c>
      <c r="L487" s="5">
        <v>5</v>
      </c>
      <c r="M487" s="270"/>
      <c r="N487" s="271"/>
      <c r="O487" s="271"/>
      <c r="P487" s="272"/>
      <c r="Q487" s="6"/>
      <c r="R487" s="14"/>
      <c r="S487" s="14"/>
      <c r="T487" s="14"/>
      <c r="U487" s="14"/>
      <c r="V487" s="14"/>
      <c r="W487" s="14"/>
      <c r="X487" s="7"/>
      <c r="Y487" s="7"/>
      <c r="Z487" s="14"/>
      <c r="AA487" s="14"/>
      <c r="AB487" s="14"/>
      <c r="AC487" s="14"/>
      <c r="AD487" s="14"/>
      <c r="AE487" s="14"/>
      <c r="AF487"/>
    </row>
    <row r="488" spans="1:32" ht="12.75" customHeight="1" x14ac:dyDescent="0.25">
      <c r="A488" s="259" t="str">
        <f>B468</f>
        <v>C</v>
      </c>
      <c r="B488" s="236" t="str">
        <f ca="1">IF(AND(OFFSET($AO$1,$C468-1,8,1,1),$A469&lt;&gt;"",$J469&lt;&gt;""),CHOOSE($C468,$AQ$1,$AQ$2,$AQ$3,$AQ$4,$AQ$5,$AQ$6,$AQ$7,$AQ$8,$AQ$9,$AQ$10,$AQ$11,$AQ$12),"")</f>
        <v/>
      </c>
      <c r="C488" s="237"/>
      <c r="D488" s="237"/>
      <c r="E488" s="237"/>
      <c r="F488" s="237"/>
      <c r="G488" s="237"/>
      <c r="H488" s="233"/>
      <c r="I488" s="233"/>
      <c r="J488" s="233"/>
      <c r="K488" s="233"/>
      <c r="L488" s="233"/>
      <c r="M488" s="245" t="str">
        <f ca="1">IF(OR(AND($B481&lt;&gt;"",$B488&lt;&gt;"",$D499&lt;=$C499),AND($B483&lt;&gt;"",$B490&lt;&gt;"",$H499&lt;=$G499)),"Invalid Lineup","")</f>
        <v/>
      </c>
      <c r="N488" s="246"/>
      <c r="O488" s="246"/>
      <c r="P488" s="247"/>
      <c r="Q488" s="40" t="str">
        <f>IF($L488=$L490,IF($K488=$K490,IF($J488&lt;&gt;"",IF($J488&gt;$J490,"W","L"),""),IF($K488&gt;$K490,"W","L")),IF($L488&gt;$L490,"W","L"))</f>
        <v/>
      </c>
      <c r="R488" s="14"/>
      <c r="S488" s="14"/>
      <c r="T488" s="14"/>
      <c r="U488" s="14"/>
      <c r="V488" s="14"/>
      <c r="W488" s="14"/>
      <c r="X488" s="7"/>
      <c r="Y488" s="7"/>
      <c r="Z488" s="14"/>
      <c r="AA488" s="14"/>
      <c r="AB488" s="14"/>
      <c r="AC488" s="14"/>
      <c r="AD488" s="14"/>
      <c r="AE488" s="14"/>
      <c r="AF488"/>
    </row>
    <row r="489" spans="1:32" ht="12.75" customHeight="1" x14ac:dyDescent="0.25">
      <c r="A489" s="260"/>
      <c r="B489" s="238"/>
      <c r="C489" s="239"/>
      <c r="D489" s="239"/>
      <c r="E489" s="239"/>
      <c r="F489" s="239"/>
      <c r="G489" s="239"/>
      <c r="H489" s="234"/>
      <c r="I489" s="234"/>
      <c r="J489" s="234"/>
      <c r="K489" s="234"/>
      <c r="L489" s="234"/>
      <c r="M489" s="245"/>
      <c r="N489" s="246"/>
      <c r="O489" s="246"/>
      <c r="P489" s="247"/>
      <c r="Q489" s="110" t="str">
        <f>IF($Q488&lt;&gt;"",IF($Q488="W",IF(SUM(IF($H488&gt;$H490,1,0),IF($I488&gt;$I490,1,0),IF($J488&gt;$J490,1,0),IF($K488&gt;$K490,1,0),IF($L488&gt;$L490,1,0))&lt;&gt;3,"Error",""),""),"")</f>
        <v/>
      </c>
      <c r="R489" s="295" t="str">
        <f>$A469</f>
        <v/>
      </c>
      <c r="S489" s="295"/>
      <c r="T489" s="295"/>
      <c r="U489" s="295"/>
      <c r="V489" s="295"/>
      <c r="W489" s="295"/>
      <c r="X489" s="219" t="str">
        <f>CONCATENATE("(",$B468," vs ",$K468,")")</f>
        <v>(C vs H)</v>
      </c>
      <c r="Y489" s="219"/>
      <c r="Z489" s="295" t="str">
        <f>$J469</f>
        <v/>
      </c>
      <c r="AA489" s="295"/>
      <c r="AB489" s="295"/>
      <c r="AC489" s="295"/>
      <c r="AD489" s="295"/>
      <c r="AE489" s="295"/>
      <c r="AF489"/>
    </row>
    <row r="490" spans="1:32" ht="12.75" customHeight="1" x14ac:dyDescent="0.25">
      <c r="A490" s="259" t="str">
        <f>K468</f>
        <v>H</v>
      </c>
      <c r="B490" s="236" t="str">
        <f ca="1">IF(AND(OFFSET($AO$1,$L468-1,8,1,1),$A469&lt;&gt;"",$J469&lt;&gt;""),CHOOSE($L468,$AQ$1,$AQ$2,$AQ$3,$AQ$4,$AQ$5,$AQ$6,$AQ$7,$AQ$8,$AQ$9,$AQ$10,$AQ$11,$AQ$12),"")</f>
        <v/>
      </c>
      <c r="C490" s="237"/>
      <c r="D490" s="237"/>
      <c r="E490" s="237"/>
      <c r="F490" s="237"/>
      <c r="G490" s="237"/>
      <c r="H490" s="233"/>
      <c r="I490" s="233"/>
      <c r="J490" s="233"/>
      <c r="K490" s="233"/>
      <c r="L490" s="233"/>
      <c r="M490" s="250" t="s">
        <v>169</v>
      </c>
      <c r="N490" s="251"/>
      <c r="O490" s="251"/>
      <c r="P490" s="252"/>
      <c r="Q490" s="40" t="str">
        <f>IF($Q488&lt;&gt;"",IF($Q488="W","L","W"),"")</f>
        <v/>
      </c>
      <c r="R490"/>
      <c r="S490"/>
      <c r="T490"/>
      <c r="U490"/>
      <c r="V490"/>
      <c r="W490"/>
      <c r="X490"/>
      <c r="Y490"/>
      <c r="Z490"/>
      <c r="AA490"/>
      <c r="AB490"/>
      <c r="AC490"/>
      <c r="AD490"/>
      <c r="AE490"/>
      <c r="AF490"/>
    </row>
    <row r="491" spans="1:32" ht="12.75" customHeight="1" x14ac:dyDescent="0.25">
      <c r="A491" s="260"/>
      <c r="B491" s="238"/>
      <c r="C491" s="239"/>
      <c r="D491" s="239"/>
      <c r="E491" s="239"/>
      <c r="F491" s="239"/>
      <c r="G491" s="239"/>
      <c r="H491" s="234"/>
      <c r="I491" s="234"/>
      <c r="J491" s="235"/>
      <c r="K491" s="235"/>
      <c r="L491" s="235"/>
      <c r="M491" s="250"/>
      <c r="N491" s="251"/>
      <c r="O491" s="251"/>
      <c r="P491" s="252"/>
      <c r="Q491" s="110" t="str">
        <f>IF($Q490&lt;&gt;"",IF($Q490="W",IF(SUM(IF($H490&gt;$H488,1,0),IF($I490&gt;$I488,1,0),IF($J490&gt;$J488,1,0),IF($K490&gt;$K488,1,0),IF($L490&gt;$L488,1,0))&lt;&gt;3,"Error",""),""),"")</f>
        <v/>
      </c>
      <c r="R491" t="str">
        <f>$A486</f>
        <v>3rd Singles</v>
      </c>
      <c r="S491"/>
      <c r="T491"/>
      <c r="U491"/>
      <c r="V491"/>
      <c r="W491"/>
      <c r="X491"/>
      <c r="Y491"/>
      <c r="Z491"/>
      <c r="AA491"/>
      <c r="AB491"/>
      <c r="AC491"/>
      <c r="AD491"/>
      <c r="AE491"/>
      <c r="AF491"/>
    </row>
    <row r="492" spans="1:32" ht="12.75" customHeight="1" x14ac:dyDescent="0.25">
      <c r="Q492" s="6"/>
      <c r="R492" s="47" t="s">
        <v>160</v>
      </c>
      <c r="S492" s="86" t="s">
        <v>58</v>
      </c>
      <c r="T492" s="87"/>
      <c r="U492" s="87"/>
      <c r="V492" s="87"/>
      <c r="W492" s="87"/>
      <c r="X492" s="88"/>
      <c r="Y492" s="47">
        <v>1</v>
      </c>
      <c r="Z492" s="47">
        <v>2</v>
      </c>
      <c r="AA492" s="47">
        <v>3</v>
      </c>
      <c r="AB492" s="47">
        <v>4</v>
      </c>
      <c r="AC492" s="47">
        <v>5</v>
      </c>
      <c r="AD492" s="89"/>
      <c r="AE492" s="90"/>
      <c r="AF492" s="91"/>
    </row>
    <row r="493" spans="1:32" ht="12.75" customHeight="1" x14ac:dyDescent="0.25">
      <c r="A493" s="15" t="s">
        <v>168</v>
      </c>
      <c r="H493" s="110" t="str">
        <f ca="1">IF($Q495&lt;&gt;"",IF(AND($B495&lt;&gt;"Missing Player",$B497&lt;&gt;"Missing Player"),IF(AND(AND($H495&gt;-1,$H497&gt;-1),OR($H495&gt;10,$H497&gt;10),ABS($H495-$H497)&gt;1,IF(OR($H495&gt;11,$H497&gt;11),ABS($H495-$H497)=2,TRUE),$H495=INT($H495),$H497=INT($H497)),"","Error"),""),"")</f>
        <v/>
      </c>
      <c r="I493" s="110" t="str">
        <f ca="1">IF($Q495&lt;&gt;"",IF(AND($B495&lt;&gt;"Missing Player",$B497&lt;&gt;"Missing Player"),IF(AND(AND($I495&gt;-1,$I497&gt;-1),OR($I495&gt;10,$I497&gt;10),ABS($I495-$I497)&gt;1,IF(OR($I495&gt;11,$I497&gt;11),ABS($I495-$I497)=2,TRUE),$I495=INT($I495),$I497=INT($I497)),"","Error"),""),"")</f>
        <v/>
      </c>
      <c r="J493" s="110" t="str">
        <f ca="1">IF($Q495&lt;&gt;"",IF(AND($B495&lt;&gt;"Missing Player",$B497&lt;&gt;"Missing Player"),IF(AND(AND($J495&gt;-1,$J497&gt;-1),OR($J495&gt;10,$J497&gt;10),ABS($J495-$J497)&gt;1,IF(OR($J495&gt;11,$J497&gt;11),ABS($J495-$J497)=2,TRUE),$J495=INT($J495),$J497=INT($J497)),"","Error"),""),"")</f>
        <v/>
      </c>
      <c r="K493" s="110" t="str">
        <f ca="1">IF($Q495&lt;&gt;"",IF(AND($K495&lt;&gt;"",$K497&lt;&gt;""), IF(AND(AND($K495&gt;-1,$K497&gt;-1),OR($K495&gt;10,$K497&gt;10),ABS($K495-$K497)&gt;1,IF(OR($K495&gt;11,$K497&gt;11),ABS($K495-$K497)=2,TRUE),$K495=INT($K495),$K497=INT($K497)),"","Error"),""),"")</f>
        <v/>
      </c>
      <c r="L493" s="110" t="str">
        <f ca="1">IF($Q495&lt;&gt;"",IF(AND($L495&lt;&gt;"",$L497&lt;&gt;""), IF(AND(AND($L495&gt;-1,$L497&gt;-1),OR($L495&gt;10,$L497&gt;10),ABS($L495-$L497)&gt;1,IF(OR($L495&gt;11,$L497&gt;11),ABS($L495-$L497)=2,TRUE),$L495=INT($L495),$L497=INT($L497)),"","Error"),""),"")</f>
        <v/>
      </c>
      <c r="Q493" s="6"/>
      <c r="R493" s="259" t="str">
        <f>$B468</f>
        <v>C</v>
      </c>
      <c r="S493" s="307" t="str">
        <f ca="1">IF($B488&lt;&gt;"",$B488,"")</f>
        <v/>
      </c>
      <c r="T493" s="308"/>
      <c r="U493" s="308"/>
      <c r="V493" s="308"/>
      <c r="W493" s="308"/>
      <c r="X493" s="309"/>
      <c r="Y493" s="284"/>
      <c r="Z493" s="284"/>
      <c r="AA493" s="284"/>
      <c r="AB493" s="284"/>
      <c r="AC493" s="284"/>
      <c r="AD493" s="296"/>
      <c r="AE493" s="290"/>
      <c r="AF493" s="291"/>
    </row>
    <row r="494" spans="1:32" ht="12.75" customHeight="1" x14ac:dyDescent="0.25">
      <c r="A494" s="5" t="s">
        <v>160</v>
      </c>
      <c r="B494" s="256" t="s">
        <v>58</v>
      </c>
      <c r="C494" s="257"/>
      <c r="D494" s="257"/>
      <c r="E494" s="257"/>
      <c r="F494" s="257"/>
      <c r="G494" s="258"/>
      <c r="H494" s="5">
        <v>1</v>
      </c>
      <c r="I494" s="5">
        <v>2</v>
      </c>
      <c r="J494" s="5">
        <v>3</v>
      </c>
      <c r="K494" s="5">
        <v>4</v>
      </c>
      <c r="L494" s="5">
        <v>5</v>
      </c>
      <c r="M494" s="270"/>
      <c r="N494" s="271"/>
      <c r="O494" s="271"/>
      <c r="P494" s="272"/>
      <c r="Q494" s="6"/>
      <c r="R494" s="285"/>
      <c r="S494" s="310"/>
      <c r="T494" s="311"/>
      <c r="U494" s="311"/>
      <c r="V494" s="311"/>
      <c r="W494" s="311"/>
      <c r="X494" s="312"/>
      <c r="Y494" s="285"/>
      <c r="Z494" s="285"/>
      <c r="AA494" s="285"/>
      <c r="AB494" s="285"/>
      <c r="AC494" s="285"/>
      <c r="AD494" s="292"/>
      <c r="AE494" s="293"/>
      <c r="AF494" s="294"/>
    </row>
    <row r="495" spans="1:32" ht="12.75" customHeight="1" x14ac:dyDescent="0.25">
      <c r="A495" s="259" t="str">
        <f>B468</f>
        <v>C</v>
      </c>
      <c r="B495" s="236" t="str">
        <f ca="1">IF(AND(OFFSET($AO$1,$C468-1,8,1,1),$A469&lt;&gt;"",$J469&lt;&gt;""),CHOOSE($C468,$AR$1,$AR$2,$AR$3,$AR$4,$AR$5,$AR$6,$AR$7,$AR$8,$AR$9,$AR$10,$AR$11,$AR$12),"")</f>
        <v/>
      </c>
      <c r="C495" s="237"/>
      <c r="D495" s="237"/>
      <c r="E495" s="237"/>
      <c r="F495" s="237"/>
      <c r="G495" s="237"/>
      <c r="H495" s="233"/>
      <c r="I495" s="233"/>
      <c r="J495" s="233"/>
      <c r="K495" s="233"/>
      <c r="L495" s="233" t="str">
        <f ca="1">IF(AND($B495&lt;&gt;"",$Q474&lt;&gt;""),IF($B495="Missing Player",0,IF($B497="Missing Player",11,"")),"")</f>
        <v/>
      </c>
      <c r="M495" s="245" t="str">
        <f ca="1">IF(OR(AND($B488&lt;&gt;"",$B495&lt;&gt;"",$E499&lt;=$D499),AND($B490&lt;&gt;"",$B497&lt;&gt;"",$I499&lt;=$H499)),"Invalid Lineup","")</f>
        <v/>
      </c>
      <c r="N495" s="246"/>
      <c r="O495" s="246"/>
      <c r="P495" s="247"/>
      <c r="Q495" s="40" t="str">
        <f ca="1">IF($L495=$L497,IF($K495=$K497,IF($J495&lt;&gt;"",IF($J495&gt;$J497,"W","L"),""),IF($K495&gt;$K497,"W","L")),IF($L495&gt;$L497,"W","L"))</f>
        <v/>
      </c>
      <c r="R495" s="259" t="str">
        <f>$K468</f>
        <v>H</v>
      </c>
      <c r="S495" s="307" t="str">
        <f ca="1">IF($B490&lt;&gt;"",$B490,"")</f>
        <v/>
      </c>
      <c r="T495" s="308"/>
      <c r="U495" s="308"/>
      <c r="V495" s="308"/>
      <c r="W495" s="308"/>
      <c r="X495" s="309"/>
      <c r="Y495" s="284"/>
      <c r="Z495" s="284"/>
      <c r="AA495" s="284"/>
      <c r="AB495" s="284"/>
      <c r="AC495" s="297"/>
      <c r="AD495" s="289" t="s">
        <v>169</v>
      </c>
      <c r="AE495" s="290"/>
      <c r="AF495" s="291"/>
    </row>
    <row r="496" spans="1:32" ht="12.75" customHeight="1" x14ac:dyDescent="0.25">
      <c r="A496" s="260"/>
      <c r="B496" s="238"/>
      <c r="C496" s="239"/>
      <c r="D496" s="239"/>
      <c r="E496" s="239"/>
      <c r="F496" s="239"/>
      <c r="G496" s="239"/>
      <c r="H496" s="234"/>
      <c r="I496" s="234"/>
      <c r="J496" s="234"/>
      <c r="K496" s="234"/>
      <c r="L496" s="234"/>
      <c r="M496" s="245"/>
      <c r="N496" s="246"/>
      <c r="O496" s="246"/>
      <c r="P496" s="247"/>
      <c r="Q496" s="110" t="str">
        <f ca="1">IF($Q495&lt;&gt;"",IF($B497&lt;&gt;"Missing Player",IF($Q495="W",IF(SUM(IF($H495&gt;$H497,1,0),IF($I495&gt;$I497,1,0),IF($J495&gt;$J497,1,0),IF($K495&gt;$K497,1,0),IF($L495&gt;$L497,1,0))&lt;&gt;3,"Error",""),""),""),"")</f>
        <v/>
      </c>
      <c r="R496" s="285"/>
      <c r="S496" s="310"/>
      <c r="T496" s="311"/>
      <c r="U496" s="311"/>
      <c r="V496" s="311"/>
      <c r="W496" s="311"/>
      <c r="X496" s="312"/>
      <c r="Y496" s="285"/>
      <c r="Z496" s="285"/>
      <c r="AA496" s="285"/>
      <c r="AB496" s="285"/>
      <c r="AC496" s="285"/>
      <c r="AD496" s="292"/>
      <c r="AE496" s="293"/>
      <c r="AF496" s="294"/>
    </row>
    <row r="497" spans="1:32" ht="12.75" customHeight="1" x14ac:dyDescent="0.25">
      <c r="A497" s="259" t="str">
        <f>K468</f>
        <v>H</v>
      </c>
      <c r="B497" s="236" t="str">
        <f ca="1">IF(AND(OFFSET($AO$1,$L468-1,8,1,1),$A469&lt;&gt;"",$J469&lt;&gt;""),CHOOSE($L468,$AR$1,$AR$2,$AR$3,$AR$4,$AR$5,$AR$6,$AR$7,$AR$8,$AR$9,$AR$10,$AR$11,$AR$12),"")</f>
        <v/>
      </c>
      <c r="C497" s="237"/>
      <c r="D497" s="237"/>
      <c r="E497" s="237"/>
      <c r="F497" s="237"/>
      <c r="G497" s="237"/>
      <c r="H497" s="233"/>
      <c r="I497" s="233"/>
      <c r="J497" s="233"/>
      <c r="K497" s="233"/>
      <c r="L497" s="233" t="str">
        <f ca="1">IF(AND($B497&lt;&gt;"",$Q474&lt;&gt;""),IF($B497="Missing Player",0,IF($B495="Missing Player",11,"")),"")</f>
        <v/>
      </c>
      <c r="M497" s="250" t="s">
        <v>169</v>
      </c>
      <c r="N497" s="251"/>
      <c r="O497" s="251"/>
      <c r="P497" s="252"/>
      <c r="Q497" s="40" t="str">
        <f ca="1">IF($Q495&lt;&gt;"",IF($Q495="W","L","W"),"")</f>
        <v/>
      </c>
      <c r="R497" s="94"/>
      <c r="S497" s="84"/>
      <c r="T497" s="84"/>
      <c r="U497" s="84"/>
      <c r="V497" s="84"/>
      <c r="W497" s="84"/>
      <c r="X497" s="84"/>
      <c r="Y497" s="93"/>
      <c r="Z497" s="93"/>
      <c r="AA497" s="93"/>
      <c r="AB497" s="93"/>
      <c r="AC497" s="93"/>
      <c r="AD497" s="92"/>
      <c r="AE497" s="93"/>
      <c r="AF497" s="93"/>
    </row>
    <row r="498" spans="1:32" ht="12.75" customHeight="1" x14ac:dyDescent="0.25">
      <c r="A498" s="260"/>
      <c r="B498" s="238"/>
      <c r="C498" s="239"/>
      <c r="D498" s="239"/>
      <c r="E498" s="239"/>
      <c r="F498" s="239"/>
      <c r="G498" s="239"/>
      <c r="H498" s="234"/>
      <c r="I498" s="234"/>
      <c r="J498" s="235"/>
      <c r="K498" s="235"/>
      <c r="L498" s="235"/>
      <c r="M498" s="250"/>
      <c r="N498" s="251"/>
      <c r="O498" s="251"/>
      <c r="P498" s="252"/>
      <c r="Q498" s="110" t="str">
        <f ca="1">IF($Q497&lt;&gt;"",IF($B495&lt;&gt;"Missing Player",IF($Q497="W",IF(SUM(IF($H497&gt;$H495,1,0),IF($I497&gt;$I495,1,0),IF($J497&gt;$J495,1,0),IF($K497&gt;$K495,1,0),IF($L497&gt;$L495,1,0))&lt;&gt;3,"Error",""),""),""),"")</f>
        <v/>
      </c>
      <c r="R498" s="85"/>
      <c r="S498" s="95"/>
      <c r="T498" s="95"/>
      <c r="U498" s="95"/>
      <c r="V498" s="95"/>
      <c r="W498" s="95"/>
      <c r="X498" s="95"/>
      <c r="Y498" s="85"/>
      <c r="Z498" s="85"/>
      <c r="AA498" s="85"/>
      <c r="AB498" s="85"/>
      <c r="AC498" s="85"/>
      <c r="AD498" s="85"/>
      <c r="AE498" s="85"/>
      <c r="AF498" s="85"/>
    </row>
    <row r="499" spans="1:32" ht="12.75" customHeight="1" x14ac:dyDescent="0.25">
      <c r="B499" s="111" t="str">
        <f ca="1">IF(ISERROR(VLOOKUP($B474&amp;"("&amp;$B468&amp;")",Players!$S$4:$T$132,2,FALSE)),"",VLOOKUP($B474&amp;"("&amp;$B468&amp;")",Players!$S$4:$T$132,2,FALSE))</f>
        <v>C1</v>
      </c>
      <c r="C499" s="111" t="str">
        <f ca="1">IF(ISERROR(VLOOKUP($B481&amp;"("&amp;$B468&amp;")",Players!$S$4:$T$132,2,FALSE)),"",VLOOKUP($B481&amp;"("&amp;$B468&amp;")",Players!$S$4:$T$132,2,FALSE))</f>
        <v>C1</v>
      </c>
      <c r="D499" s="111" t="str">
        <f ca="1">IF(ISERROR(VLOOKUP($B488&amp;"("&amp;$B468&amp;")",Players!$S$4:$T$132,2,FALSE)),"",VLOOKUP($B488&amp;"("&amp;$B468&amp;")",Players!$S$4:$T$132,2,FALSE))</f>
        <v>C1</v>
      </c>
      <c r="E499" s="111" t="str">
        <f ca="1">IF(ISERROR(VLOOKUP($B495&amp;"("&amp;$B468&amp;")",Players!$S$4:$T$132,2,FALSE)),"",VLOOKUP($B495&amp;"("&amp;$B468&amp;")",Players!$S$4:$T$132,2,FALSE))</f>
        <v>C1</v>
      </c>
      <c r="F499" s="111" t="str">
        <f ca="1">IF(ISERROR(VLOOKUP($B476&amp;"("&amp;$K468&amp;")",Players!$S$4:$T$132,2,FALSE)),"",VLOOKUP($B476&amp;"("&amp;$K468&amp;")",Players!$S$4:$T$132,2,FALSE))</f>
        <v>H1</v>
      </c>
      <c r="G499" s="111" t="str">
        <f ca="1">IF(ISERROR(VLOOKUP($B483&amp;"("&amp;$K468&amp;")",Players!$S$4:$T$132,2,FALSE)),"",VLOOKUP($B483&amp;"("&amp;$K468&amp;")",Players!$S$4:$T$132,2,FALSE))</f>
        <v>H1</v>
      </c>
      <c r="H499" s="111" t="str">
        <f ca="1">IF(ISERROR(VLOOKUP($B490&amp;"("&amp;$K468&amp;")",Players!$S$4:$T$132,2,FALSE)),"",VLOOKUP($B490&amp;"("&amp;$K468&amp;")",Players!$S$4:$T$132,2,FALSE))</f>
        <v>H1</v>
      </c>
      <c r="I499" s="111" t="str">
        <f ca="1">IF(ISERROR(VLOOKUP($B497&amp;"("&amp;$K468&amp;")",Players!$S$4:$T$132,2,FALSE)),"",VLOOKUP($B497&amp;"("&amp;$K468&amp;")",Players!$S$4:$T$132,2,FALSE))</f>
        <v>H1</v>
      </c>
      <c r="Q499" s="6"/>
      <c r="R499" s="37"/>
      <c r="S499" s="95"/>
      <c r="T499" s="95"/>
      <c r="U499" s="95"/>
      <c r="V499" s="95"/>
      <c r="W499" s="95"/>
      <c r="X499" s="95"/>
      <c r="Y499" s="85"/>
      <c r="Z499" s="85"/>
      <c r="AA499" s="85"/>
      <c r="AB499" s="85"/>
      <c r="AC499" s="96"/>
      <c r="AD499" s="97"/>
      <c r="AE499" s="85"/>
      <c r="AF499" s="85"/>
    </row>
    <row r="500" spans="1:32" ht="12.75" customHeight="1" x14ac:dyDescent="0.25">
      <c r="A500" s="15" t="s">
        <v>157</v>
      </c>
      <c r="H500" s="110" t="str">
        <f ca="1">IF($Q502&lt;&gt;"",IF(AND($B503&lt;&gt;"Missing Player",$B505&lt;&gt;"Missing Player"),IF(AND(AND($H502&gt;-1,$H504&gt;-1),OR($H502&gt;10,$H504&gt;10),ABS($H502-$H504)&gt;1,IF(OR($H502&gt;11,$H504&gt;11),ABS($H502-$H504)=2,TRUE),$H502=INT($H502),$H504=INT($H504)),"","Error"),""),"")</f>
        <v/>
      </c>
      <c r="I500" s="110" t="str">
        <f ca="1">IF($Q502&lt;&gt;"",IF(AND($B503&lt;&gt;"Missing Player",$B505&lt;&gt;"Missing Player"),IF(AND(AND($I502&gt;-1,$I504&gt;-1),OR($I502&gt;10,$I504&gt;10),ABS($I502-$I504)&gt;1,IF(OR($I502&gt;11,$I504&gt;11),ABS($I502-$I504)=2,TRUE),$I502=INT($I502),$I504=INT($I504)),"","Error"),""),"")</f>
        <v/>
      </c>
      <c r="J500" s="110" t="str">
        <f ca="1">IF($Q502&lt;&gt;"",IF(AND($B503&lt;&gt;"Missing Player",$B505&lt;&gt;"Missing Player"),IF(AND(AND($J502&gt;-1,$J504&gt;-1),OR($J502&gt;10,$J504&gt;10),ABS($J502-$J504)&gt;1,IF(OR($J502&gt;11,$J504&gt;11),ABS($J502-$J504)=2,TRUE),$J502=INT($J502),$J504=INT($J504)),"","Error"),""),"")</f>
        <v/>
      </c>
      <c r="K500" s="110" t="str">
        <f ca="1">IF($Q502&lt;&gt;"",IF(AND($K502&lt;&gt;"",$K504&lt;&gt;""), IF(AND(AND($K502&gt;-1,$K504&gt;-1),OR($K502&gt;10,$K504&gt;10),ABS($K502-$K504)&gt;1,IF(OR($K502&gt;11,$K504&gt;11),ABS($K502-$K504)=2,TRUE),$K502=INT($K502),$K504=INT($K504)),"","Error"),""),"")</f>
        <v/>
      </c>
      <c r="L500" s="110" t="str">
        <f ca="1">IF($Q502&lt;&gt;"",IF(AND($L502&lt;&gt;"",$L504&lt;&gt;""), IF(AND(AND($L502&gt;-1,$L504&gt;-1),OR($L502&gt;10,$L504&gt;10),ABS($L502-$L504)&gt;1,IF(OR($L502&gt;11,$L504&gt;11),ABS($L502-$L504)=2,TRUE),$L502=INT($L502),$L504=INT($L504)),"","Error"),""),"")</f>
        <v/>
      </c>
      <c r="Q500" s="6"/>
      <c r="R500" s="85"/>
      <c r="S500" s="95"/>
      <c r="T500" s="95"/>
      <c r="U500" s="95"/>
      <c r="V500" s="95"/>
      <c r="W500" s="95"/>
      <c r="X500" s="95"/>
      <c r="Y500" s="85"/>
      <c r="Z500" s="85"/>
      <c r="AA500" s="85"/>
      <c r="AB500" s="85"/>
      <c r="AC500" s="85"/>
      <c r="AD500" s="85"/>
      <c r="AE500" s="85"/>
      <c r="AF500" s="85"/>
    </row>
    <row r="501" spans="1:32" ht="12.75" customHeight="1" x14ac:dyDescent="0.25">
      <c r="A501" s="5" t="s">
        <v>160</v>
      </c>
      <c r="B501" s="256" t="s">
        <v>58</v>
      </c>
      <c r="C501" s="257"/>
      <c r="D501" s="257"/>
      <c r="E501" s="257"/>
      <c r="F501" s="257"/>
      <c r="G501" s="258"/>
      <c r="H501" s="5">
        <v>1</v>
      </c>
      <c r="I501" s="5">
        <v>2</v>
      </c>
      <c r="J501" s="5">
        <v>3</v>
      </c>
      <c r="K501" s="5">
        <v>4</v>
      </c>
      <c r="L501" s="5">
        <v>5</v>
      </c>
      <c r="M501" s="270"/>
      <c r="N501" s="271"/>
      <c r="O501" s="271"/>
      <c r="P501" s="272"/>
      <c r="Q501" s="6"/>
      <c r="T501" s="7"/>
    </row>
    <row r="502" spans="1:32" ht="12.75" customHeight="1" x14ac:dyDescent="0.25">
      <c r="A502" s="259" t="str">
        <f>B468</f>
        <v>C</v>
      </c>
      <c r="B502" s="230" t="str">
        <f ca="1">IF($B474&lt;&gt;"",$B474,"")</f>
        <v/>
      </c>
      <c r="C502" s="231"/>
      <c r="D502" s="231"/>
      <c r="E502" s="231"/>
      <c r="F502" s="231"/>
      <c r="G502" s="232"/>
      <c r="H502" s="233"/>
      <c r="I502" s="233"/>
      <c r="J502" s="233"/>
      <c r="K502" s="233"/>
      <c r="L502" s="233" t="str">
        <f ca="1">IF($B495&lt;&gt;"",IF(AND($B495="Missing Player",$G506=2,$J506=2),0,IF(AND($B497="Missing Player",$G506=2,$J506=2),11,"")),"")</f>
        <v/>
      </c>
      <c r="M502" s="245" t="str">
        <f ca="1">IF(OR(AND($B502&lt;&gt;"",$B503&lt;&gt;"",$B502=$B503),AND($B504&lt;&gt;"",$B505&lt;&gt;"",$B504=$B505)),"Invalid Partner","")</f>
        <v/>
      </c>
      <c r="N502" s="246"/>
      <c r="O502" s="246"/>
      <c r="P502" s="247"/>
      <c r="Q502" s="37" t="str">
        <f ca="1">IF(L502=L504,IF(K502=K504,IF(J502&lt;&gt;"",IF(J502&gt;J504,"W","L"),""),IF(K502&gt;K504,"W","L")),IF(L502&gt;L504,"W","L"))</f>
        <v/>
      </c>
      <c r="T502" s="7"/>
    </row>
    <row r="503" spans="1:32" ht="12.75" customHeight="1" x14ac:dyDescent="0.25">
      <c r="A503" s="260"/>
      <c r="B503" s="266" t="str">
        <f ca="1">IF($B495="Missing Player",$B495,"")</f>
        <v/>
      </c>
      <c r="C503" s="267"/>
      <c r="D503" s="267"/>
      <c r="E503" s="267"/>
      <c r="F503" s="267"/>
      <c r="G503" s="268"/>
      <c r="H503" s="234"/>
      <c r="I503" s="234"/>
      <c r="J503" s="234"/>
      <c r="K503" s="234"/>
      <c r="L503" s="234"/>
      <c r="M503" s="245"/>
      <c r="N503" s="246"/>
      <c r="O503" s="246"/>
      <c r="P503" s="247"/>
      <c r="Q503" s="110" t="str">
        <f ca="1">IF($Q502&lt;&gt;"",IF($B505&lt;&gt;"Missing Player",IF($Q502="W",IF(SUM(IF($H502&gt;$H504,1,0),IF($I502&gt;$I504,1,0),IF($J502&gt;$J504,1,0),IF($K502&gt;$K504,1,0),IF($L502&gt;$L504,1,0))&lt;&gt;3,"Error",""),""),""),"")</f>
        <v/>
      </c>
      <c r="R503" s="295" t="str">
        <f>$A469</f>
        <v/>
      </c>
      <c r="S503" s="295"/>
      <c r="T503" s="295"/>
      <c r="U503" s="295"/>
      <c r="V503" s="295"/>
      <c r="W503" s="295"/>
      <c r="X503" s="219" t="str">
        <f>CONCATENATE("(",$B468," vs ",$K468,")")</f>
        <v>(C vs H)</v>
      </c>
      <c r="Y503" s="219"/>
      <c r="Z503" s="295" t="str">
        <f>$J469</f>
        <v/>
      </c>
      <c r="AA503" s="295"/>
      <c r="AB503" s="295"/>
      <c r="AC503" s="295"/>
      <c r="AD503" s="295"/>
      <c r="AE503" s="295"/>
      <c r="AF503"/>
    </row>
    <row r="504" spans="1:32" ht="12.75" customHeight="1" x14ac:dyDescent="0.25">
      <c r="A504" s="265" t="str">
        <f>K468</f>
        <v>H</v>
      </c>
      <c r="B504" s="230" t="str">
        <f ca="1">IF($B476&lt;&gt;"",$B476,"")</f>
        <v/>
      </c>
      <c r="C504" s="231"/>
      <c r="D504" s="231"/>
      <c r="E504" s="231"/>
      <c r="F504" s="231"/>
      <c r="G504" s="232"/>
      <c r="H504" s="233"/>
      <c r="I504" s="233"/>
      <c r="J504" s="233"/>
      <c r="K504" s="233"/>
      <c r="L504" s="233" t="str">
        <f ca="1">IF($B497&lt;&gt;"",IF(AND($B497="Missing Player",$G506=2,$J506=2),0,IF(AND($B495="Missing Player",$G506=2,$J506=2),11,"")),"")</f>
        <v/>
      </c>
      <c r="M504" s="250" t="s">
        <v>169</v>
      </c>
      <c r="N504" s="251"/>
      <c r="O504" s="251"/>
      <c r="P504" s="252"/>
      <c r="Q504" s="37" t="str">
        <f ca="1">IF(Q502&lt;&gt;"",IF(Q502="W","L","W"),"")</f>
        <v/>
      </c>
      <c r="R504"/>
      <c r="S504"/>
      <c r="T504"/>
      <c r="U504"/>
      <c r="V504"/>
      <c r="W504"/>
      <c r="X504"/>
      <c r="Y504"/>
      <c r="Z504"/>
      <c r="AA504"/>
      <c r="AB504"/>
      <c r="AC504"/>
      <c r="AD504"/>
      <c r="AE504"/>
      <c r="AF504"/>
    </row>
    <row r="505" spans="1:32" ht="12.75" customHeight="1" x14ac:dyDescent="0.25">
      <c r="A505" s="260"/>
      <c r="B505" s="266" t="str">
        <f ca="1">IF($B497="Missing Player",$B497,"")</f>
        <v/>
      </c>
      <c r="C505" s="267"/>
      <c r="D505" s="267"/>
      <c r="E505" s="267"/>
      <c r="F505" s="267"/>
      <c r="G505" s="268"/>
      <c r="H505" s="234"/>
      <c r="I505" s="234"/>
      <c r="J505" s="235"/>
      <c r="K505" s="235"/>
      <c r="L505" s="235"/>
      <c r="M505" s="250"/>
      <c r="N505" s="251"/>
      <c r="O505" s="251"/>
      <c r="P505" s="252"/>
      <c r="Q505" s="110" t="str">
        <f ca="1">IF($Q504&lt;&gt;"",IF($B503&lt;&gt;"Missing Player",IF($Q504="W",IF(SUM(IF($H504&gt;$H502,1,0),IF($I504&gt;$I502,1,0),IF($J504&gt;$J502,1,0),IF($K504&gt;$K502,1,0),IF($L504&gt;$L502,1,0))&lt;&gt;3,"Error",""),""),""),"")</f>
        <v/>
      </c>
      <c r="R505" t="str">
        <f>A493</f>
        <v>4th Singles</v>
      </c>
      <c r="S505"/>
      <c r="T505"/>
      <c r="U505"/>
      <c r="V505"/>
      <c r="W505"/>
      <c r="X505"/>
      <c r="Y505"/>
      <c r="Z505"/>
      <c r="AA505"/>
      <c r="AB505"/>
      <c r="AC505"/>
      <c r="AD505"/>
      <c r="AE505"/>
      <c r="AF505"/>
    </row>
    <row r="506" spans="1:32" ht="12.75" customHeight="1" x14ac:dyDescent="0.25">
      <c r="G506" s="53">
        <f ca="1">COUNTIF($Q474:$Q474,"W")+COUNTIF($Q481:$Q481,"W")+COUNTIF($Q488:$Q488,"W")+COUNTIF($Q495:$Q495,"W")</f>
        <v>0</v>
      </c>
      <c r="J506" s="53">
        <f ca="1">COUNTIF($Q476:$Q476,"W")+COUNTIF($Q483:$Q483,"W")+COUNTIF($Q490:$Q490,"W")+COUNTIF($Q497:$Q497,"W")</f>
        <v>0</v>
      </c>
      <c r="R506" s="47" t="s">
        <v>160</v>
      </c>
      <c r="S506" s="304" t="s">
        <v>58</v>
      </c>
      <c r="T506" s="305"/>
      <c r="U506" s="305"/>
      <c r="V506" s="305"/>
      <c r="W506" s="305"/>
      <c r="X506" s="306"/>
      <c r="Y506" s="47">
        <v>1</v>
      </c>
      <c r="Z506" s="47">
        <v>2</v>
      </c>
      <c r="AA506" s="47">
        <v>3</v>
      </c>
      <c r="AB506" s="47">
        <v>4</v>
      </c>
      <c r="AC506" s="47">
        <v>5</v>
      </c>
      <c r="AD506" s="286"/>
      <c r="AE506" s="287"/>
      <c r="AF506" s="288"/>
    </row>
    <row r="507" spans="1:32" ht="12.75" customHeight="1" thickBot="1" x14ac:dyDescent="0.3">
      <c r="F507" s="212" t="s">
        <v>170</v>
      </c>
      <c r="G507" s="212"/>
      <c r="H507" s="212"/>
      <c r="I507" s="212"/>
      <c r="J507" s="212"/>
      <c r="K507" s="212"/>
      <c r="R507" s="259" t="str">
        <f>B468</f>
        <v>C</v>
      </c>
      <c r="S507" s="307" t="str">
        <f ca="1">IF($B495&lt;&gt;"",$B495,"")</f>
        <v/>
      </c>
      <c r="T507" s="308"/>
      <c r="U507" s="308"/>
      <c r="V507" s="308"/>
      <c r="W507" s="308"/>
      <c r="X507" s="309"/>
      <c r="Y507" s="284"/>
      <c r="Z507" s="284"/>
      <c r="AA507" s="297"/>
      <c r="AB507" s="297"/>
      <c r="AC507" s="297"/>
      <c r="AD507" s="296"/>
      <c r="AE507" s="298"/>
      <c r="AF507" s="299"/>
    </row>
    <row r="508" spans="1:32" ht="12.75" customHeight="1" x14ac:dyDescent="0.25">
      <c r="A508" s="16"/>
      <c r="B508" s="16"/>
      <c r="C508" s="16"/>
      <c r="D508" s="16"/>
      <c r="E508" s="16"/>
      <c r="G508" s="261" t="str">
        <f>B468</f>
        <v>C</v>
      </c>
      <c r="H508" s="262"/>
      <c r="I508" s="263" t="str">
        <f>K468</f>
        <v>H</v>
      </c>
      <c r="J508" s="264"/>
      <c r="L508" s="16"/>
      <c r="M508" s="16"/>
      <c r="N508" s="16"/>
      <c r="O508" s="16"/>
      <c r="P508" s="16"/>
      <c r="R508" s="260"/>
      <c r="S508" s="310"/>
      <c r="T508" s="311"/>
      <c r="U508" s="311"/>
      <c r="V508" s="311"/>
      <c r="W508" s="311"/>
      <c r="X508" s="312"/>
      <c r="Y508" s="285"/>
      <c r="Z508" s="285"/>
      <c r="AA508" s="303"/>
      <c r="AB508" s="303"/>
      <c r="AC508" s="303"/>
      <c r="AD508" s="300"/>
      <c r="AE508" s="301"/>
      <c r="AF508" s="302"/>
    </row>
    <row r="509" spans="1:32" ht="12.75" customHeight="1" thickBot="1" x14ac:dyDescent="0.3">
      <c r="A509" s="2" t="s">
        <v>160</v>
      </c>
      <c r="B509" s="40" t="str">
        <f>B468</f>
        <v>C</v>
      </c>
      <c r="C509" s="3" t="s">
        <v>158</v>
      </c>
      <c r="F509" s="53" t="str">
        <f>CONCATENATE($B468,"-",$K468)</f>
        <v>C-H</v>
      </c>
      <c r="G509" s="240" t="str">
        <f ca="1">IF(OR(Q474&lt;&gt;"",Q481&lt;&gt;"",Q488&lt;&gt;"",Q495&lt;&gt;"",Q502&lt;&gt;""),COUNTIF(Q474:Q474,"W")+COUNTIF(Q481:Q481,"W")+COUNTIF(Q488:Q488,"W")+COUNTIF(Q495:Q495,"W")+COUNTIF(Q502:Q502,"W"),"")</f>
        <v/>
      </c>
      <c r="H509" s="241"/>
      <c r="I509" s="242" t="str">
        <f ca="1">IF(OR(Q476&lt;&gt;"",Q483&lt;&gt;"",Q490&lt;&gt;"",Q497&lt;&gt;"",Q504&lt;&gt;""),COUNTIF(Q476:Q476,"W")+COUNTIF(Q483:Q483,"W")+COUNTIF(Q490:Q490,"W")+COUNTIF(Q497:Q497,"W")+COUNTIF(Q504:Q504,"W"),"")</f>
        <v/>
      </c>
      <c r="J509" s="243"/>
      <c r="L509" s="2" t="s">
        <v>160</v>
      </c>
      <c r="M509" s="40" t="str">
        <f>K468</f>
        <v>H</v>
      </c>
      <c r="N509" s="3" t="s">
        <v>158</v>
      </c>
      <c r="R509" s="259" t="str">
        <f>K468</f>
        <v>H</v>
      </c>
      <c r="S509" s="307" t="str">
        <f ca="1">IF($B497&lt;&gt;"",$B497,"")</f>
        <v/>
      </c>
      <c r="T509" s="308"/>
      <c r="U509" s="308"/>
      <c r="V509" s="308"/>
      <c r="W509" s="308"/>
      <c r="X509" s="309"/>
      <c r="Y509" s="284"/>
      <c r="Z509" s="284"/>
      <c r="AA509" s="297"/>
      <c r="AB509" s="297"/>
      <c r="AC509" s="297"/>
      <c r="AD509" s="289" t="s">
        <v>169</v>
      </c>
      <c r="AE509" s="290"/>
      <c r="AF509" s="291"/>
    </row>
    <row r="510" spans="1:32" ht="12.75" customHeight="1" x14ac:dyDescent="0.35">
      <c r="F510" s="18" t="s">
        <v>403</v>
      </c>
      <c r="G510" s="17"/>
      <c r="H510" s="17"/>
      <c r="I510" s="17"/>
      <c r="J510" s="17"/>
      <c r="R510" s="285"/>
      <c r="S510" s="310"/>
      <c r="T510" s="311"/>
      <c r="U510" s="311"/>
      <c r="V510" s="311"/>
      <c r="W510" s="311"/>
      <c r="X510" s="312"/>
      <c r="Y510" s="285"/>
      <c r="Z510" s="285"/>
      <c r="AA510" s="285"/>
      <c r="AB510" s="285"/>
      <c r="AC510" s="285"/>
      <c r="AD510" s="292"/>
      <c r="AE510" s="293"/>
      <c r="AF510" s="294"/>
    </row>
    <row r="511" spans="1:32" ht="12.75" customHeight="1" x14ac:dyDescent="0.25">
      <c r="R511" s="1"/>
      <c r="S511" s="11"/>
      <c r="T511" s="11"/>
      <c r="U511" s="11"/>
      <c r="V511" s="11"/>
      <c r="W511" s="11"/>
    </row>
    <row r="512" spans="1:32" ht="12.75" customHeight="1" x14ac:dyDescent="0.25">
      <c r="F512" s="212"/>
      <c r="G512" s="212"/>
      <c r="H512" s="212"/>
      <c r="I512" s="212"/>
      <c r="R512" s="1"/>
      <c r="S512" s="11"/>
      <c r="T512" s="11"/>
      <c r="U512" s="11"/>
      <c r="V512" s="11"/>
      <c r="W512" s="11"/>
    </row>
    <row r="513" spans="1:32" ht="12.75" customHeight="1" x14ac:dyDescent="0.25">
      <c r="F513" s="212"/>
      <c r="G513" s="212"/>
      <c r="H513" s="212"/>
      <c r="I513" s="212"/>
      <c r="R513" s="1"/>
      <c r="S513" s="11"/>
      <c r="T513" s="11"/>
      <c r="U513" s="11"/>
      <c r="V513" s="11"/>
      <c r="W513" s="11"/>
    </row>
    <row r="514" spans="1:32" ht="12.75" customHeight="1" x14ac:dyDescent="0.25">
      <c r="K514" s="219" t="s">
        <v>176</v>
      </c>
      <c r="L514" s="219"/>
      <c r="M514" s="219"/>
      <c r="N514" s="219"/>
      <c r="O514" s="219"/>
      <c r="P514" s="219"/>
      <c r="R514" s="1"/>
      <c r="S514" s="11"/>
      <c r="T514" s="11"/>
      <c r="U514" s="11"/>
      <c r="V514" s="11"/>
      <c r="W514" s="11"/>
    </row>
    <row r="515" spans="1:32" ht="12.75" customHeight="1" x14ac:dyDescent="0.25">
      <c r="A515" s="9" t="s">
        <v>161</v>
      </c>
      <c r="B515"/>
      <c r="C515"/>
      <c r="D515" t="str">
        <f>Draw!$B$1</f>
        <v>Enter Division Name</v>
      </c>
      <c r="E515"/>
      <c r="F515" s="6"/>
      <c r="G515" s="6"/>
      <c r="H515" s="6"/>
      <c r="I515"/>
      <c r="J515"/>
      <c r="K515"/>
      <c r="L515"/>
      <c r="M515" s="219"/>
      <c r="N515" s="219"/>
      <c r="O515" s="219"/>
      <c r="P515" s="219"/>
      <c r="R515" s="1"/>
      <c r="S515" s="11"/>
      <c r="T515" s="11"/>
      <c r="U515" s="11"/>
      <c r="V515" s="11"/>
      <c r="W515" s="11"/>
    </row>
    <row r="516" spans="1:32" ht="12.75" customHeight="1" x14ac:dyDescent="0.25">
      <c r="A516" s="2" t="s">
        <v>162</v>
      </c>
      <c r="D516" t="str">
        <f>Draw!$D$1</f>
        <v>Enter Hosting Location (City, ST)</v>
      </c>
      <c r="J516" t="str">
        <f ca="1">$J$6</f>
        <v>[NCTTA Teams Template (v3.4).xlsx]</v>
      </c>
      <c r="R516" s="1"/>
      <c r="S516" s="11"/>
      <c r="T516" s="11"/>
      <c r="U516" s="11"/>
      <c r="V516" s="11"/>
      <c r="W516" s="11"/>
    </row>
    <row r="517" spans="1:32" ht="12.75" customHeight="1" x14ac:dyDescent="0.25">
      <c r="A517" s="2" t="s">
        <v>163</v>
      </c>
      <c r="D517" s="275" t="str">
        <f>Draw!$P$1</f>
        <v>Enter Date</v>
      </c>
      <c r="E517" s="275"/>
      <c r="F517" s="275"/>
      <c r="G517" s="275"/>
      <c r="J517" s="244" t="str">
        <f>CHOOSE(Draw!$T$1,"Round 2, Match 5","Round 4, Match 2","Round 3, Match 3","Round 2, Match 4","Round 4, Match 2","Round 4, Match 2","Round 4, Match 2","Round 3, Match 3","Round 3, Match 3","Round 3, Match 1","Round 3, Match 1")</f>
        <v>Round 2, Match 5</v>
      </c>
      <c r="K517" s="244"/>
      <c r="L517" s="244"/>
      <c r="M517" s="277" t="str">
        <f>IF(AND($J517&lt;&gt;"",Draw!$AC$10&lt;&gt;"",Draw!$AC$13&lt;&gt;""),Draw!$AC$10+TIME(0,VALUE(MID($J517,7,FIND(",",$J517)-FIND(" ",$J517)-1)-1)*Draw!$AC$13,0),"")</f>
        <v/>
      </c>
      <c r="N517" s="277"/>
      <c r="O517" s="125" t="str">
        <f>$F560</f>
        <v>D-G</v>
      </c>
      <c r="R517" s="1"/>
      <c r="S517" s="11"/>
      <c r="T517" s="11"/>
      <c r="U517" s="11"/>
      <c r="V517" s="11"/>
      <c r="W517" s="11"/>
    </row>
    <row r="518" spans="1:32" ht="12.75" customHeight="1" x14ac:dyDescent="0.25">
      <c r="A518" s="6"/>
      <c r="B518"/>
      <c r="C518"/>
      <c r="D518"/>
      <c r="E518"/>
      <c r="F518" s="6"/>
      <c r="G518" s="6"/>
      <c r="H518" s="11"/>
      <c r="I518" s="6"/>
      <c r="J518"/>
      <c r="K518"/>
      <c r="L518"/>
      <c r="M518"/>
      <c r="N518"/>
      <c r="O518" s="269" t="str">
        <f>IF(OR(AND(VLOOKUP($B519,$AM$1:$AX$12,12,FALSE)="C",VLOOKUP($K519,$AM$1:$AX$12,12,FALSE)="C"),AND(VLOOKUP($B519,$AM$1:$AX$12,12,FALSE)="W",VLOOKUP($K519,$AM$1:$AX$12,12,FALSE)="W")),"Official",IF(AND($A520="",$J520=""),"","Scrimmage"))</f>
        <v/>
      </c>
      <c r="P518" s="269"/>
      <c r="R518" s="1"/>
      <c r="S518" s="11"/>
      <c r="T518" s="11"/>
      <c r="U518" s="11"/>
      <c r="V518" s="11"/>
      <c r="W518" s="11"/>
    </row>
    <row r="519" spans="1:32" ht="12.75" customHeight="1" x14ac:dyDescent="0.25">
      <c r="A519" s="12" t="s">
        <v>160</v>
      </c>
      <c r="B519" s="98" t="str">
        <f>CHOOSE(Draw!$T$1,"D","C","E","J","A","C","C","C","B","A","A")</f>
        <v>D</v>
      </c>
      <c r="C519" s="109">
        <f>VLOOKUP($B519,$AM$1:$AN$12,2)</f>
        <v>4</v>
      </c>
      <c r="D519" s="10"/>
      <c r="E519" s="10"/>
      <c r="F519" s="8"/>
      <c r="H519" s="1" t="s">
        <v>164</v>
      </c>
      <c r="J519" s="12" t="s">
        <v>160</v>
      </c>
      <c r="K519" s="98" t="str">
        <f>CHOOSE(Draw!$T$1,"G","F","H","K","F","F","E","G","E","H","J")</f>
        <v>G</v>
      </c>
      <c r="L519" s="109">
        <f>VLOOKUP($K519,$AM$1:$AN$12,2)</f>
        <v>7</v>
      </c>
      <c r="M519" s="10"/>
      <c r="N519" s="10"/>
      <c r="O519" s="13"/>
      <c r="R519" s="1"/>
      <c r="S519" s="11"/>
      <c r="T519" s="11"/>
      <c r="U519" s="11"/>
      <c r="V519" s="11"/>
      <c r="W519" s="11"/>
    </row>
    <row r="520" spans="1:32" ht="12.75" customHeight="1" x14ac:dyDescent="0.25">
      <c r="A520" s="253" t="str">
        <f>IF(VLOOKUP($B519,Draw!$A$4:$B$27,2)&lt;&gt;0,VLOOKUP($B519,Draw!$A$4:$B$27,2),"")</f>
        <v/>
      </c>
      <c r="B520" s="254"/>
      <c r="C520" s="254"/>
      <c r="D520" s="254"/>
      <c r="E520" s="254"/>
      <c r="F520" s="255"/>
      <c r="G520" s="273" t="s">
        <v>414</v>
      </c>
      <c r="H520" s="249"/>
      <c r="I520" s="274"/>
      <c r="J520" s="253" t="str">
        <f>IF(VLOOKUP($K519,Draw!$A$4:$B$27,2)&lt;&gt;0,VLOOKUP($K519,Draw!$A$4:$B$27,2),"")</f>
        <v/>
      </c>
      <c r="K520" s="254"/>
      <c r="L520" s="254"/>
      <c r="M520" s="254"/>
      <c r="N520" s="254"/>
      <c r="O520" s="255"/>
      <c r="P520"/>
      <c r="R520" s="1"/>
      <c r="S520" s="11"/>
      <c r="T520" s="11"/>
      <c r="U520" s="11"/>
      <c r="V520" s="11"/>
      <c r="W520" s="11"/>
    </row>
    <row r="521" spans="1:32" ht="12.75" customHeight="1" x14ac:dyDescent="0.25">
      <c r="A521" s="6"/>
      <c r="B521"/>
      <c r="C521"/>
      <c r="D521"/>
      <c r="E521"/>
      <c r="F521" s="6"/>
      <c r="G521" s="248" t="str">
        <f>"Page "&amp;VALUE(RIGHT($G520,LEN($G520)-SEARCH("-",$G520)))/2</f>
        <v>Page 11</v>
      </c>
      <c r="H521" s="249"/>
      <c r="I521" s="249"/>
      <c r="J521"/>
      <c r="K521"/>
      <c r="L521"/>
      <c r="M521"/>
      <c r="N521"/>
      <c r="O521"/>
      <c r="P521"/>
      <c r="R521" s="1"/>
      <c r="S521" s="11"/>
      <c r="T521" s="11"/>
      <c r="U521" s="11"/>
      <c r="V521" s="11"/>
      <c r="W521" s="11"/>
      <c r="AF521"/>
    </row>
    <row r="522" spans="1:32" ht="12.75" customHeight="1" x14ac:dyDescent="0.25">
      <c r="A522" s="276" t="s">
        <v>177</v>
      </c>
      <c r="B522" s="276"/>
      <c r="C522" s="276"/>
      <c r="D522" s="276"/>
      <c r="E522" s="276"/>
      <c r="F522" s="276"/>
      <c r="G522" s="276"/>
      <c r="H522" s="276"/>
      <c r="I522" s="276"/>
      <c r="J522" s="276"/>
      <c r="K522" s="276"/>
      <c r="L522" s="276"/>
      <c r="M522" s="276"/>
      <c r="N522" s="276"/>
      <c r="O522" s="276"/>
      <c r="P522" s="276"/>
      <c r="Q522" s="6"/>
      <c r="R522" s="1"/>
      <c r="S522" s="11"/>
      <c r="T522" s="11"/>
      <c r="U522" s="11"/>
      <c r="V522" s="11"/>
      <c r="W522" s="11"/>
      <c r="AF522" s="14"/>
    </row>
    <row r="523" spans="1:32" ht="12.75" customHeight="1" x14ac:dyDescent="0.25">
      <c r="A523" s="15" t="s">
        <v>165</v>
      </c>
      <c r="H523" s="110" t="str">
        <f>IF($Q525&lt;&gt;"",IF(AND(AND($H525&gt;-1,$H527&gt;-1),OR($H525&gt;10,$H527&gt;10),ABS($H525-$H527)&gt;1,IF(OR($H525&gt;11,$H527&gt;11),ABS($H525-$H527)=2,TRUE),$H525=INT($H525),$H527=INT($H527)),"","Error"),"")</f>
        <v/>
      </c>
      <c r="I523" s="110" t="str">
        <f>IF($Q525&lt;&gt;"",IF(AND(AND($I525&gt;-1,$I527&gt;-1),OR($I525&gt;10,$I527&gt;10),ABS($I525-$I527)&gt;1,IF(OR($I525&gt;11,$I527&gt;11),ABS($I525-$I527)=2,TRUE),$I525=INT($I525),$I527=INT($I527)),"","Error"),"")</f>
        <v/>
      </c>
      <c r="J523" s="110" t="str">
        <f>IF($Q525&lt;&gt;"",IF(AND(AND($J525&gt;-1,$J527&gt;-1),OR($J525&gt;10,$J527&gt;10),ABS($J525-$J527)&gt;1,IF(OR($J525&gt;11,$J527&gt;11),ABS($J525-$J527)=2,TRUE),$J525=INT($J525),$J527=INT($J527)),"","Error"),"")</f>
        <v/>
      </c>
      <c r="K523" s="110" t="str">
        <f>IF($Q525&lt;&gt;"",IF(AND($K525&lt;&gt;"",$K527&lt;&gt;""), IF(AND(AND($K525&gt;-1,$K527&gt;-1),OR($K525&gt;10,$K527&gt;10),ABS($K525-$K527)&gt;1,IF(OR($K525&gt;11,$K527&gt;11),ABS($K525-$K527)=2,TRUE),$K525=INT($K525),$K527=INT($K527)),"","Error"),""),"")</f>
        <v/>
      </c>
      <c r="L523" s="110" t="str">
        <f>IF($Q525&lt;&gt;"",IF(AND($L525&lt;&gt;"",$L527&lt;&gt;""), IF(AND(AND($L525&gt;-1,$L527&gt;-1),OR($L525&gt;10,$L527&gt;10),ABS($L525-$L527)&gt;1,IF(OR($L525&gt;11,$L527&gt;11),ABS($L525-$L527)=2,TRUE),$L525=INT($L525),$L527=INT($L527)),"","Error"),""),"")</f>
        <v/>
      </c>
      <c r="R523" s="1"/>
      <c r="S523" s="11"/>
      <c r="T523" s="11"/>
      <c r="U523" s="11"/>
      <c r="V523" s="11"/>
      <c r="W523" s="11"/>
    </row>
    <row r="524" spans="1:32" ht="12.75" customHeight="1" x14ac:dyDescent="0.25">
      <c r="A524" s="5" t="s">
        <v>160</v>
      </c>
      <c r="B524" s="256" t="s">
        <v>58</v>
      </c>
      <c r="C524" s="257"/>
      <c r="D524" s="257"/>
      <c r="E524" s="257"/>
      <c r="F524" s="257"/>
      <c r="G524" s="258"/>
      <c r="H524" s="5">
        <v>1</v>
      </c>
      <c r="I524" s="5">
        <v>2</v>
      </c>
      <c r="J524" s="5">
        <v>3</v>
      </c>
      <c r="K524" s="5">
        <v>4</v>
      </c>
      <c r="L524" s="5">
        <v>5</v>
      </c>
      <c r="M524" s="270"/>
      <c r="N524" s="271"/>
      <c r="O524" s="271"/>
      <c r="P524" s="272"/>
      <c r="R524" s="1"/>
      <c r="S524" s="11"/>
      <c r="T524" s="11"/>
      <c r="U524" s="11"/>
      <c r="V524" s="11"/>
      <c r="W524" s="11"/>
    </row>
    <row r="525" spans="1:32" ht="12.75" customHeight="1" x14ac:dyDescent="0.25">
      <c r="A525" s="259" t="str">
        <f>B519</f>
        <v>D</v>
      </c>
      <c r="B525" s="236" t="str">
        <f ca="1">IF(AND(OFFSET($AO$1,$C519-1,8,1,1),$A520&lt;&gt;"",$J520&lt;&gt;""),CHOOSE($C519,$AO$1,$AO$2,$AO$3,$AO$4,$AO$5,$AO$6,$AO$7,$AO$8,$AO$9,$AO$10,$AO$11,$AO$12),"")</f>
        <v/>
      </c>
      <c r="C525" s="237"/>
      <c r="D525" s="237"/>
      <c r="E525" s="237"/>
      <c r="F525" s="237"/>
      <c r="G525" s="237"/>
      <c r="H525" s="233"/>
      <c r="I525" s="233"/>
      <c r="J525" s="233"/>
      <c r="K525" s="233"/>
      <c r="L525" s="233"/>
      <c r="M525" s="281"/>
      <c r="N525" s="282"/>
      <c r="O525" s="282"/>
      <c r="P525" s="283"/>
      <c r="Q525" s="40" t="str">
        <f>IF($L525=$L527,IF($K525=$K527,IF($J525&lt;&gt;"",IF($J525&gt;$J527,"W","L"),""),IF($K525&gt;$K527,"W","L")),IF($L525&gt;$L527,"W","L"))</f>
        <v/>
      </c>
      <c r="R525" s="1"/>
      <c r="S525" s="11"/>
      <c r="T525" s="11"/>
      <c r="U525" s="11"/>
      <c r="V525" s="11"/>
      <c r="W525" s="11"/>
    </row>
    <row r="526" spans="1:32" ht="12.75" customHeight="1" x14ac:dyDescent="0.25">
      <c r="A526" s="260"/>
      <c r="B526" s="238"/>
      <c r="C526" s="239"/>
      <c r="D526" s="239"/>
      <c r="E526" s="239"/>
      <c r="F526" s="239"/>
      <c r="G526" s="239"/>
      <c r="H526" s="234"/>
      <c r="I526" s="234"/>
      <c r="J526" s="234"/>
      <c r="K526" s="234"/>
      <c r="L526" s="234"/>
      <c r="M526" s="281"/>
      <c r="N526" s="282"/>
      <c r="O526" s="282"/>
      <c r="P526" s="283"/>
      <c r="Q526" s="110" t="str">
        <f>IF($Q525&lt;&gt;"",IF($Q525="W",IF(SUM(IF($H525&gt;$H527,1,0),IF($I525&gt;$I527,1,0),IF($J525&gt;$J527,1,0),IF($K525&gt;$K527,1,0),IF($L525&gt;$L527,1,0))&lt;&gt;3,"Error",""),""),"")</f>
        <v/>
      </c>
      <c r="R526" s="295" t="str">
        <f>$A520</f>
        <v/>
      </c>
      <c r="S526" s="295"/>
      <c r="T526" s="295"/>
      <c r="U526" s="295"/>
      <c r="V526" s="295"/>
      <c r="W526" s="295"/>
      <c r="X526" s="219" t="str">
        <f>CONCATENATE("(",$B519," vs ",$K519,")")</f>
        <v>(D vs G)</v>
      </c>
      <c r="Y526" s="219"/>
      <c r="Z526" s="295" t="str">
        <f>$J520</f>
        <v/>
      </c>
      <c r="AA526" s="295"/>
      <c r="AB526" s="295"/>
      <c r="AC526" s="295"/>
      <c r="AD526" s="295"/>
      <c r="AE526" s="295"/>
      <c r="AF526"/>
    </row>
    <row r="527" spans="1:32" ht="12.75" customHeight="1" x14ac:dyDescent="0.25">
      <c r="A527" s="259" t="str">
        <f>K519</f>
        <v>G</v>
      </c>
      <c r="B527" s="236" t="str">
        <f ca="1">IF(AND(OFFSET($AO$1,$L519-1,8,1,1),$A520&lt;&gt;"",$J520&lt;&gt;""),CHOOSE($L519,$AO$1,$AO$2,$AO$3,$AO$4,$AO$5,$AO$6,$AO$7,$AO$8,$AO$9,$AO$10,$AO$11,$AO$12),"")</f>
        <v/>
      </c>
      <c r="C527" s="237"/>
      <c r="D527" s="237"/>
      <c r="E527" s="237"/>
      <c r="F527" s="237"/>
      <c r="G527" s="237"/>
      <c r="H527" s="233"/>
      <c r="I527" s="233"/>
      <c r="J527" s="233"/>
      <c r="K527" s="233"/>
      <c r="L527" s="233"/>
      <c r="M527" s="250" t="s">
        <v>169</v>
      </c>
      <c r="N527" s="251"/>
      <c r="O527" s="251"/>
      <c r="P527" s="252"/>
      <c r="Q527" s="40" t="str">
        <f>IF($Q525&lt;&gt;"",IF($Q525="W","L","W"),"")</f>
        <v/>
      </c>
      <c r="R527"/>
      <c r="S527"/>
      <c r="T527"/>
      <c r="U527"/>
      <c r="V527"/>
      <c r="W527"/>
      <c r="X527"/>
      <c r="Y527"/>
      <c r="Z527"/>
      <c r="AA527"/>
      <c r="AB527"/>
      <c r="AC527"/>
      <c r="AD527"/>
      <c r="AE527"/>
      <c r="AF527"/>
    </row>
    <row r="528" spans="1:32" ht="12.75" customHeight="1" x14ac:dyDescent="0.25">
      <c r="A528" s="260"/>
      <c r="B528" s="238"/>
      <c r="C528" s="239"/>
      <c r="D528" s="239"/>
      <c r="E528" s="239"/>
      <c r="F528" s="239"/>
      <c r="G528" s="239"/>
      <c r="H528" s="234"/>
      <c r="I528" s="234"/>
      <c r="J528" s="235"/>
      <c r="K528" s="235"/>
      <c r="L528" s="235"/>
      <c r="M528" s="250"/>
      <c r="N528" s="251"/>
      <c r="O528" s="251"/>
      <c r="P528" s="252"/>
      <c r="Q528" s="110" t="str">
        <f>IF($Q527&lt;&gt;"",IF($Q527="W",IF(SUM(IF($H527&gt;$H525,1,0),IF($I527&gt;$I525,1,0),IF($J527&gt;$J525,1,0),IF($K527&gt;$K525,1,0),IF($L527&gt;$L525,1,0))&lt;&gt;3,"Error",""),""),"")</f>
        <v/>
      </c>
      <c r="R528" t="str">
        <f>$A530</f>
        <v>2nd Singles</v>
      </c>
      <c r="S528"/>
      <c r="T528"/>
      <c r="U528"/>
      <c r="V528"/>
      <c r="W528"/>
      <c r="X528"/>
      <c r="Y528"/>
      <c r="Z528"/>
      <c r="AA528"/>
      <c r="AB528"/>
      <c r="AC528"/>
      <c r="AD528"/>
      <c r="AE528"/>
      <c r="AF528"/>
    </row>
    <row r="529" spans="1:32" ht="12.75" customHeight="1" x14ac:dyDescent="0.25">
      <c r="Q529" s="6"/>
      <c r="R529" s="47" t="s">
        <v>160</v>
      </c>
      <c r="S529" s="304" t="s">
        <v>58</v>
      </c>
      <c r="T529" s="305"/>
      <c r="U529" s="305"/>
      <c r="V529" s="305"/>
      <c r="W529" s="305"/>
      <c r="X529" s="306"/>
      <c r="Y529" s="47">
        <v>1</v>
      </c>
      <c r="Z529" s="47">
        <v>2</v>
      </c>
      <c r="AA529" s="47">
        <v>3</v>
      </c>
      <c r="AB529" s="47">
        <v>4</v>
      </c>
      <c r="AC529" s="47">
        <v>5</v>
      </c>
      <c r="AD529" s="286"/>
      <c r="AE529" s="287"/>
      <c r="AF529" s="288"/>
    </row>
    <row r="530" spans="1:32" ht="12.75" customHeight="1" x14ac:dyDescent="0.25">
      <c r="A530" s="15" t="s">
        <v>166</v>
      </c>
      <c r="H530" s="110" t="str">
        <f>IF($Q532&lt;&gt;"",IF(AND(AND($H532&gt;-1,$H534&gt;-1),OR($H532&gt;10,$H534&gt;10),ABS($H532-$H534)&gt;1,IF(OR($H532&gt;11,$H534&gt;11),ABS($H532-$H534)=2,TRUE),$H532=INT($H532),$H534=INT($H534)),"","Error"),"")</f>
        <v/>
      </c>
      <c r="I530" s="110" t="str">
        <f>IF($Q532&lt;&gt;"",IF(AND(AND($I532&gt;-1,$I534&gt;-1),OR($I532&gt;10,$I534&gt;10),ABS($I532-$I534)&gt;1,IF(OR($I532&gt;11,$I534&gt;11),ABS($I532-$I534)=2,TRUE),$I532=INT($I532),$I534=INT($I534)),"","Error"),"")</f>
        <v/>
      </c>
      <c r="J530" s="110" t="str">
        <f>IF($Q532&lt;&gt;"",IF(AND(AND($J532&gt;-1,$J534&gt;-1),OR($J532&gt;10,$J534&gt;10),ABS($J532-$J534)&gt;1,IF(OR($J532&gt;11,$J534&gt;11),ABS($J532-$J534)=2,TRUE),$J532=INT($J532),$J534=INT($J534)),"","Error"),"")</f>
        <v/>
      </c>
      <c r="K530" s="110" t="str">
        <f>IF($Q532&lt;&gt;"",IF(AND($K532&lt;&gt;"",$K534&lt;&gt;""), IF(AND(AND($K532&gt;-1,$K534&gt;-1),OR($K532&gt;10,$K534&gt;10),ABS($K532-$K534)&gt;1,IF(OR($K532&gt;11,$K534&gt;11),ABS($K532-$K534)=2,TRUE),$K532=INT($K532),$K534=INT($K534)),"","Error"),""),"")</f>
        <v/>
      </c>
      <c r="L530" s="110" t="str">
        <f>IF($Q532&lt;&gt;"",IF(AND($L532&lt;&gt;"",$L534&lt;&gt;""), IF(AND(AND($L532&gt;-1,$L534&gt;-1),OR($L532&gt;10,$L534&gt;10),ABS($L532-$L534)&gt;1,IF(OR($L532&gt;11,$L534&gt;11),ABS($L532-$L534)=2,TRUE),$L532=INT($L532),$L534=INT($L534)),"","Error"),""),"")</f>
        <v/>
      </c>
      <c r="Q530" s="6"/>
      <c r="R530" s="259" t="str">
        <f>$B519</f>
        <v>D</v>
      </c>
      <c r="S530" s="307" t="str">
        <f ca="1">IF($B532&lt;&gt;"",$B532,"")</f>
        <v/>
      </c>
      <c r="T530" s="308"/>
      <c r="U530" s="308"/>
      <c r="V530" s="308"/>
      <c r="W530" s="308"/>
      <c r="X530" s="309"/>
      <c r="Y530" s="284"/>
      <c r="Z530" s="284"/>
      <c r="AA530" s="284"/>
      <c r="AB530" s="284"/>
      <c r="AC530" s="284"/>
      <c r="AD530" s="296"/>
      <c r="AE530" s="290"/>
      <c r="AF530" s="291"/>
    </row>
    <row r="531" spans="1:32" ht="12.75" customHeight="1" x14ac:dyDescent="0.25">
      <c r="A531" s="5" t="s">
        <v>160</v>
      </c>
      <c r="B531" s="256" t="s">
        <v>58</v>
      </c>
      <c r="C531" s="257"/>
      <c r="D531" s="257"/>
      <c r="E531" s="257"/>
      <c r="F531" s="257"/>
      <c r="G531" s="258"/>
      <c r="H531" s="5">
        <v>1</v>
      </c>
      <c r="I531" s="5">
        <v>2</v>
      </c>
      <c r="J531" s="5">
        <v>3</v>
      </c>
      <c r="K531" s="5">
        <v>4</v>
      </c>
      <c r="L531" s="5">
        <v>5</v>
      </c>
      <c r="M531" s="270"/>
      <c r="N531" s="271"/>
      <c r="O531" s="271"/>
      <c r="P531" s="272"/>
      <c r="Q531" s="6"/>
      <c r="R531" s="285"/>
      <c r="S531" s="310"/>
      <c r="T531" s="311"/>
      <c r="U531" s="311"/>
      <c r="V531" s="311"/>
      <c r="W531" s="311"/>
      <c r="X531" s="312"/>
      <c r="Y531" s="285"/>
      <c r="Z531" s="285"/>
      <c r="AA531" s="285"/>
      <c r="AB531" s="285"/>
      <c r="AC531" s="285"/>
      <c r="AD531" s="292"/>
      <c r="AE531" s="293"/>
      <c r="AF531" s="294"/>
    </row>
    <row r="532" spans="1:32" ht="12.75" customHeight="1" x14ac:dyDescent="0.25">
      <c r="A532" s="259" t="str">
        <f>B519</f>
        <v>D</v>
      </c>
      <c r="B532" s="236" t="str">
        <f ca="1">IF(AND(OFFSET($AO$1,$C519-1,8,1,1),$A520&lt;&gt;"",$J520&lt;&gt;""),CHOOSE($C519,$AP$1,$AP$2,$AP$3,$AP$4,$AP$5,$AP$6,$AP$7,$AP$8,$AP$9,$AP$10,$AP$11,$AP$12),"")</f>
        <v/>
      </c>
      <c r="C532" s="237"/>
      <c r="D532" s="237"/>
      <c r="E532" s="237"/>
      <c r="F532" s="237"/>
      <c r="G532" s="237"/>
      <c r="H532" s="233"/>
      <c r="I532" s="233"/>
      <c r="J532" s="233"/>
      <c r="K532" s="233"/>
      <c r="L532" s="233"/>
      <c r="M532" s="245" t="str">
        <f ca="1">IF(OR(AND($B525&lt;&gt;"",$B532&lt;&gt;"",$C550&lt;=$B550),AND($B527&lt;&gt;"",$B534&lt;&gt;"",$G550&lt;=$F550)),"Invalid Lineup","")</f>
        <v/>
      </c>
      <c r="N532" s="246"/>
      <c r="O532" s="246"/>
      <c r="P532" s="247"/>
      <c r="Q532" s="40" t="str">
        <f>IF($L532=$L534,IF($K532=$K534,IF($J532&lt;&gt;"",IF($J532&gt;$J534,"W","L"),""),IF($K532&gt;$K534,"W","L")),IF($L532&gt;$L534,"W","L"))</f>
        <v/>
      </c>
      <c r="R532" s="259" t="str">
        <f>$K519</f>
        <v>G</v>
      </c>
      <c r="S532" s="307" t="str">
        <f ca="1">IF($B534&lt;&gt;"",$B534,"")</f>
        <v/>
      </c>
      <c r="T532" s="308"/>
      <c r="U532" s="308"/>
      <c r="V532" s="308"/>
      <c r="W532" s="308"/>
      <c r="X532" s="309"/>
      <c r="Y532" s="284"/>
      <c r="Z532" s="284"/>
      <c r="AA532" s="284"/>
      <c r="AB532" s="284"/>
      <c r="AC532" s="297"/>
      <c r="AD532" s="289" t="s">
        <v>169</v>
      </c>
      <c r="AE532" s="290"/>
      <c r="AF532" s="291"/>
    </row>
    <row r="533" spans="1:32" ht="12.75" customHeight="1" x14ac:dyDescent="0.25">
      <c r="A533" s="260"/>
      <c r="B533" s="238"/>
      <c r="C533" s="239"/>
      <c r="D533" s="239"/>
      <c r="E533" s="239"/>
      <c r="F533" s="239"/>
      <c r="G533" s="239"/>
      <c r="H533" s="234"/>
      <c r="I533" s="234"/>
      <c r="J533" s="234"/>
      <c r="K533" s="234"/>
      <c r="L533" s="234"/>
      <c r="M533" s="245"/>
      <c r="N533" s="246"/>
      <c r="O533" s="246"/>
      <c r="P533" s="247"/>
      <c r="Q533" s="110" t="str">
        <f>IF($Q532&lt;&gt;"",IF($Q532="W",IF(SUM(IF($H532&gt;$H534,1,0),IF($I532&gt;$I534,1,0),IF($J532&gt;$J534,1,0),IF($K532&gt;$K534,1,0),IF($L532&gt;$L534,1,0))&lt;&gt;3,"Error",""),""),"")</f>
        <v/>
      </c>
      <c r="R533" s="285"/>
      <c r="S533" s="310"/>
      <c r="T533" s="311"/>
      <c r="U533" s="311"/>
      <c r="V533" s="311"/>
      <c r="W533" s="311"/>
      <c r="X533" s="312"/>
      <c r="Y533" s="285"/>
      <c r="Z533" s="285"/>
      <c r="AA533" s="285"/>
      <c r="AB533" s="285"/>
      <c r="AC533" s="285"/>
      <c r="AD533" s="292"/>
      <c r="AE533" s="293"/>
      <c r="AF533" s="294"/>
    </row>
    <row r="534" spans="1:32" ht="12.75" customHeight="1" x14ac:dyDescent="0.25">
      <c r="A534" s="259" t="str">
        <f>K519</f>
        <v>G</v>
      </c>
      <c r="B534" s="236" t="str">
        <f ca="1">IF(AND(OFFSET($AO$1,$L519-1,8,1,1),$A520&lt;&gt;"",$J520&lt;&gt;""),CHOOSE($L519,$AP$1,$AP$2,$AP$3,$AP$4,$AP$5,$AP$6,$AP$7,$AP$8,$AP$9,$AP$10,$AP$11,$AP$12),"")</f>
        <v/>
      </c>
      <c r="C534" s="237"/>
      <c r="D534" s="237"/>
      <c r="E534" s="237"/>
      <c r="F534" s="237"/>
      <c r="G534" s="237"/>
      <c r="H534" s="233"/>
      <c r="I534" s="233"/>
      <c r="J534" s="233"/>
      <c r="K534" s="233"/>
      <c r="L534" s="233"/>
      <c r="M534" s="250" t="s">
        <v>169</v>
      </c>
      <c r="N534" s="251"/>
      <c r="O534" s="251"/>
      <c r="P534" s="252"/>
      <c r="Q534" s="40" t="str">
        <f>IF($Q532&lt;&gt;"",IF($Q532="W","L","W"),"")</f>
        <v/>
      </c>
      <c r="R534" s="14"/>
      <c r="S534" s="14"/>
      <c r="T534" s="14"/>
      <c r="U534" s="14"/>
      <c r="V534" s="14"/>
      <c r="W534" s="14"/>
      <c r="X534" s="7"/>
      <c r="Y534" s="7"/>
      <c r="Z534" s="14"/>
      <c r="AA534" s="14"/>
      <c r="AB534" s="14"/>
      <c r="AC534" s="14"/>
      <c r="AD534" s="14"/>
      <c r="AE534" s="14"/>
      <c r="AF534"/>
    </row>
    <row r="535" spans="1:32" ht="12.75" customHeight="1" x14ac:dyDescent="0.25">
      <c r="A535" s="260"/>
      <c r="B535" s="238"/>
      <c r="C535" s="239"/>
      <c r="D535" s="239"/>
      <c r="E535" s="239"/>
      <c r="F535" s="239"/>
      <c r="G535" s="239"/>
      <c r="H535" s="234"/>
      <c r="I535" s="234"/>
      <c r="J535" s="235"/>
      <c r="K535" s="235"/>
      <c r="L535" s="235"/>
      <c r="M535" s="250"/>
      <c r="N535" s="251"/>
      <c r="O535" s="251"/>
      <c r="P535" s="252"/>
      <c r="Q535" s="110" t="str">
        <f>IF($Q534&lt;&gt;"",IF($Q534="W",IF(SUM(IF($H534&gt;$H532,1,0),IF($I534&gt;$I532,1,0),IF($J534&gt;$J532,1,0),IF($K534&gt;$K532,1,0),IF($L534&gt;$L532,1,0))&lt;&gt;3,"Error",""),""),"")</f>
        <v/>
      </c>
      <c r="R535" s="14"/>
      <c r="S535" s="14"/>
      <c r="T535" s="14"/>
      <c r="U535" s="14"/>
      <c r="V535" s="14"/>
      <c r="W535" s="14"/>
      <c r="X535" s="7"/>
      <c r="Y535" s="7"/>
      <c r="Z535" s="14"/>
      <c r="AA535" s="14"/>
      <c r="AB535" s="14"/>
      <c r="AC535" s="14"/>
      <c r="AD535" s="14"/>
      <c r="AE535" s="14"/>
      <c r="AF535"/>
    </row>
    <row r="536" spans="1:32" ht="12.75" customHeight="1" x14ac:dyDescent="0.25">
      <c r="Q536" s="6"/>
      <c r="R536" s="14"/>
      <c r="S536" s="14"/>
      <c r="T536" s="14"/>
      <c r="U536" s="14"/>
      <c r="V536" s="14"/>
      <c r="W536" s="14"/>
      <c r="X536" s="7"/>
      <c r="Y536" s="7"/>
      <c r="Z536" s="14"/>
      <c r="AA536" s="14"/>
      <c r="AB536" s="14"/>
      <c r="AC536" s="14"/>
      <c r="AD536" s="14"/>
      <c r="AE536" s="14"/>
      <c r="AF536"/>
    </row>
    <row r="537" spans="1:32" ht="12.75" customHeight="1" x14ac:dyDescent="0.25">
      <c r="A537" s="15" t="s">
        <v>167</v>
      </c>
      <c r="H537" s="110" t="str">
        <f>IF($Q539&lt;&gt;"",IF(AND(AND($H539&gt;-1,$H541&gt;-1),OR($H539&gt;10,$H541&gt;10),ABS($H539-$H541)&gt;1,IF(OR($H539&gt;11,$H541&gt;11),ABS($H539-$H541)=2,TRUE),$H539=INT($H539),$H541=INT($H541)),"","Error"),"")</f>
        <v/>
      </c>
      <c r="I537" s="110" t="str">
        <f>IF($Q539&lt;&gt;"",IF(AND(AND($I539&gt;-1,$I541&gt;-1),OR($I539&gt;10,$I541&gt;10),ABS($I539-$I541)&gt;1,IF(OR($I539&gt;11,$I541&gt;11),ABS($I539-$I541)=2,TRUE),$I539=INT($I539),$I541=INT($I541)),"","Error"),"")</f>
        <v/>
      </c>
      <c r="J537" s="110" t="str">
        <f>IF($Q539&lt;&gt;"",IF(AND(AND($J539&gt;-1,$J541&gt;-1),OR($J539&gt;10,$J541&gt;10),ABS($J539-$J541)&gt;1,IF(OR($J539&gt;11,$J541&gt;11),ABS($J539-$J541)=2,TRUE),$J539=INT($J539),$J541=INT($J541)),"","Error"),"")</f>
        <v/>
      </c>
      <c r="K537" s="110" t="str">
        <f>IF($Q539&lt;&gt;"",IF(AND($K539&lt;&gt;"",$K541&lt;&gt;""), IF(AND(AND($K539&gt;-1,$K541&gt;-1),OR($K539&gt;10,$K541&gt;10),ABS($K539-$K541)&gt;1,IF(OR($K539&gt;11,$K541&gt;11),ABS($K539-$K541)=2,TRUE),$K539=INT($K539),$K541=INT($K541)),"","Error"),""),"")</f>
        <v/>
      </c>
      <c r="L537" s="110" t="str">
        <f>IF($Q539&lt;&gt;"",IF(AND($L539&lt;&gt;"",$L541&lt;&gt;""), IF(AND(AND($L539&gt;-1,$L541&gt;-1),OR($L539&gt;10,$L541&gt;10),ABS($L539-$L541)&gt;1,IF(OR($L539&gt;11,$L541&gt;11),ABS($L539-$L541)=2,TRUE),$L539=INT($L539),$L541=INT($L541)),"","Error"),""),"")</f>
        <v/>
      </c>
      <c r="Q537" s="6"/>
      <c r="R537" s="14"/>
      <c r="S537" s="14"/>
      <c r="T537" s="14"/>
      <c r="U537" s="14"/>
      <c r="V537" s="14"/>
      <c r="W537" s="14"/>
      <c r="X537" s="7"/>
      <c r="Y537" s="7"/>
      <c r="Z537" s="14"/>
      <c r="AA537" s="14"/>
      <c r="AB537" s="14"/>
      <c r="AC537" s="14"/>
      <c r="AD537" s="14"/>
      <c r="AE537" s="14"/>
      <c r="AF537"/>
    </row>
    <row r="538" spans="1:32" ht="12.75" customHeight="1" x14ac:dyDescent="0.25">
      <c r="A538" s="5" t="s">
        <v>160</v>
      </c>
      <c r="B538" s="256" t="s">
        <v>58</v>
      </c>
      <c r="C538" s="257"/>
      <c r="D538" s="257"/>
      <c r="E538" s="257"/>
      <c r="F538" s="257"/>
      <c r="G538" s="258"/>
      <c r="H538" s="5">
        <v>1</v>
      </c>
      <c r="I538" s="5">
        <v>2</v>
      </c>
      <c r="J538" s="5">
        <v>3</v>
      </c>
      <c r="K538" s="5">
        <v>4</v>
      </c>
      <c r="L538" s="5">
        <v>5</v>
      </c>
      <c r="M538" s="270"/>
      <c r="N538" s="271"/>
      <c r="O538" s="271"/>
      <c r="P538" s="272"/>
      <c r="Q538" s="6"/>
      <c r="R538" s="14"/>
      <c r="S538" s="14"/>
      <c r="T538" s="14"/>
      <c r="U538" s="14"/>
      <c r="V538" s="14"/>
      <c r="W538" s="14"/>
      <c r="X538" s="7"/>
      <c r="Y538" s="7"/>
      <c r="Z538" s="14"/>
      <c r="AA538" s="14"/>
      <c r="AB538" s="14"/>
      <c r="AC538" s="14"/>
      <c r="AD538" s="14"/>
      <c r="AE538" s="14"/>
      <c r="AF538"/>
    </row>
    <row r="539" spans="1:32" ht="12.75" customHeight="1" x14ac:dyDescent="0.25">
      <c r="A539" s="259" t="str">
        <f>B519</f>
        <v>D</v>
      </c>
      <c r="B539" s="236" t="str">
        <f ca="1">IF(AND(OFFSET($AO$1,$C519-1,8,1,1),$A520&lt;&gt;"",$J520&lt;&gt;""),CHOOSE($C519,$AQ$1,$AQ$2,$AQ$3,$AQ$4,$AQ$5,$AQ$6,$AQ$7,$AQ$8,$AQ$9,$AQ$10,$AQ$11,$AQ$12),"")</f>
        <v/>
      </c>
      <c r="C539" s="237"/>
      <c r="D539" s="237"/>
      <c r="E539" s="237"/>
      <c r="F539" s="237"/>
      <c r="G539" s="237"/>
      <c r="H539" s="233"/>
      <c r="I539" s="233"/>
      <c r="J539" s="233"/>
      <c r="K539" s="233"/>
      <c r="L539" s="233"/>
      <c r="M539" s="245" t="str">
        <f ca="1">IF(OR(AND($B532&lt;&gt;"",$B539&lt;&gt;"",$D550&lt;=$C550),AND($B534&lt;&gt;"",$B541&lt;&gt;"",$H550&lt;=$G550)),"Invalid Lineup","")</f>
        <v/>
      </c>
      <c r="N539" s="246"/>
      <c r="O539" s="246"/>
      <c r="P539" s="247"/>
      <c r="Q539" s="40" t="str">
        <f>IF($L539=$L541,IF($K539=$K541,IF($J539&lt;&gt;"",IF($J539&gt;$J541,"W","L"),""),IF($K539&gt;$K541,"W","L")),IF($L539&gt;$L541,"W","L"))</f>
        <v/>
      </c>
      <c r="R539" s="14"/>
      <c r="S539" s="14"/>
      <c r="T539" s="14"/>
      <c r="U539" s="14"/>
      <c r="V539" s="14"/>
      <c r="W539" s="14"/>
      <c r="X539" s="7"/>
      <c r="Y539" s="7"/>
      <c r="Z539" s="14"/>
      <c r="AA539" s="14"/>
      <c r="AB539" s="14"/>
      <c r="AC539" s="14"/>
      <c r="AD539" s="14"/>
      <c r="AE539" s="14"/>
      <c r="AF539"/>
    </row>
    <row r="540" spans="1:32" ht="12.75" customHeight="1" x14ac:dyDescent="0.25">
      <c r="A540" s="260"/>
      <c r="B540" s="238"/>
      <c r="C540" s="239"/>
      <c r="D540" s="239"/>
      <c r="E540" s="239"/>
      <c r="F540" s="239"/>
      <c r="G540" s="239"/>
      <c r="H540" s="234"/>
      <c r="I540" s="234"/>
      <c r="J540" s="234"/>
      <c r="K540" s="234"/>
      <c r="L540" s="234"/>
      <c r="M540" s="245"/>
      <c r="N540" s="246"/>
      <c r="O540" s="246"/>
      <c r="P540" s="247"/>
      <c r="Q540" s="110" t="str">
        <f>IF($Q539&lt;&gt;"",IF($Q539="W",IF(SUM(IF($H539&gt;$H541,1,0),IF($I539&gt;$I541,1,0),IF($J539&gt;$J541,1,0),IF($K539&gt;$K541,1,0),IF($L539&gt;$L541,1,0))&lt;&gt;3,"Error",""),""),"")</f>
        <v/>
      </c>
      <c r="R540" s="295" t="str">
        <f>$A520</f>
        <v/>
      </c>
      <c r="S540" s="295"/>
      <c r="T540" s="295"/>
      <c r="U540" s="295"/>
      <c r="V540" s="295"/>
      <c r="W540" s="295"/>
      <c r="X540" s="219" t="str">
        <f>CONCATENATE("(",$B519," vs ",$K519,")")</f>
        <v>(D vs G)</v>
      </c>
      <c r="Y540" s="219"/>
      <c r="Z540" s="295" t="str">
        <f>$J520</f>
        <v/>
      </c>
      <c r="AA540" s="295"/>
      <c r="AB540" s="295"/>
      <c r="AC540" s="295"/>
      <c r="AD540" s="295"/>
      <c r="AE540" s="295"/>
      <c r="AF540"/>
    </row>
    <row r="541" spans="1:32" ht="12.75" customHeight="1" x14ac:dyDescent="0.25">
      <c r="A541" s="259" t="str">
        <f>K519</f>
        <v>G</v>
      </c>
      <c r="B541" s="236" t="str">
        <f ca="1">IF(AND(OFFSET($AO$1,$L519-1,8,1,1),$A520&lt;&gt;"",$J520&lt;&gt;""),CHOOSE($L519,$AQ$1,$AQ$2,$AQ$3,$AQ$4,$AQ$5,$AQ$6,$AQ$7,$AQ$8,$AQ$9,$AQ$10,$AQ$11,$AQ$12),"")</f>
        <v/>
      </c>
      <c r="C541" s="237"/>
      <c r="D541" s="237"/>
      <c r="E541" s="237"/>
      <c r="F541" s="237"/>
      <c r="G541" s="237"/>
      <c r="H541" s="233"/>
      <c r="I541" s="233"/>
      <c r="J541" s="233"/>
      <c r="K541" s="233"/>
      <c r="L541" s="233"/>
      <c r="M541" s="250" t="s">
        <v>169</v>
      </c>
      <c r="N541" s="251"/>
      <c r="O541" s="251"/>
      <c r="P541" s="252"/>
      <c r="Q541" s="40" t="str">
        <f>IF($Q539&lt;&gt;"",IF($Q539="W","L","W"),"")</f>
        <v/>
      </c>
      <c r="R541"/>
      <c r="S541"/>
      <c r="T541"/>
      <c r="U541"/>
      <c r="V541"/>
      <c r="W541"/>
      <c r="X541"/>
      <c r="Y541"/>
      <c r="Z541"/>
      <c r="AA541"/>
      <c r="AB541"/>
      <c r="AC541"/>
      <c r="AD541"/>
      <c r="AE541"/>
      <c r="AF541"/>
    </row>
    <row r="542" spans="1:32" ht="12.75" customHeight="1" x14ac:dyDescent="0.25">
      <c r="A542" s="260"/>
      <c r="B542" s="238"/>
      <c r="C542" s="239"/>
      <c r="D542" s="239"/>
      <c r="E542" s="239"/>
      <c r="F542" s="239"/>
      <c r="G542" s="239"/>
      <c r="H542" s="234"/>
      <c r="I542" s="234"/>
      <c r="J542" s="235"/>
      <c r="K542" s="235"/>
      <c r="L542" s="235"/>
      <c r="M542" s="250"/>
      <c r="N542" s="251"/>
      <c r="O542" s="251"/>
      <c r="P542" s="252"/>
      <c r="Q542" s="110" t="str">
        <f>IF($Q541&lt;&gt;"",IF($Q541="W",IF(SUM(IF($H541&gt;$H539,1,0),IF($I541&gt;$I539,1,0),IF($J541&gt;$J539,1,0),IF($K541&gt;$K539,1,0),IF($L541&gt;$L539,1,0))&lt;&gt;3,"Error",""),""),"")</f>
        <v/>
      </c>
      <c r="R542" t="str">
        <f>$A537</f>
        <v>3rd Singles</v>
      </c>
      <c r="S542"/>
      <c r="T542"/>
      <c r="U542"/>
      <c r="V542"/>
      <c r="W542"/>
      <c r="X542"/>
      <c r="Y542"/>
      <c r="Z542"/>
      <c r="AA542"/>
      <c r="AB542"/>
      <c r="AC542"/>
      <c r="AD542"/>
      <c r="AE542"/>
      <c r="AF542"/>
    </row>
    <row r="543" spans="1:32" ht="12.75" customHeight="1" x14ac:dyDescent="0.25">
      <c r="Q543" s="6"/>
      <c r="R543" s="47" t="s">
        <v>160</v>
      </c>
      <c r="S543" s="86" t="s">
        <v>58</v>
      </c>
      <c r="T543" s="87"/>
      <c r="U543" s="87"/>
      <c r="V543" s="87"/>
      <c r="W543" s="87"/>
      <c r="X543" s="88"/>
      <c r="Y543" s="47">
        <v>1</v>
      </c>
      <c r="Z543" s="47">
        <v>2</v>
      </c>
      <c r="AA543" s="47">
        <v>3</v>
      </c>
      <c r="AB543" s="47">
        <v>4</v>
      </c>
      <c r="AC543" s="47">
        <v>5</v>
      </c>
      <c r="AD543" s="89"/>
      <c r="AE543" s="90"/>
      <c r="AF543" s="91"/>
    </row>
    <row r="544" spans="1:32" ht="12.75" customHeight="1" x14ac:dyDescent="0.25">
      <c r="A544" s="15" t="s">
        <v>168</v>
      </c>
      <c r="H544" s="110" t="str">
        <f ca="1">IF($Q546&lt;&gt;"",IF(AND($B546&lt;&gt;"Missing Player",$B548&lt;&gt;"Missing Player"),IF(AND(AND($H546&gt;-1,$H548&gt;-1),OR($H546&gt;10,$H548&gt;10),ABS($H546-$H548)&gt;1,IF(OR($H546&gt;11,$H548&gt;11),ABS($H546-$H548)=2,TRUE),$H546=INT($H546),$H548=INT($H548)),"","Error"),""),"")</f>
        <v/>
      </c>
      <c r="I544" s="110" t="str">
        <f ca="1">IF($Q546&lt;&gt;"",IF(AND($B546&lt;&gt;"Missing Player",$B548&lt;&gt;"Missing Player"),IF(AND(AND($I546&gt;-1,$I548&gt;-1),OR($I546&gt;10,$I548&gt;10),ABS($I546-$I548)&gt;1,IF(OR($I546&gt;11,$I548&gt;11),ABS($I546-$I548)=2,TRUE),$I546=INT($I546),$I548=INT($I548)),"","Error"),""),"")</f>
        <v/>
      </c>
      <c r="J544" s="110" t="str">
        <f ca="1">IF($Q546&lt;&gt;"",IF(AND($B546&lt;&gt;"Missing Player",$B548&lt;&gt;"Missing Player"),IF(AND(AND($J546&gt;-1,$J548&gt;-1),OR($J546&gt;10,$J548&gt;10),ABS($J546-$J548)&gt;1,IF(OR($J546&gt;11,$J548&gt;11),ABS($J546-$J548)=2,TRUE),$J546=INT($J546),$J548=INT($J548)),"","Error"),""),"")</f>
        <v/>
      </c>
      <c r="K544" s="110" t="str">
        <f ca="1">IF($Q546&lt;&gt;"",IF(AND($K546&lt;&gt;"",$K548&lt;&gt;""), IF(AND(AND($K546&gt;-1,$K548&gt;-1),OR($K546&gt;10,$K548&gt;10),ABS($K546-$K548)&gt;1,IF(OR($K546&gt;11,$K548&gt;11),ABS($K546-$K548)=2,TRUE),$K546=INT($K546),$K548=INT($K548)),"","Error"),""),"")</f>
        <v/>
      </c>
      <c r="L544" s="110" t="str">
        <f ca="1">IF($Q546&lt;&gt;"",IF(AND($L546&lt;&gt;"",$L548&lt;&gt;""), IF(AND(AND($L546&gt;-1,$L548&gt;-1),OR($L546&gt;10,$L548&gt;10),ABS($L546-$L548)&gt;1,IF(OR($L546&gt;11,$L548&gt;11),ABS($L546-$L548)=2,TRUE),$L546=INT($L546),$L548=INT($L548)),"","Error"),""),"")</f>
        <v/>
      </c>
      <c r="Q544" s="6"/>
      <c r="R544" s="259" t="str">
        <f>$B519</f>
        <v>D</v>
      </c>
      <c r="S544" s="307" t="str">
        <f ca="1">IF($B539&lt;&gt;"",$B539,"")</f>
        <v/>
      </c>
      <c r="T544" s="308"/>
      <c r="U544" s="308"/>
      <c r="V544" s="308"/>
      <c r="W544" s="308"/>
      <c r="X544" s="309"/>
      <c r="Y544" s="284"/>
      <c r="Z544" s="284"/>
      <c r="AA544" s="284"/>
      <c r="AB544" s="284"/>
      <c r="AC544" s="284"/>
      <c r="AD544" s="296"/>
      <c r="AE544" s="290"/>
      <c r="AF544" s="291"/>
    </row>
    <row r="545" spans="1:32" ht="12.75" customHeight="1" x14ac:dyDescent="0.25">
      <c r="A545" s="5" t="s">
        <v>160</v>
      </c>
      <c r="B545" s="256" t="s">
        <v>58</v>
      </c>
      <c r="C545" s="257"/>
      <c r="D545" s="257"/>
      <c r="E545" s="257"/>
      <c r="F545" s="257"/>
      <c r="G545" s="258"/>
      <c r="H545" s="5">
        <v>1</v>
      </c>
      <c r="I545" s="5">
        <v>2</v>
      </c>
      <c r="J545" s="5">
        <v>3</v>
      </c>
      <c r="K545" s="5">
        <v>4</v>
      </c>
      <c r="L545" s="5">
        <v>5</v>
      </c>
      <c r="M545" s="270"/>
      <c r="N545" s="271"/>
      <c r="O545" s="271"/>
      <c r="P545" s="272"/>
      <c r="Q545" s="6"/>
      <c r="R545" s="285"/>
      <c r="S545" s="310"/>
      <c r="T545" s="311"/>
      <c r="U545" s="311"/>
      <c r="V545" s="311"/>
      <c r="W545" s="311"/>
      <c r="X545" s="312"/>
      <c r="Y545" s="285"/>
      <c r="Z545" s="285"/>
      <c r="AA545" s="285"/>
      <c r="AB545" s="285"/>
      <c r="AC545" s="285"/>
      <c r="AD545" s="292"/>
      <c r="AE545" s="293"/>
      <c r="AF545" s="294"/>
    </row>
    <row r="546" spans="1:32" ht="12.75" customHeight="1" x14ac:dyDescent="0.25">
      <c r="A546" s="259" t="str">
        <f>B519</f>
        <v>D</v>
      </c>
      <c r="B546" s="236" t="str">
        <f ca="1">IF(AND(OFFSET($AO$1,$C519-1,8,1,1),$A520&lt;&gt;"",$J520&lt;&gt;""),CHOOSE($C519,$AR$1,$AR$2,$AR$3,$AR$4,$AR$5,$AR$6,$AR$7,$AR$8,$AR$9,$AR$10,$AR$11,$AR$12),"")</f>
        <v/>
      </c>
      <c r="C546" s="237"/>
      <c r="D546" s="237"/>
      <c r="E546" s="237"/>
      <c r="F546" s="237"/>
      <c r="G546" s="237"/>
      <c r="H546" s="233"/>
      <c r="I546" s="233"/>
      <c r="J546" s="233"/>
      <c r="K546" s="233"/>
      <c r="L546" s="233" t="str">
        <f ca="1">IF(AND($B546&lt;&gt;"",$Q525&lt;&gt;""),IF($B546="Missing Player",0,IF($B548="Missing Player",11,"")),"")</f>
        <v/>
      </c>
      <c r="M546" s="245" t="str">
        <f ca="1">IF(OR(AND($B539&lt;&gt;"",$B546&lt;&gt;"",$E550&lt;=$D550),AND($B541&lt;&gt;"",$B548&lt;&gt;"",$I550&lt;=$H550)),"Invalid Lineup","")</f>
        <v/>
      </c>
      <c r="N546" s="246"/>
      <c r="O546" s="246"/>
      <c r="P546" s="247"/>
      <c r="Q546" s="40" t="str">
        <f ca="1">IF($L546=$L548,IF($K546=$K548,IF($J546&lt;&gt;"",IF($J546&gt;$J548,"W","L"),""),IF($K546&gt;$K548,"W","L")),IF($L546&gt;$L548,"W","L"))</f>
        <v/>
      </c>
      <c r="R546" s="259" t="str">
        <f>$K519</f>
        <v>G</v>
      </c>
      <c r="S546" s="307" t="str">
        <f ca="1">IF($B541&lt;&gt;"",$B541,"")</f>
        <v/>
      </c>
      <c r="T546" s="308"/>
      <c r="U546" s="308"/>
      <c r="V546" s="308"/>
      <c r="W546" s="308"/>
      <c r="X546" s="309"/>
      <c r="Y546" s="284"/>
      <c r="Z546" s="284"/>
      <c r="AA546" s="284"/>
      <c r="AB546" s="284"/>
      <c r="AC546" s="297"/>
      <c r="AD546" s="289" t="s">
        <v>169</v>
      </c>
      <c r="AE546" s="290"/>
      <c r="AF546" s="291"/>
    </row>
    <row r="547" spans="1:32" ht="12.75" customHeight="1" x14ac:dyDescent="0.25">
      <c r="A547" s="260"/>
      <c r="B547" s="238"/>
      <c r="C547" s="239"/>
      <c r="D547" s="239"/>
      <c r="E547" s="239"/>
      <c r="F547" s="239"/>
      <c r="G547" s="239"/>
      <c r="H547" s="234"/>
      <c r="I547" s="234"/>
      <c r="J547" s="234"/>
      <c r="K547" s="234"/>
      <c r="L547" s="234"/>
      <c r="M547" s="245"/>
      <c r="N547" s="246"/>
      <c r="O547" s="246"/>
      <c r="P547" s="247"/>
      <c r="Q547" s="110" t="str">
        <f ca="1">IF($Q546&lt;&gt;"",IF($B548&lt;&gt;"Missing Player",IF($Q546="W",IF(SUM(IF($H546&gt;$H548,1,0),IF($I546&gt;$I548,1,0),IF($J546&gt;$J548,1,0),IF($K546&gt;$K548,1,0),IF($L546&gt;$L548,1,0))&lt;&gt;3,"Error",""),""),""),"")</f>
        <v/>
      </c>
      <c r="R547" s="285"/>
      <c r="S547" s="310"/>
      <c r="T547" s="311"/>
      <c r="U547" s="311"/>
      <c r="V547" s="311"/>
      <c r="W547" s="311"/>
      <c r="X547" s="312"/>
      <c r="Y547" s="285"/>
      <c r="Z547" s="285"/>
      <c r="AA547" s="285"/>
      <c r="AB547" s="285"/>
      <c r="AC547" s="285"/>
      <c r="AD547" s="292"/>
      <c r="AE547" s="293"/>
      <c r="AF547" s="294"/>
    </row>
    <row r="548" spans="1:32" ht="12.75" customHeight="1" x14ac:dyDescent="0.25">
      <c r="A548" s="259" t="str">
        <f>K519</f>
        <v>G</v>
      </c>
      <c r="B548" s="236" t="str">
        <f ca="1">IF(AND(OFFSET($AO$1,$L519-1,8,1,1),$A520&lt;&gt;"",$J520&lt;&gt;""),CHOOSE($L519,$AR$1,$AR$2,$AR$3,$AR$4,$AR$5,$AR$6,$AR$7,$AR$8,$AR$9,$AR$10,$AR$11,$AR$12),"")</f>
        <v/>
      </c>
      <c r="C548" s="237"/>
      <c r="D548" s="237"/>
      <c r="E548" s="237"/>
      <c r="F548" s="237"/>
      <c r="G548" s="237"/>
      <c r="H548" s="233"/>
      <c r="I548" s="233"/>
      <c r="J548" s="233"/>
      <c r="K548" s="233"/>
      <c r="L548" s="233" t="str">
        <f ca="1">IF(AND($B548&lt;&gt;"",$Q525&lt;&gt;""),IF($B548="Missing Player",0,IF($B546="Missing Player",11,"")),"")</f>
        <v/>
      </c>
      <c r="M548" s="250" t="s">
        <v>169</v>
      </c>
      <c r="N548" s="251"/>
      <c r="O548" s="251"/>
      <c r="P548" s="252"/>
      <c r="Q548" s="40" t="str">
        <f ca="1">IF($Q546&lt;&gt;"",IF($Q546="W","L","W"),"")</f>
        <v/>
      </c>
      <c r="R548" s="94"/>
      <c r="S548" s="84"/>
      <c r="T548" s="84"/>
      <c r="U548" s="84"/>
      <c r="V548" s="84"/>
      <c r="W548" s="84"/>
      <c r="X548" s="84"/>
      <c r="Y548" s="93"/>
      <c r="Z548" s="93"/>
      <c r="AA548" s="93"/>
      <c r="AB548" s="93"/>
      <c r="AC548" s="93"/>
      <c r="AD548" s="92"/>
      <c r="AE548" s="93"/>
      <c r="AF548" s="93"/>
    </row>
    <row r="549" spans="1:32" ht="12.75" customHeight="1" x14ac:dyDescent="0.25">
      <c r="A549" s="260"/>
      <c r="B549" s="238"/>
      <c r="C549" s="239"/>
      <c r="D549" s="239"/>
      <c r="E549" s="239"/>
      <c r="F549" s="239"/>
      <c r="G549" s="239"/>
      <c r="H549" s="234"/>
      <c r="I549" s="234"/>
      <c r="J549" s="235"/>
      <c r="K549" s="235"/>
      <c r="L549" s="235"/>
      <c r="M549" s="250"/>
      <c r="N549" s="251"/>
      <c r="O549" s="251"/>
      <c r="P549" s="252"/>
      <c r="Q549" s="110" t="str">
        <f ca="1">IF($Q548&lt;&gt;"",IF($B546&lt;&gt;"Missing Player",IF($Q548="W",IF(SUM(IF($H548&gt;$H546,1,0),IF($I548&gt;$I546,1,0),IF($J548&gt;$J546,1,0),IF($K548&gt;$K546,1,0),IF($L548&gt;$L546,1,0))&lt;&gt;3,"Error",""),""),""),"")</f>
        <v/>
      </c>
      <c r="R549" s="85"/>
      <c r="S549" s="95"/>
      <c r="T549" s="95"/>
      <c r="U549" s="95"/>
      <c r="V549" s="95"/>
      <c r="W549" s="95"/>
      <c r="X549" s="95"/>
      <c r="Y549" s="85"/>
      <c r="Z549" s="85"/>
      <c r="AA549" s="85"/>
      <c r="AB549" s="85"/>
      <c r="AC549" s="85"/>
      <c r="AD549" s="85"/>
      <c r="AE549" s="85"/>
      <c r="AF549" s="85"/>
    </row>
    <row r="550" spans="1:32" ht="12.75" customHeight="1" x14ac:dyDescent="0.25">
      <c r="B550" s="111" t="str">
        <f ca="1">IF(ISERROR(VLOOKUP($B525&amp;"("&amp;$B519&amp;")",Players!$S$4:$T$132,2,FALSE)),"",VLOOKUP($B525&amp;"("&amp;$B519&amp;")",Players!$S$4:$T$132,2,FALSE))</f>
        <v>D1</v>
      </c>
      <c r="C550" s="111" t="str">
        <f ca="1">IF(ISERROR(VLOOKUP($B532&amp;"("&amp;$B519&amp;")",Players!$S$4:$T$132,2,FALSE)),"",VLOOKUP($B532&amp;"("&amp;$B519&amp;")",Players!$S$4:$T$132,2,FALSE))</f>
        <v>D1</v>
      </c>
      <c r="D550" s="111" t="str">
        <f ca="1">IF(ISERROR(VLOOKUP($B539&amp;"("&amp;$B519&amp;")",Players!$S$4:$T$132,2,FALSE)),"",VLOOKUP($B539&amp;"("&amp;$B519&amp;")",Players!$S$4:$T$132,2,FALSE))</f>
        <v>D1</v>
      </c>
      <c r="E550" s="111" t="str">
        <f ca="1">IF(ISERROR(VLOOKUP($B546&amp;"("&amp;$B519&amp;")",Players!$S$4:$T$132,2,FALSE)),"",VLOOKUP($B546&amp;"("&amp;$B519&amp;")",Players!$S$4:$T$132,2,FALSE))</f>
        <v>D1</v>
      </c>
      <c r="F550" s="111" t="str">
        <f ca="1">IF(ISERROR(VLOOKUP($B527&amp;"("&amp;$K519&amp;")",Players!$S$4:$T$132,2,FALSE)),"",VLOOKUP($B527&amp;"("&amp;$K519&amp;")",Players!$S$4:$T$132,2,FALSE))</f>
        <v>G1</v>
      </c>
      <c r="G550" s="111" t="str">
        <f ca="1">IF(ISERROR(VLOOKUP($B534&amp;"("&amp;$K519&amp;")",Players!$S$4:$T$132,2,FALSE)),"",VLOOKUP($B534&amp;"("&amp;$K519&amp;")",Players!$S$4:$T$132,2,FALSE))</f>
        <v>G1</v>
      </c>
      <c r="H550" s="111" t="str">
        <f ca="1">IF(ISERROR(VLOOKUP($B541&amp;"("&amp;$K519&amp;")",Players!$S$4:$T$132,2,FALSE)),"",VLOOKUP($B541&amp;"("&amp;$K519&amp;")",Players!$S$4:$T$132,2,FALSE))</f>
        <v>G1</v>
      </c>
      <c r="I550" s="111" t="str">
        <f ca="1">IF(ISERROR(VLOOKUP($B548&amp;"("&amp;$K519&amp;")",Players!$S$4:$T$132,2,FALSE)),"",VLOOKUP($B548&amp;"("&amp;$K519&amp;")",Players!$S$4:$T$132,2,FALSE))</f>
        <v>G1</v>
      </c>
      <c r="Q550" s="6"/>
      <c r="R550" s="37"/>
      <c r="S550" s="95"/>
      <c r="T550" s="95"/>
      <c r="U550" s="95"/>
      <c r="V550" s="95"/>
      <c r="W550" s="95"/>
      <c r="X550" s="95"/>
      <c r="Y550" s="85"/>
      <c r="Z550" s="85"/>
      <c r="AA550" s="85"/>
      <c r="AB550" s="85"/>
      <c r="AC550" s="96"/>
      <c r="AD550" s="97"/>
      <c r="AE550" s="85"/>
      <c r="AF550" s="85"/>
    </row>
    <row r="551" spans="1:32" ht="12.75" customHeight="1" x14ac:dyDescent="0.25">
      <c r="A551" s="15" t="s">
        <v>157</v>
      </c>
      <c r="H551" s="110" t="str">
        <f ca="1">IF($Q553&lt;&gt;"",IF(AND($B554&lt;&gt;"Missing Player",$B556&lt;&gt;"Missing Player"),IF(AND(AND($H553&gt;-1,$H555&gt;-1),OR($H553&gt;10,$H555&gt;10),ABS($H553-$H555)&gt;1,IF(OR($H553&gt;11,$H555&gt;11),ABS($H553-$H555)=2,TRUE),$H553=INT($H553),$H555=INT($H555)),"","Error"),""),"")</f>
        <v/>
      </c>
      <c r="I551" s="110" t="str">
        <f ca="1">IF($Q553&lt;&gt;"",IF(AND($B554&lt;&gt;"Missing Player",$B556&lt;&gt;"Missing Player"),IF(AND(AND($I553&gt;-1,$I555&gt;-1),OR($I553&gt;10,$I555&gt;10),ABS($I553-$I555)&gt;1,IF(OR($I553&gt;11,$I555&gt;11),ABS($I553-$I555)=2,TRUE),$I553=INT($I553),$I555=INT($I555)),"","Error"),""),"")</f>
        <v/>
      </c>
      <c r="J551" s="110" t="str">
        <f ca="1">IF($Q553&lt;&gt;"",IF(AND($B554&lt;&gt;"Missing Player",$B556&lt;&gt;"Missing Player"),IF(AND(AND($J553&gt;-1,$J555&gt;-1),OR($J553&gt;10,$J555&gt;10),ABS($J553-$J555)&gt;1,IF(OR($J553&gt;11,$J555&gt;11),ABS($J553-$J555)=2,TRUE),$J553=INT($J553),$J555=INT($J555)),"","Error"),""),"")</f>
        <v/>
      </c>
      <c r="K551" s="110" t="str">
        <f ca="1">IF($Q553&lt;&gt;"",IF(AND($K553&lt;&gt;"",$K555&lt;&gt;""), IF(AND(AND($K553&gt;-1,$K555&gt;-1),OR($K553&gt;10,$K555&gt;10),ABS($K553-$K555)&gt;1,IF(OR($K553&gt;11,$K555&gt;11),ABS($K553-$K555)=2,TRUE),$K553=INT($K553),$K555=INT($K555)),"","Error"),""),"")</f>
        <v/>
      </c>
      <c r="L551" s="110" t="str">
        <f ca="1">IF($Q553&lt;&gt;"",IF(AND($L553&lt;&gt;"",$L555&lt;&gt;""), IF(AND(AND($L553&gt;-1,$L555&gt;-1),OR($L553&gt;10,$L555&gt;10),ABS($L553-$L555)&gt;1,IF(OR($L553&gt;11,$L555&gt;11),ABS($L553-$L555)=2,TRUE),$L553=INT($L553),$L555=INT($L555)),"","Error"),""),"")</f>
        <v/>
      </c>
      <c r="Q551" s="6"/>
      <c r="R551" s="85"/>
      <c r="S551" s="95"/>
      <c r="T551" s="95"/>
      <c r="U551" s="95"/>
      <c r="V551" s="95"/>
      <c r="W551" s="95"/>
      <c r="X551" s="95"/>
      <c r="Y551" s="85"/>
      <c r="Z551" s="85"/>
      <c r="AA551" s="85"/>
      <c r="AB551" s="85"/>
      <c r="AC551" s="85"/>
      <c r="AD551" s="85"/>
      <c r="AE551" s="85"/>
      <c r="AF551" s="85"/>
    </row>
    <row r="552" spans="1:32" ht="12.75" customHeight="1" x14ac:dyDescent="0.25">
      <c r="A552" s="5" t="s">
        <v>160</v>
      </c>
      <c r="B552" s="256" t="s">
        <v>58</v>
      </c>
      <c r="C552" s="257"/>
      <c r="D552" s="257"/>
      <c r="E552" s="257"/>
      <c r="F552" s="257"/>
      <c r="G552" s="258"/>
      <c r="H552" s="5">
        <v>1</v>
      </c>
      <c r="I552" s="5">
        <v>2</v>
      </c>
      <c r="J552" s="5">
        <v>3</v>
      </c>
      <c r="K552" s="5">
        <v>4</v>
      </c>
      <c r="L552" s="5">
        <v>5</v>
      </c>
      <c r="M552" s="270"/>
      <c r="N552" s="271"/>
      <c r="O552" s="271"/>
      <c r="P552" s="272"/>
      <c r="Q552" s="6"/>
      <c r="T552" s="7"/>
    </row>
    <row r="553" spans="1:32" ht="12.75" customHeight="1" x14ac:dyDescent="0.25">
      <c r="A553" s="259" t="str">
        <f>B519</f>
        <v>D</v>
      </c>
      <c r="B553" s="230" t="str">
        <f ca="1">IF($B525&lt;&gt;"",$B525,"")</f>
        <v/>
      </c>
      <c r="C553" s="231"/>
      <c r="D553" s="231"/>
      <c r="E553" s="231"/>
      <c r="F553" s="231"/>
      <c r="G553" s="232"/>
      <c r="H553" s="233"/>
      <c r="I553" s="233"/>
      <c r="J553" s="233"/>
      <c r="K553" s="233"/>
      <c r="L553" s="233" t="str">
        <f ca="1">IF($B546&lt;&gt;"",IF(AND($B546="Missing Player",$G557=2,$J557=2),0,IF(AND($B548="Missing Player",$G557=2,$J557=2),11,"")),"")</f>
        <v/>
      </c>
      <c r="M553" s="245" t="str">
        <f ca="1">IF(OR(AND($B553&lt;&gt;"",$B554&lt;&gt;"",$B553=$B554),AND($B555&lt;&gt;"",$B556&lt;&gt;"",$B555=$B556)),"Invalid Partner","")</f>
        <v/>
      </c>
      <c r="N553" s="246"/>
      <c r="O553" s="246"/>
      <c r="P553" s="247"/>
      <c r="Q553" s="37" t="str">
        <f ca="1">IF(L553=L555,IF(K553=K555,IF(J553&lt;&gt;"",IF(J553&gt;J555,"W","L"),""),IF(K553&gt;K555,"W","L")),IF(L553&gt;L555,"W","L"))</f>
        <v/>
      </c>
      <c r="T553" s="7"/>
    </row>
    <row r="554" spans="1:32" ht="12.75" customHeight="1" x14ac:dyDescent="0.25">
      <c r="A554" s="260"/>
      <c r="B554" s="266" t="str">
        <f ca="1">IF($B546="Missing Player",$B546,"")</f>
        <v/>
      </c>
      <c r="C554" s="267"/>
      <c r="D554" s="267"/>
      <c r="E554" s="267"/>
      <c r="F554" s="267"/>
      <c r="G554" s="268"/>
      <c r="H554" s="234"/>
      <c r="I554" s="234"/>
      <c r="J554" s="234"/>
      <c r="K554" s="234"/>
      <c r="L554" s="234"/>
      <c r="M554" s="245"/>
      <c r="N554" s="246"/>
      <c r="O554" s="246"/>
      <c r="P554" s="247"/>
      <c r="Q554" s="110" t="str">
        <f ca="1">IF($Q553&lt;&gt;"",IF($B556&lt;&gt;"Missing Player",IF($Q553="W",IF(SUM(IF($H553&gt;$H555,1,0),IF($I553&gt;$I555,1,0),IF($J553&gt;$J555,1,0),IF($K553&gt;$K555,1,0),IF($L553&gt;$L555,1,0))&lt;&gt;3,"Error",""),""),""),"")</f>
        <v/>
      </c>
      <c r="R554" s="295" t="str">
        <f>$A520</f>
        <v/>
      </c>
      <c r="S554" s="295"/>
      <c r="T554" s="295"/>
      <c r="U554" s="295"/>
      <c r="V554" s="295"/>
      <c r="W554" s="295"/>
      <c r="X554" s="219" t="str">
        <f>CONCATENATE("(",$B519," vs ",$K519,")")</f>
        <v>(D vs G)</v>
      </c>
      <c r="Y554" s="219"/>
      <c r="Z554" s="295" t="str">
        <f>$J520</f>
        <v/>
      </c>
      <c r="AA554" s="295"/>
      <c r="AB554" s="295"/>
      <c r="AC554" s="295"/>
      <c r="AD554" s="295"/>
      <c r="AE554" s="295"/>
      <c r="AF554"/>
    </row>
    <row r="555" spans="1:32" ht="12.75" customHeight="1" x14ac:dyDescent="0.25">
      <c r="A555" s="265" t="str">
        <f>K519</f>
        <v>G</v>
      </c>
      <c r="B555" s="230" t="str">
        <f ca="1">IF($B527&lt;&gt;"",$B527,"")</f>
        <v/>
      </c>
      <c r="C555" s="231"/>
      <c r="D555" s="231"/>
      <c r="E555" s="231"/>
      <c r="F555" s="231"/>
      <c r="G555" s="232"/>
      <c r="H555" s="233"/>
      <c r="I555" s="233"/>
      <c r="J555" s="233"/>
      <c r="K555" s="233"/>
      <c r="L555" s="233" t="str">
        <f ca="1">IF($B548&lt;&gt;"",IF(AND($B548="Missing Player",$G557=2,$J557=2),0,IF(AND($B546="Missing Player",$G557=2,$J557=2),11,"")),"")</f>
        <v/>
      </c>
      <c r="M555" s="250" t="s">
        <v>169</v>
      </c>
      <c r="N555" s="251"/>
      <c r="O555" s="251"/>
      <c r="P555" s="252"/>
      <c r="Q555" s="37" t="str">
        <f ca="1">IF(Q553&lt;&gt;"",IF(Q553="W","L","W"),"")</f>
        <v/>
      </c>
      <c r="R555"/>
      <c r="S555"/>
      <c r="T555"/>
      <c r="U555"/>
      <c r="V555"/>
      <c r="W555"/>
      <c r="X555"/>
      <c r="Y555"/>
      <c r="Z555"/>
      <c r="AA555"/>
      <c r="AB555"/>
      <c r="AC555"/>
      <c r="AD555"/>
      <c r="AE555"/>
      <c r="AF555"/>
    </row>
    <row r="556" spans="1:32" ht="12.75" customHeight="1" x14ac:dyDescent="0.25">
      <c r="A556" s="260"/>
      <c r="B556" s="266" t="str">
        <f ca="1">IF($B548="Missing Player",$B548,"")</f>
        <v/>
      </c>
      <c r="C556" s="267"/>
      <c r="D556" s="267"/>
      <c r="E556" s="267"/>
      <c r="F556" s="267"/>
      <c r="G556" s="268"/>
      <c r="H556" s="234"/>
      <c r="I556" s="234"/>
      <c r="J556" s="235"/>
      <c r="K556" s="235"/>
      <c r="L556" s="235"/>
      <c r="M556" s="250"/>
      <c r="N556" s="251"/>
      <c r="O556" s="251"/>
      <c r="P556" s="252"/>
      <c r="Q556" s="110" t="str">
        <f ca="1">IF($Q555&lt;&gt;"",IF($B554&lt;&gt;"Missing Player",IF($Q555="W",IF(SUM(IF($H555&gt;$H553,1,0),IF($I555&gt;$I553,1,0),IF($J555&gt;$J553,1,0),IF($K555&gt;$K553,1,0),IF($L555&gt;$L553,1,0))&lt;&gt;3,"Error",""),""),""),"")</f>
        <v/>
      </c>
      <c r="R556" t="str">
        <f>A544</f>
        <v>4th Singles</v>
      </c>
      <c r="S556"/>
      <c r="T556"/>
      <c r="U556"/>
      <c r="V556"/>
      <c r="W556"/>
      <c r="X556"/>
      <c r="Y556"/>
      <c r="Z556"/>
      <c r="AA556"/>
      <c r="AB556"/>
      <c r="AC556"/>
      <c r="AD556"/>
      <c r="AE556"/>
      <c r="AF556"/>
    </row>
    <row r="557" spans="1:32" ht="12.75" customHeight="1" x14ac:dyDescent="0.25">
      <c r="G557" s="53">
        <f ca="1">COUNTIF($Q525:$Q525,"W")+COUNTIF($Q532:$Q532,"W")+COUNTIF($Q539:$Q539,"W")+COUNTIF($Q546:$Q546,"W")</f>
        <v>0</v>
      </c>
      <c r="J557" s="53">
        <f ca="1">COUNTIF($Q527:$Q527,"W")+COUNTIF($Q534:$Q534,"W")+COUNTIF($Q541:$Q541,"W")+COUNTIF($Q548:$Q548,"W")</f>
        <v>0</v>
      </c>
      <c r="R557" s="47" t="s">
        <v>160</v>
      </c>
      <c r="S557" s="304" t="s">
        <v>58</v>
      </c>
      <c r="T557" s="305"/>
      <c r="U557" s="305"/>
      <c r="V557" s="305"/>
      <c r="W557" s="305"/>
      <c r="X557" s="306"/>
      <c r="Y557" s="47">
        <v>1</v>
      </c>
      <c r="Z557" s="47">
        <v>2</v>
      </c>
      <c r="AA557" s="47">
        <v>3</v>
      </c>
      <c r="AB557" s="47">
        <v>4</v>
      </c>
      <c r="AC557" s="47">
        <v>5</v>
      </c>
      <c r="AD557" s="286"/>
      <c r="AE557" s="287"/>
      <c r="AF557" s="288"/>
    </row>
    <row r="558" spans="1:32" ht="12.75" customHeight="1" thickBot="1" x14ac:dyDescent="0.3">
      <c r="F558" s="212" t="s">
        <v>170</v>
      </c>
      <c r="G558" s="212"/>
      <c r="H558" s="212"/>
      <c r="I558" s="212"/>
      <c r="J558" s="212"/>
      <c r="K558" s="212"/>
      <c r="R558" s="259" t="str">
        <f>B519</f>
        <v>D</v>
      </c>
      <c r="S558" s="307" t="str">
        <f ca="1">IF($B546&lt;&gt;"",$B546,"")</f>
        <v/>
      </c>
      <c r="T558" s="308"/>
      <c r="U558" s="308"/>
      <c r="V558" s="308"/>
      <c r="W558" s="308"/>
      <c r="X558" s="309"/>
      <c r="Y558" s="284"/>
      <c r="Z558" s="284"/>
      <c r="AA558" s="297"/>
      <c r="AB558" s="297"/>
      <c r="AC558" s="297"/>
      <c r="AD558" s="296"/>
      <c r="AE558" s="298"/>
      <c r="AF558" s="299"/>
    </row>
    <row r="559" spans="1:32" ht="12.75" customHeight="1" x14ac:dyDescent="0.25">
      <c r="A559" s="16"/>
      <c r="B559" s="16"/>
      <c r="C559" s="16"/>
      <c r="D559" s="16"/>
      <c r="E559" s="16"/>
      <c r="G559" s="261" t="str">
        <f>B519</f>
        <v>D</v>
      </c>
      <c r="H559" s="262"/>
      <c r="I559" s="263" t="str">
        <f>K519</f>
        <v>G</v>
      </c>
      <c r="J559" s="264"/>
      <c r="L559" s="16"/>
      <c r="M559" s="16"/>
      <c r="N559" s="16"/>
      <c r="O559" s="16"/>
      <c r="P559" s="16"/>
      <c r="R559" s="260"/>
      <c r="S559" s="310"/>
      <c r="T559" s="311"/>
      <c r="U559" s="311"/>
      <c r="V559" s="311"/>
      <c r="W559" s="311"/>
      <c r="X559" s="312"/>
      <c r="Y559" s="285"/>
      <c r="Z559" s="285"/>
      <c r="AA559" s="303"/>
      <c r="AB559" s="303"/>
      <c r="AC559" s="303"/>
      <c r="AD559" s="300"/>
      <c r="AE559" s="301"/>
      <c r="AF559" s="302"/>
    </row>
    <row r="560" spans="1:32" ht="12.75" customHeight="1" thickBot="1" x14ac:dyDescent="0.3">
      <c r="A560" s="2" t="s">
        <v>160</v>
      </c>
      <c r="B560" s="40" t="str">
        <f>B519</f>
        <v>D</v>
      </c>
      <c r="C560" s="3" t="s">
        <v>158</v>
      </c>
      <c r="F560" s="53" t="str">
        <f>CONCATENATE($B519,"-",$K519)</f>
        <v>D-G</v>
      </c>
      <c r="G560" s="240" t="str">
        <f ca="1">IF(OR(Q525&lt;&gt;"",Q532&lt;&gt;"",Q539&lt;&gt;"",Q546&lt;&gt;"",Q553&lt;&gt;""),COUNTIF(Q525:Q525,"W")+COUNTIF(Q532:Q532,"W")+COUNTIF(Q539:Q539,"W")+COUNTIF(Q546:Q546,"W")+COUNTIF(Q553:Q553,"W"),"")</f>
        <v/>
      </c>
      <c r="H560" s="241"/>
      <c r="I560" s="242" t="str">
        <f ca="1">IF(OR(Q527&lt;&gt;"",Q534&lt;&gt;"",Q541&lt;&gt;"",Q548&lt;&gt;"",Q555&lt;&gt;""),COUNTIF(Q527:Q527,"W")+COUNTIF(Q534:Q534,"W")+COUNTIF(Q541:Q541,"W")+COUNTIF(Q548:Q548,"W")+COUNTIF(Q555:Q555,"W"),"")</f>
        <v/>
      </c>
      <c r="J560" s="243"/>
      <c r="L560" s="2" t="s">
        <v>160</v>
      </c>
      <c r="M560" s="40" t="str">
        <f>K519</f>
        <v>G</v>
      </c>
      <c r="N560" s="3" t="s">
        <v>158</v>
      </c>
      <c r="R560" s="259" t="str">
        <f>K519</f>
        <v>G</v>
      </c>
      <c r="S560" s="307" t="str">
        <f ca="1">IF($B548&lt;&gt;"",$B548,"")</f>
        <v/>
      </c>
      <c r="T560" s="308"/>
      <c r="U560" s="308"/>
      <c r="V560" s="308"/>
      <c r="W560" s="308"/>
      <c r="X560" s="309"/>
      <c r="Y560" s="284"/>
      <c r="Z560" s="284"/>
      <c r="AA560" s="297"/>
      <c r="AB560" s="297"/>
      <c r="AC560" s="297"/>
      <c r="AD560" s="289" t="s">
        <v>169</v>
      </c>
      <c r="AE560" s="290"/>
      <c r="AF560" s="291"/>
    </row>
    <row r="561" spans="1:32" ht="12.75" customHeight="1" x14ac:dyDescent="0.35">
      <c r="F561" s="18" t="s">
        <v>403</v>
      </c>
      <c r="G561" s="17"/>
      <c r="H561" s="17"/>
      <c r="I561" s="17"/>
      <c r="J561" s="17"/>
      <c r="R561" s="285"/>
      <c r="S561" s="310"/>
      <c r="T561" s="311"/>
      <c r="U561" s="311"/>
      <c r="V561" s="311"/>
      <c r="W561" s="311"/>
      <c r="X561" s="312"/>
      <c r="Y561" s="285"/>
      <c r="Z561" s="285"/>
      <c r="AA561" s="285"/>
      <c r="AB561" s="285"/>
      <c r="AC561" s="285"/>
      <c r="AD561" s="292"/>
      <c r="AE561" s="293"/>
      <c r="AF561" s="294"/>
    </row>
    <row r="562" spans="1:32" ht="12.75" customHeight="1" x14ac:dyDescent="0.25">
      <c r="R562" s="1"/>
      <c r="S562" s="11"/>
      <c r="T562" s="11"/>
      <c r="U562" s="11"/>
      <c r="V562" s="11"/>
      <c r="W562" s="11"/>
    </row>
    <row r="563" spans="1:32" ht="12.75" customHeight="1" x14ac:dyDescent="0.25">
      <c r="F563" s="212"/>
      <c r="G563" s="212"/>
      <c r="H563" s="212"/>
      <c r="I563" s="212"/>
      <c r="R563" s="1"/>
      <c r="S563" s="11"/>
      <c r="T563" s="11"/>
      <c r="U563" s="11"/>
      <c r="V563" s="11"/>
      <c r="W563" s="11"/>
    </row>
    <row r="564" spans="1:32" ht="12.75" customHeight="1" x14ac:dyDescent="0.25">
      <c r="F564" s="212"/>
      <c r="G564" s="212"/>
      <c r="H564" s="212"/>
      <c r="I564" s="212"/>
      <c r="R564" s="1"/>
      <c r="S564" s="11"/>
      <c r="T564" s="11"/>
      <c r="U564" s="11"/>
      <c r="V564" s="11"/>
      <c r="W564" s="11"/>
    </row>
    <row r="565" spans="1:32" ht="12.75" customHeight="1" x14ac:dyDescent="0.25">
      <c r="K565" s="219" t="s">
        <v>176</v>
      </c>
      <c r="L565" s="219"/>
      <c r="M565" s="219"/>
      <c r="N565" s="219"/>
      <c r="O565" s="219"/>
      <c r="P565" s="219"/>
      <c r="R565" s="1"/>
      <c r="S565" s="11"/>
      <c r="T565" s="11"/>
      <c r="U565" s="11"/>
      <c r="V565" s="11"/>
      <c r="W565" s="11"/>
    </row>
    <row r="566" spans="1:32" ht="12.75" customHeight="1" x14ac:dyDescent="0.25">
      <c r="A566" s="9" t="s">
        <v>161</v>
      </c>
      <c r="B566"/>
      <c r="C566"/>
      <c r="D566" t="str">
        <f>Draw!$B$1</f>
        <v>Enter Division Name</v>
      </c>
      <c r="E566"/>
      <c r="F566" s="6"/>
      <c r="G566" s="6"/>
      <c r="H566" s="6"/>
      <c r="I566"/>
      <c r="J566"/>
      <c r="K566"/>
      <c r="L566"/>
      <c r="M566" s="219"/>
      <c r="N566" s="219"/>
      <c r="O566" s="219"/>
      <c r="P566" s="219"/>
      <c r="R566" s="1"/>
      <c r="S566" s="11"/>
      <c r="T566" s="11"/>
      <c r="U566" s="11"/>
      <c r="V566" s="11"/>
      <c r="W566" s="11"/>
    </row>
    <row r="567" spans="1:32" ht="12.75" customHeight="1" x14ac:dyDescent="0.25">
      <c r="A567" s="2" t="s">
        <v>162</v>
      </c>
      <c r="D567" t="str">
        <f>Draw!$D$1</f>
        <v>Enter Hosting Location (City, ST)</v>
      </c>
      <c r="J567" t="str">
        <f ca="1">$J$6</f>
        <v>[NCTTA Teams Template (v3.4).xlsx]</v>
      </c>
      <c r="R567" s="1"/>
      <c r="S567" s="11"/>
      <c r="T567" s="11"/>
      <c r="U567" s="11"/>
      <c r="V567" s="11"/>
      <c r="W567" s="11"/>
    </row>
    <row r="568" spans="1:32" ht="12.75" customHeight="1" x14ac:dyDescent="0.25">
      <c r="A568" s="2" t="s">
        <v>163</v>
      </c>
      <c r="D568" s="275" t="str">
        <f>Draw!$P$1</f>
        <v>Enter Date</v>
      </c>
      <c r="E568" s="275"/>
      <c r="F568" s="275"/>
      <c r="G568" s="275"/>
      <c r="J568" s="244" t="str">
        <f>CHOOSE(Draw!$T$1,"Round 2, Match 6","Round 4, Match 3","Round 3, Match 4","Round 3, Match 4","","Round 4, Match 3","Round 4, Match 3","Round 3, Match 4","Round 3, Match 4","Round 3, Match 2","Round 3, Match 2")</f>
        <v>Round 2, Match 6</v>
      </c>
      <c r="K568" s="244"/>
      <c r="L568" s="244"/>
      <c r="M568" s="277" t="str">
        <f>IF(AND($J568&lt;&gt;"",Draw!$AC$10&lt;&gt;"",Draw!$AC$13&lt;&gt;""),Draw!$AC$10+TIME(0,VALUE(MID($J568,7,FIND(",",$J568)-FIND(" ",$J568)-1)-1)*Draw!$AC$13,0),"")</f>
        <v/>
      </c>
      <c r="N568" s="277"/>
      <c r="O568" s="125" t="str">
        <f>$F611</f>
        <v>E-F</v>
      </c>
      <c r="R568" s="1"/>
      <c r="S568" s="11"/>
      <c r="T568" s="11"/>
      <c r="U568" s="11"/>
      <c r="V568" s="11"/>
      <c r="W568" s="11"/>
    </row>
    <row r="569" spans="1:32" ht="12.75" customHeight="1" x14ac:dyDescent="0.25">
      <c r="A569" s="6"/>
      <c r="B569"/>
      <c r="C569"/>
      <c r="D569"/>
      <c r="E569"/>
      <c r="F569" s="6"/>
      <c r="G569" s="6"/>
      <c r="H569" s="11"/>
      <c r="I569" s="6"/>
      <c r="J569"/>
      <c r="K569"/>
      <c r="L569"/>
      <c r="M569"/>
      <c r="N569"/>
      <c r="O569" s="269" t="str">
        <f>IF(OR(AND(VLOOKUP($B570,$AM$1:$AX$12,12,FALSE)="C",VLOOKUP($K570,$AM$1:$AX$12,12,FALSE)="C"),AND(VLOOKUP($B570,$AM$1:$AX$12,12,FALSE)="W",VLOOKUP($K570,$AM$1:$AX$12,12,FALSE)="W")),"Official",IF(AND($A571="",$J571=""),"","Scrimmage"))</f>
        <v/>
      </c>
      <c r="P569" s="269"/>
      <c r="R569" s="1"/>
      <c r="S569" s="11"/>
      <c r="T569" s="11"/>
      <c r="U569" s="11"/>
      <c r="V569" s="11"/>
      <c r="W569" s="11"/>
    </row>
    <row r="570" spans="1:32" ht="12.75" customHeight="1" x14ac:dyDescent="0.25">
      <c r="A570" s="12" t="s">
        <v>160</v>
      </c>
      <c r="B570" s="98" t="str">
        <f>CHOOSE(Draw!$T$1,"E","D","F","K","A","D","B","B","C","G","I")</f>
        <v>E</v>
      </c>
      <c r="C570" s="109">
        <f>VLOOKUP($B570,$AM$1:$AN$12,2)</f>
        <v>5</v>
      </c>
      <c r="D570" s="10"/>
      <c r="E570" s="10"/>
      <c r="F570" s="8"/>
      <c r="H570" s="1" t="s">
        <v>164</v>
      </c>
      <c r="J570" s="12" t="s">
        <v>160</v>
      </c>
      <c r="K570" s="98" t="str">
        <f>CHOOSE(Draw!$T$1,"F","E","G","L","G","E","F","H","D","I","K")</f>
        <v>F</v>
      </c>
      <c r="L570" s="109">
        <f>VLOOKUP($K570,$AM$1:$AN$12,2)</f>
        <v>6</v>
      </c>
      <c r="M570" s="10"/>
      <c r="N570" s="10"/>
      <c r="O570" s="13"/>
      <c r="R570" s="1"/>
      <c r="S570" s="11"/>
      <c r="T570" s="11"/>
      <c r="U570" s="11"/>
      <c r="V570" s="11"/>
      <c r="W570" s="11"/>
    </row>
    <row r="571" spans="1:32" ht="12.75" customHeight="1" x14ac:dyDescent="0.25">
      <c r="A571" s="253" t="str">
        <f>IF(VLOOKUP($B570,Draw!$A$4:$B$27,2)&lt;&gt;0,VLOOKUP($B570,Draw!$A$4:$B$27,2),"")</f>
        <v/>
      </c>
      <c r="B571" s="254"/>
      <c r="C571" s="254"/>
      <c r="D571" s="254"/>
      <c r="E571" s="254"/>
      <c r="F571" s="255"/>
      <c r="G571" s="273" t="s">
        <v>415</v>
      </c>
      <c r="H571" s="249"/>
      <c r="I571" s="274"/>
      <c r="J571" s="253" t="str">
        <f>IF(VLOOKUP($K570,Draw!$A$4:$B$27,2)&lt;&gt;0,VLOOKUP($K570,Draw!$A$4:$B$27,2),"")</f>
        <v/>
      </c>
      <c r="K571" s="254"/>
      <c r="L571" s="254"/>
      <c r="M571" s="254"/>
      <c r="N571" s="254"/>
      <c r="O571" s="255"/>
      <c r="P571"/>
      <c r="R571" s="1"/>
      <c r="S571" s="11"/>
      <c r="T571" s="11"/>
      <c r="U571" s="11"/>
      <c r="V571" s="11"/>
      <c r="W571" s="11"/>
    </row>
    <row r="572" spans="1:32" ht="12.75" customHeight="1" x14ac:dyDescent="0.25">
      <c r="A572" s="6"/>
      <c r="B572"/>
      <c r="C572"/>
      <c r="D572"/>
      <c r="E572"/>
      <c r="F572" s="6"/>
      <c r="G572" s="248" t="str">
        <f>"Page "&amp;VALUE(RIGHT($G571,LEN($G571)-SEARCH("-",$G571)))/2</f>
        <v>Page 12</v>
      </c>
      <c r="H572" s="249"/>
      <c r="I572" s="249"/>
      <c r="J572"/>
      <c r="K572"/>
      <c r="L572"/>
      <c r="M572"/>
      <c r="N572"/>
      <c r="O572"/>
      <c r="P572"/>
      <c r="R572" s="1"/>
      <c r="S572" s="11"/>
      <c r="T572" s="11"/>
      <c r="U572" s="11"/>
      <c r="V572" s="11"/>
      <c r="W572" s="11"/>
      <c r="AF572"/>
    </row>
    <row r="573" spans="1:32" ht="12.75" customHeight="1" x14ac:dyDescent="0.25">
      <c r="A573" s="276" t="s">
        <v>177</v>
      </c>
      <c r="B573" s="276"/>
      <c r="C573" s="276"/>
      <c r="D573" s="276"/>
      <c r="E573" s="276"/>
      <c r="F573" s="276"/>
      <c r="G573" s="276"/>
      <c r="H573" s="276"/>
      <c r="I573" s="276"/>
      <c r="J573" s="276"/>
      <c r="K573" s="276"/>
      <c r="L573" s="276"/>
      <c r="M573" s="276"/>
      <c r="N573" s="276"/>
      <c r="O573" s="276"/>
      <c r="P573" s="276"/>
      <c r="Q573" s="6"/>
      <c r="R573" s="1"/>
      <c r="S573" s="11"/>
      <c r="T573" s="11"/>
      <c r="U573" s="11"/>
      <c r="V573" s="11"/>
      <c r="W573" s="11"/>
      <c r="AF573" s="14"/>
    </row>
    <row r="574" spans="1:32" ht="12.75" customHeight="1" x14ac:dyDescent="0.25">
      <c r="A574" s="15" t="s">
        <v>165</v>
      </c>
      <c r="H574" s="110" t="str">
        <f>IF($Q576&lt;&gt;"",IF(AND(AND($H576&gt;-1,$H578&gt;-1),OR($H576&gt;10,$H578&gt;10),ABS($H576-$H578)&gt;1,IF(OR($H576&gt;11,$H578&gt;11),ABS($H576-$H578)=2,TRUE),$H576=INT($H576),$H578=INT($H578)),"","Error"),"")</f>
        <v/>
      </c>
      <c r="I574" s="110" t="str">
        <f>IF($Q576&lt;&gt;"",IF(AND(AND($I576&gt;-1,$I578&gt;-1),OR($I576&gt;10,$I578&gt;10),ABS($I576-$I578)&gt;1,IF(OR($I576&gt;11,$I578&gt;11),ABS($I576-$I578)=2,TRUE),$I576=INT($I576),$I578=INT($I578)),"","Error"),"")</f>
        <v/>
      </c>
      <c r="J574" s="110" t="str">
        <f>IF($Q576&lt;&gt;"",IF(AND(AND($J576&gt;-1,$J578&gt;-1),OR($J576&gt;10,$J578&gt;10),ABS($J576-$J578)&gt;1,IF(OR($J576&gt;11,$J578&gt;11),ABS($J576-$J578)=2,TRUE),$J576=INT($J576),$J578=INT($J578)),"","Error"),"")</f>
        <v/>
      </c>
      <c r="K574" s="110" t="str">
        <f>IF($Q576&lt;&gt;"",IF(AND($K576&lt;&gt;"",$K578&lt;&gt;""), IF(AND(AND($K576&gt;-1,$K578&gt;-1),OR($K576&gt;10,$K578&gt;10),ABS($K576-$K578)&gt;1,IF(OR($K576&gt;11,$K578&gt;11),ABS($K576-$K578)=2,TRUE),$K576=INT($K576),$K578=INT($K578)),"","Error"),""),"")</f>
        <v/>
      </c>
      <c r="L574" s="110" t="str">
        <f>IF($Q576&lt;&gt;"",IF(AND($L576&lt;&gt;"",$L578&lt;&gt;""), IF(AND(AND($L576&gt;-1,$L578&gt;-1),OR($L576&gt;10,$L578&gt;10),ABS($L576-$L578)&gt;1,IF(OR($L576&gt;11,$L578&gt;11),ABS($L576-$L578)=2,TRUE),$L576=INT($L576),$L578=INT($L578)),"","Error"),""),"")</f>
        <v/>
      </c>
      <c r="R574" s="1"/>
      <c r="S574" s="11"/>
      <c r="T574" s="11"/>
      <c r="U574" s="11"/>
      <c r="V574" s="11"/>
      <c r="W574" s="11"/>
    </row>
    <row r="575" spans="1:32" ht="12.75" customHeight="1" x14ac:dyDescent="0.25">
      <c r="A575" s="5" t="s">
        <v>160</v>
      </c>
      <c r="B575" s="256" t="s">
        <v>58</v>
      </c>
      <c r="C575" s="257"/>
      <c r="D575" s="257"/>
      <c r="E575" s="257"/>
      <c r="F575" s="257"/>
      <c r="G575" s="258"/>
      <c r="H575" s="5">
        <v>1</v>
      </c>
      <c r="I575" s="5">
        <v>2</v>
      </c>
      <c r="J575" s="5">
        <v>3</v>
      </c>
      <c r="K575" s="5">
        <v>4</v>
      </c>
      <c r="L575" s="5">
        <v>5</v>
      </c>
      <c r="M575" s="270"/>
      <c r="N575" s="271"/>
      <c r="O575" s="271"/>
      <c r="P575" s="272"/>
      <c r="R575" s="1"/>
      <c r="S575" s="11"/>
      <c r="T575" s="11"/>
      <c r="U575" s="11"/>
      <c r="V575" s="11"/>
      <c r="W575" s="11"/>
    </row>
    <row r="576" spans="1:32" ht="12.75" customHeight="1" x14ac:dyDescent="0.25">
      <c r="A576" s="259" t="str">
        <f>B570</f>
        <v>E</v>
      </c>
      <c r="B576" s="236" t="str">
        <f ca="1">IF(AND(OFFSET($AO$1,$C570-1,8,1,1),$A571&lt;&gt;"",$J571&lt;&gt;""),CHOOSE($C570,$AO$1,$AO$2,$AO$3,$AO$4,$AO$5,$AO$6,$AO$7,$AO$8,$AO$9,$AO$10,$AO$11,$AO$12),"")</f>
        <v/>
      </c>
      <c r="C576" s="237"/>
      <c r="D576" s="237"/>
      <c r="E576" s="237"/>
      <c r="F576" s="237"/>
      <c r="G576" s="237"/>
      <c r="H576" s="233"/>
      <c r="I576" s="233"/>
      <c r="J576" s="233"/>
      <c r="K576" s="233"/>
      <c r="L576" s="233"/>
      <c r="M576" s="281"/>
      <c r="N576" s="282"/>
      <c r="O576" s="282"/>
      <c r="P576" s="283"/>
      <c r="Q576" s="40" t="str">
        <f>IF($L576=$L578,IF($K576=$K578,IF($J576&lt;&gt;"",IF($J576&gt;$J578,"W","L"),""),IF($K576&gt;$K578,"W","L")),IF($L576&gt;$L578,"W","L"))</f>
        <v/>
      </c>
      <c r="R576" s="1"/>
      <c r="S576" s="11"/>
      <c r="T576" s="11"/>
      <c r="U576" s="11"/>
      <c r="V576" s="11"/>
      <c r="W576" s="11"/>
    </row>
    <row r="577" spans="1:32" ht="12.75" customHeight="1" x14ac:dyDescent="0.25">
      <c r="A577" s="260"/>
      <c r="B577" s="238"/>
      <c r="C577" s="239"/>
      <c r="D577" s="239"/>
      <c r="E577" s="239"/>
      <c r="F577" s="239"/>
      <c r="G577" s="239"/>
      <c r="H577" s="234"/>
      <c r="I577" s="234"/>
      <c r="J577" s="234"/>
      <c r="K577" s="234"/>
      <c r="L577" s="234"/>
      <c r="M577" s="281"/>
      <c r="N577" s="282"/>
      <c r="O577" s="282"/>
      <c r="P577" s="283"/>
      <c r="Q577" s="110" t="str">
        <f>IF($Q576&lt;&gt;"",IF($Q576="W",IF(SUM(IF($H576&gt;$H578,1,0),IF($I576&gt;$I578,1,0),IF($J576&gt;$J578,1,0),IF($K576&gt;$K578,1,0),IF($L576&gt;$L578,1,0))&lt;&gt;3,"Error",""),""),"")</f>
        <v/>
      </c>
      <c r="R577" s="295" t="str">
        <f>$A571</f>
        <v/>
      </c>
      <c r="S577" s="295"/>
      <c r="T577" s="295"/>
      <c r="U577" s="295"/>
      <c r="V577" s="295"/>
      <c r="W577" s="295"/>
      <c r="X577" s="219" t="str">
        <f>CONCATENATE("(",$B570," vs ",$K570,")")</f>
        <v>(E vs F)</v>
      </c>
      <c r="Y577" s="219"/>
      <c r="Z577" s="295" t="str">
        <f>$J571</f>
        <v/>
      </c>
      <c r="AA577" s="295"/>
      <c r="AB577" s="295"/>
      <c r="AC577" s="295"/>
      <c r="AD577" s="295"/>
      <c r="AE577" s="295"/>
      <c r="AF577"/>
    </row>
    <row r="578" spans="1:32" ht="12.75" customHeight="1" x14ac:dyDescent="0.25">
      <c r="A578" s="259" t="str">
        <f>K570</f>
        <v>F</v>
      </c>
      <c r="B578" s="236" t="str">
        <f ca="1">IF(AND(OFFSET($AO$1,$L570-1,8,1,1),$A571&lt;&gt;"",$J571&lt;&gt;""),CHOOSE($L570,$AO$1,$AO$2,$AO$3,$AO$4,$AO$5,$AO$6,$AO$7,$AO$8,$AO$9,$AO$10,$AO$11,$AO$12),"")</f>
        <v/>
      </c>
      <c r="C578" s="237"/>
      <c r="D578" s="237"/>
      <c r="E578" s="237"/>
      <c r="F578" s="237"/>
      <c r="G578" s="237"/>
      <c r="H578" s="233"/>
      <c r="I578" s="233"/>
      <c r="J578" s="233"/>
      <c r="K578" s="233"/>
      <c r="L578" s="233"/>
      <c r="M578" s="250" t="s">
        <v>169</v>
      </c>
      <c r="N578" s="251"/>
      <c r="O578" s="251"/>
      <c r="P578" s="252"/>
      <c r="Q578" s="40" t="str">
        <f>IF($Q576&lt;&gt;"",IF($Q576="W","L","W"),"")</f>
        <v/>
      </c>
      <c r="R578"/>
      <c r="S578"/>
      <c r="T578"/>
      <c r="U578"/>
      <c r="V578"/>
      <c r="W578"/>
      <c r="X578"/>
      <c r="Y578"/>
      <c r="Z578"/>
      <c r="AA578"/>
      <c r="AB578"/>
      <c r="AC578"/>
      <c r="AD578"/>
      <c r="AE578"/>
      <c r="AF578"/>
    </row>
    <row r="579" spans="1:32" ht="12.75" customHeight="1" x14ac:dyDescent="0.25">
      <c r="A579" s="260"/>
      <c r="B579" s="238"/>
      <c r="C579" s="239"/>
      <c r="D579" s="239"/>
      <c r="E579" s="239"/>
      <c r="F579" s="239"/>
      <c r="G579" s="239"/>
      <c r="H579" s="234"/>
      <c r="I579" s="234"/>
      <c r="J579" s="235"/>
      <c r="K579" s="235"/>
      <c r="L579" s="235"/>
      <c r="M579" s="250"/>
      <c r="N579" s="251"/>
      <c r="O579" s="251"/>
      <c r="P579" s="252"/>
      <c r="Q579" s="110" t="str">
        <f>IF($Q578&lt;&gt;"",IF($Q578="W",IF(SUM(IF($H578&gt;$H576,1,0),IF($I578&gt;$I576,1,0),IF($J578&gt;$J576,1,0),IF($K578&gt;$K576,1,0),IF($L578&gt;$L576,1,0))&lt;&gt;3,"Error",""),""),"")</f>
        <v/>
      </c>
      <c r="R579" t="str">
        <f>$A581</f>
        <v>2nd Singles</v>
      </c>
      <c r="S579"/>
      <c r="T579"/>
      <c r="U579"/>
      <c r="V579"/>
      <c r="W579"/>
      <c r="X579"/>
      <c r="Y579"/>
      <c r="Z579"/>
      <c r="AA579"/>
      <c r="AB579"/>
      <c r="AC579"/>
      <c r="AD579"/>
      <c r="AE579"/>
      <c r="AF579"/>
    </row>
    <row r="580" spans="1:32" ht="12.75" customHeight="1" x14ac:dyDescent="0.25">
      <c r="Q580" s="6"/>
      <c r="R580" s="47" t="s">
        <v>160</v>
      </c>
      <c r="S580" s="304" t="s">
        <v>58</v>
      </c>
      <c r="T580" s="305"/>
      <c r="U580" s="305"/>
      <c r="V580" s="305"/>
      <c r="W580" s="305"/>
      <c r="X580" s="306"/>
      <c r="Y580" s="47">
        <v>1</v>
      </c>
      <c r="Z580" s="47">
        <v>2</v>
      </c>
      <c r="AA580" s="47">
        <v>3</v>
      </c>
      <c r="AB580" s="47">
        <v>4</v>
      </c>
      <c r="AC580" s="47">
        <v>5</v>
      </c>
      <c r="AD580" s="286"/>
      <c r="AE580" s="287"/>
      <c r="AF580" s="288"/>
    </row>
    <row r="581" spans="1:32" ht="12.75" customHeight="1" x14ac:dyDescent="0.25">
      <c r="A581" s="15" t="s">
        <v>166</v>
      </c>
      <c r="H581" s="110" t="str">
        <f>IF($Q583&lt;&gt;"",IF(AND(AND($H583&gt;-1,$H585&gt;-1),OR($H583&gt;10,$H585&gt;10),ABS($H583-$H585)&gt;1,IF(OR($H583&gt;11,$H585&gt;11),ABS($H583-$H585)=2,TRUE),$H583=INT($H583),$H585=INT($H585)),"","Error"),"")</f>
        <v/>
      </c>
      <c r="I581" s="110" t="str">
        <f>IF($Q583&lt;&gt;"",IF(AND(AND($I583&gt;-1,$I585&gt;-1),OR($I583&gt;10,$I585&gt;10),ABS($I583-$I585)&gt;1,IF(OR($I583&gt;11,$I585&gt;11),ABS($I583-$I585)=2,TRUE),$I583=INT($I583),$I585=INT($I585)),"","Error"),"")</f>
        <v/>
      </c>
      <c r="J581" s="110" t="str">
        <f>IF($Q583&lt;&gt;"",IF(AND(AND($J583&gt;-1,$J585&gt;-1),OR($J583&gt;10,$J585&gt;10),ABS($J583-$J585)&gt;1,IF(OR($J583&gt;11,$J585&gt;11),ABS($J583-$J585)=2,TRUE),$J583=INT($J583),$J585=INT($J585)),"","Error"),"")</f>
        <v/>
      </c>
      <c r="K581" s="110" t="str">
        <f>IF($Q583&lt;&gt;"",IF(AND($K583&lt;&gt;"",$K585&lt;&gt;""), IF(AND(AND($K583&gt;-1,$K585&gt;-1),OR($K583&gt;10,$K585&gt;10),ABS($K583-$K585)&gt;1,IF(OR($K583&gt;11,$K585&gt;11),ABS($K583-$K585)=2,TRUE),$K583=INT($K583),$K585=INT($K585)),"","Error"),""),"")</f>
        <v/>
      </c>
      <c r="L581" s="110" t="str">
        <f>IF($Q583&lt;&gt;"",IF(AND($L583&lt;&gt;"",$L585&lt;&gt;""), IF(AND(AND($L583&gt;-1,$L585&gt;-1),OR($L583&gt;10,$L585&gt;10),ABS($L583-$L585)&gt;1,IF(OR($L583&gt;11,$L585&gt;11),ABS($L583-$L585)=2,TRUE),$L583=INT($L583),$L585=INT($L585)),"","Error"),""),"")</f>
        <v/>
      </c>
      <c r="Q581" s="6"/>
      <c r="R581" s="259" t="str">
        <f>$B570</f>
        <v>E</v>
      </c>
      <c r="S581" s="307" t="str">
        <f ca="1">IF($B583&lt;&gt;"",$B583,"")</f>
        <v/>
      </c>
      <c r="T581" s="308"/>
      <c r="U581" s="308"/>
      <c r="V581" s="308"/>
      <c r="W581" s="308"/>
      <c r="X581" s="309"/>
      <c r="Y581" s="284"/>
      <c r="Z581" s="284"/>
      <c r="AA581" s="284"/>
      <c r="AB581" s="284"/>
      <c r="AC581" s="284"/>
      <c r="AD581" s="296"/>
      <c r="AE581" s="290"/>
      <c r="AF581" s="291"/>
    </row>
    <row r="582" spans="1:32" ht="12.75" customHeight="1" x14ac:dyDescent="0.25">
      <c r="A582" s="5" t="s">
        <v>160</v>
      </c>
      <c r="B582" s="256" t="s">
        <v>58</v>
      </c>
      <c r="C582" s="257"/>
      <c r="D582" s="257"/>
      <c r="E582" s="257"/>
      <c r="F582" s="257"/>
      <c r="G582" s="258"/>
      <c r="H582" s="5">
        <v>1</v>
      </c>
      <c r="I582" s="5">
        <v>2</v>
      </c>
      <c r="J582" s="5">
        <v>3</v>
      </c>
      <c r="K582" s="5">
        <v>4</v>
      </c>
      <c r="L582" s="5">
        <v>5</v>
      </c>
      <c r="M582" s="270"/>
      <c r="N582" s="271"/>
      <c r="O582" s="271"/>
      <c r="P582" s="272"/>
      <c r="Q582" s="6"/>
      <c r="R582" s="285"/>
      <c r="S582" s="310"/>
      <c r="T582" s="311"/>
      <c r="U582" s="311"/>
      <c r="V582" s="311"/>
      <c r="W582" s="311"/>
      <c r="X582" s="312"/>
      <c r="Y582" s="285"/>
      <c r="Z582" s="285"/>
      <c r="AA582" s="285"/>
      <c r="AB582" s="285"/>
      <c r="AC582" s="285"/>
      <c r="AD582" s="292"/>
      <c r="AE582" s="293"/>
      <c r="AF582" s="294"/>
    </row>
    <row r="583" spans="1:32" ht="12.75" customHeight="1" x14ac:dyDescent="0.25">
      <c r="A583" s="259" t="str">
        <f>B570</f>
        <v>E</v>
      </c>
      <c r="B583" s="236" t="str">
        <f ca="1">IF(AND(OFFSET($AO$1,$C570-1,8,1,1),$A571&lt;&gt;"",$J571&lt;&gt;""),CHOOSE($C570,$AP$1,$AP$2,$AP$3,$AP$4,$AP$5,$AP$6,$AP$7,$AP$8,$AP$9,$AP$10,$AP$11,$AP$12),"")</f>
        <v/>
      </c>
      <c r="C583" s="237"/>
      <c r="D583" s="237"/>
      <c r="E583" s="237"/>
      <c r="F583" s="237"/>
      <c r="G583" s="237"/>
      <c r="H583" s="233"/>
      <c r="I583" s="233"/>
      <c r="J583" s="233"/>
      <c r="K583" s="233"/>
      <c r="L583" s="233"/>
      <c r="M583" s="245" t="str">
        <f ca="1">IF(OR(AND($B576&lt;&gt;"",$B583&lt;&gt;"",$C601&lt;=$B601),AND($B578&lt;&gt;"",$B585&lt;&gt;"",$G601&lt;=$F601)),"Invalid Lineup","")</f>
        <v/>
      </c>
      <c r="N583" s="246"/>
      <c r="O583" s="246"/>
      <c r="P583" s="247"/>
      <c r="Q583" s="40" t="str">
        <f>IF($L583=$L585,IF($K583=$K585,IF($J583&lt;&gt;"",IF($J583&gt;$J585,"W","L"),""),IF($K583&gt;$K585,"W","L")),IF($L583&gt;$L585,"W","L"))</f>
        <v/>
      </c>
      <c r="R583" s="259" t="str">
        <f>$K570</f>
        <v>F</v>
      </c>
      <c r="S583" s="307" t="str">
        <f ca="1">IF($B585&lt;&gt;"",$B585,"")</f>
        <v/>
      </c>
      <c r="T583" s="308"/>
      <c r="U583" s="308"/>
      <c r="V583" s="308"/>
      <c r="W583" s="308"/>
      <c r="X583" s="309"/>
      <c r="Y583" s="284"/>
      <c r="Z583" s="284"/>
      <c r="AA583" s="284"/>
      <c r="AB583" s="284"/>
      <c r="AC583" s="297"/>
      <c r="AD583" s="289" t="s">
        <v>169</v>
      </c>
      <c r="AE583" s="290"/>
      <c r="AF583" s="291"/>
    </row>
    <row r="584" spans="1:32" ht="12.75" customHeight="1" x14ac:dyDescent="0.25">
      <c r="A584" s="260"/>
      <c r="B584" s="238"/>
      <c r="C584" s="239"/>
      <c r="D584" s="239"/>
      <c r="E584" s="239"/>
      <c r="F584" s="239"/>
      <c r="G584" s="239"/>
      <c r="H584" s="234"/>
      <c r="I584" s="234"/>
      <c r="J584" s="234"/>
      <c r="K584" s="234"/>
      <c r="L584" s="234"/>
      <c r="M584" s="245"/>
      <c r="N584" s="246"/>
      <c r="O584" s="246"/>
      <c r="P584" s="247"/>
      <c r="Q584" s="110" t="str">
        <f>IF($Q583&lt;&gt;"",IF($Q583="W",IF(SUM(IF($H583&gt;$H585,1,0),IF($I583&gt;$I585,1,0),IF($J583&gt;$J585,1,0),IF($K583&gt;$K585,1,0),IF($L583&gt;$L585,1,0))&lt;&gt;3,"Error",""),""),"")</f>
        <v/>
      </c>
      <c r="R584" s="285"/>
      <c r="S584" s="310"/>
      <c r="T584" s="311"/>
      <c r="U584" s="311"/>
      <c r="V584" s="311"/>
      <c r="W584" s="311"/>
      <c r="X584" s="312"/>
      <c r="Y584" s="285"/>
      <c r="Z584" s="285"/>
      <c r="AA584" s="285"/>
      <c r="AB584" s="285"/>
      <c r="AC584" s="285"/>
      <c r="AD584" s="292"/>
      <c r="AE584" s="293"/>
      <c r="AF584" s="294"/>
    </row>
    <row r="585" spans="1:32" ht="12.75" customHeight="1" x14ac:dyDescent="0.25">
      <c r="A585" s="259" t="str">
        <f>K570</f>
        <v>F</v>
      </c>
      <c r="B585" s="236" t="str">
        <f ca="1">IF(AND(OFFSET($AO$1,$L570-1,8,1,1),$A571&lt;&gt;"",$J571&lt;&gt;""),CHOOSE($L570,$AP$1,$AP$2,$AP$3,$AP$4,$AP$5,$AP$6,$AP$7,$AP$8,$AP$9,$AP$10,$AP$11,$AP$12),"")</f>
        <v/>
      </c>
      <c r="C585" s="237"/>
      <c r="D585" s="237"/>
      <c r="E585" s="237"/>
      <c r="F585" s="237"/>
      <c r="G585" s="237"/>
      <c r="H585" s="233"/>
      <c r="I585" s="233"/>
      <c r="J585" s="233"/>
      <c r="K585" s="233"/>
      <c r="L585" s="233"/>
      <c r="M585" s="250" t="s">
        <v>169</v>
      </c>
      <c r="N585" s="251"/>
      <c r="O585" s="251"/>
      <c r="P585" s="252"/>
      <c r="Q585" s="40" t="str">
        <f>IF($Q583&lt;&gt;"",IF($Q583="W","L","W"),"")</f>
        <v/>
      </c>
      <c r="R585" s="14"/>
      <c r="S585" s="14"/>
      <c r="T585" s="14"/>
      <c r="U585" s="14"/>
      <c r="V585" s="14"/>
      <c r="W585" s="14"/>
      <c r="X585" s="7"/>
      <c r="Y585" s="7"/>
      <c r="Z585" s="14"/>
      <c r="AA585" s="14"/>
      <c r="AB585" s="14"/>
      <c r="AC585" s="14"/>
      <c r="AD585" s="14"/>
      <c r="AE585" s="14"/>
      <c r="AF585"/>
    </row>
    <row r="586" spans="1:32" ht="12.75" customHeight="1" x14ac:dyDescent="0.25">
      <c r="A586" s="260"/>
      <c r="B586" s="238"/>
      <c r="C586" s="239"/>
      <c r="D586" s="239"/>
      <c r="E586" s="239"/>
      <c r="F586" s="239"/>
      <c r="G586" s="239"/>
      <c r="H586" s="234"/>
      <c r="I586" s="234"/>
      <c r="J586" s="235"/>
      <c r="K586" s="235"/>
      <c r="L586" s="235"/>
      <c r="M586" s="250"/>
      <c r="N586" s="251"/>
      <c r="O586" s="251"/>
      <c r="P586" s="252"/>
      <c r="Q586" s="110" t="str">
        <f>IF($Q585&lt;&gt;"",IF($Q585="W",IF(SUM(IF($H585&gt;$H583,1,0),IF($I585&gt;$I583,1,0),IF($J585&gt;$J583,1,0),IF($K585&gt;$K583,1,0),IF($L585&gt;$L583,1,0))&lt;&gt;3,"Error",""),""),"")</f>
        <v/>
      </c>
      <c r="R586" s="14"/>
      <c r="S586" s="14"/>
      <c r="T586" s="14"/>
      <c r="U586" s="14"/>
      <c r="V586" s="14"/>
      <c r="W586" s="14"/>
      <c r="X586" s="7"/>
      <c r="Y586" s="7"/>
      <c r="Z586" s="14"/>
      <c r="AA586" s="14"/>
      <c r="AB586" s="14"/>
      <c r="AC586" s="14"/>
      <c r="AD586" s="14"/>
      <c r="AE586" s="14"/>
      <c r="AF586"/>
    </row>
    <row r="587" spans="1:32" ht="12.75" customHeight="1" x14ac:dyDescent="0.25">
      <c r="Q587" s="6"/>
      <c r="R587" s="14"/>
      <c r="S587" s="14"/>
      <c r="T587" s="14"/>
      <c r="U587" s="14"/>
      <c r="V587" s="14"/>
      <c r="W587" s="14"/>
      <c r="X587" s="7"/>
      <c r="Y587" s="7"/>
      <c r="Z587" s="14"/>
      <c r="AA587" s="14"/>
      <c r="AB587" s="14"/>
      <c r="AC587" s="14"/>
      <c r="AD587" s="14"/>
      <c r="AE587" s="14"/>
      <c r="AF587"/>
    </row>
    <row r="588" spans="1:32" ht="12.75" customHeight="1" x14ac:dyDescent="0.25">
      <c r="A588" s="15" t="s">
        <v>167</v>
      </c>
      <c r="H588" s="110" t="str">
        <f>IF($Q590&lt;&gt;"",IF(AND(AND($H590&gt;-1,$H592&gt;-1),OR($H590&gt;10,$H592&gt;10),ABS($H590-$H592)&gt;1,IF(OR($H590&gt;11,$H592&gt;11),ABS($H590-$H592)=2,TRUE),$H590=INT($H590),$H592=INT($H592)),"","Error"),"")</f>
        <v/>
      </c>
      <c r="I588" s="110" t="str">
        <f>IF($Q590&lt;&gt;"",IF(AND(AND($I590&gt;-1,$I592&gt;-1),OR($I590&gt;10,$I592&gt;10),ABS($I590-$I592)&gt;1,IF(OR($I590&gt;11,$I592&gt;11),ABS($I590-$I592)=2,TRUE),$I590=INT($I590),$I592=INT($I592)),"","Error"),"")</f>
        <v/>
      </c>
      <c r="J588" s="110" t="str">
        <f>IF($Q590&lt;&gt;"",IF(AND(AND($J590&gt;-1,$J592&gt;-1),OR($J590&gt;10,$J592&gt;10),ABS($J590-$J592)&gt;1,IF(OR($J590&gt;11,$J592&gt;11),ABS($J590-$J592)=2,TRUE),$J590=INT($J590),$J592=INT($J592)),"","Error"),"")</f>
        <v/>
      </c>
      <c r="K588" s="110" t="str">
        <f>IF($Q590&lt;&gt;"",IF(AND($K590&lt;&gt;"",$K592&lt;&gt;""), IF(AND(AND($K590&gt;-1,$K592&gt;-1),OR($K590&gt;10,$K592&gt;10),ABS($K590-$K592)&gt;1,IF(OR($K590&gt;11,$K592&gt;11),ABS($K590-$K592)=2,TRUE),$K590=INT($K590),$K592=INT($K592)),"","Error"),""),"")</f>
        <v/>
      </c>
      <c r="L588" s="110" t="str">
        <f>IF($Q590&lt;&gt;"",IF(AND($L590&lt;&gt;"",$L592&lt;&gt;""), IF(AND(AND($L590&gt;-1,$L592&gt;-1),OR($L590&gt;10,$L592&gt;10),ABS($L590-$L592)&gt;1,IF(OR($L590&gt;11,$L592&gt;11),ABS($L590-$L592)=2,TRUE),$L590=INT($L590),$L592=INT($L592)),"","Error"),""),"")</f>
        <v/>
      </c>
      <c r="Q588" s="6"/>
      <c r="R588" s="14"/>
      <c r="S588" s="14"/>
      <c r="T588" s="14"/>
      <c r="U588" s="14"/>
      <c r="V588" s="14"/>
      <c r="W588" s="14"/>
      <c r="X588" s="7"/>
      <c r="Y588" s="7"/>
      <c r="Z588" s="14"/>
      <c r="AA588" s="14"/>
      <c r="AB588" s="14"/>
      <c r="AC588" s="14"/>
      <c r="AD588" s="14"/>
      <c r="AE588" s="14"/>
      <c r="AF588"/>
    </row>
    <row r="589" spans="1:32" ht="12.75" customHeight="1" x14ac:dyDescent="0.25">
      <c r="A589" s="5" t="s">
        <v>160</v>
      </c>
      <c r="B589" s="256" t="s">
        <v>58</v>
      </c>
      <c r="C589" s="257"/>
      <c r="D589" s="257"/>
      <c r="E589" s="257"/>
      <c r="F589" s="257"/>
      <c r="G589" s="258"/>
      <c r="H589" s="5">
        <v>1</v>
      </c>
      <c r="I589" s="5">
        <v>2</v>
      </c>
      <c r="J589" s="5">
        <v>3</v>
      </c>
      <c r="K589" s="5">
        <v>4</v>
      </c>
      <c r="L589" s="5">
        <v>5</v>
      </c>
      <c r="M589" s="270"/>
      <c r="N589" s="271"/>
      <c r="O589" s="271"/>
      <c r="P589" s="272"/>
      <c r="Q589" s="6"/>
      <c r="R589" s="14"/>
      <c r="S589" s="14"/>
      <c r="T589" s="14"/>
      <c r="U589" s="14"/>
      <c r="V589" s="14"/>
      <c r="W589" s="14"/>
      <c r="X589" s="7"/>
      <c r="Y589" s="7"/>
      <c r="Z589" s="14"/>
      <c r="AA589" s="14"/>
      <c r="AB589" s="14"/>
      <c r="AC589" s="14"/>
      <c r="AD589" s="14"/>
      <c r="AE589" s="14"/>
      <c r="AF589"/>
    </row>
    <row r="590" spans="1:32" ht="12.75" customHeight="1" x14ac:dyDescent="0.25">
      <c r="A590" s="259" t="str">
        <f>B570</f>
        <v>E</v>
      </c>
      <c r="B590" s="236" t="str">
        <f ca="1">IF(AND(OFFSET($AO$1,$C570-1,8,1,1),$A571&lt;&gt;"",$J571&lt;&gt;""),CHOOSE($C570,$AQ$1,$AQ$2,$AQ$3,$AQ$4,$AQ$5,$AQ$6,$AQ$7,$AQ$8,$AQ$9,$AQ$10,$AQ$11,$AQ$12),"")</f>
        <v/>
      </c>
      <c r="C590" s="237"/>
      <c r="D590" s="237"/>
      <c r="E590" s="237"/>
      <c r="F590" s="237"/>
      <c r="G590" s="237"/>
      <c r="H590" s="233"/>
      <c r="I590" s="233"/>
      <c r="J590" s="233"/>
      <c r="K590" s="233"/>
      <c r="L590" s="233"/>
      <c r="M590" s="245" t="str">
        <f ca="1">IF(OR(AND($B583&lt;&gt;"",$B590&lt;&gt;"",$D601&lt;=$C601),AND($B585&lt;&gt;"",$B592&lt;&gt;"",$H601&lt;=$G601)),"Invalid Lineup","")</f>
        <v/>
      </c>
      <c r="N590" s="246"/>
      <c r="O590" s="246"/>
      <c r="P590" s="247"/>
      <c r="Q590" s="40" t="str">
        <f>IF($L590=$L592,IF($K590=$K592,IF($J590&lt;&gt;"",IF($J590&gt;$J592,"W","L"),""),IF($K590&gt;$K592,"W","L")),IF($L590&gt;$L592,"W","L"))</f>
        <v/>
      </c>
      <c r="R590" s="14"/>
      <c r="S590" s="14"/>
      <c r="T590" s="14"/>
      <c r="U590" s="14"/>
      <c r="V590" s="14"/>
      <c r="W590" s="14"/>
      <c r="X590" s="7"/>
      <c r="Y590" s="7"/>
      <c r="Z590" s="14"/>
      <c r="AA590" s="14"/>
      <c r="AB590" s="14"/>
      <c r="AC590" s="14"/>
      <c r="AD590" s="14"/>
      <c r="AE590" s="14"/>
      <c r="AF590"/>
    </row>
    <row r="591" spans="1:32" ht="12.75" customHeight="1" x14ac:dyDescent="0.25">
      <c r="A591" s="260"/>
      <c r="B591" s="238"/>
      <c r="C591" s="239"/>
      <c r="D591" s="239"/>
      <c r="E591" s="239"/>
      <c r="F591" s="239"/>
      <c r="G591" s="239"/>
      <c r="H591" s="234"/>
      <c r="I591" s="234"/>
      <c r="J591" s="234"/>
      <c r="K591" s="234"/>
      <c r="L591" s="234"/>
      <c r="M591" s="245"/>
      <c r="N591" s="246"/>
      <c r="O591" s="246"/>
      <c r="P591" s="247"/>
      <c r="Q591" s="110" t="str">
        <f>IF($Q590&lt;&gt;"",IF($Q590="W",IF(SUM(IF($H590&gt;$H592,1,0),IF($I590&gt;$I592,1,0),IF($J590&gt;$J592,1,0),IF($K590&gt;$K592,1,0),IF($L590&gt;$L592,1,0))&lt;&gt;3,"Error",""),""),"")</f>
        <v/>
      </c>
      <c r="R591" s="295" t="str">
        <f>$A571</f>
        <v/>
      </c>
      <c r="S591" s="295"/>
      <c r="T591" s="295"/>
      <c r="U591" s="295"/>
      <c r="V591" s="295"/>
      <c r="W591" s="295"/>
      <c r="X591" s="219" t="str">
        <f>CONCATENATE("(",$B570," vs ",$K570,")")</f>
        <v>(E vs F)</v>
      </c>
      <c r="Y591" s="219"/>
      <c r="Z591" s="295" t="str">
        <f>$J571</f>
        <v/>
      </c>
      <c r="AA591" s="295"/>
      <c r="AB591" s="295"/>
      <c r="AC591" s="295"/>
      <c r="AD591" s="295"/>
      <c r="AE591" s="295"/>
      <c r="AF591"/>
    </row>
    <row r="592" spans="1:32" ht="12.75" customHeight="1" x14ac:dyDescent="0.25">
      <c r="A592" s="259" t="str">
        <f>K570</f>
        <v>F</v>
      </c>
      <c r="B592" s="236" t="str">
        <f ca="1">IF(AND(OFFSET($AO$1,$L570-1,8,1,1),$A571&lt;&gt;"",$J571&lt;&gt;""),CHOOSE($L570,$AQ$1,$AQ$2,$AQ$3,$AQ$4,$AQ$5,$AQ$6,$AQ$7,$AQ$8,$AQ$9,$AQ$10,$AQ$11,$AQ$12),"")</f>
        <v/>
      </c>
      <c r="C592" s="237"/>
      <c r="D592" s="237"/>
      <c r="E592" s="237"/>
      <c r="F592" s="237"/>
      <c r="G592" s="237"/>
      <c r="H592" s="233"/>
      <c r="I592" s="233"/>
      <c r="J592" s="233"/>
      <c r="K592" s="233"/>
      <c r="L592" s="233"/>
      <c r="M592" s="250" t="s">
        <v>169</v>
      </c>
      <c r="N592" s="251"/>
      <c r="O592" s="251"/>
      <c r="P592" s="252"/>
      <c r="Q592" s="40" t="str">
        <f>IF($Q590&lt;&gt;"",IF($Q590="W","L","W"),"")</f>
        <v/>
      </c>
      <c r="R592"/>
      <c r="S592"/>
      <c r="T592"/>
      <c r="U592"/>
      <c r="V592"/>
      <c r="W592"/>
      <c r="X592"/>
      <c r="Y592"/>
      <c r="Z592"/>
      <c r="AA592"/>
      <c r="AB592"/>
      <c r="AC592"/>
      <c r="AD592"/>
      <c r="AE592"/>
      <c r="AF592"/>
    </row>
    <row r="593" spans="1:32" ht="12.75" customHeight="1" x14ac:dyDescent="0.25">
      <c r="A593" s="260"/>
      <c r="B593" s="238"/>
      <c r="C593" s="239"/>
      <c r="D593" s="239"/>
      <c r="E593" s="239"/>
      <c r="F593" s="239"/>
      <c r="G593" s="239"/>
      <c r="H593" s="234"/>
      <c r="I593" s="234"/>
      <c r="J593" s="235"/>
      <c r="K593" s="235"/>
      <c r="L593" s="235"/>
      <c r="M593" s="250"/>
      <c r="N593" s="251"/>
      <c r="O593" s="251"/>
      <c r="P593" s="252"/>
      <c r="Q593" s="110" t="str">
        <f>IF($Q592&lt;&gt;"",IF($Q592="W",IF(SUM(IF($H592&gt;$H590,1,0),IF($I592&gt;$I590,1,0),IF($J592&gt;$J590,1,0),IF($K592&gt;$K590,1,0),IF($L592&gt;$L590,1,0))&lt;&gt;3,"Error",""),""),"")</f>
        <v/>
      </c>
      <c r="R593" t="str">
        <f>$A588</f>
        <v>3rd Singles</v>
      </c>
      <c r="S593"/>
      <c r="T593"/>
      <c r="U593"/>
      <c r="V593"/>
      <c r="W593"/>
      <c r="X593"/>
      <c r="Y593"/>
      <c r="Z593"/>
      <c r="AA593"/>
      <c r="AB593"/>
      <c r="AC593"/>
      <c r="AD593"/>
      <c r="AE593"/>
      <c r="AF593"/>
    </row>
    <row r="594" spans="1:32" ht="12.75" customHeight="1" x14ac:dyDescent="0.25">
      <c r="Q594" s="6"/>
      <c r="R594" s="47" t="s">
        <v>160</v>
      </c>
      <c r="S594" s="86" t="s">
        <v>58</v>
      </c>
      <c r="T594" s="87"/>
      <c r="U594" s="87"/>
      <c r="V594" s="87"/>
      <c r="W594" s="87"/>
      <c r="X594" s="88"/>
      <c r="Y594" s="47">
        <v>1</v>
      </c>
      <c r="Z594" s="47">
        <v>2</v>
      </c>
      <c r="AA594" s="47">
        <v>3</v>
      </c>
      <c r="AB594" s="47">
        <v>4</v>
      </c>
      <c r="AC594" s="47">
        <v>5</v>
      </c>
      <c r="AD594" s="89"/>
      <c r="AE594" s="90"/>
      <c r="AF594" s="91"/>
    </row>
    <row r="595" spans="1:32" ht="12.75" customHeight="1" x14ac:dyDescent="0.25">
      <c r="A595" s="15" t="s">
        <v>168</v>
      </c>
      <c r="H595" s="110" t="str">
        <f ca="1">IF($Q597&lt;&gt;"",IF(AND($B597&lt;&gt;"Missing Player",$B599&lt;&gt;"Missing Player"),IF(AND(AND($H597&gt;-1,$H599&gt;-1),OR($H597&gt;10,$H599&gt;10),ABS($H597-$H599)&gt;1,IF(OR($H597&gt;11,$H599&gt;11),ABS($H597-$H599)=2,TRUE),$H597=INT($H597),$H599=INT($H599)),"","Error"),""),"")</f>
        <v/>
      </c>
      <c r="I595" s="110" t="str">
        <f ca="1">IF($Q597&lt;&gt;"",IF(AND($B597&lt;&gt;"Missing Player",$B599&lt;&gt;"Missing Player"),IF(AND(AND($I597&gt;-1,$I599&gt;-1),OR($I597&gt;10,$I599&gt;10),ABS($I597-$I599)&gt;1,IF(OR($I597&gt;11,$I599&gt;11),ABS($I597-$I599)=2,TRUE),$I597=INT($I597),$I599=INT($I599)),"","Error"),""),"")</f>
        <v/>
      </c>
      <c r="J595" s="110" t="str">
        <f ca="1">IF($Q597&lt;&gt;"",IF(AND($B597&lt;&gt;"Missing Player",$B599&lt;&gt;"Missing Player"),IF(AND(AND($J597&gt;-1,$J599&gt;-1),OR($J597&gt;10,$J599&gt;10),ABS($J597-$J599)&gt;1,IF(OR($J597&gt;11,$J599&gt;11),ABS($J597-$J599)=2,TRUE),$J597=INT($J597),$J599=INT($J599)),"","Error"),""),"")</f>
        <v/>
      </c>
      <c r="K595" s="110" t="str">
        <f ca="1">IF($Q597&lt;&gt;"",IF(AND($K597&lt;&gt;"",$K599&lt;&gt;""), IF(AND(AND($K597&gt;-1,$K599&gt;-1),OR($K597&gt;10,$K599&gt;10),ABS($K597-$K599)&gt;1,IF(OR($K597&gt;11,$K599&gt;11),ABS($K597-$K599)=2,TRUE),$K597=INT($K597),$K599=INT($K599)),"","Error"),""),"")</f>
        <v/>
      </c>
      <c r="L595" s="110" t="str">
        <f ca="1">IF($Q597&lt;&gt;"",IF(AND($L597&lt;&gt;"",$L599&lt;&gt;""), IF(AND(AND($L597&gt;-1,$L599&gt;-1),OR($L597&gt;10,$L599&gt;10),ABS($L597-$L599)&gt;1,IF(OR($L597&gt;11,$L599&gt;11),ABS($L597-$L599)=2,TRUE),$L597=INT($L597),$L599=INT($L599)),"","Error"),""),"")</f>
        <v/>
      </c>
      <c r="Q595" s="6"/>
      <c r="R595" s="259" t="str">
        <f>$B570</f>
        <v>E</v>
      </c>
      <c r="S595" s="307" t="str">
        <f ca="1">IF($B590&lt;&gt;"",$B590,"")</f>
        <v/>
      </c>
      <c r="T595" s="308"/>
      <c r="U595" s="308"/>
      <c r="V595" s="308"/>
      <c r="W595" s="308"/>
      <c r="X595" s="309"/>
      <c r="Y595" s="284"/>
      <c r="Z595" s="284"/>
      <c r="AA595" s="284"/>
      <c r="AB595" s="284"/>
      <c r="AC595" s="284"/>
      <c r="AD595" s="296"/>
      <c r="AE595" s="290"/>
      <c r="AF595" s="291"/>
    </row>
    <row r="596" spans="1:32" ht="12.75" customHeight="1" x14ac:dyDescent="0.25">
      <c r="A596" s="5" t="s">
        <v>160</v>
      </c>
      <c r="B596" s="256" t="s">
        <v>58</v>
      </c>
      <c r="C596" s="257"/>
      <c r="D596" s="257"/>
      <c r="E596" s="257"/>
      <c r="F596" s="257"/>
      <c r="G596" s="258"/>
      <c r="H596" s="5">
        <v>1</v>
      </c>
      <c r="I596" s="5">
        <v>2</v>
      </c>
      <c r="J596" s="5">
        <v>3</v>
      </c>
      <c r="K596" s="5">
        <v>4</v>
      </c>
      <c r="L596" s="5">
        <v>5</v>
      </c>
      <c r="M596" s="270"/>
      <c r="N596" s="271"/>
      <c r="O596" s="271"/>
      <c r="P596" s="272"/>
      <c r="Q596" s="6"/>
      <c r="R596" s="285"/>
      <c r="S596" s="310"/>
      <c r="T596" s="311"/>
      <c r="U596" s="311"/>
      <c r="V596" s="311"/>
      <c r="W596" s="311"/>
      <c r="X596" s="312"/>
      <c r="Y596" s="285"/>
      <c r="Z596" s="285"/>
      <c r="AA596" s="285"/>
      <c r="AB596" s="285"/>
      <c r="AC596" s="285"/>
      <c r="AD596" s="292"/>
      <c r="AE596" s="293"/>
      <c r="AF596" s="294"/>
    </row>
    <row r="597" spans="1:32" ht="12.75" customHeight="1" x14ac:dyDescent="0.25">
      <c r="A597" s="259" t="str">
        <f>B570</f>
        <v>E</v>
      </c>
      <c r="B597" s="236" t="str">
        <f ca="1">IF(AND(OFFSET($AO$1,$C570-1,8,1,1),$A571&lt;&gt;"",$J571&lt;&gt;""),CHOOSE($C570,$AR$1,$AR$2,$AR$3,$AR$4,$AR$5,$AR$6,$AR$7,$AR$8,$AR$9,$AR$10,$AR$11,$AR$12),"")</f>
        <v/>
      </c>
      <c r="C597" s="237"/>
      <c r="D597" s="237"/>
      <c r="E597" s="237"/>
      <c r="F597" s="237"/>
      <c r="G597" s="237"/>
      <c r="H597" s="233"/>
      <c r="I597" s="233"/>
      <c r="J597" s="233"/>
      <c r="K597" s="233"/>
      <c r="L597" s="233" t="str">
        <f ca="1">IF(AND($B597&lt;&gt;"",$Q576&lt;&gt;""),IF($B597="Missing Player",0,IF($B599="Missing Player",11,"")),"")</f>
        <v/>
      </c>
      <c r="M597" s="245" t="str">
        <f ca="1">IF(OR(AND($B590&lt;&gt;"",$B597&lt;&gt;"",$E601&lt;=$D601),AND($B592&lt;&gt;"",$B599&lt;&gt;"",$I601&lt;=$H601)),"Invalid Lineup","")</f>
        <v/>
      </c>
      <c r="N597" s="246"/>
      <c r="O597" s="246"/>
      <c r="P597" s="247"/>
      <c r="Q597" s="40" t="str">
        <f ca="1">IF($L597=$L599,IF($K597=$K599,IF($J597&lt;&gt;"",IF($J597&gt;$J599,"W","L"),""),IF($K597&gt;$K599,"W","L")),IF($L597&gt;$L599,"W","L"))</f>
        <v/>
      </c>
      <c r="R597" s="259" t="str">
        <f>$K570</f>
        <v>F</v>
      </c>
      <c r="S597" s="307" t="str">
        <f ca="1">IF($B592&lt;&gt;"",$B592,"")</f>
        <v/>
      </c>
      <c r="T597" s="308"/>
      <c r="U597" s="308"/>
      <c r="V597" s="308"/>
      <c r="W597" s="308"/>
      <c r="X597" s="309"/>
      <c r="Y597" s="284"/>
      <c r="Z597" s="284"/>
      <c r="AA597" s="284"/>
      <c r="AB597" s="284"/>
      <c r="AC597" s="297"/>
      <c r="AD597" s="289" t="s">
        <v>169</v>
      </c>
      <c r="AE597" s="290"/>
      <c r="AF597" s="291"/>
    </row>
    <row r="598" spans="1:32" ht="12.75" customHeight="1" x14ac:dyDescent="0.25">
      <c r="A598" s="260"/>
      <c r="B598" s="238"/>
      <c r="C598" s="239"/>
      <c r="D598" s="239"/>
      <c r="E598" s="239"/>
      <c r="F598" s="239"/>
      <c r="G598" s="239"/>
      <c r="H598" s="234"/>
      <c r="I598" s="234"/>
      <c r="J598" s="234"/>
      <c r="K598" s="234"/>
      <c r="L598" s="234"/>
      <c r="M598" s="245"/>
      <c r="N598" s="246"/>
      <c r="O598" s="246"/>
      <c r="P598" s="247"/>
      <c r="Q598" s="110" t="str">
        <f ca="1">IF($Q597&lt;&gt;"",IF($B599&lt;&gt;"Missing Player",IF($Q597="W",IF(SUM(IF($H597&gt;$H599,1,0),IF($I597&gt;$I599,1,0),IF($J597&gt;$J599,1,0),IF($K597&gt;$K599,1,0),IF($L597&gt;$L599,1,0))&lt;&gt;3,"Error",""),""),""),"")</f>
        <v/>
      </c>
      <c r="R598" s="285"/>
      <c r="S598" s="310"/>
      <c r="T598" s="311"/>
      <c r="U598" s="311"/>
      <c r="V598" s="311"/>
      <c r="W598" s="311"/>
      <c r="X598" s="312"/>
      <c r="Y598" s="285"/>
      <c r="Z598" s="285"/>
      <c r="AA598" s="285"/>
      <c r="AB598" s="285"/>
      <c r="AC598" s="285"/>
      <c r="AD598" s="292"/>
      <c r="AE598" s="293"/>
      <c r="AF598" s="294"/>
    </row>
    <row r="599" spans="1:32" ht="12.75" customHeight="1" x14ac:dyDescent="0.25">
      <c r="A599" s="259" t="str">
        <f>K570</f>
        <v>F</v>
      </c>
      <c r="B599" s="236" t="str">
        <f ca="1">IF(AND(OFFSET($AO$1,$L570-1,8,1,1),$A571&lt;&gt;"",$J571&lt;&gt;""),CHOOSE($L570,$AR$1,$AR$2,$AR$3,$AR$4,$AR$5,$AR$6,$AR$7,$AR$8,$AR$9,$AR$10,$AR$11,$AR$12),"")</f>
        <v/>
      </c>
      <c r="C599" s="237"/>
      <c r="D599" s="237"/>
      <c r="E599" s="237"/>
      <c r="F599" s="237"/>
      <c r="G599" s="237"/>
      <c r="H599" s="233"/>
      <c r="I599" s="233"/>
      <c r="J599" s="233"/>
      <c r="K599" s="233"/>
      <c r="L599" s="233" t="str">
        <f ca="1">IF(AND($B599&lt;&gt;"",$Q576&lt;&gt;""),IF($B599="Missing Player",0,IF($B597="Missing Player",11,"")),"")</f>
        <v/>
      </c>
      <c r="M599" s="250" t="s">
        <v>169</v>
      </c>
      <c r="N599" s="251"/>
      <c r="O599" s="251"/>
      <c r="P599" s="252"/>
      <c r="Q599" s="40" t="str">
        <f ca="1">IF($Q597&lt;&gt;"",IF($Q597="W","L","W"),"")</f>
        <v/>
      </c>
      <c r="R599" s="94"/>
      <c r="S599" s="84"/>
      <c r="T599" s="84"/>
      <c r="U599" s="84"/>
      <c r="V599" s="84"/>
      <c r="W599" s="84"/>
      <c r="X599" s="84"/>
      <c r="Y599" s="93"/>
      <c r="Z599" s="93"/>
      <c r="AA599" s="93"/>
      <c r="AB599" s="93"/>
      <c r="AC599" s="93"/>
      <c r="AD599" s="92"/>
      <c r="AE599" s="93"/>
      <c r="AF599" s="93"/>
    </row>
    <row r="600" spans="1:32" ht="12.75" customHeight="1" x14ac:dyDescent="0.25">
      <c r="A600" s="260"/>
      <c r="B600" s="238"/>
      <c r="C600" s="239"/>
      <c r="D600" s="239"/>
      <c r="E600" s="239"/>
      <c r="F600" s="239"/>
      <c r="G600" s="239"/>
      <c r="H600" s="234"/>
      <c r="I600" s="234"/>
      <c r="J600" s="235"/>
      <c r="K600" s="235"/>
      <c r="L600" s="235"/>
      <c r="M600" s="250"/>
      <c r="N600" s="251"/>
      <c r="O600" s="251"/>
      <c r="P600" s="252"/>
      <c r="Q600" s="110" t="str">
        <f ca="1">IF($Q599&lt;&gt;"",IF($B597&lt;&gt;"Missing Player",IF($Q599="W",IF(SUM(IF($H599&gt;$H597,1,0),IF($I599&gt;$I597,1,0),IF($J599&gt;$J597,1,0),IF($K599&gt;$K597,1,0),IF($L599&gt;$L597,1,0))&lt;&gt;3,"Error",""),""),""),"")</f>
        <v/>
      </c>
      <c r="R600" s="85"/>
      <c r="S600" s="95"/>
      <c r="T600" s="95"/>
      <c r="U600" s="95"/>
      <c r="V600" s="95"/>
      <c r="W600" s="95"/>
      <c r="X600" s="95"/>
      <c r="Y600" s="85"/>
      <c r="Z600" s="85"/>
      <c r="AA600" s="85"/>
      <c r="AB600" s="85"/>
      <c r="AC600" s="85"/>
      <c r="AD600" s="85"/>
      <c r="AE600" s="85"/>
      <c r="AF600" s="85"/>
    </row>
    <row r="601" spans="1:32" ht="12.75" customHeight="1" x14ac:dyDescent="0.25">
      <c r="B601" s="111" t="str">
        <f ca="1">IF(ISERROR(VLOOKUP($B576&amp;"("&amp;$B570&amp;")",Players!$S$4:$T$132,2,FALSE)),"",VLOOKUP($B576&amp;"("&amp;$B570&amp;")",Players!$S$4:$T$132,2,FALSE))</f>
        <v>E1</v>
      </c>
      <c r="C601" s="111" t="str">
        <f ca="1">IF(ISERROR(VLOOKUP($B583&amp;"("&amp;$B570&amp;")",Players!$S$4:$T$132,2,FALSE)),"",VLOOKUP($B583&amp;"("&amp;$B570&amp;")",Players!$S$4:$T$132,2,FALSE))</f>
        <v>E1</v>
      </c>
      <c r="D601" s="111" t="str">
        <f ca="1">IF(ISERROR(VLOOKUP($B590&amp;"("&amp;$B570&amp;")",Players!$S$4:$T$132,2,FALSE)),"",VLOOKUP($B590&amp;"("&amp;$B570&amp;")",Players!$S$4:$T$132,2,FALSE))</f>
        <v>E1</v>
      </c>
      <c r="E601" s="111" t="str">
        <f ca="1">IF(ISERROR(VLOOKUP($B597&amp;"("&amp;$B570&amp;")",Players!$S$4:$T$132,2,FALSE)),"",VLOOKUP($B597&amp;"("&amp;$B570&amp;")",Players!$S$4:$T$132,2,FALSE))</f>
        <v>E1</v>
      </c>
      <c r="F601" s="111" t="str">
        <f ca="1">IF(ISERROR(VLOOKUP($B578&amp;"("&amp;$K570&amp;")",Players!$S$4:$T$132,2,FALSE)),"",VLOOKUP($B578&amp;"("&amp;$K570&amp;")",Players!$S$4:$T$132,2,FALSE))</f>
        <v>F1</v>
      </c>
      <c r="G601" s="111" t="str">
        <f ca="1">IF(ISERROR(VLOOKUP($B585&amp;"("&amp;$K570&amp;")",Players!$S$4:$T$132,2,FALSE)),"",VLOOKUP($B585&amp;"("&amp;$K570&amp;")",Players!$S$4:$T$132,2,FALSE))</f>
        <v>F1</v>
      </c>
      <c r="H601" s="111" t="str">
        <f ca="1">IF(ISERROR(VLOOKUP($B592&amp;"("&amp;$K570&amp;")",Players!$S$4:$T$132,2,FALSE)),"",VLOOKUP($B592&amp;"("&amp;$K570&amp;")",Players!$S$4:$T$132,2,FALSE))</f>
        <v>F1</v>
      </c>
      <c r="I601" s="111" t="str">
        <f ca="1">IF(ISERROR(VLOOKUP($B599&amp;"("&amp;$K570&amp;")",Players!$S$4:$T$132,2,FALSE)),"",VLOOKUP($B599&amp;"("&amp;$K570&amp;")",Players!$S$4:$T$132,2,FALSE))</f>
        <v>F1</v>
      </c>
      <c r="Q601" s="6"/>
      <c r="R601" s="37"/>
      <c r="S601" s="95"/>
      <c r="T601" s="95"/>
      <c r="U601" s="95"/>
      <c r="V601" s="95"/>
      <c r="W601" s="95"/>
      <c r="X601" s="95"/>
      <c r="Y601" s="85"/>
      <c r="Z601" s="85"/>
      <c r="AA601" s="85"/>
      <c r="AB601" s="85"/>
      <c r="AC601" s="96"/>
      <c r="AD601" s="97"/>
      <c r="AE601" s="85"/>
      <c r="AF601" s="85"/>
    </row>
    <row r="602" spans="1:32" ht="12.75" customHeight="1" x14ac:dyDescent="0.25">
      <c r="A602" s="15" t="s">
        <v>157</v>
      </c>
      <c r="H602" s="110" t="str">
        <f ca="1">IF($Q604&lt;&gt;"",IF(AND($B605&lt;&gt;"Missing Player",$B607&lt;&gt;"Missing Player"),IF(AND(AND($H604&gt;-1,$H606&gt;-1),OR($H604&gt;10,$H606&gt;10),ABS($H604-$H606)&gt;1,IF(OR($H604&gt;11,$H606&gt;11),ABS($H604-$H606)=2,TRUE),$H604=INT($H604),$H606=INT($H606)),"","Error"),""),"")</f>
        <v/>
      </c>
      <c r="I602" s="110" t="str">
        <f ca="1">IF($Q604&lt;&gt;"",IF(AND($B605&lt;&gt;"Missing Player",$B607&lt;&gt;"Missing Player"),IF(AND(AND($I604&gt;-1,$I606&gt;-1),OR($I604&gt;10,$I606&gt;10),ABS($I604-$I606)&gt;1,IF(OR($I604&gt;11,$I606&gt;11),ABS($I604-$I606)=2,TRUE),$I604=INT($I604),$I606=INT($I606)),"","Error"),""),"")</f>
        <v/>
      </c>
      <c r="J602" s="110" t="str">
        <f ca="1">IF($Q604&lt;&gt;"",IF(AND($B605&lt;&gt;"Missing Player",$B607&lt;&gt;"Missing Player"),IF(AND(AND($J604&gt;-1,$J606&gt;-1),OR($J604&gt;10,$J606&gt;10),ABS($J604-$J606)&gt;1,IF(OR($J604&gt;11,$J606&gt;11),ABS($J604-$J606)=2,TRUE),$J604=INT($J604),$J606=INT($J606)),"","Error"),""),"")</f>
        <v/>
      </c>
      <c r="K602" s="110" t="str">
        <f ca="1">IF($Q604&lt;&gt;"",IF(AND($K604&lt;&gt;"",$K606&lt;&gt;""), IF(AND(AND($K604&gt;-1,$K606&gt;-1),OR($K604&gt;10,$K606&gt;10),ABS($K604-$K606)&gt;1,IF(OR($K604&gt;11,$K606&gt;11),ABS($K604-$K606)=2,TRUE),$K604=INT($K604),$K606=INT($K606)),"","Error"),""),"")</f>
        <v/>
      </c>
      <c r="L602" s="110" t="str">
        <f ca="1">IF($Q604&lt;&gt;"",IF(AND($L604&lt;&gt;"",$L606&lt;&gt;""), IF(AND(AND($L604&gt;-1,$L606&gt;-1),OR($L604&gt;10,$L606&gt;10),ABS($L604-$L606)&gt;1,IF(OR($L604&gt;11,$L606&gt;11),ABS($L604-$L606)=2,TRUE),$L604=INT($L604),$L606=INT($L606)),"","Error"),""),"")</f>
        <v/>
      </c>
      <c r="Q602" s="6"/>
      <c r="R602" s="85"/>
      <c r="S602" s="95"/>
      <c r="T602" s="95"/>
      <c r="U602" s="95"/>
      <c r="V602" s="95"/>
      <c r="W602" s="95"/>
      <c r="X602" s="95"/>
      <c r="Y602" s="85"/>
      <c r="Z602" s="85"/>
      <c r="AA602" s="85"/>
      <c r="AB602" s="85"/>
      <c r="AC602" s="85"/>
      <c r="AD602" s="85"/>
      <c r="AE602" s="85"/>
      <c r="AF602" s="85"/>
    </row>
    <row r="603" spans="1:32" ht="12.75" customHeight="1" x14ac:dyDescent="0.25">
      <c r="A603" s="5" t="s">
        <v>160</v>
      </c>
      <c r="B603" s="256" t="s">
        <v>58</v>
      </c>
      <c r="C603" s="257"/>
      <c r="D603" s="257"/>
      <c r="E603" s="257"/>
      <c r="F603" s="257"/>
      <c r="G603" s="258"/>
      <c r="H603" s="5">
        <v>1</v>
      </c>
      <c r="I603" s="5">
        <v>2</v>
      </c>
      <c r="J603" s="5">
        <v>3</v>
      </c>
      <c r="K603" s="5">
        <v>4</v>
      </c>
      <c r="L603" s="5">
        <v>5</v>
      </c>
      <c r="M603" s="270"/>
      <c r="N603" s="271"/>
      <c r="O603" s="271"/>
      <c r="P603" s="272"/>
      <c r="Q603" s="6"/>
      <c r="T603" s="7"/>
    </row>
    <row r="604" spans="1:32" ht="12.75" customHeight="1" x14ac:dyDescent="0.25">
      <c r="A604" s="259" t="str">
        <f>B570</f>
        <v>E</v>
      </c>
      <c r="B604" s="278" t="str">
        <f ca="1">IF($B576&lt;&gt;"",$B576,"")</f>
        <v/>
      </c>
      <c r="C604" s="279"/>
      <c r="D604" s="279"/>
      <c r="E604" s="279"/>
      <c r="F604" s="279"/>
      <c r="G604" s="280"/>
      <c r="H604" s="233"/>
      <c r="I604" s="233"/>
      <c r="J604" s="233"/>
      <c r="K604" s="233"/>
      <c r="L604" s="233" t="str">
        <f ca="1">IF($B597&lt;&gt;"",IF(AND($B597="Missing Player",$G608=2,$J608=2),0,IF(AND($B599="Missing Player",$G608=2,$J608=2),11,"")),"")</f>
        <v/>
      </c>
      <c r="M604" s="245" t="str">
        <f ca="1">IF(OR(AND($B604&lt;&gt;"",$B605&lt;&gt;"",$B604=$B605),AND($B606&lt;&gt;"",$B607&lt;&gt;"",$B606=$B607)),"Invalid Partner","")</f>
        <v/>
      </c>
      <c r="N604" s="246"/>
      <c r="O604" s="246"/>
      <c r="P604" s="247"/>
      <c r="Q604" s="37" t="str">
        <f ca="1">IF(L604=L606,IF(K604=K606,IF(J604&lt;&gt;"",IF(J604&gt;J606,"W","L"),""),IF(K604&gt;K606,"W","L")),IF(L604&gt;L606,"W","L"))</f>
        <v/>
      </c>
      <c r="T604" s="7"/>
    </row>
    <row r="605" spans="1:32" ht="12.75" customHeight="1" x14ac:dyDescent="0.25">
      <c r="A605" s="260"/>
      <c r="B605" s="266" t="str">
        <f ca="1">IF($B597="Missing Player",$B597,"")</f>
        <v/>
      </c>
      <c r="C605" s="267"/>
      <c r="D605" s="267"/>
      <c r="E605" s="267"/>
      <c r="F605" s="267"/>
      <c r="G605" s="268"/>
      <c r="H605" s="234"/>
      <c r="I605" s="234"/>
      <c r="J605" s="234"/>
      <c r="K605" s="234"/>
      <c r="L605" s="234"/>
      <c r="M605" s="245"/>
      <c r="N605" s="246"/>
      <c r="O605" s="246"/>
      <c r="P605" s="247"/>
      <c r="Q605" s="110" t="str">
        <f ca="1">IF($Q604&lt;&gt;"",IF($B607&lt;&gt;"Missing Player",IF($Q604="W",IF(SUM(IF($H604&gt;$H606,1,0),IF($I604&gt;$I606,1,0),IF($J604&gt;$J606,1,0),IF($K604&gt;$K606,1,0),IF($L604&gt;$L606,1,0))&lt;&gt;3,"Error",""),""),""),"")</f>
        <v/>
      </c>
      <c r="R605" s="295" t="str">
        <f>$A571</f>
        <v/>
      </c>
      <c r="S605" s="295"/>
      <c r="T605" s="295"/>
      <c r="U605" s="295"/>
      <c r="V605" s="295"/>
      <c r="W605" s="295"/>
      <c r="X605" s="219" t="str">
        <f>CONCATENATE("(",$B570," vs ",$K570,")")</f>
        <v>(E vs F)</v>
      </c>
      <c r="Y605" s="219"/>
      <c r="Z605" s="295" t="str">
        <f>$J571</f>
        <v/>
      </c>
      <c r="AA605" s="295"/>
      <c r="AB605" s="295"/>
      <c r="AC605" s="295"/>
      <c r="AD605" s="295"/>
      <c r="AE605" s="295"/>
      <c r="AF605"/>
    </row>
    <row r="606" spans="1:32" ht="12.75" customHeight="1" x14ac:dyDescent="0.25">
      <c r="A606" s="265" t="str">
        <f>K570</f>
        <v>F</v>
      </c>
      <c r="B606" s="230" t="str">
        <f ca="1">IF($B578&lt;&gt;"",$B578,"")</f>
        <v/>
      </c>
      <c r="C606" s="231"/>
      <c r="D606" s="231"/>
      <c r="E606" s="231"/>
      <c r="F606" s="231"/>
      <c r="G606" s="232"/>
      <c r="H606" s="233"/>
      <c r="I606" s="233"/>
      <c r="J606" s="233"/>
      <c r="K606" s="233"/>
      <c r="L606" s="233" t="str">
        <f ca="1">IF($B599&lt;&gt;"",IF(AND($B599="Missing Player",$G608=2,$J608=2),0,IF(AND($B597="Missing Player",$G608=2,$J608=2),11,"")),"")</f>
        <v/>
      </c>
      <c r="M606" s="250" t="s">
        <v>169</v>
      </c>
      <c r="N606" s="251"/>
      <c r="O606" s="251"/>
      <c r="P606" s="252"/>
      <c r="Q606" s="37" t="str">
        <f ca="1">IF(Q604&lt;&gt;"",IF(Q604="W","L","W"),"")</f>
        <v/>
      </c>
      <c r="R606"/>
      <c r="S606"/>
      <c r="T606"/>
      <c r="U606"/>
      <c r="V606"/>
      <c r="W606"/>
      <c r="X606"/>
      <c r="Y606"/>
      <c r="Z606"/>
      <c r="AA606"/>
      <c r="AB606"/>
      <c r="AC606"/>
      <c r="AD606"/>
      <c r="AE606"/>
      <c r="AF606"/>
    </row>
    <row r="607" spans="1:32" ht="12.75" customHeight="1" x14ac:dyDescent="0.25">
      <c r="A607" s="260"/>
      <c r="B607" s="266" t="str">
        <f ca="1">IF($B599="Missing Player",$B599,"")</f>
        <v/>
      </c>
      <c r="C607" s="267"/>
      <c r="D607" s="267"/>
      <c r="E607" s="267"/>
      <c r="F607" s="267"/>
      <c r="G607" s="268"/>
      <c r="H607" s="234"/>
      <c r="I607" s="234"/>
      <c r="J607" s="235"/>
      <c r="K607" s="235"/>
      <c r="L607" s="235"/>
      <c r="M607" s="250"/>
      <c r="N607" s="251"/>
      <c r="O607" s="251"/>
      <c r="P607" s="252"/>
      <c r="Q607" s="110" t="str">
        <f ca="1">IF($Q606&lt;&gt;"",IF($B605&lt;&gt;"Missing Player",IF($Q606="W",IF(SUM(IF($H606&gt;$H604,1,0),IF($I606&gt;$I604,1,0),IF($J606&gt;$J604,1,0),IF($K606&gt;$K604,1,0),IF($L606&gt;$L604,1,0))&lt;&gt;3,"Error",""),""),""),"")</f>
        <v/>
      </c>
      <c r="R607" t="str">
        <f>A595</f>
        <v>4th Singles</v>
      </c>
      <c r="S607"/>
      <c r="T607"/>
      <c r="U607"/>
      <c r="V607"/>
      <c r="W607"/>
      <c r="X607"/>
      <c r="Y607"/>
      <c r="Z607"/>
      <c r="AA607"/>
      <c r="AB607"/>
      <c r="AC607"/>
      <c r="AD607"/>
      <c r="AE607"/>
      <c r="AF607"/>
    </row>
    <row r="608" spans="1:32" ht="12.75" customHeight="1" x14ac:dyDescent="0.25">
      <c r="G608" s="53">
        <f ca="1">COUNTIF($Q576:$Q576,"W")+COUNTIF($Q583:$Q583,"W")+COUNTIF($Q590:$Q590,"W")+COUNTIF($Q597:$Q597,"W")</f>
        <v>0</v>
      </c>
      <c r="J608" s="53">
        <f ca="1">COUNTIF($Q578:$Q578,"W")+COUNTIF($Q585:$Q585,"W")+COUNTIF($Q592:$Q592,"W")+COUNTIF($Q599:$Q599,"W")</f>
        <v>0</v>
      </c>
      <c r="R608" s="47" t="s">
        <v>160</v>
      </c>
      <c r="S608" s="304" t="s">
        <v>58</v>
      </c>
      <c r="T608" s="305"/>
      <c r="U608" s="305"/>
      <c r="V608" s="305"/>
      <c r="W608" s="305"/>
      <c r="X608" s="306"/>
      <c r="Y608" s="47">
        <v>1</v>
      </c>
      <c r="Z608" s="47">
        <v>2</v>
      </c>
      <c r="AA608" s="47">
        <v>3</v>
      </c>
      <c r="AB608" s="47">
        <v>4</v>
      </c>
      <c r="AC608" s="47">
        <v>5</v>
      </c>
      <c r="AD608" s="286"/>
      <c r="AE608" s="287"/>
      <c r="AF608" s="288"/>
    </row>
    <row r="609" spans="1:32" ht="12.75" customHeight="1" thickBot="1" x14ac:dyDescent="0.3">
      <c r="F609" s="212" t="s">
        <v>170</v>
      </c>
      <c r="G609" s="212"/>
      <c r="H609" s="212"/>
      <c r="I609" s="212"/>
      <c r="J609" s="212"/>
      <c r="K609" s="212"/>
      <c r="R609" s="259" t="str">
        <f>B570</f>
        <v>E</v>
      </c>
      <c r="S609" s="307" t="str">
        <f ca="1">IF($B597&lt;&gt;"",$B597,"")</f>
        <v/>
      </c>
      <c r="T609" s="308"/>
      <c r="U609" s="308"/>
      <c r="V609" s="308"/>
      <c r="W609" s="308"/>
      <c r="X609" s="309"/>
      <c r="Y609" s="284"/>
      <c r="Z609" s="284"/>
      <c r="AA609" s="297"/>
      <c r="AB609" s="297"/>
      <c r="AC609" s="297"/>
      <c r="AD609" s="296"/>
      <c r="AE609" s="298"/>
      <c r="AF609" s="299"/>
    </row>
    <row r="610" spans="1:32" ht="12.75" customHeight="1" x14ac:dyDescent="0.25">
      <c r="A610" s="16"/>
      <c r="B610" s="16"/>
      <c r="C610" s="16"/>
      <c r="D610" s="16"/>
      <c r="E610" s="16"/>
      <c r="G610" s="261" t="str">
        <f>B570</f>
        <v>E</v>
      </c>
      <c r="H610" s="262"/>
      <c r="I610" s="263" t="str">
        <f>K570</f>
        <v>F</v>
      </c>
      <c r="J610" s="264"/>
      <c r="L610" s="16"/>
      <c r="M610" s="16"/>
      <c r="N610" s="16"/>
      <c r="O610" s="16"/>
      <c r="P610" s="16"/>
      <c r="R610" s="260"/>
      <c r="S610" s="310"/>
      <c r="T610" s="311"/>
      <c r="U610" s="311"/>
      <c r="V610" s="311"/>
      <c r="W610" s="311"/>
      <c r="X610" s="312"/>
      <c r="Y610" s="285"/>
      <c r="Z610" s="285"/>
      <c r="AA610" s="303"/>
      <c r="AB610" s="303"/>
      <c r="AC610" s="303"/>
      <c r="AD610" s="300"/>
      <c r="AE610" s="301"/>
      <c r="AF610" s="302"/>
    </row>
    <row r="611" spans="1:32" ht="12.75" customHeight="1" thickBot="1" x14ac:dyDescent="0.3">
      <c r="A611" s="2" t="s">
        <v>160</v>
      </c>
      <c r="B611" s="40" t="str">
        <f>B570</f>
        <v>E</v>
      </c>
      <c r="C611" s="3" t="s">
        <v>158</v>
      </c>
      <c r="F611" s="53" t="str">
        <f>CONCATENATE($B570,"-",$K570)</f>
        <v>E-F</v>
      </c>
      <c r="G611" s="240" t="str">
        <f ca="1">IF(OR(Q576&lt;&gt;"",Q583&lt;&gt;"",Q590&lt;&gt;"",Q597&lt;&gt;"",Q604&lt;&gt;""),COUNTIF(Q576:Q576,"W")+COUNTIF(Q583:Q583,"W")+COUNTIF(Q590:Q590,"W")+COUNTIF(Q597:Q597,"W")+COUNTIF(Q604:Q604,"W"),"")</f>
        <v/>
      </c>
      <c r="H611" s="241"/>
      <c r="I611" s="242" t="str">
        <f ca="1">IF(OR(Q578&lt;&gt;"",Q585&lt;&gt;"",Q592&lt;&gt;"",Q599&lt;&gt;"",Q606&lt;&gt;""),COUNTIF(Q578:Q578,"W")+COUNTIF(Q585:Q585,"W")+COUNTIF(Q592:Q592,"W")+COUNTIF(Q599:Q599,"W")+COUNTIF(Q606:Q606,"W"),"")</f>
        <v/>
      </c>
      <c r="J611" s="243"/>
      <c r="L611" s="2" t="s">
        <v>160</v>
      </c>
      <c r="M611" s="40" t="str">
        <f>K570</f>
        <v>F</v>
      </c>
      <c r="N611" s="3" t="s">
        <v>158</v>
      </c>
      <c r="R611" s="259" t="str">
        <f>K570</f>
        <v>F</v>
      </c>
      <c r="S611" s="307" t="str">
        <f ca="1">IF($B599&lt;&gt;"",$B599,"")</f>
        <v/>
      </c>
      <c r="T611" s="308"/>
      <c r="U611" s="308"/>
      <c r="V611" s="308"/>
      <c r="W611" s="308"/>
      <c r="X611" s="309"/>
      <c r="Y611" s="284"/>
      <c r="Z611" s="284"/>
      <c r="AA611" s="297"/>
      <c r="AB611" s="297"/>
      <c r="AC611" s="297"/>
      <c r="AD611" s="289" t="s">
        <v>169</v>
      </c>
      <c r="AE611" s="290"/>
      <c r="AF611" s="291"/>
    </row>
    <row r="612" spans="1:32" ht="12.75" customHeight="1" x14ac:dyDescent="0.35">
      <c r="F612" s="18" t="s">
        <v>403</v>
      </c>
      <c r="G612" s="17"/>
      <c r="H612" s="17"/>
      <c r="I612" s="17"/>
      <c r="J612" s="17"/>
      <c r="R612" s="285"/>
      <c r="S612" s="310"/>
      <c r="T612" s="311"/>
      <c r="U612" s="311"/>
      <c r="V612" s="311"/>
      <c r="W612" s="311"/>
      <c r="X612" s="312"/>
      <c r="Y612" s="285"/>
      <c r="Z612" s="285"/>
      <c r="AA612" s="285"/>
      <c r="AB612" s="285"/>
      <c r="AC612" s="285"/>
      <c r="AD612" s="292"/>
      <c r="AE612" s="293"/>
      <c r="AF612" s="294"/>
    </row>
    <row r="613" spans="1:32" ht="12.75" customHeight="1" x14ac:dyDescent="0.25">
      <c r="R613" s="1"/>
      <c r="S613" s="11"/>
      <c r="T613" s="11"/>
      <c r="U613" s="11"/>
      <c r="V613" s="11"/>
      <c r="W613" s="11"/>
    </row>
    <row r="614" spans="1:32" ht="12.75" customHeight="1" x14ac:dyDescent="0.25">
      <c r="F614" s="212"/>
      <c r="G614" s="212"/>
      <c r="H614" s="212"/>
      <c r="I614" s="212"/>
      <c r="R614" s="1"/>
      <c r="S614" s="11"/>
      <c r="T614" s="11"/>
      <c r="U614" s="11"/>
      <c r="V614" s="11"/>
      <c r="W614" s="11"/>
    </row>
    <row r="615" spans="1:32" ht="12.75" customHeight="1" x14ac:dyDescent="0.25">
      <c r="F615" s="212"/>
      <c r="G615" s="212"/>
      <c r="H615" s="212"/>
      <c r="I615" s="212"/>
      <c r="R615" s="1"/>
      <c r="S615" s="11"/>
      <c r="T615" s="11"/>
      <c r="U615" s="11"/>
      <c r="V615" s="11"/>
      <c r="W615" s="11"/>
    </row>
    <row r="616" spans="1:32" ht="12.75" customHeight="1" x14ac:dyDescent="0.25">
      <c r="K616" s="219" t="s">
        <v>176</v>
      </c>
      <c r="L616" s="219"/>
      <c r="M616" s="219"/>
      <c r="N616" s="219"/>
      <c r="O616" s="219"/>
      <c r="P616" s="219"/>
      <c r="R616" s="1"/>
      <c r="S616" s="11"/>
      <c r="T616" s="11"/>
      <c r="U616" s="11"/>
      <c r="V616" s="11"/>
      <c r="W616" s="11"/>
    </row>
    <row r="617" spans="1:32" ht="12.75" customHeight="1" x14ac:dyDescent="0.25">
      <c r="A617" s="9" t="s">
        <v>161</v>
      </c>
      <c r="B617"/>
      <c r="C617"/>
      <c r="D617" t="str">
        <f>Draw!$B$1</f>
        <v>Enter Division Name</v>
      </c>
      <c r="E617"/>
      <c r="F617" s="6"/>
      <c r="G617" s="6"/>
      <c r="H617" s="6"/>
      <c r="I617"/>
      <c r="J617"/>
      <c r="K617"/>
      <c r="L617"/>
      <c r="M617" s="219"/>
      <c r="N617" s="219"/>
      <c r="O617" s="219"/>
      <c r="P617" s="219"/>
      <c r="R617" s="1"/>
      <c r="S617" s="11"/>
      <c r="T617" s="11"/>
      <c r="U617" s="11"/>
      <c r="V617" s="11"/>
      <c r="W617" s="11"/>
    </row>
    <row r="618" spans="1:32" ht="12.75" customHeight="1" x14ac:dyDescent="0.25">
      <c r="A618" s="2" t="s">
        <v>162</v>
      </c>
      <c r="D618" t="str">
        <f>Draw!$D$1</f>
        <v>Enter Hosting Location (City, ST)</v>
      </c>
      <c r="J618" t="str">
        <f ca="1">$J$6</f>
        <v>[NCTTA Teams Template (v3.4).xlsx]</v>
      </c>
      <c r="R618" s="1"/>
      <c r="S618" s="11"/>
      <c r="T618" s="11"/>
      <c r="U618" s="11"/>
      <c r="V618" s="11"/>
      <c r="W618" s="11"/>
    </row>
    <row r="619" spans="1:32" ht="12.75" customHeight="1" x14ac:dyDescent="0.25">
      <c r="A619" s="2" t="s">
        <v>163</v>
      </c>
      <c r="D619" s="275" t="str">
        <f>Draw!$P$1</f>
        <v>Enter Date</v>
      </c>
      <c r="E619" s="275"/>
      <c r="F619" s="275"/>
      <c r="G619" s="275"/>
      <c r="J619" s="244" t="str">
        <f>CHOOSE(Draw!$T$1,"Round 3, Match 1","Round 5, Match 1","Round 1, Match 5","","","Round 5, Match 1","Round 5, Match 1","Round 4, Match 1","Round 4, Match 1","Round 3, Match 3","Round 3, Match 3")</f>
        <v>Round 3, Match 1</v>
      </c>
      <c r="K619" s="244"/>
      <c r="L619" s="244"/>
      <c r="M619" s="277" t="str">
        <f>IF(AND($J619&lt;&gt;"",Draw!$AC$10&lt;&gt;"",Draw!$AC$13&lt;&gt;""),Draw!$AC$10+TIME(0,VALUE(MID($J619,7,FIND(",",$J619)-FIND(" ",$J619)-1)-1)*Draw!$AC$13,0),"")</f>
        <v/>
      </c>
      <c r="N619" s="277"/>
      <c r="O619" s="125" t="str">
        <f>$F662</f>
        <v>A-J</v>
      </c>
      <c r="R619" s="1"/>
      <c r="S619" s="11"/>
      <c r="T619" s="11"/>
      <c r="U619" s="11"/>
      <c r="V619" s="11"/>
      <c r="W619" s="11"/>
    </row>
    <row r="620" spans="1:32" ht="12.75" customHeight="1" x14ac:dyDescent="0.25">
      <c r="A620" s="6"/>
      <c r="B620"/>
      <c r="C620"/>
      <c r="D620"/>
      <c r="E620"/>
      <c r="F620" s="6"/>
      <c r="G620" s="6"/>
      <c r="H620" s="11"/>
      <c r="I620" s="6"/>
      <c r="J620"/>
      <c r="K620"/>
      <c r="L620"/>
      <c r="M620"/>
      <c r="N620"/>
      <c r="O620" s="269" t="str">
        <f>IF(OR(AND(VLOOKUP($B621,$AM$1:$AX$12,12,FALSE)="C",VLOOKUP($K621,$AM$1:$AX$12,12,FALSE)="C"),AND(VLOOKUP($B621,$AM$1:$AX$12,12,FALSE)="W",VLOOKUP($K621,$AM$1:$AX$12,12,FALSE)="W")),"Official",IF(AND($A622="",$J622=""),"","Scrimmage"))</f>
        <v/>
      </c>
      <c r="P620" s="269"/>
      <c r="R620" s="1"/>
      <c r="S620" s="11"/>
      <c r="T620" s="11"/>
      <c r="U620" s="11"/>
      <c r="V620" s="11"/>
      <c r="W620" s="11"/>
    </row>
    <row r="621" spans="1:32" ht="12.75" customHeight="1" x14ac:dyDescent="0.25">
      <c r="A621" s="12" t="s">
        <v>160</v>
      </c>
      <c r="B621" s="98" t="str">
        <f>CHOOSE(Draw!$T$1,"A","A","I","A","A","A","A","A","A","F","B")</f>
        <v>A</v>
      </c>
      <c r="C621" s="109">
        <f>VLOOKUP($B621,$AM$1:$AN$12,2)</f>
        <v>1</v>
      </c>
      <c r="D621" s="10"/>
      <c r="E621" s="10"/>
      <c r="F621" s="8"/>
      <c r="H621" s="1" t="s">
        <v>164</v>
      </c>
      <c r="J621" s="12" t="s">
        <v>160</v>
      </c>
      <c r="K621" s="98" t="str">
        <f>CHOOSE(Draw!$T$1,"J","E","K","D","H","E","C","D","F","J","G")</f>
        <v>J</v>
      </c>
      <c r="L621" s="109">
        <f>VLOOKUP($K621,$AM$1:$AN$12,2)</f>
        <v>10</v>
      </c>
      <c r="M621" s="10"/>
      <c r="N621" s="10"/>
      <c r="O621" s="13"/>
      <c r="R621" s="1"/>
      <c r="S621" s="11"/>
      <c r="T621" s="11"/>
      <c r="U621" s="11"/>
      <c r="V621" s="11"/>
      <c r="W621" s="11"/>
    </row>
    <row r="622" spans="1:32" ht="12.75" customHeight="1" x14ac:dyDescent="0.25">
      <c r="A622" s="253" t="str">
        <f>IF(VLOOKUP($B621,Draw!$A$4:$B$27,2)&lt;&gt;0,VLOOKUP($B621,Draw!$A$4:$B$27,2),"")</f>
        <v/>
      </c>
      <c r="B622" s="254"/>
      <c r="C622" s="254"/>
      <c r="D622" s="254"/>
      <c r="E622" s="254"/>
      <c r="F622" s="255"/>
      <c r="G622" s="273" t="s">
        <v>416</v>
      </c>
      <c r="H622" s="249"/>
      <c r="I622" s="274"/>
      <c r="J622" s="253" t="str">
        <f>IF(VLOOKUP($K621,Draw!$A$4:$B$27,2)&lt;&gt;0,VLOOKUP($K621,Draw!$A$4:$B$27,2),"")</f>
        <v/>
      </c>
      <c r="K622" s="254"/>
      <c r="L622" s="254"/>
      <c r="M622" s="254"/>
      <c r="N622" s="254"/>
      <c r="O622" s="255"/>
      <c r="P622"/>
      <c r="R622" s="1"/>
      <c r="S622" s="11"/>
      <c r="T622" s="11"/>
      <c r="U622" s="11"/>
      <c r="V622" s="11"/>
      <c r="W622" s="11"/>
    </row>
    <row r="623" spans="1:32" ht="12.75" customHeight="1" x14ac:dyDescent="0.25">
      <c r="A623" s="6"/>
      <c r="B623"/>
      <c r="C623"/>
      <c r="D623"/>
      <c r="E623"/>
      <c r="F623" s="6"/>
      <c r="G623" s="248" t="str">
        <f>"Page "&amp;VALUE(RIGHT($G622,LEN($G622)-SEARCH("-",$G622)))/2</f>
        <v>Page 13</v>
      </c>
      <c r="H623" s="249"/>
      <c r="I623" s="249"/>
      <c r="J623"/>
      <c r="K623"/>
      <c r="L623"/>
      <c r="M623"/>
      <c r="N623"/>
      <c r="O623"/>
      <c r="P623"/>
      <c r="R623" s="1"/>
      <c r="S623" s="11"/>
      <c r="T623" s="11"/>
      <c r="U623" s="11"/>
      <c r="V623" s="11"/>
      <c r="W623" s="11"/>
      <c r="AF623"/>
    </row>
    <row r="624" spans="1:32" ht="12.75" customHeight="1" x14ac:dyDescent="0.25">
      <c r="A624" s="276" t="s">
        <v>177</v>
      </c>
      <c r="B624" s="276"/>
      <c r="C624" s="276"/>
      <c r="D624" s="276"/>
      <c r="E624" s="276"/>
      <c r="F624" s="276"/>
      <c r="G624" s="276"/>
      <c r="H624" s="276"/>
      <c r="I624" s="276"/>
      <c r="J624" s="276"/>
      <c r="K624" s="276"/>
      <c r="L624" s="276"/>
      <c r="M624" s="276"/>
      <c r="N624" s="276"/>
      <c r="O624" s="276"/>
      <c r="P624" s="276"/>
      <c r="Q624" s="6"/>
      <c r="R624" s="1"/>
      <c r="S624" s="11"/>
      <c r="T624" s="11"/>
      <c r="U624" s="11"/>
      <c r="V624" s="11"/>
      <c r="W624" s="11"/>
      <c r="AF624" s="14"/>
    </row>
    <row r="625" spans="1:32" ht="12.75" customHeight="1" x14ac:dyDescent="0.25">
      <c r="A625" s="15" t="s">
        <v>165</v>
      </c>
      <c r="H625" s="110" t="str">
        <f>IF($Q627&lt;&gt;"",IF(AND(AND($H627&gt;-1,$H629&gt;-1),OR($H627&gt;10,$H629&gt;10),ABS($H627-$H629)&gt;1,IF(OR($H627&gt;11,$H629&gt;11),ABS($H627-$H629)=2,TRUE),$H627=INT($H627),$H629=INT($H629)),"","Error"),"")</f>
        <v/>
      </c>
      <c r="I625" s="110" t="str">
        <f>IF($Q627&lt;&gt;"",IF(AND(AND($I627&gt;-1,$I629&gt;-1),OR($I627&gt;10,$I629&gt;10),ABS($I627-$I629)&gt;1,IF(OR($I627&gt;11,$I629&gt;11),ABS($I627-$I629)=2,TRUE),$I627=INT($I627),$I629=INT($I629)),"","Error"),"")</f>
        <v/>
      </c>
      <c r="J625" s="110" t="str">
        <f>IF($Q627&lt;&gt;"",IF(AND(AND($J627&gt;-1,$J629&gt;-1),OR($J627&gt;10,$J629&gt;10),ABS($J627-$J629)&gt;1,IF(OR($J627&gt;11,$J629&gt;11),ABS($J627-$J629)=2,TRUE),$J627=INT($J627),$J629=INT($J629)),"","Error"),"")</f>
        <v/>
      </c>
      <c r="K625" s="110" t="str">
        <f>IF($Q627&lt;&gt;"",IF(AND($K627&lt;&gt;"",$K629&lt;&gt;""), IF(AND(AND($K627&gt;-1,$K629&gt;-1),OR($K627&gt;10,$K629&gt;10),ABS($K627-$K629)&gt;1,IF(OR($K627&gt;11,$K629&gt;11),ABS($K627-$K629)=2,TRUE),$K627=INT($K627),$K629=INT($K629)),"","Error"),""),"")</f>
        <v/>
      </c>
      <c r="L625" s="110" t="str">
        <f>IF($Q627&lt;&gt;"",IF(AND($L627&lt;&gt;"",$L629&lt;&gt;""), IF(AND(AND($L627&gt;-1,$L629&gt;-1),OR($L627&gt;10,$L629&gt;10),ABS($L627-$L629)&gt;1,IF(OR($L627&gt;11,$L629&gt;11),ABS($L627-$L629)=2,TRUE),$L627=INT($L627),$L629=INT($L629)),"","Error"),""),"")</f>
        <v/>
      </c>
      <c r="R625" s="1"/>
      <c r="S625" s="11"/>
      <c r="T625" s="11"/>
      <c r="U625" s="11"/>
      <c r="V625" s="11"/>
      <c r="W625" s="11"/>
    </row>
    <row r="626" spans="1:32" ht="12.75" customHeight="1" x14ac:dyDescent="0.25">
      <c r="A626" s="5" t="s">
        <v>160</v>
      </c>
      <c r="B626" s="256" t="s">
        <v>58</v>
      </c>
      <c r="C626" s="257"/>
      <c r="D626" s="257"/>
      <c r="E626" s="257"/>
      <c r="F626" s="257"/>
      <c r="G626" s="258"/>
      <c r="H626" s="5">
        <v>1</v>
      </c>
      <c r="I626" s="5">
        <v>2</v>
      </c>
      <c r="J626" s="5">
        <v>3</v>
      </c>
      <c r="K626" s="5">
        <v>4</v>
      </c>
      <c r="L626" s="5">
        <v>5</v>
      </c>
      <c r="M626" s="270"/>
      <c r="N626" s="271"/>
      <c r="O626" s="271"/>
      <c r="P626" s="272"/>
      <c r="R626" s="1"/>
      <c r="S626" s="11"/>
      <c r="T626" s="11"/>
      <c r="U626" s="11"/>
      <c r="V626" s="11"/>
      <c r="W626" s="11"/>
    </row>
    <row r="627" spans="1:32" ht="12.75" customHeight="1" x14ac:dyDescent="0.25">
      <c r="A627" s="259" t="str">
        <f>B621</f>
        <v>A</v>
      </c>
      <c r="B627" s="236" t="str">
        <f ca="1">IF(AND(OFFSET($AO$1,$C621-1,8,1,1),$A622&lt;&gt;"",$J622&lt;&gt;""),CHOOSE($C621,$AO$1,$AO$2,$AO$3,$AO$4,$AO$5,$AO$6,$AO$7,$AO$8,$AO$9,$AO$10,$AO$11,$AO$12),"")</f>
        <v/>
      </c>
      <c r="C627" s="237"/>
      <c r="D627" s="237"/>
      <c r="E627" s="237"/>
      <c r="F627" s="237"/>
      <c r="G627" s="237"/>
      <c r="H627" s="233"/>
      <c r="I627" s="233"/>
      <c r="J627" s="233"/>
      <c r="K627" s="233"/>
      <c r="L627" s="233"/>
      <c r="M627" s="281"/>
      <c r="N627" s="282"/>
      <c r="O627" s="282"/>
      <c r="P627" s="283"/>
      <c r="Q627" s="40" t="str">
        <f>IF($L627=$L629,IF($K627=$K629,IF($J627&lt;&gt;"",IF($J627&gt;$J629,"W","L"),""),IF($K627&gt;$K629,"W","L")),IF($L627&gt;$L629,"W","L"))</f>
        <v/>
      </c>
      <c r="R627" s="1"/>
      <c r="S627" s="11"/>
      <c r="T627" s="11"/>
      <c r="U627" s="11"/>
      <c r="V627" s="11"/>
      <c r="W627" s="11"/>
    </row>
    <row r="628" spans="1:32" ht="12.75" customHeight="1" x14ac:dyDescent="0.25">
      <c r="A628" s="260"/>
      <c r="B628" s="238"/>
      <c r="C628" s="239"/>
      <c r="D628" s="239"/>
      <c r="E628" s="239"/>
      <c r="F628" s="239"/>
      <c r="G628" s="239"/>
      <c r="H628" s="234"/>
      <c r="I628" s="234"/>
      <c r="J628" s="234"/>
      <c r="K628" s="234"/>
      <c r="L628" s="234"/>
      <c r="M628" s="281"/>
      <c r="N628" s="282"/>
      <c r="O628" s="282"/>
      <c r="P628" s="283"/>
      <c r="Q628" s="110" t="str">
        <f>IF($Q627&lt;&gt;"",IF($Q627="W",IF(SUM(IF($H627&gt;$H629,1,0),IF($I627&gt;$I629,1,0),IF($J627&gt;$J629,1,0),IF($K627&gt;$K629,1,0),IF($L627&gt;$L629,1,0))&lt;&gt;3,"Error",""),""),"")</f>
        <v/>
      </c>
      <c r="R628" s="295" t="str">
        <f>$A622</f>
        <v/>
      </c>
      <c r="S628" s="295"/>
      <c r="T628" s="295"/>
      <c r="U628" s="295"/>
      <c r="V628" s="295"/>
      <c r="W628" s="295"/>
      <c r="X628" s="219" t="str">
        <f>CONCATENATE("(",$B621," vs ",$K621,")")</f>
        <v>(A vs J)</v>
      </c>
      <c r="Y628" s="219"/>
      <c r="Z628" s="295" t="str">
        <f>$J622</f>
        <v/>
      </c>
      <c r="AA628" s="295"/>
      <c r="AB628" s="295"/>
      <c r="AC628" s="295"/>
      <c r="AD628" s="295"/>
      <c r="AE628" s="295"/>
      <c r="AF628"/>
    </row>
    <row r="629" spans="1:32" ht="12.75" customHeight="1" x14ac:dyDescent="0.25">
      <c r="A629" s="259" t="str">
        <f>K621</f>
        <v>J</v>
      </c>
      <c r="B629" s="236" t="str">
        <f ca="1">IF(AND(OFFSET($AO$1,$L621-1,8,1,1),$A622&lt;&gt;"",$J622&lt;&gt;""),CHOOSE($L621,$AO$1,$AO$2,$AO$3,$AO$4,$AO$5,$AO$6,$AO$7,$AO$8,$AO$9,$AO$10,$AO$11,$AO$12),"")</f>
        <v/>
      </c>
      <c r="C629" s="237"/>
      <c r="D629" s="237"/>
      <c r="E629" s="237"/>
      <c r="F629" s="237"/>
      <c r="G629" s="237"/>
      <c r="H629" s="233"/>
      <c r="I629" s="233"/>
      <c r="J629" s="233"/>
      <c r="K629" s="233"/>
      <c r="L629" s="233"/>
      <c r="M629" s="250" t="s">
        <v>169</v>
      </c>
      <c r="N629" s="251"/>
      <c r="O629" s="251"/>
      <c r="P629" s="252"/>
      <c r="Q629" s="40" t="str">
        <f>IF($Q627&lt;&gt;"",IF($Q627="W","L","W"),"")</f>
        <v/>
      </c>
      <c r="R629"/>
      <c r="S629"/>
      <c r="T629"/>
      <c r="U629"/>
      <c r="V629"/>
      <c r="W629"/>
      <c r="X629"/>
      <c r="Y629"/>
      <c r="Z629"/>
      <c r="AA629"/>
      <c r="AB629"/>
      <c r="AC629"/>
      <c r="AD629"/>
      <c r="AE629"/>
      <c r="AF629"/>
    </row>
    <row r="630" spans="1:32" ht="12.75" customHeight="1" x14ac:dyDescent="0.25">
      <c r="A630" s="260"/>
      <c r="B630" s="238"/>
      <c r="C630" s="239"/>
      <c r="D630" s="239"/>
      <c r="E630" s="239"/>
      <c r="F630" s="239"/>
      <c r="G630" s="239"/>
      <c r="H630" s="234"/>
      <c r="I630" s="234"/>
      <c r="J630" s="235"/>
      <c r="K630" s="235"/>
      <c r="L630" s="235"/>
      <c r="M630" s="250"/>
      <c r="N630" s="251"/>
      <c r="O630" s="251"/>
      <c r="P630" s="252"/>
      <c r="Q630" s="110" t="str">
        <f>IF($Q629&lt;&gt;"",IF($Q629="W",IF(SUM(IF($H629&gt;$H627,1,0),IF($I629&gt;$I627,1,0),IF($J629&gt;$J627,1,0),IF($K629&gt;$K627,1,0),IF($L629&gt;$L627,1,0))&lt;&gt;3,"Error",""),""),"")</f>
        <v/>
      </c>
      <c r="R630" t="str">
        <f>$A632</f>
        <v>2nd Singles</v>
      </c>
      <c r="S630"/>
      <c r="T630"/>
      <c r="U630"/>
      <c r="V630"/>
      <c r="W630"/>
      <c r="X630"/>
      <c r="Y630"/>
      <c r="Z630"/>
      <c r="AA630"/>
      <c r="AB630"/>
      <c r="AC630"/>
      <c r="AD630"/>
      <c r="AE630"/>
      <c r="AF630"/>
    </row>
    <row r="631" spans="1:32" ht="12.75" customHeight="1" x14ac:dyDescent="0.25">
      <c r="Q631" s="6"/>
      <c r="R631" s="47" t="s">
        <v>160</v>
      </c>
      <c r="S631" s="304" t="s">
        <v>58</v>
      </c>
      <c r="T631" s="305"/>
      <c r="U631" s="305"/>
      <c r="V631" s="305"/>
      <c r="W631" s="305"/>
      <c r="X631" s="306"/>
      <c r="Y631" s="47">
        <v>1</v>
      </c>
      <c r="Z631" s="47">
        <v>2</v>
      </c>
      <c r="AA631" s="47">
        <v>3</v>
      </c>
      <c r="AB631" s="47">
        <v>4</v>
      </c>
      <c r="AC631" s="47">
        <v>5</v>
      </c>
      <c r="AD631" s="286"/>
      <c r="AE631" s="287"/>
      <c r="AF631" s="288"/>
    </row>
    <row r="632" spans="1:32" ht="12.75" customHeight="1" x14ac:dyDescent="0.25">
      <c r="A632" s="15" t="s">
        <v>166</v>
      </c>
      <c r="H632" s="110" t="str">
        <f>IF($Q634&lt;&gt;"",IF(AND(AND($H634&gt;-1,$H636&gt;-1),OR($H634&gt;10,$H636&gt;10),ABS($H634-$H636)&gt;1,IF(OR($H634&gt;11,$H636&gt;11),ABS($H634-$H636)=2,TRUE),$H634=INT($H634),$H636=INT($H636)),"","Error"),"")</f>
        <v/>
      </c>
      <c r="I632" s="110" t="str">
        <f>IF($Q634&lt;&gt;"",IF(AND(AND($I634&gt;-1,$I636&gt;-1),OR($I634&gt;10,$I636&gt;10),ABS($I634-$I636)&gt;1,IF(OR($I634&gt;11,$I636&gt;11),ABS($I634-$I636)=2,TRUE),$I634=INT($I634),$I636=INT($I636)),"","Error"),"")</f>
        <v/>
      </c>
      <c r="J632" s="110" t="str">
        <f>IF($Q634&lt;&gt;"",IF(AND(AND($J634&gt;-1,$J636&gt;-1),OR($J634&gt;10,$J636&gt;10),ABS($J634-$J636)&gt;1,IF(OR($J634&gt;11,$J636&gt;11),ABS($J634-$J636)=2,TRUE),$J634=INT($J634),$J636=INT($J636)),"","Error"),"")</f>
        <v/>
      </c>
      <c r="K632" s="110" t="str">
        <f>IF($Q634&lt;&gt;"",IF(AND($K634&lt;&gt;"",$K636&lt;&gt;""), IF(AND(AND($K634&gt;-1,$K636&gt;-1),OR($K634&gt;10,$K636&gt;10),ABS($K634-$K636)&gt;1,IF(OR($K634&gt;11,$K636&gt;11),ABS($K634-$K636)=2,TRUE),$K634=INT($K634),$K636=INT($K636)),"","Error"),""),"")</f>
        <v/>
      </c>
      <c r="L632" s="110" t="str">
        <f>IF($Q634&lt;&gt;"",IF(AND($L634&lt;&gt;"",$L636&lt;&gt;""), IF(AND(AND($L634&gt;-1,$L636&gt;-1),OR($L634&gt;10,$L636&gt;10),ABS($L634-$L636)&gt;1,IF(OR($L634&gt;11,$L636&gt;11),ABS($L634-$L636)=2,TRUE),$L634=INT($L634),$L636=INT($L636)),"","Error"),""),"")</f>
        <v/>
      </c>
      <c r="Q632" s="6"/>
      <c r="R632" s="259" t="str">
        <f>$B621</f>
        <v>A</v>
      </c>
      <c r="S632" s="307" t="str">
        <f ca="1">IF($B634&lt;&gt;"",$B634,"")</f>
        <v/>
      </c>
      <c r="T632" s="308"/>
      <c r="U632" s="308"/>
      <c r="V632" s="308"/>
      <c r="W632" s="308"/>
      <c r="X632" s="309"/>
      <c r="Y632" s="284"/>
      <c r="Z632" s="284"/>
      <c r="AA632" s="284"/>
      <c r="AB632" s="284"/>
      <c r="AC632" s="284"/>
      <c r="AD632" s="296"/>
      <c r="AE632" s="290"/>
      <c r="AF632" s="291"/>
    </row>
    <row r="633" spans="1:32" ht="12.75" customHeight="1" x14ac:dyDescent="0.25">
      <c r="A633" s="5" t="s">
        <v>160</v>
      </c>
      <c r="B633" s="256" t="s">
        <v>58</v>
      </c>
      <c r="C633" s="257"/>
      <c r="D633" s="257"/>
      <c r="E633" s="257"/>
      <c r="F633" s="257"/>
      <c r="G633" s="258"/>
      <c r="H633" s="5">
        <v>1</v>
      </c>
      <c r="I633" s="5">
        <v>2</v>
      </c>
      <c r="J633" s="5">
        <v>3</v>
      </c>
      <c r="K633" s="5">
        <v>4</v>
      </c>
      <c r="L633" s="5">
        <v>5</v>
      </c>
      <c r="M633" s="270"/>
      <c r="N633" s="271"/>
      <c r="O633" s="271"/>
      <c r="P633" s="272"/>
      <c r="Q633" s="6"/>
      <c r="R633" s="285"/>
      <c r="S633" s="310"/>
      <c r="T633" s="311"/>
      <c r="U633" s="311"/>
      <c r="V633" s="311"/>
      <c r="W633" s="311"/>
      <c r="X633" s="312"/>
      <c r="Y633" s="285"/>
      <c r="Z633" s="285"/>
      <c r="AA633" s="285"/>
      <c r="AB633" s="285"/>
      <c r="AC633" s="285"/>
      <c r="AD633" s="292"/>
      <c r="AE633" s="293"/>
      <c r="AF633" s="294"/>
    </row>
    <row r="634" spans="1:32" ht="12.75" customHeight="1" x14ac:dyDescent="0.25">
      <c r="A634" s="259" t="str">
        <f>B621</f>
        <v>A</v>
      </c>
      <c r="B634" s="236" t="str">
        <f ca="1">IF(AND(OFFSET($AO$1,$C621-1,8,1,1),$A622&lt;&gt;"",$J622&lt;&gt;""),CHOOSE($C621,$AP$1,$AP$2,$AP$3,$AP$4,$AP$5,$AP$6,$AP$7,$AP$8,$AP$9,$AP$10,$AP$11,$AP$12),"")</f>
        <v/>
      </c>
      <c r="C634" s="237"/>
      <c r="D634" s="237"/>
      <c r="E634" s="237"/>
      <c r="F634" s="237"/>
      <c r="G634" s="237"/>
      <c r="H634" s="233"/>
      <c r="I634" s="233"/>
      <c r="J634" s="233"/>
      <c r="K634" s="233"/>
      <c r="L634" s="233"/>
      <c r="M634" s="245" t="str">
        <f ca="1">IF(OR(AND($B627&lt;&gt;"",$B634&lt;&gt;"",$C652&lt;=$B652),AND($B629&lt;&gt;"",$B636&lt;&gt;"",$G652&lt;=$F652)),"Invalid Lineup","")</f>
        <v/>
      </c>
      <c r="N634" s="246"/>
      <c r="O634" s="246"/>
      <c r="P634" s="247"/>
      <c r="Q634" s="40" t="str">
        <f>IF($L634=$L636,IF($K634=$K636,IF($J634&lt;&gt;"",IF($J634&gt;$J636,"W","L"),""),IF($K634&gt;$K636,"W","L")),IF($L634&gt;$L636,"W","L"))</f>
        <v/>
      </c>
      <c r="R634" s="259" t="str">
        <f>$K621</f>
        <v>J</v>
      </c>
      <c r="S634" s="307" t="str">
        <f ca="1">IF($B636&lt;&gt;"",$B636,"")</f>
        <v/>
      </c>
      <c r="T634" s="308"/>
      <c r="U634" s="308"/>
      <c r="V634" s="308"/>
      <c r="W634" s="308"/>
      <c r="X634" s="309"/>
      <c r="Y634" s="284"/>
      <c r="Z634" s="284"/>
      <c r="AA634" s="284"/>
      <c r="AB634" s="284"/>
      <c r="AC634" s="297"/>
      <c r="AD634" s="289" t="s">
        <v>169</v>
      </c>
      <c r="AE634" s="290"/>
      <c r="AF634" s="291"/>
    </row>
    <row r="635" spans="1:32" ht="12.75" customHeight="1" x14ac:dyDescent="0.25">
      <c r="A635" s="260"/>
      <c r="B635" s="238"/>
      <c r="C635" s="239"/>
      <c r="D635" s="239"/>
      <c r="E635" s="239"/>
      <c r="F635" s="239"/>
      <c r="G635" s="239"/>
      <c r="H635" s="234"/>
      <c r="I635" s="234"/>
      <c r="J635" s="234"/>
      <c r="K635" s="234"/>
      <c r="L635" s="234"/>
      <c r="M635" s="245"/>
      <c r="N635" s="246"/>
      <c r="O635" s="246"/>
      <c r="P635" s="247"/>
      <c r="Q635" s="110" t="str">
        <f>IF($Q634&lt;&gt;"",IF($Q634="W",IF(SUM(IF($H634&gt;$H636,1,0),IF($I634&gt;$I636,1,0),IF($J634&gt;$J636,1,0),IF($K634&gt;$K636,1,0),IF($L634&gt;$L636,1,0))&lt;&gt;3,"Error",""),""),"")</f>
        <v/>
      </c>
      <c r="R635" s="285"/>
      <c r="S635" s="310"/>
      <c r="T635" s="311"/>
      <c r="U635" s="311"/>
      <c r="V635" s="311"/>
      <c r="W635" s="311"/>
      <c r="X635" s="312"/>
      <c r="Y635" s="285"/>
      <c r="Z635" s="285"/>
      <c r="AA635" s="285"/>
      <c r="AB635" s="285"/>
      <c r="AC635" s="285"/>
      <c r="AD635" s="292"/>
      <c r="AE635" s="293"/>
      <c r="AF635" s="294"/>
    </row>
    <row r="636" spans="1:32" ht="12.75" customHeight="1" x14ac:dyDescent="0.25">
      <c r="A636" s="259" t="str">
        <f>K621</f>
        <v>J</v>
      </c>
      <c r="B636" s="236" t="str">
        <f ca="1">IF(AND(OFFSET($AO$1,$L621-1,8,1,1),$A622&lt;&gt;"",$J622&lt;&gt;""),CHOOSE($L621,$AP$1,$AP$2,$AP$3,$AP$4,$AP$5,$AP$6,$AP$7,$AP$8,$AP$9,$AP$10,$AP$11,$AP$12),"")</f>
        <v/>
      </c>
      <c r="C636" s="237"/>
      <c r="D636" s="237"/>
      <c r="E636" s="237"/>
      <c r="F636" s="237"/>
      <c r="G636" s="237"/>
      <c r="H636" s="233"/>
      <c r="I636" s="233"/>
      <c r="J636" s="233"/>
      <c r="K636" s="233"/>
      <c r="L636" s="233"/>
      <c r="M636" s="250" t="s">
        <v>169</v>
      </c>
      <c r="N636" s="251"/>
      <c r="O636" s="251"/>
      <c r="P636" s="252"/>
      <c r="Q636" s="40" t="str">
        <f>IF($Q634&lt;&gt;"",IF($Q634="W","L","W"),"")</f>
        <v/>
      </c>
      <c r="R636" s="14"/>
      <c r="S636" s="14"/>
      <c r="T636" s="14"/>
      <c r="U636" s="14"/>
      <c r="V636" s="14"/>
      <c r="W636" s="14"/>
      <c r="X636" s="7"/>
      <c r="Y636" s="7"/>
      <c r="Z636" s="14"/>
      <c r="AA636" s="14"/>
      <c r="AB636" s="14"/>
      <c r="AC636" s="14"/>
      <c r="AD636" s="14"/>
      <c r="AE636" s="14"/>
      <c r="AF636"/>
    </row>
    <row r="637" spans="1:32" ht="12.75" customHeight="1" x14ac:dyDescent="0.25">
      <c r="A637" s="260"/>
      <c r="B637" s="238"/>
      <c r="C637" s="239"/>
      <c r="D637" s="239"/>
      <c r="E637" s="239"/>
      <c r="F637" s="239"/>
      <c r="G637" s="239"/>
      <c r="H637" s="234"/>
      <c r="I637" s="234"/>
      <c r="J637" s="235"/>
      <c r="K637" s="235"/>
      <c r="L637" s="235"/>
      <c r="M637" s="250"/>
      <c r="N637" s="251"/>
      <c r="O637" s="251"/>
      <c r="P637" s="252"/>
      <c r="Q637" s="110" t="str">
        <f>IF($Q636&lt;&gt;"",IF($Q636="W",IF(SUM(IF($H636&gt;$H634,1,0),IF($I636&gt;$I634,1,0),IF($J636&gt;$J634,1,0),IF($K636&gt;$K634,1,0),IF($L636&gt;$L634,1,0))&lt;&gt;3,"Error",""),""),"")</f>
        <v/>
      </c>
      <c r="R637" s="14"/>
      <c r="S637" s="14"/>
      <c r="T637" s="14"/>
      <c r="U637" s="14"/>
      <c r="V637" s="14"/>
      <c r="W637" s="14"/>
      <c r="X637" s="7"/>
      <c r="Y637" s="7"/>
      <c r="Z637" s="14"/>
      <c r="AA637" s="14"/>
      <c r="AB637" s="14"/>
      <c r="AC637" s="14"/>
      <c r="AD637" s="14"/>
      <c r="AE637" s="14"/>
      <c r="AF637"/>
    </row>
    <row r="638" spans="1:32" ht="12.75" customHeight="1" x14ac:dyDescent="0.25">
      <c r="Q638" s="6"/>
      <c r="R638" s="14"/>
      <c r="S638" s="14"/>
      <c r="T638" s="14"/>
      <c r="U638" s="14"/>
      <c r="V638" s="14"/>
      <c r="W638" s="14"/>
      <c r="X638" s="7"/>
      <c r="Y638" s="7"/>
      <c r="Z638" s="14"/>
      <c r="AA638" s="14"/>
      <c r="AB638" s="14"/>
      <c r="AC638" s="14"/>
      <c r="AD638" s="14"/>
      <c r="AE638" s="14"/>
      <c r="AF638"/>
    </row>
    <row r="639" spans="1:32" ht="12.75" customHeight="1" x14ac:dyDescent="0.25">
      <c r="A639" s="15" t="s">
        <v>167</v>
      </c>
      <c r="H639" s="110" t="str">
        <f>IF($Q641&lt;&gt;"",IF(AND(AND($H641&gt;-1,$H643&gt;-1),OR($H641&gt;10,$H643&gt;10),ABS($H641-$H643)&gt;1,IF(OR($H641&gt;11,$H643&gt;11),ABS($H641-$H643)=2,TRUE),$H641=INT($H641),$H643=INT($H643)),"","Error"),"")</f>
        <v/>
      </c>
      <c r="I639" s="110" t="str">
        <f>IF($Q641&lt;&gt;"",IF(AND(AND($I641&gt;-1,$I643&gt;-1),OR($I641&gt;10,$I643&gt;10),ABS($I641-$I643)&gt;1,IF(OR($I641&gt;11,$I643&gt;11),ABS($I641-$I643)=2,TRUE),$I641=INT($I641),$I643=INT($I643)),"","Error"),"")</f>
        <v/>
      </c>
      <c r="J639" s="110" t="str">
        <f>IF($Q641&lt;&gt;"",IF(AND(AND($J641&gt;-1,$J643&gt;-1),OR($J641&gt;10,$J643&gt;10),ABS($J641-$J643)&gt;1,IF(OR($J641&gt;11,$J643&gt;11),ABS($J641-$J643)=2,TRUE),$J641=INT($J641),$J643=INT($J643)),"","Error"),"")</f>
        <v/>
      </c>
      <c r="K639" s="110" t="str">
        <f>IF($Q641&lt;&gt;"",IF(AND($K641&lt;&gt;"",$K643&lt;&gt;""), IF(AND(AND($K641&gt;-1,$K643&gt;-1),OR($K641&gt;10,$K643&gt;10),ABS($K641-$K643)&gt;1,IF(OR($K641&gt;11,$K643&gt;11),ABS($K641-$K643)=2,TRUE),$K641=INT($K641),$K643=INT($K643)),"","Error"),""),"")</f>
        <v/>
      </c>
      <c r="L639" s="110" t="str">
        <f>IF($Q641&lt;&gt;"",IF(AND($L641&lt;&gt;"",$L643&lt;&gt;""), IF(AND(AND($L641&gt;-1,$L643&gt;-1),OR($L641&gt;10,$L643&gt;10),ABS($L641-$L643)&gt;1,IF(OR($L641&gt;11,$L643&gt;11),ABS($L641-$L643)=2,TRUE),$L641=INT($L641),$L643=INT($L643)),"","Error"),""),"")</f>
        <v/>
      </c>
      <c r="Q639" s="6"/>
      <c r="R639" s="14"/>
      <c r="S639" s="14"/>
      <c r="T639" s="14"/>
      <c r="U639" s="14"/>
      <c r="V639" s="14"/>
      <c r="W639" s="14"/>
      <c r="X639" s="7"/>
      <c r="Y639" s="7"/>
      <c r="Z639" s="14"/>
      <c r="AA639" s="14"/>
      <c r="AB639" s="14"/>
      <c r="AC639" s="14"/>
      <c r="AD639" s="14"/>
      <c r="AE639" s="14"/>
      <c r="AF639"/>
    </row>
    <row r="640" spans="1:32" ht="12.75" customHeight="1" x14ac:dyDescent="0.25">
      <c r="A640" s="5" t="s">
        <v>160</v>
      </c>
      <c r="B640" s="256" t="s">
        <v>58</v>
      </c>
      <c r="C640" s="257"/>
      <c r="D640" s="257"/>
      <c r="E640" s="257"/>
      <c r="F640" s="257"/>
      <c r="G640" s="258"/>
      <c r="H640" s="5">
        <v>1</v>
      </c>
      <c r="I640" s="5">
        <v>2</v>
      </c>
      <c r="J640" s="5">
        <v>3</v>
      </c>
      <c r="K640" s="5">
        <v>4</v>
      </c>
      <c r="L640" s="5">
        <v>5</v>
      </c>
      <c r="M640" s="270"/>
      <c r="N640" s="271"/>
      <c r="O640" s="271"/>
      <c r="P640" s="272"/>
      <c r="Q640" s="6"/>
      <c r="R640" s="14"/>
      <c r="S640" s="14"/>
      <c r="T640" s="14"/>
      <c r="U640" s="14"/>
      <c r="V640" s="14"/>
      <c r="W640" s="14"/>
      <c r="X640" s="7"/>
      <c r="Y640" s="7"/>
      <c r="Z640" s="14"/>
      <c r="AA640" s="14"/>
      <c r="AB640" s="14"/>
      <c r="AC640" s="14"/>
      <c r="AD640" s="14"/>
      <c r="AE640" s="14"/>
      <c r="AF640"/>
    </row>
    <row r="641" spans="1:32" ht="12.75" customHeight="1" x14ac:dyDescent="0.25">
      <c r="A641" s="259" t="str">
        <f>B621</f>
        <v>A</v>
      </c>
      <c r="B641" s="236" t="str">
        <f ca="1">IF(AND(OFFSET($AO$1,$C621-1,8,1,1),$A622&lt;&gt;"",$J622&lt;&gt;""),CHOOSE($C621,$AQ$1,$AQ$2,$AQ$3,$AQ$4,$AQ$5,$AQ$6,$AQ$7,$AQ$8,$AQ$9,$AQ$10,$AQ$11,$AQ$12),"")</f>
        <v/>
      </c>
      <c r="C641" s="237"/>
      <c r="D641" s="237"/>
      <c r="E641" s="237"/>
      <c r="F641" s="237"/>
      <c r="G641" s="237"/>
      <c r="H641" s="233"/>
      <c r="I641" s="233"/>
      <c r="J641" s="233"/>
      <c r="K641" s="233"/>
      <c r="L641" s="233"/>
      <c r="M641" s="245" t="str">
        <f ca="1">IF(OR(AND($B634&lt;&gt;"",$B641&lt;&gt;"",$D652&lt;=$C652),AND($B636&lt;&gt;"",$B643&lt;&gt;"",$H652&lt;=$G652)),"Invalid Lineup","")</f>
        <v/>
      </c>
      <c r="N641" s="246"/>
      <c r="O641" s="246"/>
      <c r="P641" s="247"/>
      <c r="Q641" s="40" t="str">
        <f>IF($L641=$L643,IF($K641=$K643,IF($J641&lt;&gt;"",IF($J641&gt;$J643,"W","L"),""),IF($K641&gt;$K643,"W","L")),IF($L641&gt;$L643,"W","L"))</f>
        <v/>
      </c>
      <c r="R641" s="14"/>
      <c r="S641" s="14"/>
      <c r="T641" s="14"/>
      <c r="U641" s="14"/>
      <c r="V641" s="14"/>
      <c r="W641" s="14"/>
      <c r="X641" s="7"/>
      <c r="Y641" s="7"/>
      <c r="Z641" s="14"/>
      <c r="AA641" s="14"/>
      <c r="AB641" s="14"/>
      <c r="AC641" s="14"/>
      <c r="AD641" s="14"/>
      <c r="AE641" s="14"/>
      <c r="AF641"/>
    </row>
    <row r="642" spans="1:32" ht="12.75" customHeight="1" x14ac:dyDescent="0.25">
      <c r="A642" s="260"/>
      <c r="B642" s="238"/>
      <c r="C642" s="239"/>
      <c r="D642" s="239"/>
      <c r="E642" s="239"/>
      <c r="F642" s="239"/>
      <c r="G642" s="239"/>
      <c r="H642" s="234"/>
      <c r="I642" s="234"/>
      <c r="J642" s="234"/>
      <c r="K642" s="234"/>
      <c r="L642" s="234"/>
      <c r="M642" s="245"/>
      <c r="N642" s="246"/>
      <c r="O642" s="246"/>
      <c r="P642" s="247"/>
      <c r="Q642" s="110" t="str">
        <f>IF($Q641&lt;&gt;"",IF($Q641="W",IF(SUM(IF($H641&gt;$H643,1,0),IF($I641&gt;$I643,1,0),IF($J641&gt;$J643,1,0),IF($K641&gt;$K643,1,0),IF($L641&gt;$L643,1,0))&lt;&gt;3,"Error",""),""),"")</f>
        <v/>
      </c>
      <c r="R642" s="295" t="str">
        <f>$A622</f>
        <v/>
      </c>
      <c r="S642" s="295"/>
      <c r="T642" s="295"/>
      <c r="U642" s="295"/>
      <c r="V642" s="295"/>
      <c r="W642" s="295"/>
      <c r="X642" s="219" t="str">
        <f>CONCATENATE("(",$B621," vs ",$K621,")")</f>
        <v>(A vs J)</v>
      </c>
      <c r="Y642" s="219"/>
      <c r="Z642" s="295" t="str">
        <f>$J622</f>
        <v/>
      </c>
      <c r="AA642" s="295"/>
      <c r="AB642" s="295"/>
      <c r="AC642" s="295"/>
      <c r="AD642" s="295"/>
      <c r="AE642" s="295"/>
      <c r="AF642"/>
    </row>
    <row r="643" spans="1:32" ht="12.75" customHeight="1" x14ac:dyDescent="0.25">
      <c r="A643" s="259" t="str">
        <f>K621</f>
        <v>J</v>
      </c>
      <c r="B643" s="236" t="str">
        <f ca="1">IF(AND(OFFSET($AO$1,$L621-1,8,1,1),$A622&lt;&gt;"",$J622&lt;&gt;""),CHOOSE($L621,$AQ$1,$AQ$2,$AQ$3,$AQ$4,$AQ$5,$AQ$6,$AQ$7,$AQ$8,$AQ$9,$AQ$10,$AQ$11,$AQ$12),"")</f>
        <v/>
      </c>
      <c r="C643" s="237"/>
      <c r="D643" s="237"/>
      <c r="E643" s="237"/>
      <c r="F643" s="237"/>
      <c r="G643" s="237"/>
      <c r="H643" s="233"/>
      <c r="I643" s="233"/>
      <c r="J643" s="233"/>
      <c r="K643" s="233"/>
      <c r="L643" s="233"/>
      <c r="M643" s="250" t="s">
        <v>169</v>
      </c>
      <c r="N643" s="251"/>
      <c r="O643" s="251"/>
      <c r="P643" s="252"/>
      <c r="Q643" s="40" t="str">
        <f>IF($Q641&lt;&gt;"",IF($Q641="W","L","W"),"")</f>
        <v/>
      </c>
      <c r="R643"/>
      <c r="S643"/>
      <c r="T643"/>
      <c r="U643"/>
      <c r="V643"/>
      <c r="W643"/>
      <c r="X643"/>
      <c r="Y643"/>
      <c r="Z643"/>
      <c r="AA643"/>
      <c r="AB643"/>
      <c r="AC643"/>
      <c r="AD643"/>
      <c r="AE643"/>
      <c r="AF643"/>
    </row>
    <row r="644" spans="1:32" ht="12.75" customHeight="1" x14ac:dyDescent="0.25">
      <c r="A644" s="260"/>
      <c r="B644" s="238"/>
      <c r="C644" s="239"/>
      <c r="D644" s="239"/>
      <c r="E644" s="239"/>
      <c r="F644" s="239"/>
      <c r="G644" s="239"/>
      <c r="H644" s="234"/>
      <c r="I644" s="234"/>
      <c r="J644" s="235"/>
      <c r="K644" s="235"/>
      <c r="L644" s="235"/>
      <c r="M644" s="250"/>
      <c r="N644" s="251"/>
      <c r="O644" s="251"/>
      <c r="P644" s="252"/>
      <c r="Q644" s="110" t="str">
        <f>IF($Q643&lt;&gt;"",IF($Q643="W",IF(SUM(IF($H643&gt;$H641,1,0),IF($I643&gt;$I641,1,0),IF($J643&gt;$J641,1,0),IF($K643&gt;$K641,1,0),IF($L643&gt;$L641,1,0))&lt;&gt;3,"Error",""),""),"")</f>
        <v/>
      </c>
      <c r="R644" t="str">
        <f>$A639</f>
        <v>3rd Singles</v>
      </c>
      <c r="S644"/>
      <c r="T644"/>
      <c r="U644"/>
      <c r="V644"/>
      <c r="W644"/>
      <c r="X644"/>
      <c r="Y644"/>
      <c r="Z644"/>
      <c r="AA644"/>
      <c r="AB644"/>
      <c r="AC644"/>
      <c r="AD644"/>
      <c r="AE644"/>
      <c r="AF644"/>
    </row>
    <row r="645" spans="1:32" ht="12.75" customHeight="1" x14ac:dyDescent="0.25">
      <c r="Q645" s="6"/>
      <c r="R645" s="47" t="s">
        <v>160</v>
      </c>
      <c r="S645" s="86" t="s">
        <v>58</v>
      </c>
      <c r="T645" s="87"/>
      <c r="U645" s="87"/>
      <c r="V645" s="87"/>
      <c r="W645" s="87"/>
      <c r="X645" s="88"/>
      <c r="Y645" s="47">
        <v>1</v>
      </c>
      <c r="Z645" s="47">
        <v>2</v>
      </c>
      <c r="AA645" s="47">
        <v>3</v>
      </c>
      <c r="AB645" s="47">
        <v>4</v>
      </c>
      <c r="AC645" s="47">
        <v>5</v>
      </c>
      <c r="AD645" s="89"/>
      <c r="AE645" s="90"/>
      <c r="AF645" s="91"/>
    </row>
    <row r="646" spans="1:32" ht="12.75" customHeight="1" x14ac:dyDescent="0.25">
      <c r="A646" s="15" t="s">
        <v>168</v>
      </c>
      <c r="H646" s="110" t="str">
        <f ca="1">IF($Q648&lt;&gt;"",IF(AND($B648&lt;&gt;"Missing Player",$B650&lt;&gt;"Missing Player"),IF(AND(AND($H648&gt;-1,$H650&gt;-1),OR($H648&gt;10,$H650&gt;10),ABS($H648-$H650)&gt;1,IF(OR($H648&gt;11,$H650&gt;11),ABS($H648-$H650)=2,TRUE),$H648=INT($H648),$H650=INT($H650)),"","Error"),""),"")</f>
        <v/>
      </c>
      <c r="I646" s="110" t="str">
        <f ca="1">IF($Q648&lt;&gt;"",IF(AND($B648&lt;&gt;"Missing Player",$B650&lt;&gt;"Missing Player"),IF(AND(AND($I648&gt;-1,$I650&gt;-1),OR($I648&gt;10,$I650&gt;10),ABS($I648-$I650)&gt;1,IF(OR($I648&gt;11,$I650&gt;11),ABS($I648-$I650)=2,TRUE),$I648=INT($I648),$I650=INT($I650)),"","Error"),""),"")</f>
        <v/>
      </c>
      <c r="J646" s="110" t="str">
        <f ca="1">IF($Q648&lt;&gt;"",IF(AND($B648&lt;&gt;"Missing Player",$B650&lt;&gt;"Missing Player"),IF(AND(AND($J648&gt;-1,$J650&gt;-1),OR($J648&gt;10,$J650&gt;10),ABS($J648-$J650)&gt;1,IF(OR($J648&gt;11,$J650&gt;11),ABS($J648-$J650)=2,TRUE),$J648=INT($J648),$J650=INT($J650)),"","Error"),""),"")</f>
        <v/>
      </c>
      <c r="K646" s="110" t="str">
        <f ca="1">IF($Q648&lt;&gt;"",IF(AND($K648&lt;&gt;"",$K650&lt;&gt;""), IF(AND(AND($K648&gt;-1,$K650&gt;-1),OR($K648&gt;10,$K650&gt;10),ABS($K648-$K650)&gt;1,IF(OR($K648&gt;11,$K650&gt;11),ABS($K648-$K650)=2,TRUE),$K648=INT($K648),$K650=INT($K650)),"","Error"),""),"")</f>
        <v/>
      </c>
      <c r="L646" s="110" t="str">
        <f ca="1">IF($Q648&lt;&gt;"",IF(AND($L648&lt;&gt;"",$L650&lt;&gt;""), IF(AND(AND($L648&gt;-1,$L650&gt;-1),OR($L648&gt;10,$L650&gt;10),ABS($L648-$L650)&gt;1,IF(OR($L648&gt;11,$L650&gt;11),ABS($L648-$L650)=2,TRUE),$L648=INT($L648),$L650=INT($L650)),"","Error"),""),"")</f>
        <v/>
      </c>
      <c r="Q646" s="6"/>
      <c r="R646" s="259" t="str">
        <f>$B621</f>
        <v>A</v>
      </c>
      <c r="S646" s="307" t="str">
        <f ca="1">IF($B641&lt;&gt;"",$B641,"")</f>
        <v/>
      </c>
      <c r="T646" s="308"/>
      <c r="U646" s="308"/>
      <c r="V646" s="308"/>
      <c r="W646" s="308"/>
      <c r="X646" s="309"/>
      <c r="Y646" s="284"/>
      <c r="Z646" s="284"/>
      <c r="AA646" s="284"/>
      <c r="AB646" s="284"/>
      <c r="AC646" s="284"/>
      <c r="AD646" s="296"/>
      <c r="AE646" s="290"/>
      <c r="AF646" s="291"/>
    </row>
    <row r="647" spans="1:32" ht="12.75" customHeight="1" x14ac:dyDescent="0.25">
      <c r="A647" s="5" t="s">
        <v>160</v>
      </c>
      <c r="B647" s="256" t="s">
        <v>58</v>
      </c>
      <c r="C647" s="257"/>
      <c r="D647" s="257"/>
      <c r="E647" s="257"/>
      <c r="F647" s="257"/>
      <c r="G647" s="258"/>
      <c r="H647" s="5">
        <v>1</v>
      </c>
      <c r="I647" s="5">
        <v>2</v>
      </c>
      <c r="J647" s="5">
        <v>3</v>
      </c>
      <c r="K647" s="5">
        <v>4</v>
      </c>
      <c r="L647" s="5">
        <v>5</v>
      </c>
      <c r="M647" s="270"/>
      <c r="N647" s="271"/>
      <c r="O647" s="271"/>
      <c r="P647" s="272"/>
      <c r="Q647" s="6"/>
      <c r="R647" s="285"/>
      <c r="S647" s="310"/>
      <c r="T647" s="311"/>
      <c r="U647" s="311"/>
      <c r="V647" s="311"/>
      <c r="W647" s="311"/>
      <c r="X647" s="312"/>
      <c r="Y647" s="285"/>
      <c r="Z647" s="285"/>
      <c r="AA647" s="285"/>
      <c r="AB647" s="285"/>
      <c r="AC647" s="285"/>
      <c r="AD647" s="292"/>
      <c r="AE647" s="293"/>
      <c r="AF647" s="294"/>
    </row>
    <row r="648" spans="1:32" ht="12.75" customHeight="1" x14ac:dyDescent="0.25">
      <c r="A648" s="259" t="str">
        <f>B621</f>
        <v>A</v>
      </c>
      <c r="B648" s="236" t="str">
        <f ca="1">IF(AND(OFFSET($AO$1,$C621-1,8,1,1),$A622&lt;&gt;"",$J622&lt;&gt;""),CHOOSE($C621,$AR$1,$AR$2,$AR$3,$AR$4,$AR$5,$AR$6,$AR$7,$AR$8,$AR$9,$AR$10,$AR$11,$AR$12),"")</f>
        <v/>
      </c>
      <c r="C648" s="237"/>
      <c r="D648" s="237"/>
      <c r="E648" s="237"/>
      <c r="F648" s="237"/>
      <c r="G648" s="237"/>
      <c r="H648" s="233"/>
      <c r="I648" s="233"/>
      <c r="J648" s="233"/>
      <c r="K648" s="233"/>
      <c r="L648" s="233" t="str">
        <f ca="1">IF(AND($B648&lt;&gt;"",$Q627&lt;&gt;""),IF($B648="Missing Player",0,IF($B650="Missing Player",11,"")),"")</f>
        <v/>
      </c>
      <c r="M648" s="245" t="str">
        <f ca="1">IF(OR(AND($B641&lt;&gt;"",$B648&lt;&gt;"",$E652&lt;=$D652),AND($B643&lt;&gt;"",$B650&lt;&gt;"",$I652&lt;=$H652)),"Invalid Lineup","")</f>
        <v/>
      </c>
      <c r="N648" s="246"/>
      <c r="O648" s="246"/>
      <c r="P648" s="247"/>
      <c r="Q648" s="40" t="str">
        <f ca="1">IF($L648=$L650,IF($K648=$K650,IF($J648&lt;&gt;"",IF($J648&gt;$J650,"W","L"),""),IF($K648&gt;$K650,"W","L")),IF($L648&gt;$L650,"W","L"))</f>
        <v/>
      </c>
      <c r="R648" s="259" t="str">
        <f>$K621</f>
        <v>J</v>
      </c>
      <c r="S648" s="307" t="str">
        <f ca="1">IF($B643&lt;&gt;"",$B643,"")</f>
        <v/>
      </c>
      <c r="T648" s="308"/>
      <c r="U648" s="308"/>
      <c r="V648" s="308"/>
      <c r="W648" s="308"/>
      <c r="X648" s="309"/>
      <c r="Y648" s="284"/>
      <c r="Z648" s="284"/>
      <c r="AA648" s="284"/>
      <c r="AB648" s="284"/>
      <c r="AC648" s="297"/>
      <c r="AD648" s="289" t="s">
        <v>169</v>
      </c>
      <c r="AE648" s="290"/>
      <c r="AF648" s="291"/>
    </row>
    <row r="649" spans="1:32" ht="12.75" customHeight="1" x14ac:dyDescent="0.25">
      <c r="A649" s="260"/>
      <c r="B649" s="238"/>
      <c r="C649" s="239"/>
      <c r="D649" s="239"/>
      <c r="E649" s="239"/>
      <c r="F649" s="239"/>
      <c r="G649" s="239"/>
      <c r="H649" s="234"/>
      <c r="I649" s="234"/>
      <c r="J649" s="234"/>
      <c r="K649" s="234"/>
      <c r="L649" s="234"/>
      <c r="M649" s="245"/>
      <c r="N649" s="246"/>
      <c r="O649" s="246"/>
      <c r="P649" s="247"/>
      <c r="Q649" s="110" t="str">
        <f ca="1">IF($Q648&lt;&gt;"",IF($B650&lt;&gt;"Missing Player",IF($Q648="W",IF(SUM(IF($H648&gt;$H650,1,0),IF($I648&gt;$I650,1,0),IF($J648&gt;$J650,1,0),IF($K648&gt;$K650,1,0),IF($L648&gt;$L650,1,0))&lt;&gt;3,"Error",""),""),""),"")</f>
        <v/>
      </c>
      <c r="R649" s="285"/>
      <c r="S649" s="310"/>
      <c r="T649" s="311"/>
      <c r="U649" s="311"/>
      <c r="V649" s="311"/>
      <c r="W649" s="311"/>
      <c r="X649" s="312"/>
      <c r="Y649" s="285"/>
      <c r="Z649" s="285"/>
      <c r="AA649" s="285"/>
      <c r="AB649" s="285"/>
      <c r="AC649" s="285"/>
      <c r="AD649" s="292"/>
      <c r="AE649" s="293"/>
      <c r="AF649" s="294"/>
    </row>
    <row r="650" spans="1:32" ht="12.75" customHeight="1" x14ac:dyDescent="0.25">
      <c r="A650" s="259" t="str">
        <f>K621</f>
        <v>J</v>
      </c>
      <c r="B650" s="236" t="str">
        <f ca="1">IF(AND(OFFSET($AO$1,$L621-1,8,1,1),$A622&lt;&gt;"",$J622&lt;&gt;""),CHOOSE($L621,$AR$1,$AR$2,$AR$3,$AR$4,$AR$5,$AR$6,$AR$7,$AR$8,$AR$9,$AR$10,$AR$11,$AR$12),"")</f>
        <v/>
      </c>
      <c r="C650" s="237"/>
      <c r="D650" s="237"/>
      <c r="E650" s="237"/>
      <c r="F650" s="237"/>
      <c r="G650" s="237"/>
      <c r="H650" s="233"/>
      <c r="I650" s="233"/>
      <c r="J650" s="233"/>
      <c r="K650" s="233"/>
      <c r="L650" s="233" t="str">
        <f ca="1">IF(AND($B650&lt;&gt;"",$Q627&lt;&gt;""),IF($B650="Missing Player",0,IF($B648="Missing Player",11,"")),"")</f>
        <v/>
      </c>
      <c r="M650" s="250" t="s">
        <v>169</v>
      </c>
      <c r="N650" s="251"/>
      <c r="O650" s="251"/>
      <c r="P650" s="252"/>
      <c r="Q650" s="40" t="str">
        <f ca="1">IF($Q648&lt;&gt;"",IF($Q648="W","L","W"),"")</f>
        <v/>
      </c>
      <c r="R650" s="94"/>
      <c r="S650" s="84"/>
      <c r="T650" s="84"/>
      <c r="U650" s="84"/>
      <c r="V650" s="84"/>
      <c r="W650" s="84"/>
      <c r="X650" s="84"/>
      <c r="Y650" s="93"/>
      <c r="Z650" s="93"/>
      <c r="AA650" s="93"/>
      <c r="AB650" s="93"/>
      <c r="AC650" s="93"/>
      <c r="AD650" s="92"/>
      <c r="AE650" s="93"/>
      <c r="AF650" s="93"/>
    </row>
    <row r="651" spans="1:32" ht="12.75" customHeight="1" x14ac:dyDescent="0.25">
      <c r="A651" s="260"/>
      <c r="B651" s="238"/>
      <c r="C651" s="239"/>
      <c r="D651" s="239"/>
      <c r="E651" s="239"/>
      <c r="F651" s="239"/>
      <c r="G651" s="239"/>
      <c r="H651" s="234"/>
      <c r="I651" s="234"/>
      <c r="J651" s="235"/>
      <c r="K651" s="235"/>
      <c r="L651" s="235"/>
      <c r="M651" s="250"/>
      <c r="N651" s="251"/>
      <c r="O651" s="251"/>
      <c r="P651" s="252"/>
      <c r="Q651" s="110" t="str">
        <f ca="1">IF($Q650&lt;&gt;"",IF($B648&lt;&gt;"Missing Player",IF($Q650="W",IF(SUM(IF($H650&gt;$H648,1,0),IF($I650&gt;$I648,1,0),IF($J650&gt;$J648,1,0),IF($K650&gt;$K648,1,0),IF($L650&gt;$L648,1,0))&lt;&gt;3,"Error",""),""),""),"")</f>
        <v/>
      </c>
      <c r="R651" s="85"/>
      <c r="S651" s="95"/>
      <c r="T651" s="95"/>
      <c r="U651" s="95"/>
      <c r="V651" s="95"/>
      <c r="W651" s="95"/>
      <c r="X651" s="95"/>
      <c r="Y651" s="85"/>
      <c r="Z651" s="85"/>
      <c r="AA651" s="85"/>
      <c r="AB651" s="85"/>
      <c r="AC651" s="85"/>
      <c r="AD651" s="85"/>
      <c r="AE651" s="85"/>
      <c r="AF651" s="85"/>
    </row>
    <row r="652" spans="1:32" ht="12.75" customHeight="1" x14ac:dyDescent="0.25">
      <c r="B652" s="111" t="str">
        <f ca="1">IF(ISERROR(VLOOKUP($B627&amp;"("&amp;$B621&amp;")",Players!$S$4:$T$132,2,FALSE)),"",VLOOKUP($B627&amp;"("&amp;$B621&amp;")",Players!$S$4:$T$132,2,FALSE))</f>
        <v>A1</v>
      </c>
      <c r="C652" s="111" t="str">
        <f ca="1">IF(ISERROR(VLOOKUP($B634&amp;"("&amp;$B621&amp;")",Players!$S$4:$T$132,2,FALSE)),"",VLOOKUP($B634&amp;"("&amp;$B621&amp;")",Players!$S$4:$T$132,2,FALSE))</f>
        <v>A1</v>
      </c>
      <c r="D652" s="111" t="str">
        <f ca="1">IF(ISERROR(VLOOKUP($B641&amp;"("&amp;$B621&amp;")",Players!$S$4:$T$132,2,FALSE)),"",VLOOKUP($B641&amp;"("&amp;$B621&amp;")",Players!$S$4:$T$132,2,FALSE))</f>
        <v>A1</v>
      </c>
      <c r="E652" s="111" t="str">
        <f ca="1">IF(ISERROR(VLOOKUP($B648&amp;"("&amp;$B621&amp;")",Players!$S$4:$T$132,2,FALSE)),"",VLOOKUP($B648&amp;"("&amp;$B621&amp;")",Players!$S$4:$T$132,2,FALSE))</f>
        <v>A1</v>
      </c>
      <c r="F652" s="111" t="str">
        <f ca="1">IF(ISERROR(VLOOKUP($B629&amp;"("&amp;$K621&amp;")",Players!$S$4:$T$132,2,FALSE)),"",VLOOKUP($B629&amp;"("&amp;$K621&amp;")",Players!$S$4:$T$132,2,FALSE))</f>
        <v>J1</v>
      </c>
      <c r="G652" s="111" t="str">
        <f ca="1">IF(ISERROR(VLOOKUP($B636&amp;"("&amp;$K621&amp;")",Players!$S$4:$T$132,2,FALSE)),"",VLOOKUP($B636&amp;"("&amp;$K621&amp;")",Players!$S$4:$T$132,2,FALSE))</f>
        <v>J1</v>
      </c>
      <c r="H652" s="111" t="str">
        <f ca="1">IF(ISERROR(VLOOKUP($B643&amp;"("&amp;$K621&amp;")",Players!$S$4:$T$132,2,FALSE)),"",VLOOKUP($B643&amp;"("&amp;$K621&amp;")",Players!$S$4:$T$132,2,FALSE))</f>
        <v>J1</v>
      </c>
      <c r="I652" s="111" t="str">
        <f ca="1">IF(ISERROR(VLOOKUP($B650&amp;"("&amp;$K621&amp;")",Players!$S$4:$T$132,2,FALSE)),"",VLOOKUP($B650&amp;"("&amp;$K621&amp;")",Players!$S$4:$T$132,2,FALSE))</f>
        <v>J1</v>
      </c>
      <c r="Q652" s="6"/>
      <c r="R652" s="37"/>
      <c r="S652" s="95"/>
      <c r="T652" s="95"/>
      <c r="U652" s="95"/>
      <c r="V652" s="95"/>
      <c r="W652" s="95"/>
      <c r="X652" s="95"/>
      <c r="Y652" s="85"/>
      <c r="Z652" s="85"/>
      <c r="AA652" s="85"/>
      <c r="AB652" s="85"/>
      <c r="AC652" s="96"/>
      <c r="AD652" s="97"/>
      <c r="AE652" s="85"/>
      <c r="AF652" s="85"/>
    </row>
    <row r="653" spans="1:32" ht="12.75" customHeight="1" x14ac:dyDescent="0.25">
      <c r="A653" s="15" t="s">
        <v>157</v>
      </c>
      <c r="H653" s="110" t="str">
        <f ca="1">IF($Q655&lt;&gt;"",IF(AND($B656&lt;&gt;"Missing Player",$B658&lt;&gt;"Missing Player"),IF(AND(AND($H655&gt;-1,$H657&gt;-1),OR($H655&gt;10,$H657&gt;10),ABS($H655-$H657)&gt;1,IF(OR($H655&gt;11,$H657&gt;11),ABS($H655-$H657)=2,TRUE),$H655=INT($H655),$H657=INT($H657)),"","Error"),""),"")</f>
        <v/>
      </c>
      <c r="I653" s="110" t="str">
        <f ca="1">IF($Q655&lt;&gt;"",IF(AND($B656&lt;&gt;"Missing Player",$B658&lt;&gt;"Missing Player"),IF(AND(AND($I655&gt;-1,$I657&gt;-1),OR($I655&gt;10,$I657&gt;10),ABS($I655-$I657)&gt;1,IF(OR($I655&gt;11,$I657&gt;11),ABS($I655-$I657)=2,TRUE),$I655=INT($I655),$I657=INT($I657)),"","Error"),""),"")</f>
        <v/>
      </c>
      <c r="J653" s="110" t="str">
        <f ca="1">IF($Q655&lt;&gt;"",IF(AND($B656&lt;&gt;"Missing Player",$B658&lt;&gt;"Missing Player"),IF(AND(AND($J655&gt;-1,$J657&gt;-1),OR($J655&gt;10,$J657&gt;10),ABS($J655-$J657)&gt;1,IF(OR($J655&gt;11,$J657&gt;11),ABS($J655-$J657)=2,TRUE),$J655=INT($J655),$J657=INT($J657)),"","Error"),""),"")</f>
        <v/>
      </c>
      <c r="K653" s="110" t="str">
        <f ca="1">IF($Q655&lt;&gt;"",IF(AND($K655&lt;&gt;"",$K657&lt;&gt;""), IF(AND(AND($K655&gt;-1,$K657&gt;-1),OR($K655&gt;10,$K657&gt;10),ABS($K655-$K657)&gt;1,IF(OR($K655&gt;11,$K657&gt;11),ABS($K655-$K657)=2,TRUE),$K655=INT($K655),$K657=INT($K657)),"","Error"),""),"")</f>
        <v/>
      </c>
      <c r="L653" s="110" t="str">
        <f ca="1">IF($Q655&lt;&gt;"",IF(AND($L655&lt;&gt;"",$L657&lt;&gt;""), IF(AND(AND($L655&gt;-1,$L657&gt;-1),OR($L655&gt;10,$L657&gt;10),ABS($L655-$L657)&gt;1,IF(OR($L655&gt;11,$L657&gt;11),ABS($L655-$L657)=2,TRUE),$L655=INT($L655),$L657=INT($L657)),"","Error"),""),"")</f>
        <v/>
      </c>
      <c r="Q653" s="6"/>
      <c r="R653" s="85"/>
      <c r="S653" s="95"/>
      <c r="T653" s="95"/>
      <c r="U653" s="95"/>
      <c r="V653" s="95"/>
      <c r="W653" s="95"/>
      <c r="X653" s="95"/>
      <c r="Y653" s="85"/>
      <c r="Z653" s="85"/>
      <c r="AA653" s="85"/>
      <c r="AB653" s="85"/>
      <c r="AC653" s="85"/>
      <c r="AD653" s="85"/>
      <c r="AE653" s="85"/>
      <c r="AF653" s="85"/>
    </row>
    <row r="654" spans="1:32" ht="12.75" customHeight="1" x14ac:dyDescent="0.25">
      <c r="A654" s="5" t="s">
        <v>160</v>
      </c>
      <c r="B654" s="256" t="s">
        <v>58</v>
      </c>
      <c r="C654" s="257"/>
      <c r="D654" s="257"/>
      <c r="E654" s="257"/>
      <c r="F654" s="257"/>
      <c r="G654" s="258"/>
      <c r="H654" s="5">
        <v>1</v>
      </c>
      <c r="I654" s="5">
        <v>2</v>
      </c>
      <c r="J654" s="5">
        <v>3</v>
      </c>
      <c r="K654" s="5">
        <v>4</v>
      </c>
      <c r="L654" s="5">
        <v>5</v>
      </c>
      <c r="M654" s="270"/>
      <c r="N654" s="271"/>
      <c r="O654" s="271"/>
      <c r="P654" s="272"/>
      <c r="Q654" s="6"/>
      <c r="T654" s="7"/>
    </row>
    <row r="655" spans="1:32" ht="12.75" customHeight="1" x14ac:dyDescent="0.25">
      <c r="A655" s="259" t="str">
        <f>B621</f>
        <v>A</v>
      </c>
      <c r="B655" s="230" t="str">
        <f ca="1">IF($B627&lt;&gt;"",$B627,"")</f>
        <v/>
      </c>
      <c r="C655" s="231"/>
      <c r="D655" s="231"/>
      <c r="E655" s="231"/>
      <c r="F655" s="231"/>
      <c r="G655" s="232"/>
      <c r="H655" s="233"/>
      <c r="I655" s="233"/>
      <c r="J655" s="233"/>
      <c r="K655" s="233"/>
      <c r="L655" s="233" t="str">
        <f ca="1">IF($B648&lt;&gt;"",IF(AND($B648="Missing Player",$G659=2,$J659=2),0,IF(AND($B650="Missing Player",$G659=2,$J659=2),11,"")),"")</f>
        <v/>
      </c>
      <c r="M655" s="245" t="str">
        <f ca="1">IF(OR(AND($B655&lt;&gt;"",$B656&lt;&gt;"",$B655=$B656),AND($B657&lt;&gt;"",$B658&lt;&gt;"",$B657=$B658)),"Invalid Partner","")</f>
        <v/>
      </c>
      <c r="N655" s="246"/>
      <c r="O655" s="246"/>
      <c r="P655" s="247"/>
      <c r="Q655" s="37" t="str">
        <f ca="1">IF(L655=L657,IF(K655=K657,IF(J655&lt;&gt;"",IF(J655&gt;J657,"W","L"),""),IF(K655&gt;K657,"W","L")),IF(L655&gt;L657,"W","L"))</f>
        <v/>
      </c>
      <c r="T655" s="7"/>
    </row>
    <row r="656" spans="1:32" ht="12.75" customHeight="1" x14ac:dyDescent="0.25">
      <c r="A656" s="260"/>
      <c r="B656" s="266" t="str">
        <f ca="1">IF($B648="Missing Player",$B648,"")</f>
        <v/>
      </c>
      <c r="C656" s="267"/>
      <c r="D656" s="267"/>
      <c r="E656" s="267"/>
      <c r="F656" s="267"/>
      <c r="G656" s="268"/>
      <c r="H656" s="234"/>
      <c r="I656" s="234"/>
      <c r="J656" s="234"/>
      <c r="K656" s="234"/>
      <c r="L656" s="234"/>
      <c r="M656" s="245"/>
      <c r="N656" s="246"/>
      <c r="O656" s="246"/>
      <c r="P656" s="247"/>
      <c r="Q656" s="110" t="str">
        <f ca="1">IF($Q655&lt;&gt;"",IF($B658&lt;&gt;"Missing Player",IF($Q655="W",IF(SUM(IF($H655&gt;$H657,1,0),IF($I655&gt;$I657,1,0),IF($J655&gt;$J657,1,0),IF($K655&gt;$K657,1,0),IF($L655&gt;$L657,1,0))&lt;&gt;3,"Error",""),""),""),"")</f>
        <v/>
      </c>
      <c r="R656" s="295" t="str">
        <f>$A622</f>
        <v/>
      </c>
      <c r="S656" s="295"/>
      <c r="T656" s="295"/>
      <c r="U656" s="295"/>
      <c r="V656" s="295"/>
      <c r="W656" s="295"/>
      <c r="X656" s="219" t="str">
        <f>CONCATENATE("(",$B621," vs ",$K621,")")</f>
        <v>(A vs J)</v>
      </c>
      <c r="Y656" s="219"/>
      <c r="Z656" s="295" t="str">
        <f>$J622</f>
        <v/>
      </c>
      <c r="AA656" s="295"/>
      <c r="AB656" s="295"/>
      <c r="AC656" s="295"/>
      <c r="AD656" s="295"/>
      <c r="AE656" s="295"/>
      <c r="AF656"/>
    </row>
    <row r="657" spans="1:32" ht="12.75" customHeight="1" x14ac:dyDescent="0.25">
      <c r="A657" s="265" t="str">
        <f>K621</f>
        <v>J</v>
      </c>
      <c r="B657" s="230" t="str">
        <f ca="1">IF($B629&lt;&gt;"",$B629,"")</f>
        <v/>
      </c>
      <c r="C657" s="231"/>
      <c r="D657" s="231"/>
      <c r="E657" s="231"/>
      <c r="F657" s="231"/>
      <c r="G657" s="232"/>
      <c r="H657" s="233"/>
      <c r="I657" s="233"/>
      <c r="J657" s="233"/>
      <c r="K657" s="233"/>
      <c r="L657" s="233" t="str">
        <f ca="1">IF($B650&lt;&gt;"",IF(AND($B650="Missing Player",$G659=2,$J659=2),0,IF(AND($B648="Missing Player",$G659=2,$J659=2),11,"")),"")</f>
        <v/>
      </c>
      <c r="M657" s="250" t="s">
        <v>169</v>
      </c>
      <c r="N657" s="251"/>
      <c r="O657" s="251"/>
      <c r="P657" s="252"/>
      <c r="Q657" s="37" t="str">
        <f ca="1">IF(Q655&lt;&gt;"",IF(Q655="W","L","W"),"")</f>
        <v/>
      </c>
      <c r="R657"/>
      <c r="S657"/>
      <c r="T657"/>
      <c r="U657"/>
      <c r="V657"/>
      <c r="W657"/>
      <c r="X657"/>
      <c r="Y657"/>
      <c r="Z657"/>
      <c r="AA657"/>
      <c r="AB657"/>
      <c r="AC657"/>
      <c r="AD657"/>
      <c r="AE657"/>
      <c r="AF657"/>
    </row>
    <row r="658" spans="1:32" ht="12.75" customHeight="1" x14ac:dyDescent="0.25">
      <c r="A658" s="260"/>
      <c r="B658" s="266" t="str">
        <f ca="1">IF($B650="Missing Player",$B650,"")</f>
        <v/>
      </c>
      <c r="C658" s="267"/>
      <c r="D658" s="267"/>
      <c r="E658" s="267"/>
      <c r="F658" s="267"/>
      <c r="G658" s="268"/>
      <c r="H658" s="234"/>
      <c r="I658" s="234"/>
      <c r="J658" s="235"/>
      <c r="K658" s="235"/>
      <c r="L658" s="235"/>
      <c r="M658" s="250"/>
      <c r="N658" s="251"/>
      <c r="O658" s="251"/>
      <c r="P658" s="252"/>
      <c r="Q658" s="110" t="str">
        <f ca="1">IF($Q657&lt;&gt;"",IF($B656&lt;&gt;"Missing Player",IF($Q657="W",IF(SUM(IF($H657&gt;$H655,1,0),IF($I657&gt;$I655,1,0),IF($J657&gt;$J655,1,0),IF($K657&gt;$K655,1,0),IF($L657&gt;$L655,1,0))&lt;&gt;3,"Error",""),""),""),"")</f>
        <v/>
      </c>
      <c r="R658" t="str">
        <f>A646</f>
        <v>4th Singles</v>
      </c>
      <c r="S658"/>
      <c r="T658"/>
      <c r="U658"/>
      <c r="V658"/>
      <c r="W658"/>
      <c r="X658"/>
      <c r="Y658"/>
      <c r="Z658"/>
      <c r="AA658"/>
      <c r="AB658"/>
      <c r="AC658"/>
      <c r="AD658"/>
      <c r="AE658"/>
      <c r="AF658"/>
    </row>
    <row r="659" spans="1:32" ht="12.75" customHeight="1" x14ac:dyDescent="0.25">
      <c r="G659" s="53">
        <f ca="1">COUNTIF($Q627:$Q627,"W")+COUNTIF($Q634:$Q634,"W")+COUNTIF($Q641:$Q641,"W")+COUNTIF($Q648:$Q648,"W")</f>
        <v>0</v>
      </c>
      <c r="J659" s="53">
        <f ca="1">COUNTIF($Q629:$Q629,"W")+COUNTIF($Q636:$Q636,"W")+COUNTIF($Q643:$Q643,"W")+COUNTIF($Q650:$Q650,"W")</f>
        <v>0</v>
      </c>
      <c r="R659" s="47" t="s">
        <v>160</v>
      </c>
      <c r="S659" s="304" t="s">
        <v>58</v>
      </c>
      <c r="T659" s="305"/>
      <c r="U659" s="305"/>
      <c r="V659" s="305"/>
      <c r="W659" s="305"/>
      <c r="X659" s="306"/>
      <c r="Y659" s="47">
        <v>1</v>
      </c>
      <c r="Z659" s="47">
        <v>2</v>
      </c>
      <c r="AA659" s="47">
        <v>3</v>
      </c>
      <c r="AB659" s="47">
        <v>4</v>
      </c>
      <c r="AC659" s="47">
        <v>5</v>
      </c>
      <c r="AD659" s="286"/>
      <c r="AE659" s="287"/>
      <c r="AF659" s="288"/>
    </row>
    <row r="660" spans="1:32" ht="12.75" customHeight="1" thickBot="1" x14ac:dyDescent="0.3">
      <c r="F660" s="212" t="s">
        <v>170</v>
      </c>
      <c r="G660" s="212"/>
      <c r="H660" s="212"/>
      <c r="I660" s="212"/>
      <c r="J660" s="212"/>
      <c r="K660" s="212"/>
      <c r="R660" s="259" t="str">
        <f>B621</f>
        <v>A</v>
      </c>
      <c r="S660" s="307" t="str">
        <f ca="1">IF($B648&lt;&gt;"",$B648,"")</f>
        <v/>
      </c>
      <c r="T660" s="308"/>
      <c r="U660" s="308"/>
      <c r="V660" s="308"/>
      <c r="W660" s="308"/>
      <c r="X660" s="309"/>
      <c r="Y660" s="284"/>
      <c r="Z660" s="284"/>
      <c r="AA660" s="297"/>
      <c r="AB660" s="297"/>
      <c r="AC660" s="297"/>
      <c r="AD660" s="296"/>
      <c r="AE660" s="298"/>
      <c r="AF660" s="299"/>
    </row>
    <row r="661" spans="1:32" ht="12.75" customHeight="1" x14ac:dyDescent="0.25">
      <c r="A661" s="16"/>
      <c r="B661" s="16"/>
      <c r="C661" s="16"/>
      <c r="D661" s="16"/>
      <c r="E661" s="16"/>
      <c r="G661" s="261" t="str">
        <f>B621</f>
        <v>A</v>
      </c>
      <c r="H661" s="262"/>
      <c r="I661" s="263" t="str">
        <f>K621</f>
        <v>J</v>
      </c>
      <c r="J661" s="264"/>
      <c r="L661" s="16"/>
      <c r="M661" s="16"/>
      <c r="N661" s="16"/>
      <c r="O661" s="16"/>
      <c r="P661" s="16"/>
      <c r="R661" s="260"/>
      <c r="S661" s="310"/>
      <c r="T661" s="311"/>
      <c r="U661" s="311"/>
      <c r="V661" s="311"/>
      <c r="W661" s="311"/>
      <c r="X661" s="312"/>
      <c r="Y661" s="285"/>
      <c r="Z661" s="285"/>
      <c r="AA661" s="303"/>
      <c r="AB661" s="303"/>
      <c r="AC661" s="303"/>
      <c r="AD661" s="300"/>
      <c r="AE661" s="301"/>
      <c r="AF661" s="302"/>
    </row>
    <row r="662" spans="1:32" ht="12.75" customHeight="1" thickBot="1" x14ac:dyDescent="0.3">
      <c r="A662" s="2" t="s">
        <v>160</v>
      </c>
      <c r="B662" s="40" t="str">
        <f>B621</f>
        <v>A</v>
      </c>
      <c r="C662" s="3" t="s">
        <v>158</v>
      </c>
      <c r="F662" s="53" t="str">
        <f>CONCATENATE($B621,"-",$K621)</f>
        <v>A-J</v>
      </c>
      <c r="G662" s="240" t="str">
        <f ca="1">IF(OR(Q627&lt;&gt;"",Q634&lt;&gt;"",Q641&lt;&gt;"",Q648&lt;&gt;"",Q655&lt;&gt;""),COUNTIF(Q627:Q627,"W")+COUNTIF(Q634:Q634,"W")+COUNTIF(Q641:Q641,"W")+COUNTIF(Q648:Q648,"W")+COUNTIF(Q655:Q655,"W"),"")</f>
        <v/>
      </c>
      <c r="H662" s="241"/>
      <c r="I662" s="242" t="str">
        <f ca="1">IF(OR(Q629&lt;&gt;"",Q636&lt;&gt;"",Q643&lt;&gt;"",Q650&lt;&gt;"",Q657&lt;&gt;""),COUNTIF(Q629:Q629,"W")+COUNTIF(Q636:Q636,"W")+COUNTIF(Q643:Q643,"W")+COUNTIF(Q650:Q650,"W")+COUNTIF(Q657:Q657,"W"),"")</f>
        <v/>
      </c>
      <c r="J662" s="243"/>
      <c r="L662" s="2" t="s">
        <v>160</v>
      </c>
      <c r="M662" s="40" t="str">
        <f>K621</f>
        <v>J</v>
      </c>
      <c r="N662" s="3" t="s">
        <v>158</v>
      </c>
      <c r="R662" s="259" t="str">
        <f>K621</f>
        <v>J</v>
      </c>
      <c r="S662" s="307" t="str">
        <f ca="1">IF($B650&lt;&gt;"",$B650,"")</f>
        <v/>
      </c>
      <c r="T662" s="308"/>
      <c r="U662" s="308"/>
      <c r="V662" s="308"/>
      <c r="W662" s="308"/>
      <c r="X662" s="309"/>
      <c r="Y662" s="284"/>
      <c r="Z662" s="284"/>
      <c r="AA662" s="297"/>
      <c r="AB662" s="297"/>
      <c r="AC662" s="297"/>
      <c r="AD662" s="289" t="s">
        <v>169</v>
      </c>
      <c r="AE662" s="290"/>
      <c r="AF662" s="291"/>
    </row>
    <row r="663" spans="1:32" ht="12.75" customHeight="1" x14ac:dyDescent="0.35">
      <c r="F663" s="18" t="s">
        <v>403</v>
      </c>
      <c r="G663" s="17"/>
      <c r="H663" s="17"/>
      <c r="I663" s="17"/>
      <c r="J663" s="17"/>
      <c r="R663" s="285"/>
      <c r="S663" s="310"/>
      <c r="T663" s="311"/>
      <c r="U663" s="311"/>
      <c r="V663" s="311"/>
      <c r="W663" s="311"/>
      <c r="X663" s="312"/>
      <c r="Y663" s="285"/>
      <c r="Z663" s="285"/>
      <c r="AA663" s="285"/>
      <c r="AB663" s="285"/>
      <c r="AC663" s="285"/>
      <c r="AD663" s="292"/>
      <c r="AE663" s="293"/>
      <c r="AF663" s="294"/>
    </row>
    <row r="664" spans="1:32" ht="12.75" customHeight="1" x14ac:dyDescent="0.25">
      <c r="R664" s="1"/>
      <c r="S664" s="11"/>
      <c r="T664" s="11"/>
      <c r="U664" s="11"/>
      <c r="V664" s="11"/>
      <c r="W664" s="11"/>
    </row>
    <row r="665" spans="1:32" ht="12.75" customHeight="1" x14ac:dyDescent="0.25">
      <c r="F665" s="212"/>
      <c r="G665" s="212"/>
      <c r="H665" s="212"/>
      <c r="I665" s="212"/>
      <c r="R665" s="1"/>
      <c r="S665" s="11"/>
      <c r="T665" s="11"/>
      <c r="U665" s="11"/>
      <c r="V665" s="11"/>
      <c r="W665" s="11"/>
    </row>
    <row r="666" spans="1:32" ht="12.75" customHeight="1" x14ac:dyDescent="0.25">
      <c r="F666" s="212"/>
      <c r="G666" s="212"/>
      <c r="H666" s="212"/>
      <c r="I666" s="212"/>
      <c r="R666" s="1"/>
      <c r="S666" s="11"/>
      <c r="T666" s="11"/>
      <c r="U666" s="11"/>
      <c r="V666" s="11"/>
      <c r="W666" s="11"/>
    </row>
    <row r="667" spans="1:32" ht="12.75" customHeight="1" x14ac:dyDescent="0.25">
      <c r="K667" s="219" t="s">
        <v>176</v>
      </c>
      <c r="L667" s="219"/>
      <c r="M667" s="219"/>
      <c r="N667" s="219"/>
      <c r="O667" s="219"/>
      <c r="P667" s="219"/>
      <c r="R667" s="1"/>
      <c r="S667" s="11"/>
      <c r="T667" s="11"/>
      <c r="U667" s="11"/>
      <c r="V667" s="11"/>
      <c r="W667" s="11"/>
    </row>
    <row r="668" spans="1:32" ht="12.75" customHeight="1" x14ac:dyDescent="0.25">
      <c r="A668" s="9" t="s">
        <v>161</v>
      </c>
      <c r="B668"/>
      <c r="C668"/>
      <c r="D668" t="str">
        <f>Draw!$B$1</f>
        <v>Enter Division Name</v>
      </c>
      <c r="E668"/>
      <c r="F668" s="6"/>
      <c r="G668" s="6"/>
      <c r="H668" s="6"/>
      <c r="I668"/>
      <c r="J668"/>
      <c r="K668"/>
      <c r="L668"/>
      <c r="M668" s="219"/>
      <c r="N668" s="219"/>
      <c r="O668" s="219"/>
      <c r="P668" s="219"/>
      <c r="R668" s="1"/>
      <c r="S668" s="11"/>
      <c r="T668" s="11"/>
      <c r="U668" s="11"/>
      <c r="V668" s="11"/>
      <c r="W668" s="11"/>
    </row>
    <row r="669" spans="1:32" ht="12.75" customHeight="1" x14ac:dyDescent="0.25">
      <c r="A669" s="2" t="s">
        <v>162</v>
      </c>
      <c r="D669" t="str">
        <f>Draw!$D$1</f>
        <v>Enter Hosting Location (City, ST)</v>
      </c>
      <c r="J669" t="str">
        <f ca="1">$J$6</f>
        <v>[NCTTA Teams Template (v3.4).xlsx]</v>
      </c>
      <c r="R669" s="1"/>
      <c r="S669" s="11"/>
      <c r="T669" s="11"/>
      <c r="U669" s="11"/>
      <c r="V669" s="11"/>
      <c r="W669" s="11"/>
    </row>
    <row r="670" spans="1:32" ht="12.75" customHeight="1" x14ac:dyDescent="0.25">
      <c r="A670" s="2" t="s">
        <v>163</v>
      </c>
      <c r="D670" s="275" t="str">
        <f>Draw!$P$1</f>
        <v>Enter Date</v>
      </c>
      <c r="E670" s="275"/>
      <c r="F670" s="275"/>
      <c r="G670" s="275"/>
      <c r="J670" s="244" t="str">
        <f>CHOOSE(Draw!$T$1,"Round 3, Match 2","Round 5, Match 2","Round 1, Match 6","","","Round 5, Match 2","Round 5, Match 2","Round 4, Match 2","Round 4, Match 2","Round 3, Match 4","Round 3, Match 4")</f>
        <v>Round 3, Match 2</v>
      </c>
      <c r="K670" s="244"/>
      <c r="L670" s="244"/>
      <c r="M670" s="277" t="str">
        <f>IF(AND($J670&lt;&gt;"",Draw!$AC$10&lt;&gt;"",Draw!$AC$13&lt;&gt;""),Draw!$AC$10+TIME(0,VALUE(MID($J670,7,FIND(",",$J670)-FIND(" ",$J670)-1)-1)*Draw!$AC$13,0),"")</f>
        <v/>
      </c>
      <c r="N670" s="277"/>
      <c r="O670" s="125" t="str">
        <f>$F713</f>
        <v>I-K</v>
      </c>
      <c r="R670" s="1"/>
      <c r="S670" s="11"/>
      <c r="T670" s="11"/>
      <c r="U670" s="11"/>
      <c r="V670" s="11"/>
      <c r="W670" s="11"/>
    </row>
    <row r="671" spans="1:32" ht="12.75" customHeight="1" x14ac:dyDescent="0.25">
      <c r="A671" s="6"/>
      <c r="B671"/>
      <c r="C671"/>
      <c r="D671"/>
      <c r="E671"/>
      <c r="F671" s="6"/>
      <c r="G671" s="6"/>
      <c r="H671" s="11"/>
      <c r="I671" s="6"/>
      <c r="J671"/>
      <c r="K671"/>
      <c r="L671"/>
      <c r="M671"/>
      <c r="N671"/>
      <c r="O671" s="269" t="str">
        <f>IF(OR(AND(VLOOKUP($B672,$AM$1:$AX$12,12,FALSE)="C",VLOOKUP($K672,$AM$1:$AX$12,12,FALSE)="C"),AND(VLOOKUP($B672,$AM$1:$AX$12,12,FALSE)="W",VLOOKUP($K672,$AM$1:$AX$12,12,FALSE)="W")),"Official",IF(AND($A673="",$J673=""),"","Scrimmage"))</f>
        <v/>
      </c>
      <c r="P671" s="269"/>
      <c r="R671" s="1"/>
      <c r="S671" s="11"/>
      <c r="T671" s="11"/>
      <c r="U671" s="11"/>
      <c r="V671" s="11"/>
      <c r="W671" s="11"/>
    </row>
    <row r="672" spans="1:32" ht="12.75" customHeight="1" x14ac:dyDescent="0.25">
      <c r="A672" s="12" t="s">
        <v>160</v>
      </c>
      <c r="B672" s="98" t="str">
        <f>CHOOSE(Draw!$T$1,"I","D","J","A","A","D","B","C","E","B","C")</f>
        <v>I</v>
      </c>
      <c r="C672" s="109">
        <f>VLOOKUP($B672,$AM$1:$AN$12,2)</f>
        <v>9</v>
      </c>
      <c r="D672" s="10"/>
      <c r="E672" s="10"/>
      <c r="F672" s="8"/>
      <c r="H672" s="1" t="s">
        <v>164</v>
      </c>
      <c r="J672" s="12" t="s">
        <v>160</v>
      </c>
      <c r="K672" s="98" t="str">
        <f>CHOOSE(Draw!$T$1,"K","F","L","E","I","F","D","E","G","E","F")</f>
        <v>K</v>
      </c>
      <c r="L672" s="109">
        <f>VLOOKUP($K672,$AM$1:$AN$12,2)</f>
        <v>11</v>
      </c>
      <c r="M672" s="10"/>
      <c r="N672" s="10"/>
      <c r="O672" s="13"/>
      <c r="R672" s="1"/>
      <c r="S672" s="11"/>
      <c r="T672" s="11"/>
      <c r="U672" s="11"/>
      <c r="V672" s="11"/>
      <c r="W672" s="11"/>
    </row>
    <row r="673" spans="1:32" ht="12.75" customHeight="1" x14ac:dyDescent="0.25">
      <c r="A673" s="253" t="str">
        <f>IF(VLOOKUP($B672,Draw!$A$4:$B$27,2)&lt;&gt;0,VLOOKUP($B672,Draw!$A$4:$B$27,2),"")</f>
        <v/>
      </c>
      <c r="B673" s="254"/>
      <c r="C673" s="254"/>
      <c r="D673" s="254"/>
      <c r="E673" s="254"/>
      <c r="F673" s="255"/>
      <c r="G673" s="273" t="s">
        <v>417</v>
      </c>
      <c r="H673" s="249"/>
      <c r="I673" s="274"/>
      <c r="J673" s="253" t="str">
        <f>IF(VLOOKUP($K672,Draw!$A$4:$B$27,2)&lt;&gt;0,VLOOKUP($K672,Draw!$A$4:$B$27,2),"")</f>
        <v/>
      </c>
      <c r="K673" s="254"/>
      <c r="L673" s="254"/>
      <c r="M673" s="254"/>
      <c r="N673" s="254"/>
      <c r="O673" s="255"/>
      <c r="P673"/>
      <c r="R673" s="1"/>
      <c r="S673" s="11"/>
      <c r="T673" s="11"/>
      <c r="U673" s="11"/>
      <c r="V673" s="11"/>
      <c r="W673" s="11"/>
    </row>
    <row r="674" spans="1:32" ht="12.75" customHeight="1" x14ac:dyDescent="0.25">
      <c r="A674" s="6"/>
      <c r="B674"/>
      <c r="C674"/>
      <c r="D674"/>
      <c r="E674"/>
      <c r="F674" s="6"/>
      <c r="G674" s="248" t="str">
        <f>"Page "&amp;VALUE(RIGHT($G673,LEN($G673)-SEARCH("-",$G673)))/2</f>
        <v>Page 14</v>
      </c>
      <c r="H674" s="249"/>
      <c r="I674" s="249"/>
      <c r="J674"/>
      <c r="K674"/>
      <c r="L674"/>
      <c r="M674"/>
      <c r="N674"/>
      <c r="O674"/>
      <c r="P674"/>
      <c r="R674" s="1"/>
      <c r="S674" s="11"/>
      <c r="T674" s="11"/>
      <c r="U674" s="11"/>
      <c r="V674" s="11"/>
      <c r="W674" s="11"/>
      <c r="AF674"/>
    </row>
    <row r="675" spans="1:32" ht="12.75" customHeight="1" x14ac:dyDescent="0.25">
      <c r="A675" s="276" t="s">
        <v>177</v>
      </c>
      <c r="B675" s="276"/>
      <c r="C675" s="276"/>
      <c r="D675" s="276"/>
      <c r="E675" s="276"/>
      <c r="F675" s="276"/>
      <c r="G675" s="276"/>
      <c r="H675" s="276"/>
      <c r="I675" s="276"/>
      <c r="J675" s="276"/>
      <c r="K675" s="276"/>
      <c r="L675" s="276"/>
      <c r="M675" s="276"/>
      <c r="N675" s="276"/>
      <c r="O675" s="276"/>
      <c r="P675" s="276"/>
      <c r="Q675" s="6"/>
      <c r="R675" s="1"/>
      <c r="S675" s="11"/>
      <c r="T675" s="11"/>
      <c r="U675" s="11"/>
      <c r="V675" s="11"/>
      <c r="W675" s="11"/>
      <c r="AF675" s="14"/>
    </row>
    <row r="676" spans="1:32" ht="12.75" customHeight="1" x14ac:dyDescent="0.25">
      <c r="A676" s="15" t="s">
        <v>165</v>
      </c>
      <c r="H676" s="110" t="str">
        <f>IF($Q678&lt;&gt;"",IF(AND(AND($H678&gt;-1,$H680&gt;-1),OR($H678&gt;10,$H680&gt;10),ABS($H678-$H680)&gt;1,IF(OR($H678&gt;11,$H680&gt;11),ABS($H678-$H680)=2,TRUE),$H678=INT($H678),$H680=INT($H680)),"","Error"),"")</f>
        <v/>
      </c>
      <c r="I676" s="110" t="str">
        <f>IF($Q678&lt;&gt;"",IF(AND(AND($I678&gt;-1,$I680&gt;-1),OR($I678&gt;10,$I680&gt;10),ABS($I678-$I680)&gt;1,IF(OR($I678&gt;11,$I680&gt;11),ABS($I678-$I680)=2,TRUE),$I678=INT($I678),$I680=INT($I680)),"","Error"),"")</f>
        <v/>
      </c>
      <c r="J676" s="110" t="str">
        <f>IF($Q678&lt;&gt;"",IF(AND(AND($J678&gt;-1,$J680&gt;-1),OR($J678&gt;10,$J680&gt;10),ABS($J678-$J680)&gt;1,IF(OR($J678&gt;11,$J680&gt;11),ABS($J678-$J680)=2,TRUE),$J678=INT($J678),$J680=INT($J680)),"","Error"),"")</f>
        <v/>
      </c>
      <c r="K676" s="110" t="str">
        <f>IF($Q678&lt;&gt;"",IF(AND($K678&lt;&gt;"",$K680&lt;&gt;""), IF(AND(AND($K678&gt;-1,$K680&gt;-1),OR($K678&gt;10,$K680&gt;10),ABS($K678-$K680)&gt;1,IF(OR($K678&gt;11,$K680&gt;11),ABS($K678-$K680)=2,TRUE),$K678=INT($K678),$K680=INT($K680)),"","Error"),""),"")</f>
        <v/>
      </c>
      <c r="L676" s="110" t="str">
        <f>IF($Q678&lt;&gt;"",IF(AND($L678&lt;&gt;"",$L680&lt;&gt;""), IF(AND(AND($L678&gt;-1,$L680&gt;-1),OR($L678&gt;10,$L680&gt;10),ABS($L678-$L680)&gt;1,IF(OR($L678&gt;11,$L680&gt;11),ABS($L678-$L680)=2,TRUE),$L678=INT($L678),$L680=INT($L680)),"","Error"),""),"")</f>
        <v/>
      </c>
      <c r="R676" s="1"/>
      <c r="S676" s="11"/>
      <c r="T676" s="11"/>
      <c r="U676" s="11"/>
      <c r="V676" s="11"/>
      <c r="W676" s="11"/>
    </row>
    <row r="677" spans="1:32" ht="12.75" customHeight="1" x14ac:dyDescent="0.25">
      <c r="A677" s="5" t="s">
        <v>160</v>
      </c>
      <c r="B677" s="256" t="s">
        <v>58</v>
      </c>
      <c r="C677" s="257"/>
      <c r="D677" s="257"/>
      <c r="E677" s="257"/>
      <c r="F677" s="257"/>
      <c r="G677" s="258"/>
      <c r="H677" s="5">
        <v>1</v>
      </c>
      <c r="I677" s="5">
        <v>2</v>
      </c>
      <c r="J677" s="5">
        <v>3</v>
      </c>
      <c r="K677" s="5">
        <v>4</v>
      </c>
      <c r="L677" s="5">
        <v>5</v>
      </c>
      <c r="M677" s="270"/>
      <c r="N677" s="271"/>
      <c r="O677" s="271"/>
      <c r="P677" s="272"/>
      <c r="R677" s="1"/>
      <c r="S677" s="11"/>
      <c r="T677" s="11"/>
      <c r="U677" s="11"/>
      <c r="V677" s="11"/>
      <c r="W677" s="11"/>
    </row>
    <row r="678" spans="1:32" ht="12.75" customHeight="1" x14ac:dyDescent="0.25">
      <c r="A678" s="259" t="str">
        <f>B672</f>
        <v>I</v>
      </c>
      <c r="B678" s="236" t="str">
        <f ca="1">IF(AND(OFFSET($AO$1,$C672-1,8,1,1),$A673&lt;&gt;"",$J673&lt;&gt;""),CHOOSE($C672,$AO$1,$AO$2,$AO$3,$AO$4,$AO$5,$AO$6,$AO$7,$AO$8,$AO$9,$AO$10,$AO$11,$AO$12),"")</f>
        <v/>
      </c>
      <c r="C678" s="237"/>
      <c r="D678" s="237"/>
      <c r="E678" s="237"/>
      <c r="F678" s="237"/>
      <c r="G678" s="237"/>
      <c r="H678" s="233"/>
      <c r="I678" s="233"/>
      <c r="J678" s="233"/>
      <c r="K678" s="233"/>
      <c r="L678" s="233"/>
      <c r="M678" s="281"/>
      <c r="N678" s="282"/>
      <c r="O678" s="282"/>
      <c r="P678" s="283"/>
      <c r="Q678" s="40" t="str">
        <f>IF($L678=$L680,IF($K678=$K680,IF($J678&lt;&gt;"",IF($J678&gt;$J680,"W","L"),""),IF($K678&gt;$K680,"W","L")),IF($L678&gt;$L680,"W","L"))</f>
        <v/>
      </c>
      <c r="R678" s="1"/>
      <c r="S678" s="11"/>
      <c r="T678" s="11"/>
      <c r="U678" s="11"/>
      <c r="V678" s="11"/>
      <c r="W678" s="11"/>
    </row>
    <row r="679" spans="1:32" ht="12.75" customHeight="1" x14ac:dyDescent="0.25">
      <c r="A679" s="260"/>
      <c r="B679" s="238"/>
      <c r="C679" s="239"/>
      <c r="D679" s="239"/>
      <c r="E679" s="239"/>
      <c r="F679" s="239"/>
      <c r="G679" s="239"/>
      <c r="H679" s="234"/>
      <c r="I679" s="234"/>
      <c r="J679" s="234"/>
      <c r="K679" s="234"/>
      <c r="L679" s="234"/>
      <c r="M679" s="281"/>
      <c r="N679" s="282"/>
      <c r="O679" s="282"/>
      <c r="P679" s="283"/>
      <c r="Q679" s="110" t="str">
        <f>IF($Q678&lt;&gt;"",IF($Q678="W",IF(SUM(IF($H678&gt;$H680,1,0),IF($I678&gt;$I680,1,0),IF($J678&gt;$J680,1,0),IF($K678&gt;$K680,1,0),IF($L678&gt;$L680,1,0))&lt;&gt;3,"Error",""),""),"")</f>
        <v/>
      </c>
      <c r="R679" s="295" t="str">
        <f>$A673</f>
        <v/>
      </c>
      <c r="S679" s="295"/>
      <c r="T679" s="295"/>
      <c r="U679" s="295"/>
      <c r="V679" s="295"/>
      <c r="W679" s="295"/>
      <c r="X679" s="219" t="str">
        <f>CONCATENATE("(",$B672," vs ",$K672,")")</f>
        <v>(I vs K)</v>
      </c>
      <c r="Y679" s="219"/>
      <c r="Z679" s="295" t="str">
        <f>$J673</f>
        <v/>
      </c>
      <c r="AA679" s="295"/>
      <c r="AB679" s="295"/>
      <c r="AC679" s="295"/>
      <c r="AD679" s="295"/>
      <c r="AE679" s="295"/>
      <c r="AF679"/>
    </row>
    <row r="680" spans="1:32" ht="12.75" customHeight="1" x14ac:dyDescent="0.25">
      <c r="A680" s="259" t="str">
        <f>K672</f>
        <v>K</v>
      </c>
      <c r="B680" s="236" t="str">
        <f ca="1">IF(AND(OFFSET($AO$1,$L672-1,8,1,1),$A673&lt;&gt;"",$J673&lt;&gt;""),CHOOSE($L672,$AO$1,$AO$2,$AO$3,$AO$4,$AO$5,$AO$6,$AO$7,$AO$8,$AO$9,$AO$10,$AO$11,$AO$12),"")</f>
        <v/>
      </c>
      <c r="C680" s="237"/>
      <c r="D680" s="237"/>
      <c r="E680" s="237"/>
      <c r="F680" s="237"/>
      <c r="G680" s="237"/>
      <c r="H680" s="233"/>
      <c r="I680" s="233"/>
      <c r="J680" s="233"/>
      <c r="K680" s="233"/>
      <c r="L680" s="233"/>
      <c r="M680" s="250" t="s">
        <v>169</v>
      </c>
      <c r="N680" s="251"/>
      <c r="O680" s="251"/>
      <c r="P680" s="252"/>
      <c r="Q680" s="40" t="str">
        <f>IF($Q678&lt;&gt;"",IF($Q678="W","L","W"),"")</f>
        <v/>
      </c>
      <c r="R680"/>
      <c r="S680"/>
      <c r="T680"/>
      <c r="U680"/>
      <c r="V680"/>
      <c r="W680"/>
      <c r="X680"/>
      <c r="Y680"/>
      <c r="Z680"/>
      <c r="AA680"/>
      <c r="AB680"/>
      <c r="AC680"/>
      <c r="AD680"/>
      <c r="AE680"/>
      <c r="AF680"/>
    </row>
    <row r="681" spans="1:32" ht="12.75" customHeight="1" x14ac:dyDescent="0.25">
      <c r="A681" s="260"/>
      <c r="B681" s="238"/>
      <c r="C681" s="239"/>
      <c r="D681" s="239"/>
      <c r="E681" s="239"/>
      <c r="F681" s="239"/>
      <c r="G681" s="239"/>
      <c r="H681" s="234"/>
      <c r="I681" s="234"/>
      <c r="J681" s="235"/>
      <c r="K681" s="235"/>
      <c r="L681" s="235"/>
      <c r="M681" s="250"/>
      <c r="N681" s="251"/>
      <c r="O681" s="251"/>
      <c r="P681" s="252"/>
      <c r="Q681" s="110" t="str">
        <f>IF($Q680&lt;&gt;"",IF($Q680="W",IF(SUM(IF($H680&gt;$H678,1,0),IF($I680&gt;$I678,1,0),IF($J680&gt;$J678,1,0),IF($K680&gt;$K678,1,0),IF($L680&gt;$L678,1,0))&lt;&gt;3,"Error",""),""),"")</f>
        <v/>
      </c>
      <c r="R681" t="str">
        <f>$A683</f>
        <v>2nd Singles</v>
      </c>
      <c r="S681"/>
      <c r="T681"/>
      <c r="U681"/>
      <c r="V681"/>
      <c r="W681"/>
      <c r="X681"/>
      <c r="Y681"/>
      <c r="Z681"/>
      <c r="AA681"/>
      <c r="AB681"/>
      <c r="AC681"/>
      <c r="AD681"/>
      <c r="AE681"/>
      <c r="AF681"/>
    </row>
    <row r="682" spans="1:32" ht="12.75" customHeight="1" x14ac:dyDescent="0.25">
      <c r="Q682" s="6"/>
      <c r="R682" s="47" t="s">
        <v>160</v>
      </c>
      <c r="S682" s="304" t="s">
        <v>58</v>
      </c>
      <c r="T682" s="305"/>
      <c r="U682" s="305"/>
      <c r="V682" s="305"/>
      <c r="W682" s="305"/>
      <c r="X682" s="306"/>
      <c r="Y682" s="47">
        <v>1</v>
      </c>
      <c r="Z682" s="47">
        <v>2</v>
      </c>
      <c r="AA682" s="47">
        <v>3</v>
      </c>
      <c r="AB682" s="47">
        <v>4</v>
      </c>
      <c r="AC682" s="47">
        <v>5</v>
      </c>
      <c r="AD682" s="286"/>
      <c r="AE682" s="287"/>
      <c r="AF682" s="288"/>
    </row>
    <row r="683" spans="1:32" ht="12.75" customHeight="1" x14ac:dyDescent="0.25">
      <c r="A683" s="15" t="s">
        <v>166</v>
      </c>
      <c r="H683" s="110" t="str">
        <f>IF($Q685&lt;&gt;"",IF(AND(AND($H685&gt;-1,$H687&gt;-1),OR($H685&gt;10,$H687&gt;10),ABS($H685-$H687)&gt;1,IF(OR($H685&gt;11,$H687&gt;11),ABS($H685-$H687)=2,TRUE),$H685=INT($H685),$H687=INT($H687)),"","Error"),"")</f>
        <v/>
      </c>
      <c r="I683" s="110" t="str">
        <f>IF($Q685&lt;&gt;"",IF(AND(AND($I685&gt;-1,$I687&gt;-1),OR($I685&gt;10,$I687&gt;10),ABS($I685-$I687)&gt;1,IF(OR($I685&gt;11,$I687&gt;11),ABS($I685-$I687)=2,TRUE),$I685=INT($I685),$I687=INT($I687)),"","Error"),"")</f>
        <v/>
      </c>
      <c r="J683" s="110" t="str">
        <f>IF($Q685&lt;&gt;"",IF(AND(AND($J685&gt;-1,$J687&gt;-1),OR($J685&gt;10,$J687&gt;10),ABS($J685-$J687)&gt;1,IF(OR($J685&gt;11,$J687&gt;11),ABS($J685-$J687)=2,TRUE),$J685=INT($J685),$J687=INT($J687)),"","Error"),"")</f>
        <v/>
      </c>
      <c r="K683" s="110" t="str">
        <f>IF($Q685&lt;&gt;"",IF(AND($K685&lt;&gt;"",$K687&lt;&gt;""), IF(AND(AND($K685&gt;-1,$K687&gt;-1),OR($K685&gt;10,$K687&gt;10),ABS($K685-$K687)&gt;1,IF(OR($K685&gt;11,$K687&gt;11),ABS($K685-$K687)=2,TRUE),$K685=INT($K685),$K687=INT($K687)),"","Error"),""),"")</f>
        <v/>
      </c>
      <c r="L683" s="110" t="str">
        <f>IF($Q685&lt;&gt;"",IF(AND($L685&lt;&gt;"",$L687&lt;&gt;""), IF(AND(AND($L685&gt;-1,$L687&gt;-1),OR($L685&gt;10,$L687&gt;10),ABS($L685-$L687)&gt;1,IF(OR($L685&gt;11,$L687&gt;11),ABS($L685-$L687)=2,TRUE),$L685=INT($L685),$L687=INT($L687)),"","Error"),""),"")</f>
        <v/>
      </c>
      <c r="Q683" s="6"/>
      <c r="R683" s="259" t="str">
        <f>$B672</f>
        <v>I</v>
      </c>
      <c r="S683" s="307" t="str">
        <f ca="1">IF($B685&lt;&gt;"",$B685,"")</f>
        <v/>
      </c>
      <c r="T683" s="308"/>
      <c r="U683" s="308"/>
      <c r="V683" s="308"/>
      <c r="W683" s="308"/>
      <c r="X683" s="309"/>
      <c r="Y683" s="284"/>
      <c r="Z683" s="284"/>
      <c r="AA683" s="284"/>
      <c r="AB683" s="284"/>
      <c r="AC683" s="284"/>
      <c r="AD683" s="296"/>
      <c r="AE683" s="290"/>
      <c r="AF683" s="291"/>
    </row>
    <row r="684" spans="1:32" ht="12.75" customHeight="1" x14ac:dyDescent="0.25">
      <c r="A684" s="5" t="s">
        <v>160</v>
      </c>
      <c r="B684" s="256" t="s">
        <v>58</v>
      </c>
      <c r="C684" s="257"/>
      <c r="D684" s="257"/>
      <c r="E684" s="257"/>
      <c r="F684" s="257"/>
      <c r="G684" s="258"/>
      <c r="H684" s="5">
        <v>1</v>
      </c>
      <c r="I684" s="5">
        <v>2</v>
      </c>
      <c r="J684" s="5">
        <v>3</v>
      </c>
      <c r="K684" s="5">
        <v>4</v>
      </c>
      <c r="L684" s="5">
        <v>5</v>
      </c>
      <c r="M684" s="270"/>
      <c r="N684" s="271"/>
      <c r="O684" s="271"/>
      <c r="P684" s="272"/>
      <c r="Q684" s="6"/>
      <c r="R684" s="285"/>
      <c r="S684" s="310"/>
      <c r="T684" s="311"/>
      <c r="U684" s="311"/>
      <c r="V684" s="311"/>
      <c r="W684" s="311"/>
      <c r="X684" s="312"/>
      <c r="Y684" s="285"/>
      <c r="Z684" s="285"/>
      <c r="AA684" s="285"/>
      <c r="AB684" s="285"/>
      <c r="AC684" s="285"/>
      <c r="AD684" s="292"/>
      <c r="AE684" s="293"/>
      <c r="AF684" s="294"/>
    </row>
    <row r="685" spans="1:32" ht="12.75" customHeight="1" x14ac:dyDescent="0.25">
      <c r="A685" s="259" t="str">
        <f>B672</f>
        <v>I</v>
      </c>
      <c r="B685" s="236" t="str">
        <f ca="1">IF(AND(OFFSET($AO$1,$C672-1,8,1,1),$A673&lt;&gt;"",$J673&lt;&gt;""),CHOOSE($C672,$AP$1,$AP$2,$AP$3,$AP$4,$AP$5,$AP$6,$AP$7,$AP$8,$AP$9,$AP$10,$AP$11,$AP$12),"")</f>
        <v/>
      </c>
      <c r="C685" s="237"/>
      <c r="D685" s="237"/>
      <c r="E685" s="237"/>
      <c r="F685" s="237"/>
      <c r="G685" s="237"/>
      <c r="H685" s="233"/>
      <c r="I685" s="233"/>
      <c r="J685" s="233"/>
      <c r="K685" s="233"/>
      <c r="L685" s="233"/>
      <c r="M685" s="245" t="str">
        <f ca="1">IF(OR(AND($B678&lt;&gt;"",$B685&lt;&gt;"",$C703&lt;=$B703),AND($B680&lt;&gt;"",$B687&lt;&gt;"",$G703&lt;=$F703)),"Invalid Lineup","")</f>
        <v/>
      </c>
      <c r="N685" s="246"/>
      <c r="O685" s="246"/>
      <c r="P685" s="247"/>
      <c r="Q685" s="40" t="str">
        <f>IF($L685=$L687,IF($K685=$K687,IF($J685&lt;&gt;"",IF($J685&gt;$J687,"W","L"),""),IF($K685&gt;$K687,"W","L")),IF($L685&gt;$L687,"W","L"))</f>
        <v/>
      </c>
      <c r="R685" s="259" t="str">
        <f>$K672</f>
        <v>K</v>
      </c>
      <c r="S685" s="307" t="str">
        <f ca="1">IF($B687&lt;&gt;"",$B687,"")</f>
        <v/>
      </c>
      <c r="T685" s="308"/>
      <c r="U685" s="308"/>
      <c r="V685" s="308"/>
      <c r="W685" s="308"/>
      <c r="X685" s="309"/>
      <c r="Y685" s="284"/>
      <c r="Z685" s="284"/>
      <c r="AA685" s="284"/>
      <c r="AB685" s="284"/>
      <c r="AC685" s="297"/>
      <c r="AD685" s="289" t="s">
        <v>169</v>
      </c>
      <c r="AE685" s="290"/>
      <c r="AF685" s="291"/>
    </row>
    <row r="686" spans="1:32" ht="12.75" customHeight="1" x14ac:dyDescent="0.25">
      <c r="A686" s="260"/>
      <c r="B686" s="238"/>
      <c r="C686" s="239"/>
      <c r="D686" s="239"/>
      <c r="E686" s="239"/>
      <c r="F686" s="239"/>
      <c r="G686" s="239"/>
      <c r="H686" s="234"/>
      <c r="I686" s="234"/>
      <c r="J686" s="234"/>
      <c r="K686" s="234"/>
      <c r="L686" s="234"/>
      <c r="M686" s="245"/>
      <c r="N686" s="246"/>
      <c r="O686" s="246"/>
      <c r="P686" s="247"/>
      <c r="Q686" s="110" t="str">
        <f>IF($Q685&lt;&gt;"",IF($Q685="W",IF(SUM(IF($H685&gt;$H687,1,0),IF($I685&gt;$I687,1,0),IF($J685&gt;$J687,1,0),IF($K685&gt;$K687,1,0),IF($L685&gt;$L687,1,0))&lt;&gt;3,"Error",""),""),"")</f>
        <v/>
      </c>
      <c r="R686" s="285"/>
      <c r="S686" s="310"/>
      <c r="T686" s="311"/>
      <c r="U686" s="311"/>
      <c r="V686" s="311"/>
      <c r="W686" s="311"/>
      <c r="X686" s="312"/>
      <c r="Y686" s="285"/>
      <c r="Z686" s="285"/>
      <c r="AA686" s="285"/>
      <c r="AB686" s="285"/>
      <c r="AC686" s="285"/>
      <c r="AD686" s="292"/>
      <c r="AE686" s="293"/>
      <c r="AF686" s="294"/>
    </row>
    <row r="687" spans="1:32" ht="12.75" customHeight="1" x14ac:dyDescent="0.25">
      <c r="A687" s="259" t="str">
        <f>K672</f>
        <v>K</v>
      </c>
      <c r="B687" s="236" t="str">
        <f ca="1">IF(AND(OFFSET($AO$1,$L672-1,8,1,1),$A673&lt;&gt;"",$J673&lt;&gt;""),CHOOSE($L672,$AP$1,$AP$2,$AP$3,$AP$4,$AP$5,$AP$6,$AP$7,$AP$8,$AP$9,$AP$10,$AP$11,$AP$12),"")</f>
        <v/>
      </c>
      <c r="C687" s="237"/>
      <c r="D687" s="237"/>
      <c r="E687" s="237"/>
      <c r="F687" s="237"/>
      <c r="G687" s="237"/>
      <c r="H687" s="233"/>
      <c r="I687" s="233"/>
      <c r="J687" s="233"/>
      <c r="K687" s="233"/>
      <c r="L687" s="233"/>
      <c r="M687" s="250" t="s">
        <v>169</v>
      </c>
      <c r="N687" s="251"/>
      <c r="O687" s="251"/>
      <c r="P687" s="252"/>
      <c r="Q687" s="40" t="str">
        <f>IF($Q685&lt;&gt;"",IF($Q685="W","L","W"),"")</f>
        <v/>
      </c>
      <c r="R687" s="14"/>
      <c r="S687" s="14"/>
      <c r="T687" s="14"/>
      <c r="U687" s="14"/>
      <c r="V687" s="14"/>
      <c r="W687" s="14"/>
      <c r="X687" s="7"/>
      <c r="Y687" s="7"/>
      <c r="Z687" s="14"/>
      <c r="AA687" s="14"/>
      <c r="AB687" s="14"/>
      <c r="AC687" s="14"/>
      <c r="AD687" s="14"/>
      <c r="AE687" s="14"/>
      <c r="AF687"/>
    </row>
    <row r="688" spans="1:32" ht="12.75" customHeight="1" x14ac:dyDescent="0.25">
      <c r="A688" s="260"/>
      <c r="B688" s="238"/>
      <c r="C688" s="239"/>
      <c r="D688" s="239"/>
      <c r="E688" s="239"/>
      <c r="F688" s="239"/>
      <c r="G688" s="239"/>
      <c r="H688" s="234"/>
      <c r="I688" s="234"/>
      <c r="J688" s="235"/>
      <c r="K688" s="235"/>
      <c r="L688" s="235"/>
      <c r="M688" s="250"/>
      <c r="N688" s="251"/>
      <c r="O688" s="251"/>
      <c r="P688" s="252"/>
      <c r="Q688" s="110" t="str">
        <f>IF($Q687&lt;&gt;"",IF($Q687="W",IF(SUM(IF($H687&gt;$H685,1,0),IF($I687&gt;$I685,1,0),IF($J687&gt;$J685,1,0),IF($K687&gt;$K685,1,0),IF($L687&gt;$L685,1,0))&lt;&gt;3,"Error",""),""),"")</f>
        <v/>
      </c>
      <c r="R688" s="14"/>
      <c r="S688" s="14"/>
      <c r="T688" s="14"/>
      <c r="U688" s="14"/>
      <c r="V688" s="14"/>
      <c r="W688" s="14"/>
      <c r="X688" s="7"/>
      <c r="Y688" s="7"/>
      <c r="Z688" s="14"/>
      <c r="AA688" s="14"/>
      <c r="AB688" s="14"/>
      <c r="AC688" s="14"/>
      <c r="AD688" s="14"/>
      <c r="AE688" s="14"/>
      <c r="AF688"/>
    </row>
    <row r="689" spans="1:32" ht="12.75" customHeight="1" x14ac:dyDescent="0.25">
      <c r="Q689" s="6"/>
      <c r="R689" s="14"/>
      <c r="S689" s="14"/>
      <c r="T689" s="14"/>
      <c r="U689" s="14"/>
      <c r="V689" s="14"/>
      <c r="W689" s="14"/>
      <c r="X689" s="7"/>
      <c r="Y689" s="7"/>
      <c r="Z689" s="14"/>
      <c r="AA689" s="14"/>
      <c r="AB689" s="14"/>
      <c r="AC689" s="14"/>
      <c r="AD689" s="14"/>
      <c r="AE689" s="14"/>
      <c r="AF689"/>
    </row>
    <row r="690" spans="1:32" ht="12.75" customHeight="1" x14ac:dyDescent="0.25">
      <c r="A690" s="15" t="s">
        <v>167</v>
      </c>
      <c r="H690" s="110" t="str">
        <f>IF($Q692&lt;&gt;"",IF(AND(AND($H692&gt;-1,$H694&gt;-1),OR($H692&gt;10,$H694&gt;10),ABS($H692-$H694)&gt;1,IF(OR($H692&gt;11,$H694&gt;11),ABS($H692-$H694)=2,TRUE),$H692=INT($H692),$H694=INT($H694)),"","Error"),"")</f>
        <v/>
      </c>
      <c r="I690" s="110" t="str">
        <f>IF($Q692&lt;&gt;"",IF(AND(AND($I692&gt;-1,$I694&gt;-1),OR($I692&gt;10,$I694&gt;10),ABS($I692-$I694)&gt;1,IF(OR($I692&gt;11,$I694&gt;11),ABS($I692-$I694)=2,TRUE),$I692=INT($I692),$I694=INT($I694)),"","Error"),"")</f>
        <v/>
      </c>
      <c r="J690" s="110" t="str">
        <f>IF($Q692&lt;&gt;"",IF(AND(AND($J692&gt;-1,$J694&gt;-1),OR($J692&gt;10,$J694&gt;10),ABS($J692-$J694)&gt;1,IF(OR($J692&gt;11,$J694&gt;11),ABS($J692-$J694)=2,TRUE),$J692=INT($J692),$J694=INT($J694)),"","Error"),"")</f>
        <v/>
      </c>
      <c r="K690" s="110" t="str">
        <f>IF($Q692&lt;&gt;"",IF(AND($K692&lt;&gt;"",$K694&lt;&gt;""), IF(AND(AND($K692&gt;-1,$K694&gt;-1),OR($K692&gt;10,$K694&gt;10),ABS($K692-$K694)&gt;1,IF(OR($K692&gt;11,$K694&gt;11),ABS($K692-$K694)=2,TRUE),$K692=INT($K692),$K694=INT($K694)),"","Error"),""),"")</f>
        <v/>
      </c>
      <c r="L690" s="110" t="str">
        <f>IF($Q692&lt;&gt;"",IF(AND($L692&lt;&gt;"",$L694&lt;&gt;""), IF(AND(AND($L692&gt;-1,$L694&gt;-1),OR($L692&gt;10,$L694&gt;10),ABS($L692-$L694)&gt;1,IF(OR($L692&gt;11,$L694&gt;11),ABS($L692-$L694)=2,TRUE),$L692=INT($L692),$L694=INT($L694)),"","Error"),""),"")</f>
        <v/>
      </c>
      <c r="Q690" s="6"/>
      <c r="R690" s="14"/>
      <c r="S690" s="14"/>
      <c r="T690" s="14"/>
      <c r="U690" s="14"/>
      <c r="V690" s="14"/>
      <c r="W690" s="14"/>
      <c r="X690" s="7"/>
      <c r="Y690" s="7"/>
      <c r="Z690" s="14"/>
      <c r="AA690" s="14"/>
      <c r="AB690" s="14"/>
      <c r="AC690" s="14"/>
      <c r="AD690" s="14"/>
      <c r="AE690" s="14"/>
      <c r="AF690"/>
    </row>
    <row r="691" spans="1:32" ht="12.75" customHeight="1" x14ac:dyDescent="0.25">
      <c r="A691" s="5" t="s">
        <v>160</v>
      </c>
      <c r="B691" s="256" t="s">
        <v>58</v>
      </c>
      <c r="C691" s="257"/>
      <c r="D691" s="257"/>
      <c r="E691" s="257"/>
      <c r="F691" s="257"/>
      <c r="G691" s="258"/>
      <c r="H691" s="5">
        <v>1</v>
      </c>
      <c r="I691" s="5">
        <v>2</v>
      </c>
      <c r="J691" s="5">
        <v>3</v>
      </c>
      <c r="K691" s="5">
        <v>4</v>
      </c>
      <c r="L691" s="5">
        <v>5</v>
      </c>
      <c r="M691" s="270"/>
      <c r="N691" s="271"/>
      <c r="O691" s="271"/>
      <c r="P691" s="272"/>
      <c r="Q691" s="6"/>
      <c r="R691" s="14"/>
      <c r="S691" s="14"/>
      <c r="T691" s="14"/>
      <c r="U691" s="14"/>
      <c r="V691" s="14"/>
      <c r="W691" s="14"/>
      <c r="X691" s="7"/>
      <c r="Y691" s="7"/>
      <c r="Z691" s="14"/>
      <c r="AA691" s="14"/>
      <c r="AB691" s="14"/>
      <c r="AC691" s="14"/>
      <c r="AD691" s="14"/>
      <c r="AE691" s="14"/>
      <c r="AF691"/>
    </row>
    <row r="692" spans="1:32" ht="12.75" customHeight="1" x14ac:dyDescent="0.25">
      <c r="A692" s="259" t="str">
        <f>B672</f>
        <v>I</v>
      </c>
      <c r="B692" s="236" t="str">
        <f ca="1">IF(AND(OFFSET($AO$1,$C672-1,8,1,1),$A673&lt;&gt;"",$J673&lt;&gt;""),CHOOSE($C672,$AQ$1,$AQ$2,$AQ$3,$AQ$4,$AQ$5,$AQ$6,$AQ$7,$AQ$8,$AQ$9,$AQ$10,$AQ$11,$AQ$12),"")</f>
        <v/>
      </c>
      <c r="C692" s="237"/>
      <c r="D692" s="237"/>
      <c r="E692" s="237"/>
      <c r="F692" s="237"/>
      <c r="G692" s="237"/>
      <c r="H692" s="233"/>
      <c r="I692" s="233"/>
      <c r="J692" s="233"/>
      <c r="K692" s="233"/>
      <c r="L692" s="233"/>
      <c r="M692" s="245" t="str">
        <f ca="1">IF(OR(AND($B685&lt;&gt;"",$B692&lt;&gt;"",$D703&lt;=$C703),AND($B687&lt;&gt;"",$B694&lt;&gt;"",$H703&lt;=$G703)),"Invalid Lineup","")</f>
        <v/>
      </c>
      <c r="N692" s="246"/>
      <c r="O692" s="246"/>
      <c r="P692" s="247"/>
      <c r="Q692" s="40" t="str">
        <f>IF($L692=$L694,IF($K692=$K694,IF($J692&lt;&gt;"",IF($J692&gt;$J694,"W","L"),""),IF($K692&gt;$K694,"W","L")),IF($L692&gt;$L694,"W","L"))</f>
        <v/>
      </c>
      <c r="R692" s="14"/>
      <c r="S692" s="14"/>
      <c r="T692" s="14"/>
      <c r="U692" s="14"/>
      <c r="V692" s="14"/>
      <c r="W692" s="14"/>
      <c r="X692" s="7"/>
      <c r="Y692" s="7"/>
      <c r="Z692" s="14"/>
      <c r="AA692" s="14"/>
      <c r="AB692" s="14"/>
      <c r="AC692" s="14"/>
      <c r="AD692" s="14"/>
      <c r="AE692" s="14"/>
      <c r="AF692"/>
    </row>
    <row r="693" spans="1:32" ht="12.75" customHeight="1" x14ac:dyDescent="0.25">
      <c r="A693" s="260"/>
      <c r="B693" s="238"/>
      <c r="C693" s="239"/>
      <c r="D693" s="239"/>
      <c r="E693" s="239"/>
      <c r="F693" s="239"/>
      <c r="G693" s="239"/>
      <c r="H693" s="234"/>
      <c r="I693" s="234"/>
      <c r="J693" s="234"/>
      <c r="K693" s="234"/>
      <c r="L693" s="234"/>
      <c r="M693" s="245"/>
      <c r="N693" s="246"/>
      <c r="O693" s="246"/>
      <c r="P693" s="247"/>
      <c r="Q693" s="110" t="str">
        <f>IF($Q692&lt;&gt;"",IF($Q692="W",IF(SUM(IF($H692&gt;$H694,1,0),IF($I692&gt;$I694,1,0),IF($J692&gt;$J694,1,0),IF($K692&gt;$K694,1,0),IF($L692&gt;$L694,1,0))&lt;&gt;3,"Error",""),""),"")</f>
        <v/>
      </c>
      <c r="R693" s="295" t="str">
        <f>$A673</f>
        <v/>
      </c>
      <c r="S693" s="295"/>
      <c r="T693" s="295"/>
      <c r="U693" s="295"/>
      <c r="V693" s="295"/>
      <c r="W693" s="295"/>
      <c r="X693" s="219" t="str">
        <f>CONCATENATE("(",$B672," vs ",$K672,")")</f>
        <v>(I vs K)</v>
      </c>
      <c r="Y693" s="219"/>
      <c r="Z693" s="295" t="str">
        <f>$J673</f>
        <v/>
      </c>
      <c r="AA693" s="295"/>
      <c r="AB693" s="295"/>
      <c r="AC693" s="295"/>
      <c r="AD693" s="295"/>
      <c r="AE693" s="295"/>
      <c r="AF693"/>
    </row>
    <row r="694" spans="1:32" ht="12.75" customHeight="1" x14ac:dyDescent="0.25">
      <c r="A694" s="259" t="str">
        <f>K672</f>
        <v>K</v>
      </c>
      <c r="B694" s="236" t="str">
        <f ca="1">IF(AND(OFFSET($AO$1,$L672-1,8,1,1),$A673&lt;&gt;"",$J673&lt;&gt;""),CHOOSE($L672,$AQ$1,$AQ$2,$AQ$3,$AQ$4,$AQ$5,$AQ$6,$AQ$7,$AQ$8,$AQ$9,$AQ$10,$AQ$11,$AQ$12),"")</f>
        <v/>
      </c>
      <c r="C694" s="237"/>
      <c r="D694" s="237"/>
      <c r="E694" s="237"/>
      <c r="F694" s="237"/>
      <c r="G694" s="237"/>
      <c r="H694" s="233"/>
      <c r="I694" s="233"/>
      <c r="J694" s="233"/>
      <c r="K694" s="233"/>
      <c r="L694" s="233"/>
      <c r="M694" s="250" t="s">
        <v>169</v>
      </c>
      <c r="N694" s="251"/>
      <c r="O694" s="251"/>
      <c r="P694" s="252"/>
      <c r="Q694" s="40" t="str">
        <f>IF($Q692&lt;&gt;"",IF($Q692="W","L","W"),"")</f>
        <v/>
      </c>
      <c r="R694"/>
      <c r="S694"/>
      <c r="T694"/>
      <c r="U694"/>
      <c r="V694"/>
      <c r="W694"/>
      <c r="X694"/>
      <c r="Y694"/>
      <c r="Z694"/>
      <c r="AA694"/>
      <c r="AB694"/>
      <c r="AC694"/>
      <c r="AD694"/>
      <c r="AE694"/>
      <c r="AF694"/>
    </row>
    <row r="695" spans="1:32" ht="12.75" customHeight="1" x14ac:dyDescent="0.25">
      <c r="A695" s="260"/>
      <c r="B695" s="238"/>
      <c r="C695" s="239"/>
      <c r="D695" s="239"/>
      <c r="E695" s="239"/>
      <c r="F695" s="239"/>
      <c r="G695" s="239"/>
      <c r="H695" s="234"/>
      <c r="I695" s="234"/>
      <c r="J695" s="235"/>
      <c r="K695" s="235"/>
      <c r="L695" s="235"/>
      <c r="M695" s="250"/>
      <c r="N695" s="251"/>
      <c r="O695" s="251"/>
      <c r="P695" s="252"/>
      <c r="Q695" s="110" t="str">
        <f>IF($Q694&lt;&gt;"",IF($Q694="W",IF(SUM(IF($H694&gt;$H692,1,0),IF($I694&gt;$I692,1,0),IF($J694&gt;$J692,1,0),IF($K694&gt;$K692,1,0),IF($L694&gt;$L692,1,0))&lt;&gt;3,"Error",""),""),"")</f>
        <v/>
      </c>
      <c r="R695" t="str">
        <f>$A690</f>
        <v>3rd Singles</v>
      </c>
      <c r="S695"/>
      <c r="T695"/>
      <c r="U695"/>
      <c r="V695"/>
      <c r="W695"/>
      <c r="X695"/>
      <c r="Y695"/>
      <c r="Z695"/>
      <c r="AA695"/>
      <c r="AB695"/>
      <c r="AC695"/>
      <c r="AD695"/>
      <c r="AE695"/>
      <c r="AF695"/>
    </row>
    <row r="696" spans="1:32" ht="12.75" customHeight="1" x14ac:dyDescent="0.25">
      <c r="Q696" s="6"/>
      <c r="R696" s="47" t="s">
        <v>160</v>
      </c>
      <c r="S696" s="86" t="s">
        <v>58</v>
      </c>
      <c r="T696" s="87"/>
      <c r="U696" s="87"/>
      <c r="V696" s="87"/>
      <c r="W696" s="87"/>
      <c r="X696" s="88"/>
      <c r="Y696" s="47">
        <v>1</v>
      </c>
      <c r="Z696" s="47">
        <v>2</v>
      </c>
      <c r="AA696" s="47">
        <v>3</v>
      </c>
      <c r="AB696" s="47">
        <v>4</v>
      </c>
      <c r="AC696" s="47">
        <v>5</v>
      </c>
      <c r="AD696" s="89"/>
      <c r="AE696" s="90"/>
      <c r="AF696" s="91"/>
    </row>
    <row r="697" spans="1:32" ht="12.75" customHeight="1" x14ac:dyDescent="0.25">
      <c r="A697" s="15" t="s">
        <v>168</v>
      </c>
      <c r="H697" s="110" t="str">
        <f ca="1">IF($Q699&lt;&gt;"",IF(AND($B699&lt;&gt;"Missing Player",$B701&lt;&gt;"Missing Player"),IF(AND(AND($H699&gt;-1,$H701&gt;-1),OR($H699&gt;10,$H701&gt;10),ABS($H699-$H701)&gt;1,IF(OR($H699&gt;11,$H701&gt;11),ABS($H699-$H701)=2,TRUE),$H699=INT($H699),$H701=INT($H701)),"","Error"),""),"")</f>
        <v/>
      </c>
      <c r="I697" s="110" t="str">
        <f ca="1">IF($Q699&lt;&gt;"",IF(AND($B699&lt;&gt;"Missing Player",$B701&lt;&gt;"Missing Player"),IF(AND(AND($I699&gt;-1,$I701&gt;-1),OR($I699&gt;10,$I701&gt;10),ABS($I699-$I701)&gt;1,IF(OR($I699&gt;11,$I701&gt;11),ABS($I699-$I701)=2,TRUE),$I699=INT($I699),$I701=INT($I701)),"","Error"),""),"")</f>
        <v/>
      </c>
      <c r="J697" s="110" t="str">
        <f ca="1">IF($Q699&lt;&gt;"",IF(AND($B699&lt;&gt;"Missing Player",$B701&lt;&gt;"Missing Player"),IF(AND(AND($J699&gt;-1,$J701&gt;-1),OR($J699&gt;10,$J701&gt;10),ABS($J699-$J701)&gt;1,IF(OR($J699&gt;11,$J701&gt;11),ABS($J699-$J701)=2,TRUE),$J699=INT($J699),$J701=INT($J701)),"","Error"),""),"")</f>
        <v/>
      </c>
      <c r="K697" s="110" t="str">
        <f ca="1">IF($Q699&lt;&gt;"",IF(AND($K699&lt;&gt;"",$K701&lt;&gt;""), IF(AND(AND($K699&gt;-1,$K701&gt;-1),OR($K699&gt;10,$K701&gt;10),ABS($K699-$K701)&gt;1,IF(OR($K699&gt;11,$K701&gt;11),ABS($K699-$K701)=2,TRUE),$K699=INT($K699),$K701=INT($K701)),"","Error"),""),"")</f>
        <v/>
      </c>
      <c r="L697" s="110" t="str">
        <f ca="1">IF($Q699&lt;&gt;"",IF(AND($L699&lt;&gt;"",$L701&lt;&gt;""), IF(AND(AND($L699&gt;-1,$L701&gt;-1),OR($L699&gt;10,$L701&gt;10),ABS($L699-$L701)&gt;1,IF(OR($L699&gt;11,$L701&gt;11),ABS($L699-$L701)=2,TRUE),$L699=INT($L699),$L701=INT($L701)),"","Error"),""),"")</f>
        <v/>
      </c>
      <c r="Q697" s="6"/>
      <c r="R697" s="259" t="str">
        <f>$B672</f>
        <v>I</v>
      </c>
      <c r="S697" s="307" t="str">
        <f ca="1">IF($B692&lt;&gt;"",$B692,"")</f>
        <v/>
      </c>
      <c r="T697" s="308"/>
      <c r="U697" s="308"/>
      <c r="V697" s="308"/>
      <c r="W697" s="308"/>
      <c r="X697" s="309"/>
      <c r="Y697" s="284"/>
      <c r="Z697" s="284"/>
      <c r="AA697" s="284"/>
      <c r="AB697" s="284"/>
      <c r="AC697" s="284"/>
      <c r="AD697" s="296"/>
      <c r="AE697" s="290"/>
      <c r="AF697" s="291"/>
    </row>
    <row r="698" spans="1:32" ht="12.75" customHeight="1" x14ac:dyDescent="0.25">
      <c r="A698" s="5" t="s">
        <v>160</v>
      </c>
      <c r="B698" s="256" t="s">
        <v>58</v>
      </c>
      <c r="C698" s="257"/>
      <c r="D698" s="257"/>
      <c r="E698" s="257"/>
      <c r="F698" s="257"/>
      <c r="G698" s="258"/>
      <c r="H698" s="5">
        <v>1</v>
      </c>
      <c r="I698" s="5">
        <v>2</v>
      </c>
      <c r="J698" s="5">
        <v>3</v>
      </c>
      <c r="K698" s="5">
        <v>4</v>
      </c>
      <c r="L698" s="5">
        <v>5</v>
      </c>
      <c r="M698" s="270"/>
      <c r="N698" s="271"/>
      <c r="O698" s="271"/>
      <c r="P698" s="272"/>
      <c r="Q698" s="6"/>
      <c r="R698" s="285"/>
      <c r="S698" s="310"/>
      <c r="T698" s="311"/>
      <c r="U698" s="311"/>
      <c r="V698" s="311"/>
      <c r="W698" s="311"/>
      <c r="X698" s="312"/>
      <c r="Y698" s="285"/>
      <c r="Z698" s="285"/>
      <c r="AA698" s="285"/>
      <c r="AB698" s="285"/>
      <c r="AC698" s="285"/>
      <c r="AD698" s="292"/>
      <c r="AE698" s="293"/>
      <c r="AF698" s="294"/>
    </row>
    <row r="699" spans="1:32" ht="12.75" customHeight="1" x14ac:dyDescent="0.25">
      <c r="A699" s="259" t="str">
        <f>B672</f>
        <v>I</v>
      </c>
      <c r="B699" s="236" t="str">
        <f ca="1">IF(AND(OFFSET($AO$1,$C672-1,8,1,1),$A673&lt;&gt;"",$J673&lt;&gt;""),CHOOSE($C672,$AR$1,$AR$2,$AR$3,$AR$4,$AR$5,$AR$6,$AR$7,$AR$8,$AR$9,$AR$10,$AR$11,$AR$12),"")</f>
        <v/>
      </c>
      <c r="C699" s="237"/>
      <c r="D699" s="237"/>
      <c r="E699" s="237"/>
      <c r="F699" s="237"/>
      <c r="G699" s="237"/>
      <c r="H699" s="233"/>
      <c r="I699" s="233"/>
      <c r="J699" s="233"/>
      <c r="K699" s="233"/>
      <c r="L699" s="233" t="str">
        <f ca="1">IF(AND($B699&lt;&gt;"",$Q678&lt;&gt;""),IF($B699="Missing Player",0,IF($B701="Missing Player",11,"")),"")</f>
        <v/>
      </c>
      <c r="M699" s="245" t="str">
        <f ca="1">IF(OR(AND($B692&lt;&gt;"",$B699&lt;&gt;"",$E703&lt;=$D703),AND($B694&lt;&gt;"",$B701&lt;&gt;"",$I703&lt;=$H703)),"Invalid Lineup","")</f>
        <v/>
      </c>
      <c r="N699" s="246"/>
      <c r="O699" s="246"/>
      <c r="P699" s="247"/>
      <c r="Q699" s="40" t="str">
        <f ca="1">IF($L699=$L701,IF($K699=$K701,IF($J699&lt;&gt;"",IF($J699&gt;$J701,"W","L"),""),IF($K699&gt;$K701,"W","L")),IF($L699&gt;$L701,"W","L"))</f>
        <v/>
      </c>
      <c r="R699" s="259" t="str">
        <f>$K672</f>
        <v>K</v>
      </c>
      <c r="S699" s="307" t="str">
        <f ca="1">IF($B694&lt;&gt;"",$B694,"")</f>
        <v/>
      </c>
      <c r="T699" s="308"/>
      <c r="U699" s="308"/>
      <c r="V699" s="308"/>
      <c r="W699" s="308"/>
      <c r="X699" s="309"/>
      <c r="Y699" s="284"/>
      <c r="Z699" s="284"/>
      <c r="AA699" s="284"/>
      <c r="AB699" s="284"/>
      <c r="AC699" s="297"/>
      <c r="AD699" s="289" t="s">
        <v>169</v>
      </c>
      <c r="AE699" s="290"/>
      <c r="AF699" s="291"/>
    </row>
    <row r="700" spans="1:32" ht="12.75" customHeight="1" x14ac:dyDescent="0.25">
      <c r="A700" s="260"/>
      <c r="B700" s="238"/>
      <c r="C700" s="239"/>
      <c r="D700" s="239"/>
      <c r="E700" s="239"/>
      <c r="F700" s="239"/>
      <c r="G700" s="239"/>
      <c r="H700" s="234"/>
      <c r="I700" s="234"/>
      <c r="J700" s="234"/>
      <c r="K700" s="234"/>
      <c r="L700" s="234"/>
      <c r="M700" s="245"/>
      <c r="N700" s="246"/>
      <c r="O700" s="246"/>
      <c r="P700" s="247"/>
      <c r="Q700" s="110" t="str">
        <f ca="1">IF($Q699&lt;&gt;"",IF($B701&lt;&gt;"Missing Player",IF($Q699="W",IF(SUM(IF($H699&gt;$H701,1,0),IF($I699&gt;$I701,1,0),IF($J699&gt;$J701,1,0),IF($K699&gt;$K701,1,0),IF($L699&gt;$L701,1,0))&lt;&gt;3,"Error",""),""),""),"")</f>
        <v/>
      </c>
      <c r="R700" s="285"/>
      <c r="S700" s="310"/>
      <c r="T700" s="311"/>
      <c r="U700" s="311"/>
      <c r="V700" s="311"/>
      <c r="W700" s="311"/>
      <c r="X700" s="312"/>
      <c r="Y700" s="285"/>
      <c r="Z700" s="285"/>
      <c r="AA700" s="285"/>
      <c r="AB700" s="285"/>
      <c r="AC700" s="285"/>
      <c r="AD700" s="292"/>
      <c r="AE700" s="293"/>
      <c r="AF700" s="294"/>
    </row>
    <row r="701" spans="1:32" ht="12.75" customHeight="1" x14ac:dyDescent="0.25">
      <c r="A701" s="259" t="str">
        <f>K672</f>
        <v>K</v>
      </c>
      <c r="B701" s="236" t="str">
        <f ca="1">IF(AND(OFFSET($AO$1,$L672-1,8,1,1),$A673&lt;&gt;"",$J673&lt;&gt;""),CHOOSE($L672,$AR$1,$AR$2,$AR$3,$AR$4,$AR$5,$AR$6,$AR$7,$AR$8,$AR$9,$AR$10,$AR$11,$AR$12),"")</f>
        <v/>
      </c>
      <c r="C701" s="237"/>
      <c r="D701" s="237"/>
      <c r="E701" s="237"/>
      <c r="F701" s="237"/>
      <c r="G701" s="237"/>
      <c r="H701" s="233"/>
      <c r="I701" s="233"/>
      <c r="J701" s="233"/>
      <c r="K701" s="233"/>
      <c r="L701" s="233" t="str">
        <f ca="1">IF(AND($B701&lt;&gt;"",$Q678&lt;&gt;""),IF($B701="Missing Player",0,IF($B699="Missing Player",11,"")),"")</f>
        <v/>
      </c>
      <c r="M701" s="250" t="s">
        <v>169</v>
      </c>
      <c r="N701" s="251"/>
      <c r="O701" s="251"/>
      <c r="P701" s="252"/>
      <c r="Q701" s="40" t="str">
        <f ca="1">IF($Q699&lt;&gt;"",IF($Q699="W","L","W"),"")</f>
        <v/>
      </c>
      <c r="R701" s="94"/>
      <c r="S701" s="84"/>
      <c r="T701" s="84"/>
      <c r="U701" s="84"/>
      <c r="V701" s="84"/>
      <c r="W701" s="84"/>
      <c r="X701" s="84"/>
      <c r="Y701" s="93"/>
      <c r="Z701" s="93"/>
      <c r="AA701" s="93"/>
      <c r="AB701" s="93"/>
      <c r="AC701" s="93"/>
      <c r="AD701" s="92"/>
      <c r="AE701" s="93"/>
      <c r="AF701" s="93"/>
    </row>
    <row r="702" spans="1:32" ht="12.75" customHeight="1" x14ac:dyDescent="0.25">
      <c r="A702" s="260"/>
      <c r="B702" s="238"/>
      <c r="C702" s="239"/>
      <c r="D702" s="239"/>
      <c r="E702" s="239"/>
      <c r="F702" s="239"/>
      <c r="G702" s="239"/>
      <c r="H702" s="234"/>
      <c r="I702" s="234"/>
      <c r="J702" s="235"/>
      <c r="K702" s="235"/>
      <c r="L702" s="235"/>
      <c r="M702" s="250"/>
      <c r="N702" s="251"/>
      <c r="O702" s="251"/>
      <c r="P702" s="252"/>
      <c r="Q702" s="110" t="str">
        <f ca="1">IF($Q701&lt;&gt;"",IF($B699&lt;&gt;"Missing Player",IF($Q701="W",IF(SUM(IF($H701&gt;$H699,1,0),IF($I701&gt;$I699,1,0),IF($J701&gt;$J699,1,0),IF($K701&gt;$K699,1,0),IF($L701&gt;$L699,1,0))&lt;&gt;3,"Error",""),""),""),"")</f>
        <v/>
      </c>
      <c r="R702" s="85"/>
      <c r="S702" s="95"/>
      <c r="T702" s="95"/>
      <c r="U702" s="95"/>
      <c r="V702" s="95"/>
      <c r="W702" s="95"/>
      <c r="X702" s="95"/>
      <c r="Y702" s="85"/>
      <c r="Z702" s="85"/>
      <c r="AA702" s="85"/>
      <c r="AB702" s="85"/>
      <c r="AC702" s="85"/>
      <c r="AD702" s="85"/>
      <c r="AE702" s="85"/>
      <c r="AF702" s="85"/>
    </row>
    <row r="703" spans="1:32" ht="12.75" customHeight="1" x14ac:dyDescent="0.25">
      <c r="B703" s="111" t="str">
        <f ca="1">IF(ISERROR(VLOOKUP($B678&amp;"("&amp;$B672&amp;")",Players!$S$4:$T$132,2,FALSE)),"",VLOOKUP($B678&amp;"("&amp;$B672&amp;")",Players!$S$4:$T$132,2,FALSE))</f>
        <v>I1</v>
      </c>
      <c r="C703" s="111" t="str">
        <f ca="1">IF(ISERROR(VLOOKUP($B685&amp;"("&amp;$B672&amp;")",Players!$S$4:$T$132,2,FALSE)),"",VLOOKUP($B685&amp;"("&amp;$B672&amp;")",Players!$S$4:$T$132,2,FALSE))</f>
        <v>I1</v>
      </c>
      <c r="D703" s="111" t="str">
        <f ca="1">IF(ISERROR(VLOOKUP($B692&amp;"("&amp;$B672&amp;")",Players!$S$4:$T$132,2,FALSE)),"",VLOOKUP($B692&amp;"("&amp;$B672&amp;")",Players!$S$4:$T$132,2,FALSE))</f>
        <v>I1</v>
      </c>
      <c r="E703" s="111" t="str">
        <f ca="1">IF(ISERROR(VLOOKUP($B699&amp;"("&amp;$B672&amp;")",Players!$S$4:$T$132,2,FALSE)),"",VLOOKUP($B699&amp;"("&amp;$B672&amp;")",Players!$S$4:$T$132,2,FALSE))</f>
        <v>I1</v>
      </c>
      <c r="F703" s="111" t="str">
        <f ca="1">IF(ISERROR(VLOOKUP($B680&amp;"("&amp;$K672&amp;")",Players!$S$4:$T$132,2,FALSE)),"",VLOOKUP($B680&amp;"("&amp;$K672&amp;")",Players!$S$4:$T$132,2,FALSE))</f>
        <v>K1</v>
      </c>
      <c r="G703" s="111" t="str">
        <f ca="1">IF(ISERROR(VLOOKUP($B687&amp;"("&amp;$K672&amp;")",Players!$S$4:$T$132,2,FALSE)),"",VLOOKUP($B687&amp;"("&amp;$K672&amp;")",Players!$S$4:$T$132,2,FALSE))</f>
        <v>K1</v>
      </c>
      <c r="H703" s="111" t="str">
        <f ca="1">IF(ISERROR(VLOOKUP($B694&amp;"("&amp;$K672&amp;")",Players!$S$4:$T$132,2,FALSE)),"",VLOOKUP($B694&amp;"("&amp;$K672&amp;")",Players!$S$4:$T$132,2,FALSE))</f>
        <v>K1</v>
      </c>
      <c r="I703" s="111" t="str">
        <f ca="1">IF(ISERROR(VLOOKUP($B701&amp;"("&amp;$K672&amp;")",Players!$S$4:$T$132,2,FALSE)),"",VLOOKUP($B701&amp;"("&amp;$K672&amp;")",Players!$S$4:$T$132,2,FALSE))</f>
        <v>K1</v>
      </c>
      <c r="Q703" s="6"/>
      <c r="R703" s="37"/>
      <c r="S703" s="95"/>
      <c r="T703" s="95"/>
      <c r="U703" s="95"/>
      <c r="V703" s="95"/>
      <c r="W703" s="95"/>
      <c r="X703" s="95"/>
      <c r="Y703" s="85"/>
      <c r="Z703" s="85"/>
      <c r="AA703" s="85"/>
      <c r="AB703" s="85"/>
      <c r="AC703" s="96"/>
      <c r="AD703" s="97"/>
      <c r="AE703" s="85"/>
      <c r="AF703" s="85"/>
    </row>
    <row r="704" spans="1:32" ht="12.75" customHeight="1" x14ac:dyDescent="0.25">
      <c r="A704" s="15" t="s">
        <v>157</v>
      </c>
      <c r="H704" s="110" t="str">
        <f ca="1">IF($Q706&lt;&gt;"",IF(AND($B707&lt;&gt;"Missing Player",$B709&lt;&gt;"Missing Player"),IF(AND(AND($H706&gt;-1,$H708&gt;-1),OR($H706&gt;10,$H708&gt;10),ABS($H706-$H708)&gt;1,IF(OR($H706&gt;11,$H708&gt;11),ABS($H706-$H708)=2,TRUE),$H706=INT($H706),$H708=INT($H708)),"","Error"),""),"")</f>
        <v/>
      </c>
      <c r="I704" s="110" t="str">
        <f ca="1">IF($Q706&lt;&gt;"",IF(AND($B707&lt;&gt;"Missing Player",$B709&lt;&gt;"Missing Player"),IF(AND(AND($I706&gt;-1,$I708&gt;-1),OR($I706&gt;10,$I708&gt;10),ABS($I706-$I708)&gt;1,IF(OR($I706&gt;11,$I708&gt;11),ABS($I706-$I708)=2,TRUE),$I706=INT($I706),$I708=INT($I708)),"","Error"),""),"")</f>
        <v/>
      </c>
      <c r="J704" s="110" t="str">
        <f ca="1">IF($Q706&lt;&gt;"",IF(AND($B707&lt;&gt;"Missing Player",$B709&lt;&gt;"Missing Player"),IF(AND(AND($J706&gt;-1,$J708&gt;-1),OR($J706&gt;10,$J708&gt;10),ABS($J706-$J708)&gt;1,IF(OR($J706&gt;11,$J708&gt;11),ABS($J706-$J708)=2,TRUE),$J706=INT($J706),$J708=INT($J708)),"","Error"),""),"")</f>
        <v/>
      </c>
      <c r="K704" s="110" t="str">
        <f ca="1">IF($Q706&lt;&gt;"",IF(AND($K706&lt;&gt;"",$K708&lt;&gt;""), IF(AND(AND($K706&gt;-1,$K708&gt;-1),OR($K706&gt;10,$K708&gt;10),ABS($K706-$K708)&gt;1,IF(OR($K706&gt;11,$K708&gt;11),ABS($K706-$K708)=2,TRUE),$K706=INT($K706),$K708=INT($K708)),"","Error"),""),"")</f>
        <v/>
      </c>
      <c r="L704" s="110" t="str">
        <f ca="1">IF($Q706&lt;&gt;"",IF(AND($L706&lt;&gt;"",$L708&lt;&gt;""), IF(AND(AND($L706&gt;-1,$L708&gt;-1),OR($L706&gt;10,$L708&gt;10),ABS($L706-$L708)&gt;1,IF(OR($L706&gt;11,$L708&gt;11),ABS($L706-$L708)=2,TRUE),$L706=INT($L706),$L708=INT($L708)),"","Error"),""),"")</f>
        <v/>
      </c>
      <c r="Q704" s="6"/>
      <c r="R704" s="85"/>
      <c r="S704" s="95"/>
      <c r="T704" s="95"/>
      <c r="U704" s="95"/>
      <c r="V704" s="95"/>
      <c r="W704" s="95"/>
      <c r="X704" s="95"/>
      <c r="Y704" s="85"/>
      <c r="Z704" s="85"/>
      <c r="AA704" s="85"/>
      <c r="AB704" s="85"/>
      <c r="AC704" s="85"/>
      <c r="AD704" s="85"/>
      <c r="AE704" s="85"/>
      <c r="AF704" s="85"/>
    </row>
    <row r="705" spans="1:32" ht="12.75" customHeight="1" x14ac:dyDescent="0.25">
      <c r="A705" s="5" t="s">
        <v>160</v>
      </c>
      <c r="B705" s="256" t="s">
        <v>58</v>
      </c>
      <c r="C705" s="257"/>
      <c r="D705" s="257"/>
      <c r="E705" s="257"/>
      <c r="F705" s="257"/>
      <c r="G705" s="258"/>
      <c r="H705" s="5">
        <v>1</v>
      </c>
      <c r="I705" s="5">
        <v>2</v>
      </c>
      <c r="J705" s="5">
        <v>3</v>
      </c>
      <c r="K705" s="5">
        <v>4</v>
      </c>
      <c r="L705" s="5">
        <v>5</v>
      </c>
      <c r="M705" s="270"/>
      <c r="N705" s="271"/>
      <c r="O705" s="271"/>
      <c r="P705" s="272"/>
      <c r="Q705" s="6"/>
      <c r="T705" s="7"/>
    </row>
    <row r="706" spans="1:32" ht="12.75" customHeight="1" x14ac:dyDescent="0.25">
      <c r="A706" s="259" t="str">
        <f>B672</f>
        <v>I</v>
      </c>
      <c r="B706" s="230" t="str">
        <f ca="1">IF($B678&lt;&gt;"",$B678,"")</f>
        <v/>
      </c>
      <c r="C706" s="231"/>
      <c r="D706" s="231"/>
      <c r="E706" s="231"/>
      <c r="F706" s="231"/>
      <c r="G706" s="232"/>
      <c r="H706" s="233"/>
      <c r="I706" s="233"/>
      <c r="J706" s="233"/>
      <c r="K706" s="233"/>
      <c r="L706" s="233" t="str">
        <f ca="1">IF($B699&lt;&gt;"",IF(AND($B699="Missing Player",$G710=2,$J710=2),0,IF(AND($B701="Missing Player",$G710=2,$J710=2),11,"")),"")</f>
        <v/>
      </c>
      <c r="M706" s="245" t="str">
        <f ca="1">IF(OR(AND($B706&lt;&gt;"",$B707&lt;&gt;"",$B706=$B707),AND($B708&lt;&gt;"",$B709&lt;&gt;"",$B708=$B709)),"Invalid Partner","")</f>
        <v/>
      </c>
      <c r="N706" s="246"/>
      <c r="O706" s="246"/>
      <c r="P706" s="247"/>
      <c r="Q706" s="37" t="str">
        <f ca="1">IF(L706=L708,IF(K706=K708,IF(J706&lt;&gt;"",IF(J706&gt;J708,"W","L"),""),IF(K706&gt;K708,"W","L")),IF(L706&gt;L708,"W","L"))</f>
        <v/>
      </c>
      <c r="T706" s="7"/>
    </row>
    <row r="707" spans="1:32" ht="12.75" customHeight="1" x14ac:dyDescent="0.25">
      <c r="A707" s="260"/>
      <c r="B707" s="266" t="str">
        <f ca="1">IF($B699="Missing Player",$B699,"")</f>
        <v/>
      </c>
      <c r="C707" s="267"/>
      <c r="D707" s="267"/>
      <c r="E707" s="267"/>
      <c r="F707" s="267"/>
      <c r="G707" s="268"/>
      <c r="H707" s="234"/>
      <c r="I707" s="234"/>
      <c r="J707" s="234"/>
      <c r="K707" s="234"/>
      <c r="L707" s="234"/>
      <c r="M707" s="245"/>
      <c r="N707" s="246"/>
      <c r="O707" s="246"/>
      <c r="P707" s="247"/>
      <c r="Q707" s="110" t="str">
        <f ca="1">IF($Q706&lt;&gt;"",IF($B709&lt;&gt;"Missing Player",IF($Q706="W",IF(SUM(IF($H706&gt;$H708,1,0),IF($I706&gt;$I708,1,0),IF($J706&gt;$J708,1,0),IF($K706&gt;$K708,1,0),IF($L706&gt;$L708,1,0))&lt;&gt;3,"Error",""),""),""),"")</f>
        <v/>
      </c>
      <c r="R707" s="295" t="str">
        <f>$A673</f>
        <v/>
      </c>
      <c r="S707" s="295"/>
      <c r="T707" s="295"/>
      <c r="U707" s="295"/>
      <c r="V707" s="295"/>
      <c r="W707" s="295"/>
      <c r="X707" s="219" t="str">
        <f>CONCATENATE("(",$B672," vs ",$K672,")")</f>
        <v>(I vs K)</v>
      </c>
      <c r="Y707" s="219"/>
      <c r="Z707" s="295" t="str">
        <f>$J673</f>
        <v/>
      </c>
      <c r="AA707" s="295"/>
      <c r="AB707" s="295"/>
      <c r="AC707" s="295"/>
      <c r="AD707" s="295"/>
      <c r="AE707" s="295"/>
      <c r="AF707"/>
    </row>
    <row r="708" spans="1:32" ht="12.75" customHeight="1" x14ac:dyDescent="0.25">
      <c r="A708" s="265" t="str">
        <f>K672</f>
        <v>K</v>
      </c>
      <c r="B708" s="230" t="str">
        <f ca="1">IF($B680&lt;&gt;"",$B680,"")</f>
        <v/>
      </c>
      <c r="C708" s="231"/>
      <c r="D708" s="231"/>
      <c r="E708" s="231"/>
      <c r="F708" s="231"/>
      <c r="G708" s="232"/>
      <c r="H708" s="233"/>
      <c r="I708" s="233"/>
      <c r="J708" s="233"/>
      <c r="K708" s="233"/>
      <c r="L708" s="233" t="str">
        <f ca="1">IF($B701&lt;&gt;"",IF(AND($B701="Missing Player",$G710=2,$J710=2),0,IF(AND($B699="Missing Player",$G710=2,$J710=2),11,"")),"")</f>
        <v/>
      </c>
      <c r="M708" s="250" t="s">
        <v>169</v>
      </c>
      <c r="N708" s="251"/>
      <c r="O708" s="251"/>
      <c r="P708" s="252"/>
      <c r="Q708" s="37" t="str">
        <f ca="1">IF(Q706&lt;&gt;"",IF(Q706="W","L","W"),"")</f>
        <v/>
      </c>
      <c r="R708"/>
      <c r="S708"/>
      <c r="T708"/>
      <c r="U708"/>
      <c r="V708"/>
      <c r="W708"/>
      <c r="X708"/>
      <c r="Y708"/>
      <c r="Z708"/>
      <c r="AA708"/>
      <c r="AB708"/>
      <c r="AC708"/>
      <c r="AD708"/>
      <c r="AE708"/>
      <c r="AF708"/>
    </row>
    <row r="709" spans="1:32" ht="12.75" customHeight="1" x14ac:dyDescent="0.25">
      <c r="A709" s="260"/>
      <c r="B709" s="266" t="str">
        <f ca="1">IF($B701="Missing Player",$B701,"")</f>
        <v/>
      </c>
      <c r="C709" s="267"/>
      <c r="D709" s="267"/>
      <c r="E709" s="267"/>
      <c r="F709" s="267"/>
      <c r="G709" s="268"/>
      <c r="H709" s="234"/>
      <c r="I709" s="234"/>
      <c r="J709" s="235"/>
      <c r="K709" s="235"/>
      <c r="L709" s="235"/>
      <c r="M709" s="250"/>
      <c r="N709" s="251"/>
      <c r="O709" s="251"/>
      <c r="P709" s="252"/>
      <c r="Q709" s="110" t="str">
        <f ca="1">IF($Q708&lt;&gt;"",IF($B707&lt;&gt;"Missing Player",IF($Q708="W",IF(SUM(IF($H708&gt;$H706,1,0),IF($I708&gt;$I706,1,0),IF($J708&gt;$J706,1,0),IF($K708&gt;$K706,1,0),IF($L708&gt;$L706,1,0))&lt;&gt;3,"Error",""),""),""),"")</f>
        <v/>
      </c>
      <c r="R709" t="str">
        <f>A697</f>
        <v>4th Singles</v>
      </c>
      <c r="S709"/>
      <c r="T709"/>
      <c r="U709"/>
      <c r="V709"/>
      <c r="W709"/>
      <c r="X709"/>
      <c r="Y709"/>
      <c r="Z709"/>
      <c r="AA709"/>
      <c r="AB709"/>
      <c r="AC709"/>
      <c r="AD709"/>
      <c r="AE709"/>
      <c r="AF709"/>
    </row>
    <row r="710" spans="1:32" ht="12.75" customHeight="1" x14ac:dyDescent="0.25">
      <c r="G710" s="53">
        <f ca="1">COUNTIF($Q678:$Q678,"W")+COUNTIF($Q685:$Q685,"W")+COUNTIF($Q692:$Q692,"W")+COUNTIF($Q699:$Q699,"W")</f>
        <v>0</v>
      </c>
      <c r="J710" s="53">
        <f ca="1">COUNTIF($Q680:$Q680,"W")+COUNTIF($Q687:$Q687,"W")+COUNTIF($Q694:$Q694,"W")+COUNTIF($Q701:$Q701,"W")</f>
        <v>0</v>
      </c>
      <c r="R710" s="47" t="s">
        <v>160</v>
      </c>
      <c r="S710" s="304" t="s">
        <v>58</v>
      </c>
      <c r="T710" s="305"/>
      <c r="U710" s="305"/>
      <c r="V710" s="305"/>
      <c r="W710" s="305"/>
      <c r="X710" s="306"/>
      <c r="Y710" s="47">
        <v>1</v>
      </c>
      <c r="Z710" s="47">
        <v>2</v>
      </c>
      <c r="AA710" s="47">
        <v>3</v>
      </c>
      <c r="AB710" s="47">
        <v>4</v>
      </c>
      <c r="AC710" s="47">
        <v>5</v>
      </c>
      <c r="AD710" s="286"/>
      <c r="AE710" s="287"/>
      <c r="AF710" s="288"/>
    </row>
    <row r="711" spans="1:32" ht="12.75" customHeight="1" thickBot="1" x14ac:dyDescent="0.3">
      <c r="F711" s="212" t="s">
        <v>170</v>
      </c>
      <c r="G711" s="212"/>
      <c r="H711" s="212"/>
      <c r="I711" s="212"/>
      <c r="J711" s="212"/>
      <c r="K711" s="212"/>
      <c r="R711" s="259" t="str">
        <f>B672</f>
        <v>I</v>
      </c>
      <c r="S711" s="307" t="str">
        <f ca="1">IF($B699&lt;&gt;"",$B699,"")</f>
        <v/>
      </c>
      <c r="T711" s="308"/>
      <c r="U711" s="308"/>
      <c r="V711" s="308"/>
      <c r="W711" s="308"/>
      <c r="X711" s="309"/>
      <c r="Y711" s="284"/>
      <c r="Z711" s="284"/>
      <c r="AA711" s="297"/>
      <c r="AB711" s="297"/>
      <c r="AC711" s="297"/>
      <c r="AD711" s="296"/>
      <c r="AE711" s="298"/>
      <c r="AF711" s="299"/>
    </row>
    <row r="712" spans="1:32" ht="12.75" customHeight="1" x14ac:dyDescent="0.25">
      <c r="A712" s="16"/>
      <c r="B712" s="16"/>
      <c r="C712" s="16"/>
      <c r="D712" s="16"/>
      <c r="E712" s="16"/>
      <c r="G712" s="261" t="str">
        <f>B672</f>
        <v>I</v>
      </c>
      <c r="H712" s="262"/>
      <c r="I712" s="263" t="str">
        <f>K672</f>
        <v>K</v>
      </c>
      <c r="J712" s="264"/>
      <c r="L712" s="16"/>
      <c r="M712" s="16"/>
      <c r="N712" s="16"/>
      <c r="O712" s="16"/>
      <c r="P712" s="16"/>
      <c r="R712" s="260"/>
      <c r="S712" s="310"/>
      <c r="T712" s="311"/>
      <c r="U712" s="311"/>
      <c r="V712" s="311"/>
      <c r="W712" s="311"/>
      <c r="X712" s="312"/>
      <c r="Y712" s="285"/>
      <c r="Z712" s="285"/>
      <c r="AA712" s="303"/>
      <c r="AB712" s="303"/>
      <c r="AC712" s="303"/>
      <c r="AD712" s="300"/>
      <c r="AE712" s="301"/>
      <c r="AF712" s="302"/>
    </row>
    <row r="713" spans="1:32" ht="12.75" customHeight="1" thickBot="1" x14ac:dyDescent="0.3">
      <c r="A713" s="2" t="s">
        <v>160</v>
      </c>
      <c r="B713" s="40" t="str">
        <f>B672</f>
        <v>I</v>
      </c>
      <c r="C713" s="3" t="s">
        <v>158</v>
      </c>
      <c r="F713" s="53" t="str">
        <f>CONCATENATE($B672,"-",$K672)</f>
        <v>I-K</v>
      </c>
      <c r="G713" s="240" t="str">
        <f ca="1">IF(OR(Q678&lt;&gt;"",Q685&lt;&gt;"",Q692&lt;&gt;"",Q699&lt;&gt;"",Q706&lt;&gt;""),COUNTIF(Q678:Q678,"W")+COUNTIF(Q685:Q685,"W")+COUNTIF(Q692:Q692,"W")+COUNTIF(Q699:Q699,"W")+COUNTIF(Q706:Q706,"W"),"")</f>
        <v/>
      </c>
      <c r="H713" s="241"/>
      <c r="I713" s="242" t="str">
        <f ca="1">IF(OR(Q680&lt;&gt;"",Q687&lt;&gt;"",Q694&lt;&gt;"",Q701&lt;&gt;"",Q708&lt;&gt;""),COUNTIF(Q680:Q680,"W")+COUNTIF(Q687:Q687,"W")+COUNTIF(Q694:Q694,"W")+COUNTIF(Q701:Q701,"W")+COUNTIF(Q708:Q708,"W"),"")</f>
        <v/>
      </c>
      <c r="J713" s="243"/>
      <c r="L713" s="2" t="s">
        <v>160</v>
      </c>
      <c r="M713" s="40" t="str">
        <f>K672</f>
        <v>K</v>
      </c>
      <c r="N713" s="3" t="s">
        <v>158</v>
      </c>
      <c r="R713" s="259" t="str">
        <f>K672</f>
        <v>K</v>
      </c>
      <c r="S713" s="307" t="str">
        <f ca="1">IF($B701&lt;&gt;"",$B701,"")</f>
        <v/>
      </c>
      <c r="T713" s="308"/>
      <c r="U713" s="308"/>
      <c r="V713" s="308"/>
      <c r="W713" s="308"/>
      <c r="X713" s="309"/>
      <c r="Y713" s="284"/>
      <c r="Z713" s="284"/>
      <c r="AA713" s="297"/>
      <c r="AB713" s="297"/>
      <c r="AC713" s="297"/>
      <c r="AD713" s="289" t="s">
        <v>169</v>
      </c>
      <c r="AE713" s="290"/>
      <c r="AF713" s="291"/>
    </row>
    <row r="714" spans="1:32" ht="12.75" customHeight="1" x14ac:dyDescent="0.35">
      <c r="F714" s="18" t="s">
        <v>403</v>
      </c>
      <c r="G714" s="17"/>
      <c r="H714" s="17"/>
      <c r="I714" s="17"/>
      <c r="J714" s="17"/>
      <c r="R714" s="285"/>
      <c r="S714" s="310"/>
      <c r="T714" s="311"/>
      <c r="U714" s="311"/>
      <c r="V714" s="311"/>
      <c r="W714" s="311"/>
      <c r="X714" s="312"/>
      <c r="Y714" s="285"/>
      <c r="Z714" s="285"/>
      <c r="AA714" s="285"/>
      <c r="AB714" s="285"/>
      <c r="AC714" s="285"/>
      <c r="AD714" s="292"/>
      <c r="AE714" s="293"/>
      <c r="AF714" s="294"/>
    </row>
    <row r="715" spans="1:32" ht="12.75" customHeight="1" x14ac:dyDescent="0.25">
      <c r="R715" s="1"/>
      <c r="S715" s="11"/>
      <c r="T715" s="11"/>
      <c r="U715" s="11"/>
      <c r="V715" s="11"/>
      <c r="W715" s="11"/>
    </row>
    <row r="716" spans="1:32" ht="12.75" customHeight="1" x14ac:dyDescent="0.25">
      <c r="F716" s="212"/>
      <c r="G716" s="212"/>
      <c r="H716" s="212"/>
      <c r="I716" s="212"/>
      <c r="R716" s="1"/>
      <c r="S716" s="11"/>
      <c r="T716" s="11"/>
      <c r="U716" s="11"/>
      <c r="V716" s="11"/>
      <c r="W716" s="11"/>
    </row>
    <row r="717" spans="1:32" ht="12.75" customHeight="1" x14ac:dyDescent="0.25">
      <c r="F717" s="212"/>
      <c r="G717" s="212"/>
      <c r="H717" s="212"/>
      <c r="I717" s="212"/>
      <c r="R717" s="1"/>
      <c r="S717" s="11"/>
      <c r="T717" s="11"/>
      <c r="U717" s="11"/>
      <c r="V717" s="11"/>
      <c r="W717" s="11"/>
    </row>
    <row r="718" spans="1:32" ht="12.75" customHeight="1" x14ac:dyDescent="0.25">
      <c r="K718" s="219" t="s">
        <v>176</v>
      </c>
      <c r="L718" s="219"/>
      <c r="M718" s="219"/>
      <c r="N718" s="219"/>
      <c r="O718" s="219"/>
      <c r="P718" s="219"/>
      <c r="R718" s="1"/>
      <c r="S718" s="11"/>
      <c r="T718" s="11"/>
      <c r="U718" s="11"/>
      <c r="V718" s="11"/>
      <c r="W718" s="11"/>
    </row>
    <row r="719" spans="1:32" ht="12.75" customHeight="1" x14ac:dyDescent="0.25">
      <c r="A719" s="9" t="s">
        <v>161</v>
      </c>
      <c r="B719"/>
      <c r="C719"/>
      <c r="D719" t="str">
        <f>Draw!$B$1</f>
        <v>Enter Division Name</v>
      </c>
      <c r="E719"/>
      <c r="F719" s="6"/>
      <c r="G719" s="6"/>
      <c r="H719" s="6"/>
      <c r="I719"/>
      <c r="J719"/>
      <c r="K719"/>
      <c r="L719"/>
      <c r="M719" s="219"/>
      <c r="N719" s="219"/>
      <c r="O719" s="219"/>
      <c r="P719" s="219"/>
      <c r="R719" s="1"/>
      <c r="S719" s="11"/>
      <c r="T719" s="11"/>
      <c r="U719" s="11"/>
      <c r="V719" s="11"/>
      <c r="W719" s="11"/>
    </row>
    <row r="720" spans="1:32" ht="12.75" customHeight="1" x14ac:dyDescent="0.25">
      <c r="A720" s="2" t="s">
        <v>162</v>
      </c>
      <c r="D720" t="str">
        <f>Draw!$D$1</f>
        <v>Enter Hosting Location (City, ST)</v>
      </c>
      <c r="J720" t="str">
        <f ca="1">$J$6</f>
        <v>[NCTTA Teams Template (v3.4).xlsx]</v>
      </c>
      <c r="R720" s="1"/>
      <c r="S720" s="11"/>
      <c r="T720" s="11"/>
      <c r="U720" s="11"/>
      <c r="V720" s="11"/>
      <c r="W720" s="11"/>
    </row>
    <row r="721" spans="1:32" ht="12.75" customHeight="1" x14ac:dyDescent="0.25">
      <c r="A721" s="2" t="s">
        <v>163</v>
      </c>
      <c r="D721" s="275" t="str">
        <f>Draw!$P$1</f>
        <v>Enter Date</v>
      </c>
      <c r="E721" s="275"/>
      <c r="F721" s="275"/>
      <c r="G721" s="275"/>
      <c r="J721" s="244" t="str">
        <f>CHOOSE(Draw!$T$1,"Round 3, Match 3","Round 5, Match 3","Round 2, Match 5","","","Round 5, Match 3","Round 5, Match 3","Round 4, Match 3","Round 4, Match 3","Round 3, Match 5","Round 3, Match 5")</f>
        <v>Round 3, Match 3</v>
      </c>
      <c r="K721" s="244"/>
      <c r="L721" s="244"/>
      <c r="M721" s="277" t="str">
        <f>IF(AND($J721&lt;&gt;"",Draw!$AC$10&lt;&gt;"",Draw!$AC$13&lt;&gt;""),Draw!$AC$10+TIME(0,VALUE(MID($J721,7,FIND(",",$J721)-FIND(" ",$J721)-1)-1)*Draw!$AC$13,0),"")</f>
        <v/>
      </c>
      <c r="N721" s="277"/>
      <c r="O721" s="125" t="str">
        <f>$F764</f>
        <v>H-L</v>
      </c>
      <c r="R721" s="1"/>
      <c r="S721" s="11"/>
      <c r="T721" s="11"/>
      <c r="U721" s="11"/>
      <c r="V721" s="11"/>
      <c r="W721" s="11"/>
    </row>
    <row r="722" spans="1:32" ht="12.75" customHeight="1" x14ac:dyDescent="0.25">
      <c r="A722" s="6"/>
      <c r="B722"/>
      <c r="C722"/>
      <c r="D722"/>
      <c r="E722"/>
      <c r="F722" s="6"/>
      <c r="G722" s="6"/>
      <c r="H722" s="11"/>
      <c r="I722" s="6"/>
      <c r="J722"/>
      <c r="K722"/>
      <c r="L722"/>
      <c r="M722"/>
      <c r="N722"/>
      <c r="O722" s="269" t="str">
        <f>IF(OR(AND(VLOOKUP($B723,$AM$1:$AX$12,12,FALSE)="C",VLOOKUP($K723,$AM$1:$AX$12,12,FALSE)="C"),AND(VLOOKUP($B723,$AM$1:$AX$12,12,FALSE)="W",VLOOKUP($K723,$AM$1:$AX$12,12,FALSE)="W")),"Official",IF(AND($A724="",$J724=""),"","Scrimmage"))</f>
        <v/>
      </c>
      <c r="P722" s="269"/>
      <c r="R722" s="1"/>
      <c r="S722" s="11"/>
      <c r="T722" s="11"/>
      <c r="U722" s="11"/>
      <c r="V722" s="11"/>
      <c r="W722" s="11"/>
    </row>
    <row r="723" spans="1:32" ht="12.75" customHeight="1" x14ac:dyDescent="0.25">
      <c r="A723" s="12" t="s">
        <v>160</v>
      </c>
      <c r="B723" s="98" t="str">
        <f>CHOOSE(Draw!$T$1,"H","B","I","A","A","B","F","B","D","C","D")</f>
        <v>H</v>
      </c>
      <c r="C723" s="109">
        <f>VLOOKUP($B723,$AM$1:$AN$12,2)</f>
        <v>8</v>
      </c>
      <c r="D723" s="10"/>
      <c r="E723" s="10"/>
      <c r="F723" s="8"/>
      <c r="H723" s="1" t="s">
        <v>164</v>
      </c>
      <c r="J723" s="12" t="s">
        <v>160</v>
      </c>
      <c r="K723" s="98" t="str">
        <f>CHOOSE(Draw!$T$1,"L","C","J","F","J","C","G","F","H","D","E")</f>
        <v>L</v>
      </c>
      <c r="L723" s="109">
        <f>VLOOKUP($K723,$AM$1:$AN$12,2)</f>
        <v>12</v>
      </c>
      <c r="M723" s="10"/>
      <c r="N723" s="10"/>
      <c r="O723" s="13"/>
      <c r="R723" s="1"/>
      <c r="S723" s="11"/>
      <c r="T723" s="11"/>
      <c r="U723" s="11"/>
      <c r="V723" s="11"/>
      <c r="W723" s="11"/>
    </row>
    <row r="724" spans="1:32" ht="12.75" customHeight="1" x14ac:dyDescent="0.25">
      <c r="A724" s="253" t="str">
        <f>IF(VLOOKUP($B723,Draw!$A$4:$B$27,2)&lt;&gt;0,VLOOKUP($B723,Draw!$A$4:$B$27,2),"")</f>
        <v/>
      </c>
      <c r="B724" s="254"/>
      <c r="C724" s="254"/>
      <c r="D724" s="254"/>
      <c r="E724" s="254"/>
      <c r="F724" s="255"/>
      <c r="G724" s="273" t="s">
        <v>418</v>
      </c>
      <c r="H724" s="249"/>
      <c r="I724" s="274"/>
      <c r="J724" s="253" t="str">
        <f>IF(VLOOKUP($K723,Draw!$A$4:$B$27,2)&lt;&gt;0,VLOOKUP($K723,Draw!$A$4:$B$27,2),"")</f>
        <v/>
      </c>
      <c r="K724" s="254"/>
      <c r="L724" s="254"/>
      <c r="M724" s="254"/>
      <c r="N724" s="254"/>
      <c r="O724" s="255"/>
      <c r="P724"/>
      <c r="R724" s="1"/>
      <c r="S724" s="11"/>
      <c r="T724" s="11"/>
      <c r="U724" s="11"/>
      <c r="V724" s="11"/>
      <c r="W724" s="11"/>
    </row>
    <row r="725" spans="1:32" ht="12.75" customHeight="1" x14ac:dyDescent="0.25">
      <c r="A725" s="6"/>
      <c r="B725"/>
      <c r="C725"/>
      <c r="D725"/>
      <c r="E725"/>
      <c r="F725" s="6"/>
      <c r="G725" s="248" t="str">
        <f>"Page "&amp;VALUE(RIGHT($G724,LEN($G724)-SEARCH("-",$G724)))/2</f>
        <v>Page 15</v>
      </c>
      <c r="H725" s="249"/>
      <c r="I725" s="249"/>
      <c r="J725"/>
      <c r="K725"/>
      <c r="L725"/>
      <c r="M725"/>
      <c r="N725"/>
      <c r="O725"/>
      <c r="P725"/>
      <c r="R725" s="1"/>
      <c r="S725" s="11"/>
      <c r="T725" s="11"/>
      <c r="U725" s="11"/>
      <c r="V725" s="11"/>
      <c r="W725" s="11"/>
      <c r="AF725"/>
    </row>
    <row r="726" spans="1:32" ht="12.75" customHeight="1" x14ac:dyDescent="0.25">
      <c r="A726" s="276" t="s">
        <v>177</v>
      </c>
      <c r="B726" s="276"/>
      <c r="C726" s="276"/>
      <c r="D726" s="276"/>
      <c r="E726" s="276"/>
      <c r="F726" s="276"/>
      <c r="G726" s="276"/>
      <c r="H726" s="276"/>
      <c r="I726" s="276"/>
      <c r="J726" s="276"/>
      <c r="K726" s="276"/>
      <c r="L726" s="276"/>
      <c r="M726" s="276"/>
      <c r="N726" s="276"/>
      <c r="O726" s="276"/>
      <c r="P726" s="276"/>
      <c r="Q726" s="6"/>
      <c r="R726" s="1"/>
      <c r="S726" s="11"/>
      <c r="T726" s="11"/>
      <c r="U726" s="11"/>
      <c r="V726" s="11"/>
      <c r="W726" s="11"/>
      <c r="AF726" s="14"/>
    </row>
    <row r="727" spans="1:32" ht="12.75" customHeight="1" x14ac:dyDescent="0.25">
      <c r="A727" s="15" t="s">
        <v>165</v>
      </c>
      <c r="H727" s="110" t="str">
        <f>IF($Q729&lt;&gt;"",IF(AND(AND($H729&gt;-1,$H731&gt;-1),OR($H729&gt;10,$H731&gt;10),ABS($H729-$H731)&gt;1,IF(OR($H729&gt;11,$H731&gt;11),ABS($H729-$H731)=2,TRUE),$H729=INT($H729),$H731=INT($H731)),"","Error"),"")</f>
        <v/>
      </c>
      <c r="I727" s="110" t="str">
        <f>IF($Q729&lt;&gt;"",IF(AND(AND($I729&gt;-1,$I731&gt;-1),OR($I729&gt;10,$I731&gt;10),ABS($I729-$I731)&gt;1,IF(OR($I729&gt;11,$I731&gt;11),ABS($I729-$I731)=2,TRUE),$I729=INT($I729),$I731=INT($I731)),"","Error"),"")</f>
        <v/>
      </c>
      <c r="J727" s="110" t="str">
        <f>IF($Q729&lt;&gt;"",IF(AND(AND($J729&gt;-1,$J731&gt;-1),OR($J729&gt;10,$J731&gt;10),ABS($J729-$J731)&gt;1,IF(OR($J729&gt;11,$J731&gt;11),ABS($J729-$J731)=2,TRUE),$J729=INT($J729),$J731=INT($J731)),"","Error"),"")</f>
        <v/>
      </c>
      <c r="K727" s="110" t="str">
        <f>IF($Q729&lt;&gt;"",IF(AND($K729&lt;&gt;"",$K731&lt;&gt;""), IF(AND(AND($K729&gt;-1,$K731&gt;-1),OR($K729&gt;10,$K731&gt;10),ABS($K729-$K731)&gt;1,IF(OR($K729&gt;11,$K731&gt;11),ABS($K729-$K731)=2,TRUE),$K729=INT($K729),$K731=INT($K731)),"","Error"),""),"")</f>
        <v/>
      </c>
      <c r="L727" s="110" t="str">
        <f>IF($Q729&lt;&gt;"",IF(AND($L729&lt;&gt;"",$L731&lt;&gt;""), IF(AND(AND($L729&gt;-1,$L731&gt;-1),OR($L729&gt;10,$L731&gt;10),ABS($L729-$L731)&gt;1,IF(OR($L729&gt;11,$L731&gt;11),ABS($L729-$L731)=2,TRUE),$L729=INT($L729),$L731=INT($L731)),"","Error"),""),"")</f>
        <v/>
      </c>
      <c r="R727" s="1"/>
      <c r="S727" s="11"/>
      <c r="T727" s="11"/>
      <c r="U727" s="11"/>
      <c r="V727" s="11"/>
      <c r="W727" s="11"/>
    </row>
    <row r="728" spans="1:32" ht="12.75" customHeight="1" x14ac:dyDescent="0.25">
      <c r="A728" s="5" t="s">
        <v>160</v>
      </c>
      <c r="B728" s="256" t="s">
        <v>58</v>
      </c>
      <c r="C728" s="257"/>
      <c r="D728" s="257"/>
      <c r="E728" s="257"/>
      <c r="F728" s="257"/>
      <c r="G728" s="258"/>
      <c r="H728" s="5">
        <v>1</v>
      </c>
      <c r="I728" s="5">
        <v>2</v>
      </c>
      <c r="J728" s="5">
        <v>3</v>
      </c>
      <c r="K728" s="5">
        <v>4</v>
      </c>
      <c r="L728" s="5">
        <v>5</v>
      </c>
      <c r="M728" s="270"/>
      <c r="N728" s="271"/>
      <c r="O728" s="271"/>
      <c r="P728" s="272"/>
      <c r="R728" s="1"/>
      <c r="S728" s="11"/>
      <c r="T728" s="11"/>
      <c r="U728" s="11"/>
      <c r="V728" s="11"/>
      <c r="W728" s="11"/>
    </row>
    <row r="729" spans="1:32" ht="12.75" customHeight="1" x14ac:dyDescent="0.25">
      <c r="A729" s="259" t="str">
        <f>B723</f>
        <v>H</v>
      </c>
      <c r="B729" s="236" t="str">
        <f ca="1">IF(AND(OFFSET($AO$1,$C723-1,8,1,1),$A724&lt;&gt;"",$J724&lt;&gt;""),CHOOSE($C723,$AO$1,$AO$2,$AO$3,$AO$4,$AO$5,$AO$6,$AO$7,$AO$8,$AO$9,$AO$10,$AO$11,$AO$12),"")</f>
        <v/>
      </c>
      <c r="C729" s="237"/>
      <c r="D729" s="237"/>
      <c r="E729" s="237"/>
      <c r="F729" s="237"/>
      <c r="G729" s="237"/>
      <c r="H729" s="233"/>
      <c r="I729" s="233"/>
      <c r="J729" s="233"/>
      <c r="K729" s="233"/>
      <c r="L729" s="233"/>
      <c r="M729" s="281"/>
      <c r="N729" s="282"/>
      <c r="O729" s="282"/>
      <c r="P729" s="283"/>
      <c r="Q729" s="40" t="str">
        <f>IF($L729=$L731,IF($K729=$K731,IF($J729&lt;&gt;"",IF($J729&gt;$J731,"W","L"),""),IF($K729&gt;$K731,"W","L")),IF($L729&gt;$L731,"W","L"))</f>
        <v/>
      </c>
      <c r="R729" s="1"/>
      <c r="S729" s="11"/>
      <c r="T729" s="11"/>
      <c r="U729" s="11"/>
      <c r="V729" s="11"/>
      <c r="W729" s="11"/>
    </row>
    <row r="730" spans="1:32" ht="12.75" customHeight="1" x14ac:dyDescent="0.25">
      <c r="A730" s="260"/>
      <c r="B730" s="238"/>
      <c r="C730" s="239"/>
      <c r="D730" s="239"/>
      <c r="E730" s="239"/>
      <c r="F730" s="239"/>
      <c r="G730" s="239"/>
      <c r="H730" s="234"/>
      <c r="I730" s="234"/>
      <c r="J730" s="234"/>
      <c r="K730" s="234"/>
      <c r="L730" s="234"/>
      <c r="M730" s="281"/>
      <c r="N730" s="282"/>
      <c r="O730" s="282"/>
      <c r="P730" s="283"/>
      <c r="Q730" s="110" t="str">
        <f>IF($Q729&lt;&gt;"",IF($Q729="W",IF(SUM(IF($H729&gt;$H731,1,0),IF($I729&gt;$I731,1,0),IF($J729&gt;$J731,1,0),IF($K729&gt;$K731,1,0),IF($L729&gt;$L731,1,0))&lt;&gt;3,"Error",""),""),"")</f>
        <v/>
      </c>
      <c r="R730" s="295" t="str">
        <f>$A724</f>
        <v/>
      </c>
      <c r="S730" s="295"/>
      <c r="T730" s="295"/>
      <c r="U730" s="295"/>
      <c r="V730" s="295"/>
      <c r="W730" s="295"/>
      <c r="X730" s="219" t="str">
        <f>CONCATENATE("(",$B723," vs ",$K723,")")</f>
        <v>(H vs L)</v>
      </c>
      <c r="Y730" s="219"/>
      <c r="Z730" s="295" t="str">
        <f>$J724</f>
        <v/>
      </c>
      <c r="AA730" s="295"/>
      <c r="AB730" s="295"/>
      <c r="AC730" s="295"/>
      <c r="AD730" s="295"/>
      <c r="AE730" s="295"/>
      <c r="AF730"/>
    </row>
    <row r="731" spans="1:32" ht="12.75" customHeight="1" x14ac:dyDescent="0.25">
      <c r="A731" s="259" t="str">
        <f>K723</f>
        <v>L</v>
      </c>
      <c r="B731" s="236" t="str">
        <f ca="1">IF(AND(OFFSET($AO$1,$L723-1,8,1,1),$A724&lt;&gt;"",$J724&lt;&gt;""),CHOOSE($L723,$AO$1,$AO$2,$AO$3,$AO$4,$AO$5,$AO$6,$AO$7,$AO$8,$AO$9,$AO$10,$AO$11,$AO$12),"")</f>
        <v/>
      </c>
      <c r="C731" s="237"/>
      <c r="D731" s="237"/>
      <c r="E731" s="237"/>
      <c r="F731" s="237"/>
      <c r="G731" s="237"/>
      <c r="H731" s="233"/>
      <c r="I731" s="233"/>
      <c r="J731" s="233"/>
      <c r="K731" s="233"/>
      <c r="L731" s="233"/>
      <c r="M731" s="250" t="s">
        <v>169</v>
      </c>
      <c r="N731" s="251"/>
      <c r="O731" s="251"/>
      <c r="P731" s="252"/>
      <c r="Q731" s="40" t="str">
        <f>IF($Q729&lt;&gt;"",IF($Q729="W","L","W"),"")</f>
        <v/>
      </c>
      <c r="R731"/>
      <c r="S731"/>
      <c r="T731"/>
      <c r="U731"/>
      <c r="V731"/>
      <c r="W731"/>
      <c r="X731"/>
      <c r="Y731"/>
      <c r="Z731"/>
      <c r="AA731"/>
      <c r="AB731"/>
      <c r="AC731"/>
      <c r="AD731"/>
      <c r="AE731"/>
      <c r="AF731"/>
    </row>
    <row r="732" spans="1:32" ht="12.75" customHeight="1" x14ac:dyDescent="0.25">
      <c r="A732" s="260"/>
      <c r="B732" s="238"/>
      <c r="C732" s="239"/>
      <c r="D732" s="239"/>
      <c r="E732" s="239"/>
      <c r="F732" s="239"/>
      <c r="G732" s="239"/>
      <c r="H732" s="234"/>
      <c r="I732" s="234"/>
      <c r="J732" s="235"/>
      <c r="K732" s="235"/>
      <c r="L732" s="235"/>
      <c r="M732" s="250"/>
      <c r="N732" s="251"/>
      <c r="O732" s="251"/>
      <c r="P732" s="252"/>
      <c r="Q732" s="110" t="str">
        <f>IF($Q731&lt;&gt;"",IF($Q731="W",IF(SUM(IF($H731&gt;$H729,1,0),IF($I731&gt;$I729,1,0),IF($J731&gt;$J729,1,0),IF($K731&gt;$K729,1,0),IF($L731&gt;$L729,1,0))&lt;&gt;3,"Error",""),""),"")</f>
        <v/>
      </c>
      <c r="R732" t="str">
        <f>$A734</f>
        <v>2nd Singles</v>
      </c>
      <c r="S732"/>
      <c r="T732"/>
      <c r="U732"/>
      <c r="V732"/>
      <c r="W732"/>
      <c r="X732"/>
      <c r="Y732"/>
      <c r="Z732"/>
      <c r="AA732"/>
      <c r="AB732"/>
      <c r="AC732"/>
      <c r="AD732"/>
      <c r="AE732"/>
      <c r="AF732"/>
    </row>
    <row r="733" spans="1:32" ht="12.75" customHeight="1" x14ac:dyDescent="0.25">
      <c r="Q733" s="6"/>
      <c r="R733" s="47" t="s">
        <v>160</v>
      </c>
      <c r="S733" s="304" t="s">
        <v>58</v>
      </c>
      <c r="T733" s="305"/>
      <c r="U733" s="305"/>
      <c r="V733" s="305"/>
      <c r="W733" s="305"/>
      <c r="X733" s="306"/>
      <c r="Y733" s="47">
        <v>1</v>
      </c>
      <c r="Z733" s="47">
        <v>2</v>
      </c>
      <c r="AA733" s="47">
        <v>3</v>
      </c>
      <c r="AB733" s="47">
        <v>4</v>
      </c>
      <c r="AC733" s="47">
        <v>5</v>
      </c>
      <c r="AD733" s="286"/>
      <c r="AE733" s="287"/>
      <c r="AF733" s="288"/>
    </row>
    <row r="734" spans="1:32" ht="12.75" customHeight="1" x14ac:dyDescent="0.25">
      <c r="A734" s="15" t="s">
        <v>166</v>
      </c>
      <c r="H734" s="110" t="str">
        <f>IF($Q736&lt;&gt;"",IF(AND(AND($H736&gt;-1,$H738&gt;-1),OR($H736&gt;10,$H738&gt;10),ABS($H736-$H738)&gt;1,IF(OR($H736&gt;11,$H738&gt;11),ABS($H736-$H738)=2,TRUE),$H736=INT($H736),$H738=INT($H738)),"","Error"),"")</f>
        <v/>
      </c>
      <c r="I734" s="110" t="str">
        <f>IF($Q736&lt;&gt;"",IF(AND(AND($I736&gt;-1,$I738&gt;-1),OR($I736&gt;10,$I738&gt;10),ABS($I736-$I738)&gt;1,IF(OR($I736&gt;11,$I738&gt;11),ABS($I736-$I738)=2,TRUE),$I736=INT($I736),$I738=INT($I738)),"","Error"),"")</f>
        <v/>
      </c>
      <c r="J734" s="110" t="str">
        <f>IF($Q736&lt;&gt;"",IF(AND(AND($J736&gt;-1,$J738&gt;-1),OR($J736&gt;10,$J738&gt;10),ABS($J736-$J738)&gt;1,IF(OR($J736&gt;11,$J738&gt;11),ABS($J736-$J738)=2,TRUE),$J736=INT($J736),$J738=INT($J738)),"","Error"),"")</f>
        <v/>
      </c>
      <c r="K734" s="110" t="str">
        <f>IF($Q736&lt;&gt;"",IF(AND($K736&lt;&gt;"",$K738&lt;&gt;""), IF(AND(AND($K736&gt;-1,$K738&gt;-1),OR($K736&gt;10,$K738&gt;10),ABS($K736-$K738)&gt;1,IF(OR($K736&gt;11,$K738&gt;11),ABS($K736-$K738)=2,TRUE),$K736=INT($K736),$K738=INT($K738)),"","Error"),""),"")</f>
        <v/>
      </c>
      <c r="L734" s="110" t="str">
        <f>IF($Q736&lt;&gt;"",IF(AND($L736&lt;&gt;"",$L738&lt;&gt;""), IF(AND(AND($L736&gt;-1,$L738&gt;-1),OR($L736&gt;10,$L738&gt;10),ABS($L736-$L738)&gt;1,IF(OR($L736&gt;11,$L738&gt;11),ABS($L736-$L738)=2,TRUE),$L736=INT($L736),$L738=INT($L738)),"","Error"),""),"")</f>
        <v/>
      </c>
      <c r="Q734" s="6"/>
      <c r="R734" s="259" t="str">
        <f>$B723</f>
        <v>H</v>
      </c>
      <c r="S734" s="307" t="str">
        <f ca="1">IF($B736&lt;&gt;"",$B736,"")</f>
        <v/>
      </c>
      <c r="T734" s="308"/>
      <c r="U734" s="308"/>
      <c r="V734" s="308"/>
      <c r="W734" s="308"/>
      <c r="X734" s="309"/>
      <c r="Y734" s="284"/>
      <c r="Z734" s="284"/>
      <c r="AA734" s="284"/>
      <c r="AB734" s="284"/>
      <c r="AC734" s="284"/>
      <c r="AD734" s="296"/>
      <c r="AE734" s="290"/>
      <c r="AF734" s="291"/>
    </row>
    <row r="735" spans="1:32" ht="12.75" customHeight="1" x14ac:dyDescent="0.25">
      <c r="A735" s="5" t="s">
        <v>160</v>
      </c>
      <c r="B735" s="256" t="s">
        <v>58</v>
      </c>
      <c r="C735" s="257"/>
      <c r="D735" s="257"/>
      <c r="E735" s="257"/>
      <c r="F735" s="257"/>
      <c r="G735" s="258"/>
      <c r="H735" s="5">
        <v>1</v>
      </c>
      <c r="I735" s="5">
        <v>2</v>
      </c>
      <c r="J735" s="5">
        <v>3</v>
      </c>
      <c r="K735" s="5">
        <v>4</v>
      </c>
      <c r="L735" s="5">
        <v>5</v>
      </c>
      <c r="M735" s="270"/>
      <c r="N735" s="271"/>
      <c r="O735" s="271"/>
      <c r="P735" s="272"/>
      <c r="Q735" s="6"/>
      <c r="R735" s="285"/>
      <c r="S735" s="310"/>
      <c r="T735" s="311"/>
      <c r="U735" s="311"/>
      <c r="V735" s="311"/>
      <c r="W735" s="311"/>
      <c r="X735" s="312"/>
      <c r="Y735" s="285"/>
      <c r="Z735" s="285"/>
      <c r="AA735" s="285"/>
      <c r="AB735" s="285"/>
      <c r="AC735" s="285"/>
      <c r="AD735" s="292"/>
      <c r="AE735" s="293"/>
      <c r="AF735" s="294"/>
    </row>
    <row r="736" spans="1:32" ht="12.75" customHeight="1" x14ac:dyDescent="0.25">
      <c r="A736" s="259" t="str">
        <f>B723</f>
        <v>H</v>
      </c>
      <c r="B736" s="236" t="str">
        <f ca="1">IF(AND(OFFSET($AO$1,$C723-1,8,1,1),$A724&lt;&gt;"",$J724&lt;&gt;""),CHOOSE($C723,$AP$1,$AP$2,$AP$3,$AP$4,$AP$5,$AP$6,$AP$7,$AP$8,$AP$9,$AP$10,$AP$11,$AP$12),"")</f>
        <v/>
      </c>
      <c r="C736" s="237"/>
      <c r="D736" s="237"/>
      <c r="E736" s="237"/>
      <c r="F736" s="237"/>
      <c r="G736" s="237"/>
      <c r="H736" s="233"/>
      <c r="I736" s="233"/>
      <c r="J736" s="233"/>
      <c r="K736" s="233"/>
      <c r="L736" s="233"/>
      <c r="M736" s="245" t="str">
        <f ca="1">IF(OR(AND($B729&lt;&gt;"",$B736&lt;&gt;"",$C754&lt;=$B754),AND($B731&lt;&gt;"",$B738&lt;&gt;"",$G754&lt;=$F754)),"Invalid Lineup","")</f>
        <v/>
      </c>
      <c r="N736" s="246"/>
      <c r="O736" s="246"/>
      <c r="P736" s="247"/>
      <c r="Q736" s="40" t="str">
        <f>IF($L736=$L738,IF($K736=$K738,IF($J736&lt;&gt;"",IF($J736&gt;$J738,"W","L"),""),IF($K736&gt;$K738,"W","L")),IF($L736&gt;$L738,"W","L"))</f>
        <v/>
      </c>
      <c r="R736" s="259" t="str">
        <f>$K723</f>
        <v>L</v>
      </c>
      <c r="S736" s="307" t="str">
        <f ca="1">IF($B738&lt;&gt;"",$B738,"")</f>
        <v/>
      </c>
      <c r="T736" s="308"/>
      <c r="U736" s="308"/>
      <c r="V736" s="308"/>
      <c r="W736" s="308"/>
      <c r="X736" s="309"/>
      <c r="Y736" s="284"/>
      <c r="Z736" s="284"/>
      <c r="AA736" s="284"/>
      <c r="AB736" s="284"/>
      <c r="AC736" s="297"/>
      <c r="AD736" s="289" t="s">
        <v>169</v>
      </c>
      <c r="AE736" s="290"/>
      <c r="AF736" s="291"/>
    </row>
    <row r="737" spans="1:32" ht="12.75" customHeight="1" x14ac:dyDescent="0.25">
      <c r="A737" s="260"/>
      <c r="B737" s="238"/>
      <c r="C737" s="239"/>
      <c r="D737" s="239"/>
      <c r="E737" s="239"/>
      <c r="F737" s="239"/>
      <c r="G737" s="239"/>
      <c r="H737" s="234"/>
      <c r="I737" s="234"/>
      <c r="J737" s="234"/>
      <c r="K737" s="234"/>
      <c r="L737" s="234"/>
      <c r="M737" s="245"/>
      <c r="N737" s="246"/>
      <c r="O737" s="246"/>
      <c r="P737" s="247"/>
      <c r="Q737" s="110" t="str">
        <f>IF($Q736&lt;&gt;"",IF($Q736="W",IF(SUM(IF($H736&gt;$H738,1,0),IF($I736&gt;$I738,1,0),IF($J736&gt;$J738,1,0),IF($K736&gt;$K738,1,0),IF($L736&gt;$L738,1,0))&lt;&gt;3,"Error",""),""),"")</f>
        <v/>
      </c>
      <c r="R737" s="285"/>
      <c r="S737" s="310"/>
      <c r="T737" s="311"/>
      <c r="U737" s="311"/>
      <c r="V737" s="311"/>
      <c r="W737" s="311"/>
      <c r="X737" s="312"/>
      <c r="Y737" s="285"/>
      <c r="Z737" s="285"/>
      <c r="AA737" s="285"/>
      <c r="AB737" s="285"/>
      <c r="AC737" s="285"/>
      <c r="AD737" s="292"/>
      <c r="AE737" s="293"/>
      <c r="AF737" s="294"/>
    </row>
    <row r="738" spans="1:32" ht="12.75" customHeight="1" x14ac:dyDescent="0.25">
      <c r="A738" s="259" t="str">
        <f>K723</f>
        <v>L</v>
      </c>
      <c r="B738" s="236" t="str">
        <f ca="1">IF(AND(OFFSET($AO$1,$L723-1,8,1,1),$A724&lt;&gt;"",$J724&lt;&gt;""),CHOOSE($L723,$AP$1,$AP$2,$AP$3,$AP$4,$AP$5,$AP$6,$AP$7,$AP$8,$AP$9,$AP$10,$AP$11,$AP$12),"")</f>
        <v/>
      </c>
      <c r="C738" s="237"/>
      <c r="D738" s="237"/>
      <c r="E738" s="237"/>
      <c r="F738" s="237"/>
      <c r="G738" s="237"/>
      <c r="H738" s="233"/>
      <c r="I738" s="233"/>
      <c r="J738" s="233"/>
      <c r="K738" s="233"/>
      <c r="L738" s="233"/>
      <c r="M738" s="250" t="s">
        <v>169</v>
      </c>
      <c r="N738" s="251"/>
      <c r="O738" s="251"/>
      <c r="P738" s="252"/>
      <c r="Q738" s="40" t="str">
        <f>IF($Q736&lt;&gt;"",IF($Q736="W","L","W"),"")</f>
        <v/>
      </c>
      <c r="R738" s="14"/>
      <c r="S738" s="14"/>
      <c r="T738" s="14"/>
      <c r="U738" s="14"/>
      <c r="V738" s="14"/>
      <c r="W738" s="14"/>
      <c r="X738" s="7"/>
      <c r="Y738" s="7"/>
      <c r="Z738" s="14"/>
      <c r="AA738" s="14"/>
      <c r="AB738" s="14"/>
      <c r="AC738" s="14"/>
      <c r="AD738" s="14"/>
      <c r="AE738" s="14"/>
      <c r="AF738"/>
    </row>
    <row r="739" spans="1:32" ht="12.75" customHeight="1" x14ac:dyDescent="0.25">
      <c r="A739" s="260"/>
      <c r="B739" s="238"/>
      <c r="C739" s="239"/>
      <c r="D739" s="239"/>
      <c r="E739" s="239"/>
      <c r="F739" s="239"/>
      <c r="G739" s="239"/>
      <c r="H739" s="234"/>
      <c r="I739" s="234"/>
      <c r="J739" s="235"/>
      <c r="K739" s="235"/>
      <c r="L739" s="235"/>
      <c r="M739" s="250"/>
      <c r="N739" s="251"/>
      <c r="O739" s="251"/>
      <c r="P739" s="252"/>
      <c r="Q739" s="110" t="str">
        <f>IF($Q738&lt;&gt;"",IF($Q738="W",IF(SUM(IF($H738&gt;$H736,1,0),IF($I738&gt;$I736,1,0),IF($J738&gt;$J736,1,0),IF($K738&gt;$K736,1,0),IF($L738&gt;$L736,1,0))&lt;&gt;3,"Error",""),""),"")</f>
        <v/>
      </c>
      <c r="R739" s="14"/>
      <c r="S739" s="14"/>
      <c r="T739" s="14"/>
      <c r="U739" s="14"/>
      <c r="V739" s="14"/>
      <c r="W739" s="14"/>
      <c r="X739" s="7"/>
      <c r="Y739" s="7"/>
      <c r="Z739" s="14"/>
      <c r="AA739" s="14"/>
      <c r="AB739" s="14"/>
      <c r="AC739" s="14"/>
      <c r="AD739" s="14"/>
      <c r="AE739" s="14"/>
      <c r="AF739"/>
    </row>
    <row r="740" spans="1:32" ht="12.75" customHeight="1" x14ac:dyDescent="0.25">
      <c r="Q740" s="6"/>
      <c r="R740" s="14"/>
      <c r="S740" s="14"/>
      <c r="T740" s="14"/>
      <c r="U740" s="14"/>
      <c r="V740" s="14"/>
      <c r="W740" s="14"/>
      <c r="X740" s="7"/>
      <c r="Y740" s="7"/>
      <c r="Z740" s="14"/>
      <c r="AA740" s="14"/>
      <c r="AB740" s="14"/>
      <c r="AC740" s="14"/>
      <c r="AD740" s="14"/>
      <c r="AE740" s="14"/>
      <c r="AF740"/>
    </row>
    <row r="741" spans="1:32" ht="12.75" customHeight="1" x14ac:dyDescent="0.25">
      <c r="A741" s="15" t="s">
        <v>167</v>
      </c>
      <c r="H741" s="110" t="str">
        <f>IF($Q743&lt;&gt;"",IF(AND(AND($H743&gt;-1,$H745&gt;-1),OR($H743&gt;10,$H745&gt;10),ABS($H743-$H745)&gt;1,IF(OR($H743&gt;11,$H745&gt;11),ABS($H743-$H745)=2,TRUE),$H743=INT($H743),$H745=INT($H745)),"","Error"),"")</f>
        <v/>
      </c>
      <c r="I741" s="110" t="str">
        <f>IF($Q743&lt;&gt;"",IF(AND(AND($I743&gt;-1,$I745&gt;-1),OR($I743&gt;10,$I745&gt;10),ABS($I743-$I745)&gt;1,IF(OR($I743&gt;11,$I745&gt;11),ABS($I743-$I745)=2,TRUE),$I743=INT($I743),$I745=INT($I745)),"","Error"),"")</f>
        <v/>
      </c>
      <c r="J741" s="110" t="str">
        <f>IF($Q743&lt;&gt;"",IF(AND(AND($J743&gt;-1,$J745&gt;-1),OR($J743&gt;10,$J745&gt;10),ABS($J743-$J745)&gt;1,IF(OR($J743&gt;11,$J745&gt;11),ABS($J743-$J745)=2,TRUE),$J743=INT($J743),$J745=INT($J745)),"","Error"),"")</f>
        <v/>
      </c>
      <c r="K741" s="110" t="str">
        <f>IF($Q743&lt;&gt;"",IF(AND($K743&lt;&gt;"",$K745&lt;&gt;""), IF(AND(AND($K743&gt;-1,$K745&gt;-1),OR($K743&gt;10,$K745&gt;10),ABS($K743-$K745)&gt;1,IF(OR($K743&gt;11,$K745&gt;11),ABS($K743-$K745)=2,TRUE),$K743=INT($K743),$K745=INT($K745)),"","Error"),""),"")</f>
        <v/>
      </c>
      <c r="L741" s="110" t="str">
        <f>IF($Q743&lt;&gt;"",IF(AND($L743&lt;&gt;"",$L745&lt;&gt;""), IF(AND(AND($L743&gt;-1,$L745&gt;-1),OR($L743&gt;10,$L745&gt;10),ABS($L743-$L745)&gt;1,IF(OR($L743&gt;11,$L745&gt;11),ABS($L743-$L745)=2,TRUE),$L743=INT($L743),$L745=INT($L745)),"","Error"),""),"")</f>
        <v/>
      </c>
      <c r="Q741" s="6"/>
      <c r="R741" s="14"/>
      <c r="S741" s="14"/>
      <c r="T741" s="14"/>
      <c r="U741" s="14"/>
      <c r="V741" s="14"/>
      <c r="W741" s="14"/>
      <c r="X741" s="7"/>
      <c r="Y741" s="7"/>
      <c r="Z741" s="14"/>
      <c r="AA741" s="14"/>
      <c r="AB741" s="14"/>
      <c r="AC741" s="14"/>
      <c r="AD741" s="14"/>
      <c r="AE741" s="14"/>
      <c r="AF741"/>
    </row>
    <row r="742" spans="1:32" ht="12.75" customHeight="1" x14ac:dyDescent="0.25">
      <c r="A742" s="5" t="s">
        <v>160</v>
      </c>
      <c r="B742" s="256" t="s">
        <v>58</v>
      </c>
      <c r="C742" s="257"/>
      <c r="D742" s="257"/>
      <c r="E742" s="257"/>
      <c r="F742" s="257"/>
      <c r="G742" s="258"/>
      <c r="H742" s="5">
        <v>1</v>
      </c>
      <c r="I742" s="5">
        <v>2</v>
      </c>
      <c r="J742" s="5">
        <v>3</v>
      </c>
      <c r="K742" s="5">
        <v>4</v>
      </c>
      <c r="L742" s="5">
        <v>5</v>
      </c>
      <c r="M742" s="270"/>
      <c r="N742" s="271"/>
      <c r="O742" s="271"/>
      <c r="P742" s="272"/>
      <c r="Q742" s="6"/>
      <c r="R742" s="14"/>
      <c r="S742" s="14"/>
      <c r="T742" s="14"/>
      <c r="U742" s="14"/>
      <c r="V742" s="14"/>
      <c r="W742" s="14"/>
      <c r="X742" s="7"/>
      <c r="Y742" s="7"/>
      <c r="Z742" s="14"/>
      <c r="AA742" s="14"/>
      <c r="AB742" s="14"/>
      <c r="AC742" s="14"/>
      <c r="AD742" s="14"/>
      <c r="AE742" s="14"/>
      <c r="AF742"/>
    </row>
    <row r="743" spans="1:32" ht="12.75" customHeight="1" x14ac:dyDescent="0.25">
      <c r="A743" s="259" t="str">
        <f>B723</f>
        <v>H</v>
      </c>
      <c r="B743" s="236" t="str">
        <f ca="1">IF(AND(OFFSET($AO$1,$C723-1,8,1,1),$A724&lt;&gt;"",$J724&lt;&gt;""),CHOOSE($C723,$AQ$1,$AQ$2,$AQ$3,$AQ$4,$AQ$5,$AQ$6,$AQ$7,$AQ$8,$AQ$9,$AQ$10,$AQ$11,$AQ$12),"")</f>
        <v/>
      </c>
      <c r="C743" s="237"/>
      <c r="D743" s="237"/>
      <c r="E743" s="237"/>
      <c r="F743" s="237"/>
      <c r="G743" s="237"/>
      <c r="H743" s="233"/>
      <c r="I743" s="233"/>
      <c r="J743" s="233"/>
      <c r="K743" s="233"/>
      <c r="L743" s="233"/>
      <c r="M743" s="245" t="str">
        <f ca="1">IF(OR(AND($B736&lt;&gt;"",$B743&lt;&gt;"",$D754&lt;=$C754),AND($B738&lt;&gt;"",$B745&lt;&gt;"",$H754&lt;=$G754)),"Invalid Lineup","")</f>
        <v/>
      </c>
      <c r="N743" s="246"/>
      <c r="O743" s="246"/>
      <c r="P743" s="247"/>
      <c r="Q743" s="40" t="str">
        <f>IF($L743=$L745,IF($K743=$K745,IF($J743&lt;&gt;"",IF($J743&gt;$J745,"W","L"),""),IF($K743&gt;$K745,"W","L")),IF($L743&gt;$L745,"W","L"))</f>
        <v/>
      </c>
      <c r="R743" s="14"/>
      <c r="S743" s="14"/>
      <c r="T743" s="14"/>
      <c r="U743" s="14"/>
      <c r="V743" s="14"/>
      <c r="W743" s="14"/>
      <c r="X743" s="7"/>
      <c r="Y743" s="7"/>
      <c r="Z743" s="14"/>
      <c r="AA743" s="14"/>
      <c r="AB743" s="14"/>
      <c r="AC743" s="14"/>
      <c r="AD743" s="14"/>
      <c r="AE743" s="14"/>
      <c r="AF743"/>
    </row>
    <row r="744" spans="1:32" ht="12.75" customHeight="1" x14ac:dyDescent="0.25">
      <c r="A744" s="260"/>
      <c r="B744" s="238"/>
      <c r="C744" s="239"/>
      <c r="D744" s="239"/>
      <c r="E744" s="239"/>
      <c r="F744" s="239"/>
      <c r="G744" s="239"/>
      <c r="H744" s="234"/>
      <c r="I744" s="234"/>
      <c r="J744" s="234"/>
      <c r="K744" s="234"/>
      <c r="L744" s="234"/>
      <c r="M744" s="245"/>
      <c r="N744" s="246"/>
      <c r="O744" s="246"/>
      <c r="P744" s="247"/>
      <c r="Q744" s="110" t="str">
        <f>IF($Q743&lt;&gt;"",IF($Q743="W",IF(SUM(IF($H743&gt;$H745,1,0),IF($I743&gt;$I745,1,0),IF($J743&gt;$J745,1,0),IF($K743&gt;$K745,1,0),IF($L743&gt;$L745,1,0))&lt;&gt;3,"Error",""),""),"")</f>
        <v/>
      </c>
      <c r="R744" s="295" t="str">
        <f>$A724</f>
        <v/>
      </c>
      <c r="S744" s="295"/>
      <c r="T744" s="295"/>
      <c r="U744" s="295"/>
      <c r="V744" s="295"/>
      <c r="W744" s="295"/>
      <c r="X744" s="219" t="str">
        <f>CONCATENATE("(",$B723," vs ",$K723,")")</f>
        <v>(H vs L)</v>
      </c>
      <c r="Y744" s="219"/>
      <c r="Z744" s="295" t="str">
        <f>$J724</f>
        <v/>
      </c>
      <c r="AA744" s="295"/>
      <c r="AB744" s="295"/>
      <c r="AC744" s="295"/>
      <c r="AD744" s="295"/>
      <c r="AE744" s="295"/>
      <c r="AF744"/>
    </row>
    <row r="745" spans="1:32" ht="12.75" customHeight="1" x14ac:dyDescent="0.25">
      <c r="A745" s="259" t="str">
        <f>K723</f>
        <v>L</v>
      </c>
      <c r="B745" s="236" t="str">
        <f ca="1">IF(AND(OFFSET($AO$1,$L723-1,8,1,1),$A724&lt;&gt;"",$J724&lt;&gt;""),CHOOSE($L723,$AQ$1,$AQ$2,$AQ$3,$AQ$4,$AQ$5,$AQ$6,$AQ$7,$AQ$8,$AQ$9,$AQ$10,$AQ$11,$AQ$12),"")</f>
        <v/>
      </c>
      <c r="C745" s="237"/>
      <c r="D745" s="237"/>
      <c r="E745" s="237"/>
      <c r="F745" s="237"/>
      <c r="G745" s="237"/>
      <c r="H745" s="233"/>
      <c r="I745" s="233"/>
      <c r="J745" s="233"/>
      <c r="K745" s="233"/>
      <c r="L745" s="233"/>
      <c r="M745" s="250" t="s">
        <v>169</v>
      </c>
      <c r="N745" s="251"/>
      <c r="O745" s="251"/>
      <c r="P745" s="252"/>
      <c r="Q745" s="40" t="str">
        <f>IF($Q743&lt;&gt;"",IF($Q743="W","L","W"),"")</f>
        <v/>
      </c>
      <c r="R745"/>
      <c r="S745"/>
      <c r="T745"/>
      <c r="U745"/>
      <c r="V745"/>
      <c r="W745"/>
      <c r="X745"/>
      <c r="Y745"/>
      <c r="Z745"/>
      <c r="AA745"/>
      <c r="AB745"/>
      <c r="AC745"/>
      <c r="AD745"/>
      <c r="AE745"/>
      <c r="AF745"/>
    </row>
    <row r="746" spans="1:32" ht="12.75" customHeight="1" x14ac:dyDescent="0.25">
      <c r="A746" s="260"/>
      <c r="B746" s="238"/>
      <c r="C746" s="239"/>
      <c r="D746" s="239"/>
      <c r="E746" s="239"/>
      <c r="F746" s="239"/>
      <c r="G746" s="239"/>
      <c r="H746" s="234"/>
      <c r="I746" s="234"/>
      <c r="J746" s="235"/>
      <c r="K746" s="235"/>
      <c r="L746" s="235"/>
      <c r="M746" s="250"/>
      <c r="N746" s="251"/>
      <c r="O746" s="251"/>
      <c r="P746" s="252"/>
      <c r="Q746" s="110" t="str">
        <f>IF($Q745&lt;&gt;"",IF($Q745="W",IF(SUM(IF($H745&gt;$H743,1,0),IF($I745&gt;$I743,1,0),IF($J745&gt;$J743,1,0),IF($K745&gt;$K743,1,0),IF($L745&gt;$L743,1,0))&lt;&gt;3,"Error",""),""),"")</f>
        <v/>
      </c>
      <c r="R746" t="str">
        <f>$A741</f>
        <v>3rd Singles</v>
      </c>
      <c r="S746"/>
      <c r="T746"/>
      <c r="U746"/>
      <c r="V746"/>
      <c r="W746"/>
      <c r="X746"/>
      <c r="Y746"/>
      <c r="Z746"/>
      <c r="AA746"/>
      <c r="AB746"/>
      <c r="AC746"/>
      <c r="AD746"/>
      <c r="AE746"/>
      <c r="AF746"/>
    </row>
    <row r="747" spans="1:32" ht="12.75" customHeight="1" x14ac:dyDescent="0.25">
      <c r="Q747" s="6"/>
      <c r="R747" s="47" t="s">
        <v>160</v>
      </c>
      <c r="S747" s="86" t="s">
        <v>58</v>
      </c>
      <c r="T747" s="87"/>
      <c r="U747" s="87"/>
      <c r="V747" s="87"/>
      <c r="W747" s="87"/>
      <c r="X747" s="88"/>
      <c r="Y747" s="47">
        <v>1</v>
      </c>
      <c r="Z747" s="47">
        <v>2</v>
      </c>
      <c r="AA747" s="47">
        <v>3</v>
      </c>
      <c r="AB747" s="47">
        <v>4</v>
      </c>
      <c r="AC747" s="47">
        <v>5</v>
      </c>
      <c r="AD747" s="89"/>
      <c r="AE747" s="90"/>
      <c r="AF747" s="91"/>
    </row>
    <row r="748" spans="1:32" ht="12.75" customHeight="1" x14ac:dyDescent="0.25">
      <c r="A748" s="15" t="s">
        <v>168</v>
      </c>
      <c r="H748" s="110" t="str">
        <f ca="1">IF($Q750&lt;&gt;"",IF(AND($B750&lt;&gt;"Missing Player",$B752&lt;&gt;"Missing Player"),IF(AND(AND($H750&gt;-1,$H752&gt;-1),OR($H750&gt;10,$H752&gt;10),ABS($H750-$H752)&gt;1,IF(OR($H750&gt;11,$H752&gt;11),ABS($H750-$H752)=2,TRUE),$H750=INT($H750),$H752=INT($H752)),"","Error"),""),"")</f>
        <v/>
      </c>
      <c r="I748" s="110" t="str">
        <f ca="1">IF($Q750&lt;&gt;"",IF(AND($B750&lt;&gt;"Missing Player",$B752&lt;&gt;"Missing Player"),IF(AND(AND($I750&gt;-1,$I752&gt;-1),OR($I750&gt;10,$I752&gt;10),ABS($I750-$I752)&gt;1,IF(OR($I750&gt;11,$I752&gt;11),ABS($I750-$I752)=2,TRUE),$I750=INT($I750),$I752=INT($I752)),"","Error"),""),"")</f>
        <v/>
      </c>
      <c r="J748" s="110" t="str">
        <f ca="1">IF($Q750&lt;&gt;"",IF(AND($B750&lt;&gt;"Missing Player",$B752&lt;&gt;"Missing Player"),IF(AND(AND($J750&gt;-1,$J752&gt;-1),OR($J750&gt;10,$J752&gt;10),ABS($J750-$J752)&gt;1,IF(OR($J750&gt;11,$J752&gt;11),ABS($J750-$J752)=2,TRUE),$J750=INT($J750),$J752=INT($J752)),"","Error"),""),"")</f>
        <v/>
      </c>
      <c r="K748" s="110" t="str">
        <f ca="1">IF($Q750&lt;&gt;"",IF(AND($K750&lt;&gt;"",$K752&lt;&gt;""), IF(AND(AND($K750&gt;-1,$K752&gt;-1),OR($K750&gt;10,$K752&gt;10),ABS($K750-$K752)&gt;1,IF(OR($K750&gt;11,$K752&gt;11),ABS($K750-$K752)=2,TRUE),$K750=INT($K750),$K752=INT($K752)),"","Error"),""),"")</f>
        <v/>
      </c>
      <c r="L748" s="110" t="str">
        <f ca="1">IF($Q750&lt;&gt;"",IF(AND($L750&lt;&gt;"",$L752&lt;&gt;""), IF(AND(AND($L750&gt;-1,$L752&gt;-1),OR($L750&gt;10,$L752&gt;10),ABS($L750-$L752)&gt;1,IF(OR($L750&gt;11,$L752&gt;11),ABS($L750-$L752)=2,TRUE),$L750=INT($L750),$L752=INT($L752)),"","Error"),""),"")</f>
        <v/>
      </c>
      <c r="Q748" s="6"/>
      <c r="R748" s="259" t="str">
        <f>$B723</f>
        <v>H</v>
      </c>
      <c r="S748" s="307" t="str">
        <f ca="1">IF($B743&lt;&gt;"",$B743,"")</f>
        <v/>
      </c>
      <c r="T748" s="308"/>
      <c r="U748" s="308"/>
      <c r="V748" s="308"/>
      <c r="W748" s="308"/>
      <c r="X748" s="309"/>
      <c r="Y748" s="284"/>
      <c r="Z748" s="284"/>
      <c r="AA748" s="284"/>
      <c r="AB748" s="284"/>
      <c r="AC748" s="284"/>
      <c r="AD748" s="296"/>
      <c r="AE748" s="290"/>
      <c r="AF748" s="291"/>
    </row>
    <row r="749" spans="1:32" ht="12.75" customHeight="1" x14ac:dyDescent="0.25">
      <c r="A749" s="5" t="s">
        <v>160</v>
      </c>
      <c r="B749" s="256" t="s">
        <v>58</v>
      </c>
      <c r="C749" s="257"/>
      <c r="D749" s="257"/>
      <c r="E749" s="257"/>
      <c r="F749" s="257"/>
      <c r="G749" s="258"/>
      <c r="H749" s="5">
        <v>1</v>
      </c>
      <c r="I749" s="5">
        <v>2</v>
      </c>
      <c r="J749" s="5">
        <v>3</v>
      </c>
      <c r="K749" s="5">
        <v>4</v>
      </c>
      <c r="L749" s="5">
        <v>5</v>
      </c>
      <c r="M749" s="270"/>
      <c r="N749" s="271"/>
      <c r="O749" s="271"/>
      <c r="P749" s="272"/>
      <c r="Q749" s="6"/>
      <c r="R749" s="285"/>
      <c r="S749" s="310"/>
      <c r="T749" s="311"/>
      <c r="U749" s="311"/>
      <c r="V749" s="311"/>
      <c r="W749" s="311"/>
      <c r="X749" s="312"/>
      <c r="Y749" s="285"/>
      <c r="Z749" s="285"/>
      <c r="AA749" s="285"/>
      <c r="AB749" s="285"/>
      <c r="AC749" s="285"/>
      <c r="AD749" s="292"/>
      <c r="AE749" s="293"/>
      <c r="AF749" s="294"/>
    </row>
    <row r="750" spans="1:32" ht="12.75" customHeight="1" x14ac:dyDescent="0.25">
      <c r="A750" s="259" t="str">
        <f>B723</f>
        <v>H</v>
      </c>
      <c r="B750" s="236" t="str">
        <f ca="1">IF(AND(OFFSET($AO$1,$C723-1,8,1,1),$A724&lt;&gt;"",$J724&lt;&gt;""),CHOOSE($C723,$AR$1,$AR$2,$AR$3,$AR$4,$AR$5,$AR$6,$AR$7,$AR$8,$AR$9,$AR$10,$AR$11,$AR$12),"")</f>
        <v/>
      </c>
      <c r="C750" s="237"/>
      <c r="D750" s="237"/>
      <c r="E750" s="237"/>
      <c r="F750" s="237"/>
      <c r="G750" s="237"/>
      <c r="H750" s="233"/>
      <c r="I750" s="233"/>
      <c r="J750" s="233"/>
      <c r="K750" s="233"/>
      <c r="L750" s="233" t="str">
        <f ca="1">IF(AND($B750&lt;&gt;"",$Q729&lt;&gt;""),IF($B750="Missing Player",0,IF($B752="Missing Player",11,"")),"")</f>
        <v/>
      </c>
      <c r="M750" s="245" t="str">
        <f ca="1">IF(OR(AND($B743&lt;&gt;"",$B750&lt;&gt;"",$E754&lt;=$D754),AND($B745&lt;&gt;"",$B752&lt;&gt;"",$I754&lt;=$H754)),"Invalid Lineup","")</f>
        <v/>
      </c>
      <c r="N750" s="246"/>
      <c r="O750" s="246"/>
      <c r="P750" s="247"/>
      <c r="Q750" s="40" t="str">
        <f ca="1">IF($L750=$L752,IF($K750=$K752,IF($J750&lt;&gt;"",IF($J750&gt;$J752,"W","L"),""),IF($K750&gt;$K752,"W","L")),IF($L750&gt;$L752,"W","L"))</f>
        <v/>
      </c>
      <c r="R750" s="259" t="str">
        <f>$K723</f>
        <v>L</v>
      </c>
      <c r="S750" s="307" t="str">
        <f ca="1">IF($B745&lt;&gt;"",$B745,"")</f>
        <v/>
      </c>
      <c r="T750" s="308"/>
      <c r="U750" s="308"/>
      <c r="V750" s="308"/>
      <c r="W750" s="308"/>
      <c r="X750" s="309"/>
      <c r="Y750" s="284"/>
      <c r="Z750" s="284"/>
      <c r="AA750" s="284"/>
      <c r="AB750" s="284"/>
      <c r="AC750" s="297"/>
      <c r="AD750" s="289" t="s">
        <v>169</v>
      </c>
      <c r="AE750" s="290"/>
      <c r="AF750" s="291"/>
    </row>
    <row r="751" spans="1:32" ht="12.75" customHeight="1" x14ac:dyDescent="0.25">
      <c r="A751" s="260"/>
      <c r="B751" s="238"/>
      <c r="C751" s="239"/>
      <c r="D751" s="239"/>
      <c r="E751" s="239"/>
      <c r="F751" s="239"/>
      <c r="G751" s="239"/>
      <c r="H751" s="234"/>
      <c r="I751" s="234"/>
      <c r="J751" s="234"/>
      <c r="K751" s="234"/>
      <c r="L751" s="234"/>
      <c r="M751" s="245"/>
      <c r="N751" s="246"/>
      <c r="O751" s="246"/>
      <c r="P751" s="247"/>
      <c r="Q751" s="110" t="str">
        <f ca="1">IF($Q750&lt;&gt;"",IF($B752&lt;&gt;"Missing Player",IF($Q750="W",IF(SUM(IF($H750&gt;$H752,1,0),IF($I750&gt;$I752,1,0),IF($J750&gt;$J752,1,0),IF($K750&gt;$K752,1,0),IF($L750&gt;$L752,1,0))&lt;&gt;3,"Error",""),""),""),"")</f>
        <v/>
      </c>
      <c r="R751" s="285"/>
      <c r="S751" s="310"/>
      <c r="T751" s="311"/>
      <c r="U751" s="311"/>
      <c r="V751" s="311"/>
      <c r="W751" s="311"/>
      <c r="X751" s="312"/>
      <c r="Y751" s="285"/>
      <c r="Z751" s="285"/>
      <c r="AA751" s="285"/>
      <c r="AB751" s="285"/>
      <c r="AC751" s="285"/>
      <c r="AD751" s="292"/>
      <c r="AE751" s="293"/>
      <c r="AF751" s="294"/>
    </row>
    <row r="752" spans="1:32" ht="12.75" customHeight="1" x14ac:dyDescent="0.25">
      <c r="A752" s="259" t="str">
        <f>K723</f>
        <v>L</v>
      </c>
      <c r="B752" s="236" t="str">
        <f ca="1">IF(AND(OFFSET($AO$1,$L723-1,8,1,1),$A724&lt;&gt;"",$J724&lt;&gt;""),CHOOSE($L723,$AR$1,$AR$2,$AR$3,$AR$4,$AR$5,$AR$6,$AR$7,$AR$8,$AR$9,$AR$10,$AR$11,$AR$12),"")</f>
        <v/>
      </c>
      <c r="C752" s="237"/>
      <c r="D752" s="237"/>
      <c r="E752" s="237"/>
      <c r="F752" s="237"/>
      <c r="G752" s="237"/>
      <c r="H752" s="233"/>
      <c r="I752" s="233"/>
      <c r="J752" s="233"/>
      <c r="K752" s="233"/>
      <c r="L752" s="233" t="str">
        <f ca="1">IF(AND($B752&lt;&gt;"",$Q729&lt;&gt;""),IF($B752="Missing Player",0,IF($B750="Missing Player",11,"")),"")</f>
        <v/>
      </c>
      <c r="M752" s="250" t="s">
        <v>169</v>
      </c>
      <c r="N752" s="251"/>
      <c r="O752" s="251"/>
      <c r="P752" s="252"/>
      <c r="Q752" s="40" t="str">
        <f ca="1">IF($Q750&lt;&gt;"",IF($Q750="W","L","W"),"")</f>
        <v/>
      </c>
      <c r="R752" s="94"/>
      <c r="S752" s="84"/>
      <c r="T752" s="84"/>
      <c r="U752" s="84"/>
      <c r="V752" s="84"/>
      <c r="W752" s="84"/>
      <c r="X752" s="84"/>
      <c r="Y752" s="93"/>
      <c r="Z752" s="93"/>
      <c r="AA752" s="93"/>
      <c r="AB752" s="93"/>
      <c r="AC752" s="93"/>
      <c r="AD752" s="92"/>
      <c r="AE752" s="93"/>
      <c r="AF752" s="93"/>
    </row>
    <row r="753" spans="1:32" ht="12.75" customHeight="1" x14ac:dyDescent="0.25">
      <c r="A753" s="260"/>
      <c r="B753" s="238"/>
      <c r="C753" s="239"/>
      <c r="D753" s="239"/>
      <c r="E753" s="239"/>
      <c r="F753" s="239"/>
      <c r="G753" s="239"/>
      <c r="H753" s="234"/>
      <c r="I753" s="234"/>
      <c r="J753" s="235"/>
      <c r="K753" s="235"/>
      <c r="L753" s="235"/>
      <c r="M753" s="250"/>
      <c r="N753" s="251"/>
      <c r="O753" s="251"/>
      <c r="P753" s="252"/>
      <c r="Q753" s="110" t="str">
        <f ca="1">IF($Q752&lt;&gt;"",IF($B750&lt;&gt;"Missing Player",IF($Q752="W",IF(SUM(IF($H752&gt;$H750,1,0),IF($I752&gt;$I750,1,0),IF($J752&gt;$J750,1,0),IF($K752&gt;$K750,1,0),IF($L752&gt;$L750,1,0))&lt;&gt;3,"Error",""),""),""),"")</f>
        <v/>
      </c>
      <c r="R753" s="85"/>
      <c r="S753" s="95"/>
      <c r="T753" s="95"/>
      <c r="U753" s="95"/>
      <c r="V753" s="95"/>
      <c r="W753" s="95"/>
      <c r="X753" s="95"/>
      <c r="Y753" s="85"/>
      <c r="Z753" s="85"/>
      <c r="AA753" s="85"/>
      <c r="AB753" s="85"/>
      <c r="AC753" s="85"/>
      <c r="AD753" s="85"/>
      <c r="AE753" s="85"/>
      <c r="AF753" s="85"/>
    </row>
    <row r="754" spans="1:32" ht="12.75" customHeight="1" x14ac:dyDescent="0.25">
      <c r="B754" s="111" t="str">
        <f ca="1">IF(ISERROR(VLOOKUP($B729&amp;"("&amp;$B723&amp;")",Players!$S$4:$T$132,2,FALSE)),"",VLOOKUP($B729&amp;"("&amp;$B723&amp;")",Players!$S$4:$T$132,2,FALSE))</f>
        <v>H1</v>
      </c>
      <c r="C754" s="111" t="str">
        <f ca="1">IF(ISERROR(VLOOKUP($B736&amp;"("&amp;$B723&amp;")",Players!$S$4:$T$132,2,FALSE)),"",VLOOKUP($B736&amp;"("&amp;$B723&amp;")",Players!$S$4:$T$132,2,FALSE))</f>
        <v>H1</v>
      </c>
      <c r="D754" s="111" t="str">
        <f ca="1">IF(ISERROR(VLOOKUP($B743&amp;"("&amp;$B723&amp;")",Players!$S$4:$T$132,2,FALSE)),"",VLOOKUP($B743&amp;"("&amp;$B723&amp;")",Players!$S$4:$T$132,2,FALSE))</f>
        <v>H1</v>
      </c>
      <c r="E754" s="111" t="str">
        <f ca="1">IF(ISERROR(VLOOKUP($B750&amp;"("&amp;$B723&amp;")",Players!$S$4:$T$132,2,FALSE)),"",VLOOKUP($B750&amp;"("&amp;$B723&amp;")",Players!$S$4:$T$132,2,FALSE))</f>
        <v>H1</v>
      </c>
      <c r="F754" s="111" t="str">
        <f ca="1">IF(ISERROR(VLOOKUP($B731&amp;"("&amp;$K723&amp;")",Players!$S$4:$T$132,2,FALSE)),"",VLOOKUP($B731&amp;"("&amp;$K723&amp;")",Players!$S$4:$T$132,2,FALSE))</f>
        <v>L1</v>
      </c>
      <c r="G754" s="111" t="str">
        <f ca="1">IF(ISERROR(VLOOKUP($B738&amp;"("&amp;$K723&amp;")",Players!$S$4:$T$132,2,FALSE)),"",VLOOKUP($B738&amp;"("&amp;$K723&amp;")",Players!$S$4:$T$132,2,FALSE))</f>
        <v>L1</v>
      </c>
      <c r="H754" s="111" t="str">
        <f ca="1">IF(ISERROR(VLOOKUP($B745&amp;"("&amp;$K723&amp;")",Players!$S$4:$T$132,2,FALSE)),"",VLOOKUP($B745&amp;"("&amp;$K723&amp;")",Players!$S$4:$T$132,2,FALSE))</f>
        <v>L1</v>
      </c>
      <c r="I754" s="111" t="str">
        <f ca="1">IF(ISERROR(VLOOKUP($B752&amp;"("&amp;$K723&amp;")",Players!$S$4:$T$132,2,FALSE)),"",VLOOKUP($B752&amp;"("&amp;$K723&amp;")",Players!$S$4:$T$132,2,FALSE))</f>
        <v>L1</v>
      </c>
      <c r="Q754" s="6"/>
      <c r="R754" s="37"/>
      <c r="S754" s="95"/>
      <c r="T754" s="95"/>
      <c r="U754" s="95"/>
      <c r="V754" s="95"/>
      <c r="W754" s="95"/>
      <c r="X754" s="95"/>
      <c r="Y754" s="85"/>
      <c r="Z754" s="85"/>
      <c r="AA754" s="85"/>
      <c r="AB754" s="85"/>
      <c r="AC754" s="96"/>
      <c r="AD754" s="97"/>
      <c r="AE754" s="85"/>
      <c r="AF754" s="85"/>
    </row>
    <row r="755" spans="1:32" ht="12.75" customHeight="1" x14ac:dyDescent="0.25">
      <c r="A755" s="15" t="s">
        <v>157</v>
      </c>
      <c r="H755" s="110" t="str">
        <f ca="1">IF($Q757&lt;&gt;"",IF(AND($B758&lt;&gt;"Missing Player",$B760&lt;&gt;"Missing Player"),IF(AND(AND($H757&gt;-1,$H759&gt;-1),OR($H757&gt;10,$H759&gt;10),ABS($H757-$H759)&gt;1,IF(OR($H757&gt;11,$H759&gt;11),ABS($H757-$H759)=2,TRUE),$H757=INT($H757),$H759=INT($H759)),"","Error"),""),"")</f>
        <v/>
      </c>
      <c r="I755" s="110" t="str">
        <f ca="1">IF($Q757&lt;&gt;"",IF(AND($B758&lt;&gt;"Missing Player",$B760&lt;&gt;"Missing Player"),IF(AND(AND($I757&gt;-1,$I759&gt;-1),OR($I757&gt;10,$I759&gt;10),ABS($I757-$I759)&gt;1,IF(OR($I757&gt;11,$I759&gt;11),ABS($I757-$I759)=2,TRUE),$I757=INT($I757),$I759=INT($I759)),"","Error"),""),"")</f>
        <v/>
      </c>
      <c r="J755" s="110" t="str">
        <f ca="1">IF($Q757&lt;&gt;"",IF(AND($B758&lt;&gt;"Missing Player",$B760&lt;&gt;"Missing Player"),IF(AND(AND($J757&gt;-1,$J759&gt;-1),OR($J757&gt;10,$J759&gt;10),ABS($J757-$J759)&gt;1,IF(OR($J757&gt;11,$J759&gt;11),ABS($J757-$J759)=2,TRUE),$J757=INT($J757),$J759=INT($J759)),"","Error"),""),"")</f>
        <v/>
      </c>
      <c r="K755" s="110" t="str">
        <f ca="1">IF($Q757&lt;&gt;"",IF(AND($K757&lt;&gt;"",$K759&lt;&gt;""), IF(AND(AND($K757&gt;-1,$K759&gt;-1),OR($K757&gt;10,$K759&gt;10),ABS($K757-$K759)&gt;1,IF(OR($K757&gt;11,$K759&gt;11),ABS($K757-$K759)=2,TRUE),$K757=INT($K757),$K759=INT($K759)),"","Error"),""),"")</f>
        <v/>
      </c>
      <c r="L755" s="110" t="str">
        <f ca="1">IF($Q757&lt;&gt;"",IF(AND($L757&lt;&gt;"",$L759&lt;&gt;""), IF(AND(AND($L757&gt;-1,$L759&gt;-1),OR($L757&gt;10,$L759&gt;10),ABS($L757-$L759)&gt;1,IF(OR($L757&gt;11,$L759&gt;11),ABS($L757-$L759)=2,TRUE),$L757=INT($L757),$L759=INT($L759)),"","Error"),""),"")</f>
        <v/>
      </c>
      <c r="Q755" s="6"/>
      <c r="R755" s="85"/>
      <c r="S755" s="95"/>
      <c r="T755" s="95"/>
      <c r="U755" s="95"/>
      <c r="V755" s="95"/>
      <c r="W755" s="95"/>
      <c r="X755" s="95"/>
      <c r="Y755" s="85"/>
      <c r="Z755" s="85"/>
      <c r="AA755" s="85"/>
      <c r="AB755" s="85"/>
      <c r="AC755" s="85"/>
      <c r="AD755" s="85"/>
      <c r="AE755" s="85"/>
      <c r="AF755" s="85"/>
    </row>
    <row r="756" spans="1:32" ht="12.75" customHeight="1" x14ac:dyDescent="0.25">
      <c r="A756" s="5" t="s">
        <v>160</v>
      </c>
      <c r="B756" s="256" t="s">
        <v>58</v>
      </c>
      <c r="C756" s="257"/>
      <c r="D756" s="257"/>
      <c r="E756" s="257"/>
      <c r="F756" s="257"/>
      <c r="G756" s="258"/>
      <c r="H756" s="5">
        <v>1</v>
      </c>
      <c r="I756" s="5">
        <v>2</v>
      </c>
      <c r="J756" s="5">
        <v>3</v>
      </c>
      <c r="K756" s="5">
        <v>4</v>
      </c>
      <c r="L756" s="5">
        <v>5</v>
      </c>
      <c r="M756" s="270"/>
      <c r="N756" s="271"/>
      <c r="O756" s="271"/>
      <c r="P756" s="272"/>
      <c r="Q756" s="6"/>
      <c r="T756" s="7"/>
    </row>
    <row r="757" spans="1:32" ht="12.75" customHeight="1" x14ac:dyDescent="0.25">
      <c r="A757" s="259" t="str">
        <f>B723</f>
        <v>H</v>
      </c>
      <c r="B757" s="230" t="str">
        <f ca="1">IF($B729&lt;&gt;"",$B729,"")</f>
        <v/>
      </c>
      <c r="C757" s="231"/>
      <c r="D757" s="231"/>
      <c r="E757" s="231"/>
      <c r="F757" s="231"/>
      <c r="G757" s="232"/>
      <c r="H757" s="233"/>
      <c r="I757" s="233"/>
      <c r="J757" s="233"/>
      <c r="K757" s="233"/>
      <c r="L757" s="233" t="str">
        <f ca="1">IF($B750&lt;&gt;"",IF(AND($B750="Missing Player",$G761=2,$J761=2),0,IF(AND($B752="Missing Player",$G761=2,$J761=2),11,"")),"")</f>
        <v/>
      </c>
      <c r="M757" s="245" t="str">
        <f ca="1">IF(OR(AND($B757&lt;&gt;"",$B758&lt;&gt;"",$B757=$B758),AND($B759&lt;&gt;"",$B760&lt;&gt;"",$B759=$B760)),"Invalid Partner","")</f>
        <v/>
      </c>
      <c r="N757" s="246"/>
      <c r="O757" s="246"/>
      <c r="P757" s="247"/>
      <c r="Q757" s="37" t="str">
        <f ca="1">IF(L757=L759,IF(K757=K759,IF(J757&lt;&gt;"",IF(J757&gt;J759,"W","L"),""),IF(K757&gt;K759,"W","L")),IF(L757&gt;L759,"W","L"))</f>
        <v/>
      </c>
      <c r="T757" s="7"/>
    </row>
    <row r="758" spans="1:32" ht="12.75" customHeight="1" x14ac:dyDescent="0.25">
      <c r="A758" s="260"/>
      <c r="B758" s="266" t="str">
        <f ca="1">IF($B750="Missing Player",$B750,"")</f>
        <v/>
      </c>
      <c r="C758" s="267"/>
      <c r="D758" s="267"/>
      <c r="E758" s="267"/>
      <c r="F758" s="267"/>
      <c r="G758" s="268"/>
      <c r="H758" s="234"/>
      <c r="I758" s="234"/>
      <c r="J758" s="234"/>
      <c r="K758" s="234"/>
      <c r="L758" s="234"/>
      <c r="M758" s="245"/>
      <c r="N758" s="246"/>
      <c r="O758" s="246"/>
      <c r="P758" s="247"/>
      <c r="Q758" s="110" t="str">
        <f ca="1">IF($Q757&lt;&gt;"",IF($B760&lt;&gt;"Missing Player",IF($Q757="W",IF(SUM(IF($H757&gt;$H759,1,0),IF($I757&gt;$I759,1,0),IF($J757&gt;$J759,1,0),IF($K757&gt;$K759,1,0),IF($L757&gt;$L759,1,0))&lt;&gt;3,"Error",""),""),""),"")</f>
        <v/>
      </c>
      <c r="R758" s="295" t="str">
        <f>$A724</f>
        <v/>
      </c>
      <c r="S758" s="295"/>
      <c r="T758" s="295"/>
      <c r="U758" s="295"/>
      <c r="V758" s="295"/>
      <c r="W758" s="295"/>
      <c r="X758" s="219" t="str">
        <f>CONCATENATE("(",$B723," vs ",$K723,")")</f>
        <v>(H vs L)</v>
      </c>
      <c r="Y758" s="219"/>
      <c r="Z758" s="295" t="str">
        <f>$J724</f>
        <v/>
      </c>
      <c r="AA758" s="295"/>
      <c r="AB758" s="295"/>
      <c r="AC758" s="295"/>
      <c r="AD758" s="295"/>
      <c r="AE758" s="295"/>
      <c r="AF758"/>
    </row>
    <row r="759" spans="1:32" ht="12.75" customHeight="1" x14ac:dyDescent="0.25">
      <c r="A759" s="265" t="str">
        <f>K723</f>
        <v>L</v>
      </c>
      <c r="B759" s="230" t="str">
        <f ca="1">IF($B731&lt;&gt;"",$B731,"")</f>
        <v/>
      </c>
      <c r="C759" s="231"/>
      <c r="D759" s="231"/>
      <c r="E759" s="231"/>
      <c r="F759" s="231"/>
      <c r="G759" s="232"/>
      <c r="H759" s="233"/>
      <c r="I759" s="233"/>
      <c r="J759" s="233"/>
      <c r="K759" s="233"/>
      <c r="L759" s="233" t="str">
        <f ca="1">IF($B752&lt;&gt;"",IF(AND($B752="Missing Player",$G761=2,$J761=2),0,IF(AND($B750="Missing Player",$G761=2,$J761=2),11,"")),"")</f>
        <v/>
      </c>
      <c r="M759" s="250" t="s">
        <v>169</v>
      </c>
      <c r="N759" s="251"/>
      <c r="O759" s="251"/>
      <c r="P759" s="252"/>
      <c r="Q759" s="37" t="str">
        <f ca="1">IF(Q757&lt;&gt;"",IF(Q757="W","L","W"),"")</f>
        <v/>
      </c>
      <c r="R759"/>
      <c r="S759"/>
      <c r="T759"/>
      <c r="U759"/>
      <c r="V759"/>
      <c r="W759"/>
      <c r="X759"/>
      <c r="Y759"/>
      <c r="Z759"/>
      <c r="AA759"/>
      <c r="AB759"/>
      <c r="AC759"/>
      <c r="AD759"/>
      <c r="AE759"/>
      <c r="AF759"/>
    </row>
    <row r="760" spans="1:32" ht="12.75" customHeight="1" x14ac:dyDescent="0.25">
      <c r="A760" s="260"/>
      <c r="B760" s="266" t="str">
        <f ca="1">IF($B752="Missing Player",$B752,"")</f>
        <v/>
      </c>
      <c r="C760" s="267"/>
      <c r="D760" s="267"/>
      <c r="E760" s="267"/>
      <c r="F760" s="267"/>
      <c r="G760" s="268"/>
      <c r="H760" s="234"/>
      <c r="I760" s="234"/>
      <c r="J760" s="235"/>
      <c r="K760" s="235"/>
      <c r="L760" s="235"/>
      <c r="M760" s="250"/>
      <c r="N760" s="251"/>
      <c r="O760" s="251"/>
      <c r="P760" s="252"/>
      <c r="Q760" s="110" t="str">
        <f ca="1">IF($Q759&lt;&gt;"",IF($B758&lt;&gt;"Missing Player",IF($Q759="W",IF(SUM(IF($H759&gt;$H757,1,0),IF($I759&gt;$I757,1,0),IF($J759&gt;$J757,1,0),IF($K759&gt;$K757,1,0),IF($L759&gt;$L757,1,0))&lt;&gt;3,"Error",""),""),""),"")</f>
        <v/>
      </c>
      <c r="R760" t="str">
        <f>A748</f>
        <v>4th Singles</v>
      </c>
      <c r="S760"/>
      <c r="T760"/>
      <c r="U760"/>
      <c r="V760"/>
      <c r="W760"/>
      <c r="X760"/>
      <c r="Y760"/>
      <c r="Z760"/>
      <c r="AA760"/>
      <c r="AB760"/>
      <c r="AC760"/>
      <c r="AD760"/>
      <c r="AE760"/>
      <c r="AF760"/>
    </row>
    <row r="761" spans="1:32" ht="12.75" customHeight="1" x14ac:dyDescent="0.25">
      <c r="G761" s="53">
        <f ca="1">COUNTIF($Q729:$Q729,"W")+COUNTIF($Q736:$Q736,"W")+COUNTIF($Q743:$Q743,"W")+COUNTIF($Q750:$Q750,"W")</f>
        <v>0</v>
      </c>
      <c r="J761" s="53">
        <f ca="1">COUNTIF($Q731:$Q731,"W")+COUNTIF($Q738:$Q738,"W")+COUNTIF($Q745:$Q745,"W")+COUNTIF($Q752:$Q752,"W")</f>
        <v>0</v>
      </c>
      <c r="R761" s="47" t="s">
        <v>160</v>
      </c>
      <c r="S761" s="304" t="s">
        <v>58</v>
      </c>
      <c r="T761" s="305"/>
      <c r="U761" s="305"/>
      <c r="V761" s="305"/>
      <c r="W761" s="305"/>
      <c r="X761" s="306"/>
      <c r="Y761" s="47">
        <v>1</v>
      </c>
      <c r="Z761" s="47">
        <v>2</v>
      </c>
      <c r="AA761" s="47">
        <v>3</v>
      </c>
      <c r="AB761" s="47">
        <v>4</v>
      </c>
      <c r="AC761" s="47">
        <v>5</v>
      </c>
      <c r="AD761" s="286"/>
      <c r="AE761" s="287"/>
      <c r="AF761" s="288"/>
    </row>
    <row r="762" spans="1:32" ht="12.75" customHeight="1" thickBot="1" x14ac:dyDescent="0.3">
      <c r="F762" s="212" t="s">
        <v>170</v>
      </c>
      <c r="G762" s="212"/>
      <c r="H762" s="212"/>
      <c r="I762" s="212"/>
      <c r="J762" s="212"/>
      <c r="K762" s="212"/>
      <c r="R762" s="259" t="str">
        <f>B723</f>
        <v>H</v>
      </c>
      <c r="S762" s="307" t="str">
        <f ca="1">IF($B750&lt;&gt;"",$B750,"")</f>
        <v/>
      </c>
      <c r="T762" s="308"/>
      <c r="U762" s="308"/>
      <c r="V762" s="308"/>
      <c r="W762" s="308"/>
      <c r="X762" s="309"/>
      <c r="Y762" s="284"/>
      <c r="Z762" s="284"/>
      <c r="AA762" s="297"/>
      <c r="AB762" s="297"/>
      <c r="AC762" s="297"/>
      <c r="AD762" s="296"/>
      <c r="AE762" s="298"/>
      <c r="AF762" s="299"/>
    </row>
    <row r="763" spans="1:32" ht="12.75" customHeight="1" x14ac:dyDescent="0.25">
      <c r="A763" s="16"/>
      <c r="B763" s="16"/>
      <c r="C763" s="16"/>
      <c r="D763" s="16"/>
      <c r="E763" s="16"/>
      <c r="G763" s="261" t="str">
        <f>B723</f>
        <v>H</v>
      </c>
      <c r="H763" s="262"/>
      <c r="I763" s="263" t="str">
        <f>K723</f>
        <v>L</v>
      </c>
      <c r="J763" s="264"/>
      <c r="L763" s="16"/>
      <c r="M763" s="16"/>
      <c r="N763" s="16"/>
      <c r="O763" s="16"/>
      <c r="P763" s="16"/>
      <c r="R763" s="260"/>
      <c r="S763" s="310"/>
      <c r="T763" s="311"/>
      <c r="U763" s="311"/>
      <c r="V763" s="311"/>
      <c r="W763" s="311"/>
      <c r="X763" s="312"/>
      <c r="Y763" s="285"/>
      <c r="Z763" s="285"/>
      <c r="AA763" s="303"/>
      <c r="AB763" s="303"/>
      <c r="AC763" s="303"/>
      <c r="AD763" s="300"/>
      <c r="AE763" s="301"/>
      <c r="AF763" s="302"/>
    </row>
    <row r="764" spans="1:32" ht="12.75" customHeight="1" thickBot="1" x14ac:dyDescent="0.3">
      <c r="A764" s="2" t="s">
        <v>160</v>
      </c>
      <c r="B764" s="40" t="str">
        <f>B723</f>
        <v>H</v>
      </c>
      <c r="C764" s="3" t="s">
        <v>158</v>
      </c>
      <c r="F764" s="53" t="str">
        <f>CONCATENATE($B723,"-",$K723)</f>
        <v>H-L</v>
      </c>
      <c r="G764" s="240" t="str">
        <f ca="1">IF(OR(Q729&lt;&gt;"",Q736&lt;&gt;"",Q743&lt;&gt;"",Q750&lt;&gt;"",Q757&lt;&gt;""),COUNTIF(Q729:Q729,"W")+COUNTIF(Q736:Q736,"W")+COUNTIF(Q743:Q743,"W")+COUNTIF(Q750:Q750,"W")+COUNTIF(Q757:Q757,"W"),"")</f>
        <v/>
      </c>
      <c r="H764" s="241"/>
      <c r="I764" s="242" t="str">
        <f ca="1">IF(OR(Q731&lt;&gt;"",Q738&lt;&gt;"",Q745&lt;&gt;"",Q752&lt;&gt;"",Q759&lt;&gt;""),COUNTIF(Q731:Q731,"W")+COUNTIF(Q738:Q738,"W")+COUNTIF(Q745:Q745,"W")+COUNTIF(Q752:Q752,"W")+COUNTIF(Q759:Q759,"W"),"")</f>
        <v/>
      </c>
      <c r="J764" s="243"/>
      <c r="L764" s="2" t="s">
        <v>160</v>
      </c>
      <c r="M764" s="40" t="str">
        <f>K723</f>
        <v>L</v>
      </c>
      <c r="N764" s="3" t="s">
        <v>158</v>
      </c>
      <c r="R764" s="259" t="str">
        <f>K723</f>
        <v>L</v>
      </c>
      <c r="S764" s="307" t="str">
        <f ca="1">IF($B752&lt;&gt;"",$B752,"")</f>
        <v/>
      </c>
      <c r="T764" s="308"/>
      <c r="U764" s="308"/>
      <c r="V764" s="308"/>
      <c r="W764" s="308"/>
      <c r="X764" s="309"/>
      <c r="Y764" s="284"/>
      <c r="Z764" s="284"/>
      <c r="AA764" s="297"/>
      <c r="AB764" s="297"/>
      <c r="AC764" s="297"/>
      <c r="AD764" s="289" t="s">
        <v>169</v>
      </c>
      <c r="AE764" s="290"/>
      <c r="AF764" s="291"/>
    </row>
    <row r="765" spans="1:32" ht="12.75" customHeight="1" x14ac:dyDescent="0.35">
      <c r="F765" s="18" t="s">
        <v>403</v>
      </c>
      <c r="G765" s="17"/>
      <c r="H765" s="17"/>
      <c r="I765" s="17"/>
      <c r="J765" s="17"/>
      <c r="R765" s="285"/>
      <c r="S765" s="310"/>
      <c r="T765" s="311"/>
      <c r="U765" s="311"/>
      <c r="V765" s="311"/>
      <c r="W765" s="311"/>
      <c r="X765" s="312"/>
      <c r="Y765" s="285"/>
      <c r="Z765" s="285"/>
      <c r="AA765" s="285"/>
      <c r="AB765" s="285"/>
      <c r="AC765" s="285"/>
      <c r="AD765" s="292"/>
      <c r="AE765" s="293"/>
      <c r="AF765" s="294"/>
    </row>
    <row r="766" spans="1:32" ht="12.75" customHeight="1" x14ac:dyDescent="0.25">
      <c r="R766" s="1"/>
      <c r="S766" s="11"/>
      <c r="T766" s="11"/>
      <c r="U766" s="11"/>
      <c r="V766" s="11"/>
      <c r="W766" s="11"/>
    </row>
    <row r="767" spans="1:32" ht="12.75" customHeight="1" x14ac:dyDescent="0.25">
      <c r="F767" s="212"/>
      <c r="G767" s="212"/>
      <c r="H767" s="212"/>
      <c r="I767" s="212"/>
      <c r="R767" s="1"/>
      <c r="S767" s="11"/>
      <c r="T767" s="11"/>
      <c r="U767" s="11"/>
      <c r="V767" s="11"/>
      <c r="W767" s="11"/>
    </row>
    <row r="768" spans="1:32" ht="12.75" customHeight="1" x14ac:dyDescent="0.25">
      <c r="F768" s="212"/>
      <c r="G768" s="212"/>
      <c r="H768" s="212"/>
      <c r="I768" s="212"/>
      <c r="R768" s="1"/>
      <c r="S768" s="11"/>
      <c r="T768" s="11"/>
      <c r="U768" s="11"/>
      <c r="V768" s="11"/>
      <c r="W768" s="11"/>
    </row>
    <row r="769" spans="1:32" ht="12.75" customHeight="1" x14ac:dyDescent="0.25">
      <c r="K769" s="219" t="s">
        <v>176</v>
      </c>
      <c r="L769" s="219"/>
      <c r="M769" s="219"/>
      <c r="N769" s="219"/>
      <c r="O769" s="219"/>
      <c r="P769" s="219"/>
      <c r="R769" s="1"/>
      <c r="S769" s="11"/>
      <c r="T769" s="11"/>
      <c r="U769" s="11"/>
      <c r="V769" s="11"/>
      <c r="W769" s="11"/>
    </row>
    <row r="770" spans="1:32" ht="12.75" customHeight="1" x14ac:dyDescent="0.25">
      <c r="A770" s="9" t="s">
        <v>161</v>
      </c>
      <c r="B770"/>
      <c r="C770"/>
      <c r="D770" t="str">
        <f>Draw!$B$1</f>
        <v>Enter Division Name</v>
      </c>
      <c r="E770"/>
      <c r="F770" s="6"/>
      <c r="G770" s="6"/>
      <c r="H770" s="6"/>
      <c r="I770"/>
      <c r="J770"/>
      <c r="K770"/>
      <c r="L770"/>
      <c r="M770" s="219"/>
      <c r="N770" s="219"/>
      <c r="O770" s="219"/>
      <c r="P770" s="219"/>
      <c r="R770" s="1"/>
      <c r="S770" s="11"/>
      <c r="T770" s="11"/>
      <c r="U770" s="11"/>
      <c r="V770" s="11"/>
      <c r="W770" s="11"/>
    </row>
    <row r="771" spans="1:32" ht="12.75" customHeight="1" x14ac:dyDescent="0.25">
      <c r="A771" s="2" t="s">
        <v>162</v>
      </c>
      <c r="D771" t="str">
        <f>Draw!$D$1</f>
        <v>Enter Hosting Location (City, ST)</v>
      </c>
      <c r="J771" t="str">
        <f ca="1">$J$6</f>
        <v>[NCTTA Teams Template (v3.4).xlsx]</v>
      </c>
      <c r="R771" s="1"/>
      <c r="S771" s="11"/>
      <c r="T771" s="11"/>
      <c r="U771" s="11"/>
      <c r="V771" s="11"/>
      <c r="W771" s="11"/>
    </row>
    <row r="772" spans="1:32" ht="12.75" customHeight="1" x14ac:dyDescent="0.25">
      <c r="A772" s="2" t="s">
        <v>163</v>
      </c>
      <c r="D772" s="275" t="str">
        <f>Draw!$P$1</f>
        <v>Enter Date</v>
      </c>
      <c r="E772" s="275"/>
      <c r="F772" s="275"/>
      <c r="G772" s="275"/>
      <c r="J772" s="244" t="str">
        <f>CHOOSE(Draw!$T$1,"Round 3, Match 4","Round 1, Match 4","Round 2, Match 6","","","","Round 6, Match 1","Round 4, Match 4","Round 4, Match 4","Round 4, Match 1","Round 4, Match 1")</f>
        <v>Round 3, Match 4</v>
      </c>
      <c r="K772" s="244"/>
      <c r="L772" s="244"/>
      <c r="M772" s="277" t="str">
        <f>IF(AND($J772&lt;&gt;"",Draw!$AC$10&lt;&gt;"",Draw!$AC$13&lt;&gt;""),Draw!$AC$10+TIME(0,VALUE(MID($J772,7,FIND(",",$J772)-FIND(" ",$J772)-1)-1)*Draw!$AC$13,0),"")</f>
        <v/>
      </c>
      <c r="N772" s="277"/>
      <c r="O772" s="125" t="str">
        <f>$F815</f>
        <v>B-G</v>
      </c>
      <c r="R772" s="1"/>
      <c r="S772" s="11"/>
      <c r="T772" s="11"/>
      <c r="U772" s="11"/>
      <c r="V772" s="11"/>
      <c r="W772" s="11"/>
    </row>
    <row r="773" spans="1:32" ht="12.75" customHeight="1" x14ac:dyDescent="0.25">
      <c r="A773" s="6"/>
      <c r="B773"/>
      <c r="C773"/>
      <c r="D773"/>
      <c r="E773"/>
      <c r="F773" s="6"/>
      <c r="G773" s="6"/>
      <c r="H773" s="11"/>
      <c r="I773" s="6"/>
      <c r="J773"/>
      <c r="K773"/>
      <c r="L773"/>
      <c r="M773"/>
      <c r="N773"/>
      <c r="O773" s="269" t="str">
        <f>IF(OR(AND(VLOOKUP($B774,$AM$1:$AX$12,12,FALSE)="C",VLOOKUP($K774,$AM$1:$AX$12,12,FALSE)="C"),AND(VLOOKUP($B774,$AM$1:$AX$12,12,FALSE)="W",VLOOKUP($K774,$AM$1:$AX$12,12,FALSE)="W")),"Official",IF(AND($A775="",$J775=""),"","Scrimmage"))</f>
        <v/>
      </c>
      <c r="P773" s="269"/>
      <c r="R773" s="1"/>
      <c r="S773" s="11"/>
      <c r="T773" s="11"/>
      <c r="U773" s="11"/>
      <c r="V773" s="11"/>
      <c r="W773" s="11"/>
    </row>
    <row r="774" spans="1:32" ht="12.75" customHeight="1" x14ac:dyDescent="0.25">
      <c r="A774" s="12" t="s">
        <v>160</v>
      </c>
      <c r="B774" s="98" t="str">
        <f>CHOOSE(Draw!$T$1,"B","G","K","A","A","A","A","G","C","A","A")</f>
        <v>B</v>
      </c>
      <c r="C774" s="109">
        <f>VLOOKUP($B774,$AM$1:$AN$12,2)</f>
        <v>2</v>
      </c>
      <c r="D774" s="10"/>
      <c r="E774" s="10"/>
      <c r="F774" s="8"/>
      <c r="H774" s="1" t="s">
        <v>164</v>
      </c>
      <c r="J774" s="12" t="s">
        <v>160</v>
      </c>
      <c r="K774" s="98" t="str">
        <f>CHOOSE(Draw!$T$1,"G","L","L","G","K","G","B","H","I","F","I")</f>
        <v>G</v>
      </c>
      <c r="L774" s="109">
        <f>VLOOKUP($K774,$AM$1:$AN$12,2)</f>
        <v>7</v>
      </c>
      <c r="M774" s="10"/>
      <c r="N774" s="10"/>
      <c r="O774" s="13"/>
      <c r="R774" s="1"/>
      <c r="S774" s="11"/>
      <c r="T774" s="11"/>
      <c r="U774" s="11"/>
      <c r="V774" s="11"/>
      <c r="W774" s="11"/>
    </row>
    <row r="775" spans="1:32" ht="12.75" customHeight="1" x14ac:dyDescent="0.25">
      <c r="A775" s="253" t="str">
        <f>IF(VLOOKUP($B774,Draw!$A$4:$B$27,2)&lt;&gt;0,VLOOKUP($B774,Draw!$A$4:$B$27,2),"")</f>
        <v/>
      </c>
      <c r="B775" s="254"/>
      <c r="C775" s="254"/>
      <c r="D775" s="254"/>
      <c r="E775" s="254"/>
      <c r="F775" s="255"/>
      <c r="G775" s="273" t="s">
        <v>419</v>
      </c>
      <c r="H775" s="249"/>
      <c r="I775" s="274"/>
      <c r="J775" s="253" t="str">
        <f>IF(VLOOKUP($K774,Draw!$A$4:$B$27,2)&lt;&gt;0,VLOOKUP($K774,Draw!$A$4:$B$27,2),"")</f>
        <v/>
      </c>
      <c r="K775" s="254"/>
      <c r="L775" s="254"/>
      <c r="M775" s="254"/>
      <c r="N775" s="254"/>
      <c r="O775" s="255"/>
      <c r="P775"/>
      <c r="R775" s="1"/>
      <c r="S775" s="11"/>
      <c r="T775" s="11"/>
      <c r="U775" s="11"/>
      <c r="V775" s="11"/>
      <c r="W775" s="11"/>
    </row>
    <row r="776" spans="1:32" ht="12.75" customHeight="1" x14ac:dyDescent="0.25">
      <c r="A776" s="6"/>
      <c r="B776"/>
      <c r="C776"/>
      <c r="D776"/>
      <c r="E776"/>
      <c r="F776" s="6"/>
      <c r="G776" s="248" t="str">
        <f>"Page "&amp;VALUE(RIGHT($G775,LEN($G775)-SEARCH("-",$G775)))/2</f>
        <v>Page 16</v>
      </c>
      <c r="H776" s="249"/>
      <c r="I776" s="249"/>
      <c r="J776"/>
      <c r="K776"/>
      <c r="L776"/>
      <c r="M776"/>
      <c r="N776"/>
      <c r="O776"/>
      <c r="P776"/>
      <c r="R776" s="1"/>
      <c r="S776" s="11"/>
      <c r="T776" s="11"/>
      <c r="U776" s="11"/>
      <c r="V776" s="11"/>
      <c r="W776" s="11"/>
      <c r="AF776"/>
    </row>
    <row r="777" spans="1:32" ht="12.75" customHeight="1" x14ac:dyDescent="0.25">
      <c r="A777" s="276" t="s">
        <v>177</v>
      </c>
      <c r="B777" s="276"/>
      <c r="C777" s="276"/>
      <c r="D777" s="276"/>
      <c r="E777" s="276"/>
      <c r="F777" s="276"/>
      <c r="G777" s="276"/>
      <c r="H777" s="276"/>
      <c r="I777" s="276"/>
      <c r="J777" s="276"/>
      <c r="K777" s="276"/>
      <c r="L777" s="276"/>
      <c r="M777" s="276"/>
      <c r="N777" s="276"/>
      <c r="O777" s="276"/>
      <c r="P777" s="276"/>
      <c r="Q777" s="6"/>
      <c r="R777" s="1"/>
      <c r="S777" s="11"/>
      <c r="T777" s="11"/>
      <c r="U777" s="11"/>
      <c r="V777" s="11"/>
      <c r="W777" s="11"/>
      <c r="AF777" s="14"/>
    </row>
    <row r="778" spans="1:32" ht="12.75" customHeight="1" x14ac:dyDescent="0.25">
      <c r="A778" s="15" t="s">
        <v>165</v>
      </c>
      <c r="H778" s="110" t="str">
        <f>IF($Q780&lt;&gt;"",IF(AND(AND($H780&gt;-1,$H782&gt;-1),OR($H780&gt;10,$H782&gt;10),ABS($H780-$H782)&gt;1,IF(OR($H780&gt;11,$H782&gt;11),ABS($H780-$H782)=2,TRUE),$H780=INT($H780),$H782=INT($H782)),"","Error"),"")</f>
        <v/>
      </c>
      <c r="I778" s="110" t="str">
        <f>IF($Q780&lt;&gt;"",IF(AND(AND($I780&gt;-1,$I782&gt;-1),OR($I780&gt;10,$I782&gt;10),ABS($I780-$I782)&gt;1,IF(OR($I780&gt;11,$I782&gt;11),ABS($I780-$I782)=2,TRUE),$I780=INT($I780),$I782=INT($I782)),"","Error"),"")</f>
        <v/>
      </c>
      <c r="J778" s="110" t="str">
        <f>IF($Q780&lt;&gt;"",IF(AND(AND($J780&gt;-1,$J782&gt;-1),OR($J780&gt;10,$J782&gt;10),ABS($J780-$J782)&gt;1,IF(OR($J780&gt;11,$J782&gt;11),ABS($J780-$J782)=2,TRUE),$J780=INT($J780),$J782=INT($J782)),"","Error"),"")</f>
        <v/>
      </c>
      <c r="K778" s="110" t="str">
        <f>IF($Q780&lt;&gt;"",IF(AND($K780&lt;&gt;"",$K782&lt;&gt;""), IF(AND(AND($K780&gt;-1,$K782&gt;-1),OR($K780&gt;10,$K782&gt;10),ABS($K780-$K782)&gt;1,IF(OR($K780&gt;11,$K782&gt;11),ABS($K780-$K782)=2,TRUE),$K780=INT($K780),$K782=INT($K782)),"","Error"),""),"")</f>
        <v/>
      </c>
      <c r="L778" s="110" t="str">
        <f>IF($Q780&lt;&gt;"",IF(AND($L780&lt;&gt;"",$L782&lt;&gt;""), IF(AND(AND($L780&gt;-1,$L782&gt;-1),OR($L780&gt;10,$L782&gt;10),ABS($L780-$L782)&gt;1,IF(OR($L780&gt;11,$L782&gt;11),ABS($L780-$L782)=2,TRUE),$L780=INT($L780),$L782=INT($L782)),"","Error"),""),"")</f>
        <v/>
      </c>
      <c r="R778" s="1"/>
      <c r="S778" s="11"/>
      <c r="T778" s="11"/>
      <c r="U778" s="11"/>
      <c r="V778" s="11"/>
      <c r="W778" s="11"/>
    </row>
    <row r="779" spans="1:32" ht="12.75" customHeight="1" x14ac:dyDescent="0.25">
      <c r="A779" s="5" t="s">
        <v>160</v>
      </c>
      <c r="B779" s="256" t="s">
        <v>58</v>
      </c>
      <c r="C779" s="257"/>
      <c r="D779" s="257"/>
      <c r="E779" s="257"/>
      <c r="F779" s="257"/>
      <c r="G779" s="258"/>
      <c r="H779" s="5">
        <v>1</v>
      </c>
      <c r="I779" s="5">
        <v>2</v>
      </c>
      <c r="J779" s="5">
        <v>3</v>
      </c>
      <c r="K779" s="5">
        <v>4</v>
      </c>
      <c r="L779" s="5">
        <v>5</v>
      </c>
      <c r="M779" s="270"/>
      <c r="N779" s="271"/>
      <c r="O779" s="271"/>
      <c r="P779" s="272"/>
      <c r="R779" s="1"/>
      <c r="S779" s="11"/>
      <c r="T779" s="11"/>
      <c r="U779" s="11"/>
      <c r="V779" s="11"/>
      <c r="W779" s="11"/>
    </row>
    <row r="780" spans="1:32" ht="12.75" customHeight="1" x14ac:dyDescent="0.25">
      <c r="A780" s="259" t="str">
        <f>B774</f>
        <v>B</v>
      </c>
      <c r="B780" s="236" t="str">
        <f ca="1">IF(AND(OFFSET($AO$1,$C774-1,8,1,1),$A775&lt;&gt;"",$J775&lt;&gt;""),CHOOSE($C774,$AO$1,$AO$2,$AO$3,$AO$4,$AO$5,$AO$6,$AO$7,$AO$8,$AO$9,$AO$10,$AO$11,$AO$12),"")</f>
        <v/>
      </c>
      <c r="C780" s="237"/>
      <c r="D780" s="237"/>
      <c r="E780" s="237"/>
      <c r="F780" s="237"/>
      <c r="G780" s="237"/>
      <c r="H780" s="233"/>
      <c r="I780" s="233"/>
      <c r="J780" s="233"/>
      <c r="K780" s="233"/>
      <c r="L780" s="233"/>
      <c r="M780" s="281"/>
      <c r="N780" s="282"/>
      <c r="O780" s="282"/>
      <c r="P780" s="283"/>
      <c r="Q780" s="40" t="str">
        <f>IF($L780=$L782,IF($K780=$K782,IF($J780&lt;&gt;"",IF($J780&gt;$J782,"W","L"),""),IF($K780&gt;$K782,"W","L")),IF($L780&gt;$L782,"W","L"))</f>
        <v/>
      </c>
      <c r="R780" s="1"/>
      <c r="S780" s="11"/>
      <c r="T780" s="11"/>
      <c r="U780" s="11"/>
      <c r="V780" s="11"/>
      <c r="W780" s="11"/>
    </row>
    <row r="781" spans="1:32" ht="12.75" customHeight="1" x14ac:dyDescent="0.25">
      <c r="A781" s="260"/>
      <c r="B781" s="238"/>
      <c r="C781" s="239"/>
      <c r="D781" s="239"/>
      <c r="E781" s="239"/>
      <c r="F781" s="239"/>
      <c r="G781" s="239"/>
      <c r="H781" s="234"/>
      <c r="I781" s="234"/>
      <c r="J781" s="234"/>
      <c r="K781" s="234"/>
      <c r="L781" s="234"/>
      <c r="M781" s="281"/>
      <c r="N781" s="282"/>
      <c r="O781" s="282"/>
      <c r="P781" s="283"/>
      <c r="Q781" s="110" t="str">
        <f>IF($Q780&lt;&gt;"",IF($Q780="W",IF(SUM(IF($H780&gt;$H782,1,0),IF($I780&gt;$I782,1,0),IF($J780&gt;$J782,1,0),IF($K780&gt;$K782,1,0),IF($L780&gt;$L782,1,0))&lt;&gt;3,"Error",""),""),"")</f>
        <v/>
      </c>
      <c r="R781" s="295" t="str">
        <f>$A775</f>
        <v/>
      </c>
      <c r="S781" s="295"/>
      <c r="T781" s="295"/>
      <c r="U781" s="295"/>
      <c r="V781" s="295"/>
      <c r="W781" s="295"/>
      <c r="X781" s="219" t="str">
        <f>CONCATENATE("(",$B774," vs ",$K774,")")</f>
        <v>(B vs G)</v>
      </c>
      <c r="Y781" s="219"/>
      <c r="Z781" s="295" t="str">
        <f>$J775</f>
        <v/>
      </c>
      <c r="AA781" s="295"/>
      <c r="AB781" s="295"/>
      <c r="AC781" s="295"/>
      <c r="AD781" s="295"/>
      <c r="AE781" s="295"/>
      <c r="AF781"/>
    </row>
    <row r="782" spans="1:32" ht="12.75" customHeight="1" x14ac:dyDescent="0.25">
      <c r="A782" s="259" t="str">
        <f>K774</f>
        <v>G</v>
      </c>
      <c r="B782" s="236" t="str">
        <f ca="1">IF(AND(OFFSET($AO$1,$L774-1,8,1,1),$A775&lt;&gt;"",$J775&lt;&gt;""),CHOOSE($L774,$AO$1,$AO$2,$AO$3,$AO$4,$AO$5,$AO$6,$AO$7,$AO$8,$AO$9,$AO$10,$AO$11,$AO$12),"")</f>
        <v/>
      </c>
      <c r="C782" s="237"/>
      <c r="D782" s="237"/>
      <c r="E782" s="237"/>
      <c r="F782" s="237"/>
      <c r="G782" s="237"/>
      <c r="H782" s="233"/>
      <c r="I782" s="233"/>
      <c r="J782" s="233"/>
      <c r="K782" s="233"/>
      <c r="L782" s="233"/>
      <c r="M782" s="250" t="s">
        <v>169</v>
      </c>
      <c r="N782" s="251"/>
      <c r="O782" s="251"/>
      <c r="P782" s="252"/>
      <c r="Q782" s="40" t="str">
        <f>IF($Q780&lt;&gt;"",IF($Q780="W","L","W"),"")</f>
        <v/>
      </c>
      <c r="R782"/>
      <c r="S782"/>
      <c r="T782"/>
      <c r="U782"/>
      <c r="V782"/>
      <c r="W782"/>
      <c r="X782"/>
      <c r="Y782"/>
      <c r="Z782"/>
      <c r="AA782"/>
      <c r="AB782"/>
      <c r="AC782"/>
      <c r="AD782"/>
      <c r="AE782"/>
      <c r="AF782"/>
    </row>
    <row r="783" spans="1:32" ht="12.75" customHeight="1" x14ac:dyDescent="0.25">
      <c r="A783" s="260"/>
      <c r="B783" s="238"/>
      <c r="C783" s="239"/>
      <c r="D783" s="239"/>
      <c r="E783" s="239"/>
      <c r="F783" s="239"/>
      <c r="G783" s="239"/>
      <c r="H783" s="234"/>
      <c r="I783" s="234"/>
      <c r="J783" s="235"/>
      <c r="K783" s="235"/>
      <c r="L783" s="235"/>
      <c r="M783" s="250"/>
      <c r="N783" s="251"/>
      <c r="O783" s="251"/>
      <c r="P783" s="252"/>
      <c r="Q783" s="110" t="str">
        <f>IF($Q782&lt;&gt;"",IF($Q782="W",IF(SUM(IF($H782&gt;$H780,1,0),IF($I782&gt;$I780,1,0),IF($J782&gt;$J780,1,0),IF($K782&gt;$K780,1,0),IF($L782&gt;$L780,1,0))&lt;&gt;3,"Error",""),""),"")</f>
        <v/>
      </c>
      <c r="R783" t="str">
        <f>$A785</f>
        <v>2nd Singles</v>
      </c>
      <c r="S783"/>
      <c r="T783"/>
      <c r="U783"/>
      <c r="V783"/>
      <c r="W783"/>
      <c r="X783"/>
      <c r="Y783"/>
      <c r="Z783"/>
      <c r="AA783"/>
      <c r="AB783"/>
      <c r="AC783"/>
      <c r="AD783"/>
      <c r="AE783"/>
      <c r="AF783"/>
    </row>
    <row r="784" spans="1:32" ht="12.75" customHeight="1" x14ac:dyDescent="0.25">
      <c r="Q784" s="6"/>
      <c r="R784" s="47" t="s">
        <v>160</v>
      </c>
      <c r="S784" s="304" t="s">
        <v>58</v>
      </c>
      <c r="T784" s="305"/>
      <c r="U784" s="305"/>
      <c r="V784" s="305"/>
      <c r="W784" s="305"/>
      <c r="X784" s="306"/>
      <c r="Y784" s="47">
        <v>1</v>
      </c>
      <c r="Z784" s="47">
        <v>2</v>
      </c>
      <c r="AA784" s="47">
        <v>3</v>
      </c>
      <c r="AB784" s="47">
        <v>4</v>
      </c>
      <c r="AC784" s="47">
        <v>5</v>
      </c>
      <c r="AD784" s="286"/>
      <c r="AE784" s="287"/>
      <c r="AF784" s="288"/>
    </row>
    <row r="785" spans="1:32" ht="12.75" customHeight="1" x14ac:dyDescent="0.25">
      <c r="A785" s="15" t="s">
        <v>166</v>
      </c>
      <c r="H785" s="110" t="str">
        <f>IF($Q787&lt;&gt;"",IF(AND(AND($H787&gt;-1,$H789&gt;-1),OR($H787&gt;10,$H789&gt;10),ABS($H787-$H789)&gt;1,IF(OR($H787&gt;11,$H789&gt;11),ABS($H787-$H789)=2,TRUE),$H787=INT($H787),$H789=INT($H789)),"","Error"),"")</f>
        <v/>
      </c>
      <c r="I785" s="110" t="str">
        <f>IF($Q787&lt;&gt;"",IF(AND(AND($I787&gt;-1,$I789&gt;-1),OR($I787&gt;10,$I789&gt;10),ABS($I787-$I789)&gt;1,IF(OR($I787&gt;11,$I789&gt;11),ABS($I787-$I789)=2,TRUE),$I787=INT($I787),$I789=INT($I789)),"","Error"),"")</f>
        <v/>
      </c>
      <c r="J785" s="110" t="str">
        <f>IF($Q787&lt;&gt;"",IF(AND(AND($J787&gt;-1,$J789&gt;-1),OR($J787&gt;10,$J789&gt;10),ABS($J787-$J789)&gt;1,IF(OR($J787&gt;11,$J789&gt;11),ABS($J787-$J789)=2,TRUE),$J787=INT($J787),$J789=INT($J789)),"","Error"),"")</f>
        <v/>
      </c>
      <c r="K785" s="110" t="str">
        <f>IF($Q787&lt;&gt;"",IF(AND($K787&lt;&gt;"",$K789&lt;&gt;""), IF(AND(AND($K787&gt;-1,$K789&gt;-1),OR($K787&gt;10,$K789&gt;10),ABS($K787-$K789)&gt;1,IF(OR($K787&gt;11,$K789&gt;11),ABS($K787-$K789)=2,TRUE),$K787=INT($K787),$K789=INT($K789)),"","Error"),""),"")</f>
        <v/>
      </c>
      <c r="L785" s="110" t="str">
        <f>IF($Q787&lt;&gt;"",IF(AND($L787&lt;&gt;"",$L789&lt;&gt;""), IF(AND(AND($L787&gt;-1,$L789&gt;-1),OR($L787&gt;10,$L789&gt;10),ABS($L787-$L789)&gt;1,IF(OR($L787&gt;11,$L789&gt;11),ABS($L787-$L789)=2,TRUE),$L787=INT($L787),$L789=INT($L789)),"","Error"),""),"")</f>
        <v/>
      </c>
      <c r="Q785" s="6"/>
      <c r="R785" s="259" t="str">
        <f>$B774</f>
        <v>B</v>
      </c>
      <c r="S785" s="307" t="str">
        <f ca="1">IF($B787&lt;&gt;"",$B787,"")</f>
        <v/>
      </c>
      <c r="T785" s="308"/>
      <c r="U785" s="308"/>
      <c r="V785" s="308"/>
      <c r="W785" s="308"/>
      <c r="X785" s="309"/>
      <c r="Y785" s="284"/>
      <c r="Z785" s="284"/>
      <c r="AA785" s="284"/>
      <c r="AB785" s="284"/>
      <c r="AC785" s="284"/>
      <c r="AD785" s="296"/>
      <c r="AE785" s="290"/>
      <c r="AF785" s="291"/>
    </row>
    <row r="786" spans="1:32" ht="12.75" customHeight="1" x14ac:dyDescent="0.25">
      <c r="A786" s="5" t="s">
        <v>160</v>
      </c>
      <c r="B786" s="256" t="s">
        <v>58</v>
      </c>
      <c r="C786" s="257"/>
      <c r="D786" s="257"/>
      <c r="E786" s="257"/>
      <c r="F786" s="257"/>
      <c r="G786" s="258"/>
      <c r="H786" s="5">
        <v>1</v>
      </c>
      <c r="I786" s="5">
        <v>2</v>
      </c>
      <c r="J786" s="5">
        <v>3</v>
      </c>
      <c r="K786" s="5">
        <v>4</v>
      </c>
      <c r="L786" s="5">
        <v>5</v>
      </c>
      <c r="M786" s="270"/>
      <c r="N786" s="271"/>
      <c r="O786" s="271"/>
      <c r="P786" s="272"/>
      <c r="Q786" s="6"/>
      <c r="R786" s="285"/>
      <c r="S786" s="310"/>
      <c r="T786" s="311"/>
      <c r="U786" s="311"/>
      <c r="V786" s="311"/>
      <c r="W786" s="311"/>
      <c r="X786" s="312"/>
      <c r="Y786" s="285"/>
      <c r="Z786" s="285"/>
      <c r="AA786" s="285"/>
      <c r="AB786" s="285"/>
      <c r="AC786" s="285"/>
      <c r="AD786" s="292"/>
      <c r="AE786" s="293"/>
      <c r="AF786" s="294"/>
    </row>
    <row r="787" spans="1:32" ht="12.75" customHeight="1" x14ac:dyDescent="0.25">
      <c r="A787" s="259" t="str">
        <f>B774</f>
        <v>B</v>
      </c>
      <c r="B787" s="236" t="str">
        <f ca="1">IF(AND(OFFSET($AO$1,$C774-1,8,1,1),$A775&lt;&gt;"",$J775&lt;&gt;""),CHOOSE($C774,$AP$1,$AP$2,$AP$3,$AP$4,$AP$5,$AP$6,$AP$7,$AP$8,$AP$9,$AP$10,$AP$11,$AP$12),"")</f>
        <v/>
      </c>
      <c r="C787" s="237"/>
      <c r="D787" s="237"/>
      <c r="E787" s="237"/>
      <c r="F787" s="237"/>
      <c r="G787" s="237"/>
      <c r="H787" s="233"/>
      <c r="I787" s="233"/>
      <c r="J787" s="233"/>
      <c r="K787" s="233"/>
      <c r="L787" s="233"/>
      <c r="M787" s="245" t="str">
        <f ca="1">IF(OR(AND($B780&lt;&gt;"",$B787&lt;&gt;"",$C805&lt;=$B805),AND($B782&lt;&gt;"",$B789&lt;&gt;"",$G805&lt;=$F805)),"Invalid Lineup","")</f>
        <v/>
      </c>
      <c r="N787" s="246"/>
      <c r="O787" s="246"/>
      <c r="P787" s="247"/>
      <c r="Q787" s="40" t="str">
        <f>IF($L787=$L789,IF($K787=$K789,IF($J787&lt;&gt;"",IF($J787&gt;$J789,"W","L"),""),IF($K787&gt;$K789,"W","L")),IF($L787&gt;$L789,"W","L"))</f>
        <v/>
      </c>
      <c r="R787" s="259" t="str">
        <f>$K774</f>
        <v>G</v>
      </c>
      <c r="S787" s="307" t="str">
        <f ca="1">IF($B789&lt;&gt;"",$B789,"")</f>
        <v/>
      </c>
      <c r="T787" s="308"/>
      <c r="U787" s="308"/>
      <c r="V787" s="308"/>
      <c r="W787" s="308"/>
      <c r="X787" s="309"/>
      <c r="Y787" s="284"/>
      <c r="Z787" s="284"/>
      <c r="AA787" s="284"/>
      <c r="AB787" s="284"/>
      <c r="AC787" s="297"/>
      <c r="AD787" s="289" t="s">
        <v>169</v>
      </c>
      <c r="AE787" s="290"/>
      <c r="AF787" s="291"/>
    </row>
    <row r="788" spans="1:32" ht="12.75" customHeight="1" x14ac:dyDescent="0.25">
      <c r="A788" s="260"/>
      <c r="B788" s="238"/>
      <c r="C788" s="239"/>
      <c r="D788" s="239"/>
      <c r="E788" s="239"/>
      <c r="F788" s="239"/>
      <c r="G788" s="239"/>
      <c r="H788" s="234"/>
      <c r="I788" s="234"/>
      <c r="J788" s="234"/>
      <c r="K788" s="234"/>
      <c r="L788" s="234"/>
      <c r="M788" s="245"/>
      <c r="N788" s="246"/>
      <c r="O788" s="246"/>
      <c r="P788" s="247"/>
      <c r="Q788" s="110" t="str">
        <f>IF($Q787&lt;&gt;"",IF($Q787="W",IF(SUM(IF($H787&gt;$H789,1,0),IF($I787&gt;$I789,1,0),IF($J787&gt;$J789,1,0),IF($K787&gt;$K789,1,0),IF($L787&gt;$L789,1,0))&lt;&gt;3,"Error",""),""),"")</f>
        <v/>
      </c>
      <c r="R788" s="285"/>
      <c r="S788" s="310"/>
      <c r="T788" s="311"/>
      <c r="U788" s="311"/>
      <c r="V788" s="311"/>
      <c r="W788" s="311"/>
      <c r="X788" s="312"/>
      <c r="Y788" s="285"/>
      <c r="Z788" s="285"/>
      <c r="AA788" s="285"/>
      <c r="AB788" s="285"/>
      <c r="AC788" s="285"/>
      <c r="AD788" s="292"/>
      <c r="AE788" s="293"/>
      <c r="AF788" s="294"/>
    </row>
    <row r="789" spans="1:32" ht="12.75" customHeight="1" x14ac:dyDescent="0.25">
      <c r="A789" s="259" t="str">
        <f>K774</f>
        <v>G</v>
      </c>
      <c r="B789" s="236" t="str">
        <f ca="1">IF(AND(OFFSET($AO$1,$L774-1,8,1,1),$A775&lt;&gt;"",$J775&lt;&gt;""),CHOOSE($L774,$AP$1,$AP$2,$AP$3,$AP$4,$AP$5,$AP$6,$AP$7,$AP$8,$AP$9,$AP$10,$AP$11,$AP$12),"")</f>
        <v/>
      </c>
      <c r="C789" s="237"/>
      <c r="D789" s="237"/>
      <c r="E789" s="237"/>
      <c r="F789" s="237"/>
      <c r="G789" s="237"/>
      <c r="H789" s="233"/>
      <c r="I789" s="233"/>
      <c r="J789" s="233"/>
      <c r="K789" s="233"/>
      <c r="L789" s="233"/>
      <c r="M789" s="250" t="s">
        <v>169</v>
      </c>
      <c r="N789" s="251"/>
      <c r="O789" s="251"/>
      <c r="P789" s="252"/>
      <c r="Q789" s="40" t="str">
        <f>IF($Q787&lt;&gt;"",IF($Q787="W","L","W"),"")</f>
        <v/>
      </c>
      <c r="R789" s="14"/>
      <c r="S789" s="14"/>
      <c r="T789" s="14"/>
      <c r="U789" s="14"/>
      <c r="V789" s="14"/>
      <c r="W789" s="14"/>
      <c r="X789" s="7"/>
      <c r="Y789" s="7"/>
      <c r="Z789" s="14"/>
      <c r="AA789" s="14"/>
      <c r="AB789" s="14"/>
      <c r="AC789" s="14"/>
      <c r="AD789" s="14"/>
      <c r="AE789" s="14"/>
      <c r="AF789"/>
    </row>
    <row r="790" spans="1:32" ht="12.75" customHeight="1" x14ac:dyDescent="0.25">
      <c r="A790" s="260"/>
      <c r="B790" s="238"/>
      <c r="C790" s="239"/>
      <c r="D790" s="239"/>
      <c r="E790" s="239"/>
      <c r="F790" s="239"/>
      <c r="G790" s="239"/>
      <c r="H790" s="234"/>
      <c r="I790" s="234"/>
      <c r="J790" s="235"/>
      <c r="K790" s="235"/>
      <c r="L790" s="235"/>
      <c r="M790" s="250"/>
      <c r="N790" s="251"/>
      <c r="O790" s="251"/>
      <c r="P790" s="252"/>
      <c r="Q790" s="110" t="str">
        <f>IF($Q789&lt;&gt;"",IF($Q789="W",IF(SUM(IF($H789&gt;$H787,1,0),IF($I789&gt;$I787,1,0),IF($J789&gt;$J787,1,0),IF($K789&gt;$K787,1,0),IF($L789&gt;$L787,1,0))&lt;&gt;3,"Error",""),""),"")</f>
        <v/>
      </c>
      <c r="R790" s="14"/>
      <c r="S790" s="14"/>
      <c r="T790" s="14"/>
      <c r="U790" s="14"/>
      <c r="V790" s="14"/>
      <c r="W790" s="14"/>
      <c r="X790" s="7"/>
      <c r="Y790" s="7"/>
      <c r="Z790" s="14"/>
      <c r="AA790" s="14"/>
      <c r="AB790" s="14"/>
      <c r="AC790" s="14"/>
      <c r="AD790" s="14"/>
      <c r="AE790" s="14"/>
      <c r="AF790"/>
    </row>
    <row r="791" spans="1:32" ht="12.75" customHeight="1" x14ac:dyDescent="0.25">
      <c r="Q791" s="6"/>
      <c r="R791" s="14"/>
      <c r="S791" s="14"/>
      <c r="T791" s="14"/>
      <c r="U791" s="14"/>
      <c r="V791" s="14"/>
      <c r="W791" s="14"/>
      <c r="X791" s="7"/>
      <c r="Y791" s="7"/>
      <c r="Z791" s="14"/>
      <c r="AA791" s="14"/>
      <c r="AB791" s="14"/>
      <c r="AC791" s="14"/>
      <c r="AD791" s="14"/>
      <c r="AE791" s="14"/>
      <c r="AF791"/>
    </row>
    <row r="792" spans="1:32" ht="12.75" customHeight="1" x14ac:dyDescent="0.25">
      <c r="A792" s="15" t="s">
        <v>167</v>
      </c>
      <c r="H792" s="110" t="str">
        <f>IF($Q794&lt;&gt;"",IF(AND(AND($H794&gt;-1,$H796&gt;-1),OR($H794&gt;10,$H796&gt;10),ABS($H794-$H796)&gt;1,IF(OR($H794&gt;11,$H796&gt;11),ABS($H794-$H796)=2,TRUE),$H794=INT($H794),$H796=INT($H796)),"","Error"),"")</f>
        <v/>
      </c>
      <c r="I792" s="110" t="str">
        <f>IF($Q794&lt;&gt;"",IF(AND(AND($I794&gt;-1,$I796&gt;-1),OR($I794&gt;10,$I796&gt;10),ABS($I794-$I796)&gt;1,IF(OR($I794&gt;11,$I796&gt;11),ABS($I794-$I796)=2,TRUE),$I794=INT($I794),$I796=INT($I796)),"","Error"),"")</f>
        <v/>
      </c>
      <c r="J792" s="110" t="str">
        <f>IF($Q794&lt;&gt;"",IF(AND(AND($J794&gt;-1,$J796&gt;-1),OR($J794&gt;10,$J796&gt;10),ABS($J794-$J796)&gt;1,IF(OR($J794&gt;11,$J796&gt;11),ABS($J794-$J796)=2,TRUE),$J794=INT($J794),$J796=INT($J796)),"","Error"),"")</f>
        <v/>
      </c>
      <c r="K792" s="110" t="str">
        <f>IF($Q794&lt;&gt;"",IF(AND($K794&lt;&gt;"",$K796&lt;&gt;""), IF(AND(AND($K794&gt;-1,$K796&gt;-1),OR($K794&gt;10,$K796&gt;10),ABS($K794-$K796)&gt;1,IF(OR($K794&gt;11,$K796&gt;11),ABS($K794-$K796)=2,TRUE),$K794=INT($K794),$K796=INT($K796)),"","Error"),""),"")</f>
        <v/>
      </c>
      <c r="L792" s="110" t="str">
        <f>IF($Q794&lt;&gt;"",IF(AND($L794&lt;&gt;"",$L796&lt;&gt;""), IF(AND(AND($L794&gt;-1,$L796&gt;-1),OR($L794&gt;10,$L796&gt;10),ABS($L794-$L796)&gt;1,IF(OR($L794&gt;11,$L796&gt;11),ABS($L794-$L796)=2,TRUE),$L794=INT($L794),$L796=INT($L796)),"","Error"),""),"")</f>
        <v/>
      </c>
      <c r="Q792" s="6"/>
      <c r="R792" s="14"/>
      <c r="S792" s="14"/>
      <c r="T792" s="14"/>
      <c r="U792" s="14"/>
      <c r="V792" s="14"/>
      <c r="W792" s="14"/>
      <c r="X792" s="7"/>
      <c r="Y792" s="7"/>
      <c r="Z792" s="14"/>
      <c r="AA792" s="14"/>
      <c r="AB792" s="14"/>
      <c r="AC792" s="14"/>
      <c r="AD792" s="14"/>
      <c r="AE792" s="14"/>
      <c r="AF792"/>
    </row>
    <row r="793" spans="1:32" ht="12.75" customHeight="1" x14ac:dyDescent="0.25">
      <c r="A793" s="5" t="s">
        <v>160</v>
      </c>
      <c r="B793" s="256" t="s">
        <v>58</v>
      </c>
      <c r="C793" s="257"/>
      <c r="D793" s="257"/>
      <c r="E793" s="257"/>
      <c r="F793" s="257"/>
      <c r="G793" s="258"/>
      <c r="H793" s="5">
        <v>1</v>
      </c>
      <c r="I793" s="5">
        <v>2</v>
      </c>
      <c r="J793" s="5">
        <v>3</v>
      </c>
      <c r="K793" s="5">
        <v>4</v>
      </c>
      <c r="L793" s="5">
        <v>5</v>
      </c>
      <c r="M793" s="270"/>
      <c r="N793" s="271"/>
      <c r="O793" s="271"/>
      <c r="P793" s="272"/>
      <c r="Q793" s="6"/>
      <c r="R793" s="14"/>
      <c r="S793" s="14"/>
      <c r="T793" s="14"/>
      <c r="U793" s="14"/>
      <c r="V793" s="14"/>
      <c r="W793" s="14"/>
      <c r="X793" s="7"/>
      <c r="Y793" s="7"/>
      <c r="Z793" s="14"/>
      <c r="AA793" s="14"/>
      <c r="AB793" s="14"/>
      <c r="AC793" s="14"/>
      <c r="AD793" s="14"/>
      <c r="AE793" s="14"/>
      <c r="AF793"/>
    </row>
    <row r="794" spans="1:32" ht="12.75" customHeight="1" x14ac:dyDescent="0.25">
      <c r="A794" s="259" t="str">
        <f>B774</f>
        <v>B</v>
      </c>
      <c r="B794" s="236" t="str">
        <f ca="1">IF(AND(OFFSET($AO$1,$C774-1,8,1,1),$A775&lt;&gt;"",$J775&lt;&gt;""),CHOOSE($C774,$AQ$1,$AQ$2,$AQ$3,$AQ$4,$AQ$5,$AQ$6,$AQ$7,$AQ$8,$AQ$9,$AQ$10,$AQ$11,$AQ$12),"")</f>
        <v/>
      </c>
      <c r="C794" s="237"/>
      <c r="D794" s="237"/>
      <c r="E794" s="237"/>
      <c r="F794" s="237"/>
      <c r="G794" s="237"/>
      <c r="H794" s="233"/>
      <c r="I794" s="233"/>
      <c r="J794" s="233"/>
      <c r="K794" s="233"/>
      <c r="L794" s="233"/>
      <c r="M794" s="245" t="str">
        <f ca="1">IF(OR(AND($B787&lt;&gt;"",$B794&lt;&gt;"",$D805&lt;=$C805),AND($B789&lt;&gt;"",$B796&lt;&gt;"",$H805&lt;=$G805)),"Invalid Lineup","")</f>
        <v/>
      </c>
      <c r="N794" s="246"/>
      <c r="O794" s="246"/>
      <c r="P794" s="247"/>
      <c r="Q794" s="40" t="str">
        <f>IF($L794=$L796,IF($K794=$K796,IF($J794&lt;&gt;"",IF($J794&gt;$J796,"W","L"),""),IF($K794&gt;$K796,"W","L")),IF($L794&gt;$L796,"W","L"))</f>
        <v/>
      </c>
      <c r="R794" s="14"/>
      <c r="S794" s="14"/>
      <c r="T794" s="14"/>
      <c r="U794" s="14"/>
      <c r="V794" s="14"/>
      <c r="W794" s="14"/>
      <c r="X794" s="7"/>
      <c r="Y794" s="7"/>
      <c r="Z794" s="14"/>
      <c r="AA794" s="14"/>
      <c r="AB794" s="14"/>
      <c r="AC794" s="14"/>
      <c r="AD794" s="14"/>
      <c r="AE794" s="14"/>
      <c r="AF794"/>
    </row>
    <row r="795" spans="1:32" ht="12.75" customHeight="1" x14ac:dyDescent="0.25">
      <c r="A795" s="260"/>
      <c r="B795" s="238"/>
      <c r="C795" s="239"/>
      <c r="D795" s="239"/>
      <c r="E795" s="239"/>
      <c r="F795" s="239"/>
      <c r="G795" s="239"/>
      <c r="H795" s="234"/>
      <c r="I795" s="234"/>
      <c r="J795" s="234"/>
      <c r="K795" s="234"/>
      <c r="L795" s="234"/>
      <c r="M795" s="245"/>
      <c r="N795" s="246"/>
      <c r="O795" s="246"/>
      <c r="P795" s="247"/>
      <c r="Q795" s="110" t="str">
        <f>IF($Q794&lt;&gt;"",IF($Q794="W",IF(SUM(IF($H794&gt;$H796,1,0),IF($I794&gt;$I796,1,0),IF($J794&gt;$J796,1,0),IF($K794&gt;$K796,1,0),IF($L794&gt;$L796,1,0))&lt;&gt;3,"Error",""),""),"")</f>
        <v/>
      </c>
      <c r="R795" s="295" t="str">
        <f>$A775</f>
        <v/>
      </c>
      <c r="S795" s="295"/>
      <c r="T795" s="295"/>
      <c r="U795" s="295"/>
      <c r="V795" s="295"/>
      <c r="W795" s="295"/>
      <c r="X795" s="219" t="str">
        <f>CONCATENATE("(",$B774," vs ",$K774,")")</f>
        <v>(B vs G)</v>
      </c>
      <c r="Y795" s="219"/>
      <c r="Z795" s="295" t="str">
        <f>$J775</f>
        <v/>
      </c>
      <c r="AA795" s="295"/>
      <c r="AB795" s="295"/>
      <c r="AC795" s="295"/>
      <c r="AD795" s="295"/>
      <c r="AE795" s="295"/>
      <c r="AF795"/>
    </row>
    <row r="796" spans="1:32" ht="12.75" customHeight="1" x14ac:dyDescent="0.25">
      <c r="A796" s="259" t="str">
        <f>K774</f>
        <v>G</v>
      </c>
      <c r="B796" s="236" t="str">
        <f ca="1">IF(AND(OFFSET($AO$1,$L774-1,8,1,1),$A775&lt;&gt;"",$J775&lt;&gt;""),CHOOSE($L774,$AQ$1,$AQ$2,$AQ$3,$AQ$4,$AQ$5,$AQ$6,$AQ$7,$AQ$8,$AQ$9,$AQ$10,$AQ$11,$AQ$12),"")</f>
        <v/>
      </c>
      <c r="C796" s="237"/>
      <c r="D796" s="237"/>
      <c r="E796" s="237"/>
      <c r="F796" s="237"/>
      <c r="G796" s="237"/>
      <c r="H796" s="233"/>
      <c r="I796" s="233"/>
      <c r="J796" s="233"/>
      <c r="K796" s="233"/>
      <c r="L796" s="233"/>
      <c r="M796" s="250" t="s">
        <v>169</v>
      </c>
      <c r="N796" s="251"/>
      <c r="O796" s="251"/>
      <c r="P796" s="252"/>
      <c r="Q796" s="40" t="str">
        <f>IF($Q794&lt;&gt;"",IF($Q794="W","L","W"),"")</f>
        <v/>
      </c>
      <c r="R796"/>
      <c r="S796"/>
      <c r="T796"/>
      <c r="U796"/>
      <c r="V796"/>
      <c r="W796"/>
      <c r="X796"/>
      <c r="Y796"/>
      <c r="Z796"/>
      <c r="AA796"/>
      <c r="AB796"/>
      <c r="AC796"/>
      <c r="AD796"/>
      <c r="AE796"/>
      <c r="AF796"/>
    </row>
    <row r="797" spans="1:32" ht="12.75" customHeight="1" x14ac:dyDescent="0.25">
      <c r="A797" s="260"/>
      <c r="B797" s="238"/>
      <c r="C797" s="239"/>
      <c r="D797" s="239"/>
      <c r="E797" s="239"/>
      <c r="F797" s="239"/>
      <c r="G797" s="239"/>
      <c r="H797" s="234"/>
      <c r="I797" s="234"/>
      <c r="J797" s="235"/>
      <c r="K797" s="235"/>
      <c r="L797" s="235"/>
      <c r="M797" s="250"/>
      <c r="N797" s="251"/>
      <c r="O797" s="251"/>
      <c r="P797" s="252"/>
      <c r="Q797" s="110" t="str">
        <f>IF($Q796&lt;&gt;"",IF($Q796="W",IF(SUM(IF($H796&gt;$H794,1,0),IF($I796&gt;$I794,1,0),IF($J796&gt;$J794,1,0),IF($K796&gt;$K794,1,0),IF($L796&gt;$L794,1,0))&lt;&gt;3,"Error",""),""),"")</f>
        <v/>
      </c>
      <c r="R797" t="str">
        <f>$A792</f>
        <v>3rd Singles</v>
      </c>
      <c r="S797"/>
      <c r="T797"/>
      <c r="U797"/>
      <c r="V797"/>
      <c r="W797"/>
      <c r="X797"/>
      <c r="Y797"/>
      <c r="Z797"/>
      <c r="AA797"/>
      <c r="AB797"/>
      <c r="AC797"/>
      <c r="AD797"/>
      <c r="AE797"/>
      <c r="AF797"/>
    </row>
    <row r="798" spans="1:32" ht="12.75" customHeight="1" x14ac:dyDescent="0.25">
      <c r="Q798" s="6"/>
      <c r="R798" s="47" t="s">
        <v>160</v>
      </c>
      <c r="S798" s="86" t="s">
        <v>58</v>
      </c>
      <c r="T798" s="87"/>
      <c r="U798" s="87"/>
      <c r="V798" s="87"/>
      <c r="W798" s="87"/>
      <c r="X798" s="88"/>
      <c r="Y798" s="47">
        <v>1</v>
      </c>
      <c r="Z798" s="47">
        <v>2</v>
      </c>
      <c r="AA798" s="47">
        <v>3</v>
      </c>
      <c r="AB798" s="47">
        <v>4</v>
      </c>
      <c r="AC798" s="47">
        <v>5</v>
      </c>
      <c r="AD798" s="89"/>
      <c r="AE798" s="90"/>
      <c r="AF798" s="91"/>
    </row>
    <row r="799" spans="1:32" ht="12.75" customHeight="1" x14ac:dyDescent="0.25">
      <c r="A799" s="15" t="s">
        <v>168</v>
      </c>
      <c r="H799" s="110" t="str">
        <f ca="1">IF($Q801&lt;&gt;"",IF(AND($B801&lt;&gt;"Missing Player",$B803&lt;&gt;"Missing Player"),IF(AND(AND($H801&gt;-1,$H803&gt;-1),OR($H801&gt;10,$H803&gt;10),ABS($H801-$H803)&gt;1,IF(OR($H801&gt;11,$H803&gt;11),ABS($H801-$H803)=2,TRUE),$H801=INT($H801),$H803=INT($H803)),"","Error"),""),"")</f>
        <v/>
      </c>
      <c r="I799" s="110" t="str">
        <f ca="1">IF($Q801&lt;&gt;"",IF(AND($B801&lt;&gt;"Missing Player",$B803&lt;&gt;"Missing Player"),IF(AND(AND($I801&gt;-1,$I803&gt;-1),OR($I801&gt;10,$I803&gt;10),ABS($I801-$I803)&gt;1,IF(OR($I801&gt;11,$I803&gt;11),ABS($I801-$I803)=2,TRUE),$I801=INT($I801),$I803=INT($I803)),"","Error"),""),"")</f>
        <v/>
      </c>
      <c r="J799" s="110" t="str">
        <f ca="1">IF($Q801&lt;&gt;"",IF(AND($B801&lt;&gt;"Missing Player",$B803&lt;&gt;"Missing Player"),IF(AND(AND($J801&gt;-1,$J803&gt;-1),OR($J801&gt;10,$J803&gt;10),ABS($J801-$J803)&gt;1,IF(OR($J801&gt;11,$J803&gt;11),ABS($J801-$J803)=2,TRUE),$J801=INT($J801),$J803=INT($J803)),"","Error"),""),"")</f>
        <v/>
      </c>
      <c r="K799" s="110" t="str">
        <f ca="1">IF($Q801&lt;&gt;"",IF(AND($K801&lt;&gt;"",$K803&lt;&gt;""), IF(AND(AND($K801&gt;-1,$K803&gt;-1),OR($K801&gt;10,$K803&gt;10),ABS($K801-$K803)&gt;1,IF(OR($K801&gt;11,$K803&gt;11),ABS($K801-$K803)=2,TRUE),$K801=INT($K801),$K803=INT($K803)),"","Error"),""),"")</f>
        <v/>
      </c>
      <c r="L799" s="110" t="str">
        <f ca="1">IF($Q801&lt;&gt;"",IF(AND($L801&lt;&gt;"",$L803&lt;&gt;""), IF(AND(AND($L801&gt;-1,$L803&gt;-1),OR($L801&gt;10,$L803&gt;10),ABS($L801-$L803)&gt;1,IF(OR($L801&gt;11,$L803&gt;11),ABS($L801-$L803)=2,TRUE),$L801=INT($L801),$L803=INT($L803)),"","Error"),""),"")</f>
        <v/>
      </c>
      <c r="Q799" s="6"/>
      <c r="R799" s="259" t="str">
        <f>$B774</f>
        <v>B</v>
      </c>
      <c r="S799" s="307" t="str">
        <f ca="1">IF($B794&lt;&gt;"",$B794,"")</f>
        <v/>
      </c>
      <c r="T799" s="308"/>
      <c r="U799" s="308"/>
      <c r="V799" s="308"/>
      <c r="W799" s="308"/>
      <c r="X799" s="309"/>
      <c r="Y799" s="284"/>
      <c r="Z799" s="284"/>
      <c r="AA799" s="284"/>
      <c r="AB799" s="284"/>
      <c r="AC799" s="284"/>
      <c r="AD799" s="296"/>
      <c r="AE799" s="290"/>
      <c r="AF799" s="291"/>
    </row>
    <row r="800" spans="1:32" ht="12.75" customHeight="1" x14ac:dyDescent="0.25">
      <c r="A800" s="5" t="s">
        <v>160</v>
      </c>
      <c r="B800" s="256" t="s">
        <v>58</v>
      </c>
      <c r="C800" s="257"/>
      <c r="D800" s="257"/>
      <c r="E800" s="257"/>
      <c r="F800" s="257"/>
      <c r="G800" s="258"/>
      <c r="H800" s="5">
        <v>1</v>
      </c>
      <c r="I800" s="5">
        <v>2</v>
      </c>
      <c r="J800" s="5">
        <v>3</v>
      </c>
      <c r="K800" s="5">
        <v>4</v>
      </c>
      <c r="L800" s="5">
        <v>5</v>
      </c>
      <c r="M800" s="270"/>
      <c r="N800" s="271"/>
      <c r="O800" s="271"/>
      <c r="P800" s="272"/>
      <c r="Q800" s="6"/>
      <c r="R800" s="285"/>
      <c r="S800" s="310"/>
      <c r="T800" s="311"/>
      <c r="U800" s="311"/>
      <c r="V800" s="311"/>
      <c r="W800" s="311"/>
      <c r="X800" s="312"/>
      <c r="Y800" s="285"/>
      <c r="Z800" s="285"/>
      <c r="AA800" s="285"/>
      <c r="AB800" s="285"/>
      <c r="AC800" s="285"/>
      <c r="AD800" s="292"/>
      <c r="AE800" s="293"/>
      <c r="AF800" s="294"/>
    </row>
    <row r="801" spans="1:32" ht="12.75" customHeight="1" x14ac:dyDescent="0.25">
      <c r="A801" s="259" t="str">
        <f>B774</f>
        <v>B</v>
      </c>
      <c r="B801" s="236" t="str">
        <f ca="1">IF(AND(OFFSET($AO$1,$C774-1,8,1,1),$A775&lt;&gt;"",$J775&lt;&gt;""),CHOOSE($C774,$AR$1,$AR$2,$AR$3,$AR$4,$AR$5,$AR$6,$AR$7,$AR$8,$AR$9,$AR$10,$AR$11,$AR$12),"")</f>
        <v/>
      </c>
      <c r="C801" s="237"/>
      <c r="D801" s="237"/>
      <c r="E801" s="237"/>
      <c r="F801" s="237"/>
      <c r="G801" s="237"/>
      <c r="H801" s="233"/>
      <c r="I801" s="233"/>
      <c r="J801" s="233"/>
      <c r="K801" s="233"/>
      <c r="L801" s="233" t="str">
        <f ca="1">IF(AND($B801&lt;&gt;"",$Q780&lt;&gt;""),IF($B801="Missing Player",0,IF($B803="Missing Player",11,"")),"")</f>
        <v/>
      </c>
      <c r="M801" s="245" t="str">
        <f ca="1">IF(OR(AND($B794&lt;&gt;"",$B801&lt;&gt;"",$E805&lt;=$D805),AND($B796&lt;&gt;"",$B803&lt;&gt;"",$I805&lt;=$H805)),"Invalid Lineup","")</f>
        <v/>
      </c>
      <c r="N801" s="246"/>
      <c r="O801" s="246"/>
      <c r="P801" s="247"/>
      <c r="Q801" s="40" t="str">
        <f ca="1">IF($L801=$L803,IF($K801=$K803,IF($J801&lt;&gt;"",IF($J801&gt;$J803,"W","L"),""),IF($K801&gt;$K803,"W","L")),IF($L801&gt;$L803,"W","L"))</f>
        <v/>
      </c>
      <c r="R801" s="259" t="str">
        <f>$K774</f>
        <v>G</v>
      </c>
      <c r="S801" s="307" t="str">
        <f ca="1">IF($B796&lt;&gt;"",$B796,"")</f>
        <v/>
      </c>
      <c r="T801" s="308"/>
      <c r="U801" s="308"/>
      <c r="V801" s="308"/>
      <c r="W801" s="308"/>
      <c r="X801" s="309"/>
      <c r="Y801" s="284"/>
      <c r="Z801" s="284"/>
      <c r="AA801" s="284"/>
      <c r="AB801" s="284"/>
      <c r="AC801" s="297"/>
      <c r="AD801" s="289" t="s">
        <v>169</v>
      </c>
      <c r="AE801" s="290"/>
      <c r="AF801" s="291"/>
    </row>
    <row r="802" spans="1:32" ht="12.75" customHeight="1" x14ac:dyDescent="0.25">
      <c r="A802" s="260"/>
      <c r="B802" s="238"/>
      <c r="C802" s="239"/>
      <c r="D802" s="239"/>
      <c r="E802" s="239"/>
      <c r="F802" s="239"/>
      <c r="G802" s="239"/>
      <c r="H802" s="234"/>
      <c r="I802" s="234"/>
      <c r="J802" s="234"/>
      <c r="K802" s="234"/>
      <c r="L802" s="234"/>
      <c r="M802" s="245"/>
      <c r="N802" s="246"/>
      <c r="O802" s="246"/>
      <c r="P802" s="247"/>
      <c r="Q802" s="110" t="str">
        <f ca="1">IF($Q801&lt;&gt;"",IF($B803&lt;&gt;"Missing Player",IF($Q801="W",IF(SUM(IF($H801&gt;$H803,1,0),IF($I801&gt;$I803,1,0),IF($J801&gt;$J803,1,0),IF($K801&gt;$K803,1,0),IF($L801&gt;$L803,1,0))&lt;&gt;3,"Error",""),""),""),"")</f>
        <v/>
      </c>
      <c r="R802" s="285"/>
      <c r="S802" s="310"/>
      <c r="T802" s="311"/>
      <c r="U802" s="311"/>
      <c r="V802" s="311"/>
      <c r="W802" s="311"/>
      <c r="X802" s="312"/>
      <c r="Y802" s="285"/>
      <c r="Z802" s="285"/>
      <c r="AA802" s="285"/>
      <c r="AB802" s="285"/>
      <c r="AC802" s="285"/>
      <c r="AD802" s="292"/>
      <c r="AE802" s="293"/>
      <c r="AF802" s="294"/>
    </row>
    <row r="803" spans="1:32" ht="12.75" customHeight="1" x14ac:dyDescent="0.25">
      <c r="A803" s="259" t="str">
        <f>K774</f>
        <v>G</v>
      </c>
      <c r="B803" s="236" t="str">
        <f ca="1">IF(AND(OFFSET($AO$1,$L774-1,8,1,1),$A775&lt;&gt;"",$J775&lt;&gt;""),CHOOSE($L774,$AR$1,$AR$2,$AR$3,$AR$4,$AR$5,$AR$6,$AR$7,$AR$8,$AR$9,$AR$10,$AR$11,$AR$12),"")</f>
        <v/>
      </c>
      <c r="C803" s="237"/>
      <c r="D803" s="237"/>
      <c r="E803" s="237"/>
      <c r="F803" s="237"/>
      <c r="G803" s="237"/>
      <c r="H803" s="233"/>
      <c r="I803" s="233"/>
      <c r="J803" s="233"/>
      <c r="K803" s="233"/>
      <c r="L803" s="233" t="str">
        <f ca="1">IF(AND($B803&lt;&gt;"",$Q780&lt;&gt;""),IF($B803="Missing Player",0,IF($B801="Missing Player",11,"")),"")</f>
        <v/>
      </c>
      <c r="M803" s="250" t="s">
        <v>169</v>
      </c>
      <c r="N803" s="251"/>
      <c r="O803" s="251"/>
      <c r="P803" s="252"/>
      <c r="Q803" s="40" t="str">
        <f ca="1">IF($Q801&lt;&gt;"",IF($Q801="W","L","W"),"")</f>
        <v/>
      </c>
      <c r="R803" s="94"/>
      <c r="S803" s="84"/>
      <c r="T803" s="84"/>
      <c r="U803" s="84"/>
      <c r="V803" s="84"/>
      <c r="W803" s="84"/>
      <c r="X803" s="84"/>
      <c r="Y803" s="93"/>
      <c r="Z803" s="93"/>
      <c r="AA803" s="93"/>
      <c r="AB803" s="93"/>
      <c r="AC803" s="93"/>
      <c r="AD803" s="92"/>
      <c r="AE803" s="93"/>
      <c r="AF803" s="93"/>
    </row>
    <row r="804" spans="1:32" ht="12.75" customHeight="1" x14ac:dyDescent="0.25">
      <c r="A804" s="260"/>
      <c r="B804" s="238"/>
      <c r="C804" s="239"/>
      <c r="D804" s="239"/>
      <c r="E804" s="239"/>
      <c r="F804" s="239"/>
      <c r="G804" s="239"/>
      <c r="H804" s="234"/>
      <c r="I804" s="234"/>
      <c r="J804" s="235"/>
      <c r="K804" s="235"/>
      <c r="L804" s="235"/>
      <c r="M804" s="250"/>
      <c r="N804" s="251"/>
      <c r="O804" s="251"/>
      <c r="P804" s="252"/>
      <c r="Q804" s="110" t="str">
        <f ca="1">IF($Q803&lt;&gt;"",IF($B801&lt;&gt;"Missing Player",IF($Q803="W",IF(SUM(IF($H803&gt;$H801,1,0),IF($I803&gt;$I801,1,0),IF($J803&gt;$J801,1,0),IF($K803&gt;$K801,1,0),IF($L803&gt;$L801,1,0))&lt;&gt;3,"Error",""),""),""),"")</f>
        <v/>
      </c>
      <c r="R804" s="85"/>
      <c r="S804" s="95"/>
      <c r="T804" s="95"/>
      <c r="U804" s="95"/>
      <c r="V804" s="95"/>
      <c r="W804" s="95"/>
      <c r="X804" s="95"/>
      <c r="Y804" s="85"/>
      <c r="Z804" s="85"/>
      <c r="AA804" s="85"/>
      <c r="AB804" s="85"/>
      <c r="AC804" s="85"/>
      <c r="AD804" s="85"/>
      <c r="AE804" s="85"/>
      <c r="AF804" s="85"/>
    </row>
    <row r="805" spans="1:32" ht="12.75" customHeight="1" x14ac:dyDescent="0.25">
      <c r="B805" s="111" t="str">
        <f ca="1">IF(ISERROR(VLOOKUP($B780&amp;"("&amp;$B774&amp;")",Players!$S$4:$T$132,2,FALSE)),"",VLOOKUP($B780&amp;"("&amp;$B774&amp;")",Players!$S$4:$T$132,2,FALSE))</f>
        <v>B1</v>
      </c>
      <c r="C805" s="111" t="str">
        <f ca="1">IF(ISERROR(VLOOKUP($B787&amp;"("&amp;$B774&amp;")",Players!$S$4:$T$132,2,FALSE)),"",VLOOKUP($B787&amp;"("&amp;$B774&amp;")",Players!$S$4:$T$132,2,FALSE))</f>
        <v>B1</v>
      </c>
      <c r="D805" s="111" t="str">
        <f ca="1">IF(ISERROR(VLOOKUP($B794&amp;"("&amp;$B774&amp;")",Players!$S$4:$T$132,2,FALSE)),"",VLOOKUP($B794&amp;"("&amp;$B774&amp;")",Players!$S$4:$T$132,2,FALSE))</f>
        <v>B1</v>
      </c>
      <c r="E805" s="111" t="str">
        <f ca="1">IF(ISERROR(VLOOKUP($B801&amp;"("&amp;$B774&amp;")",Players!$S$4:$T$132,2,FALSE)),"",VLOOKUP($B801&amp;"("&amp;$B774&amp;")",Players!$S$4:$T$132,2,FALSE))</f>
        <v>B1</v>
      </c>
      <c r="F805" s="111" t="str">
        <f ca="1">IF(ISERROR(VLOOKUP($B782&amp;"("&amp;$K774&amp;")",Players!$S$4:$T$132,2,FALSE)),"",VLOOKUP($B782&amp;"("&amp;$K774&amp;")",Players!$S$4:$T$132,2,FALSE))</f>
        <v>G1</v>
      </c>
      <c r="G805" s="111" t="str">
        <f ca="1">IF(ISERROR(VLOOKUP($B789&amp;"("&amp;$K774&amp;")",Players!$S$4:$T$132,2,FALSE)),"",VLOOKUP($B789&amp;"("&amp;$K774&amp;")",Players!$S$4:$T$132,2,FALSE))</f>
        <v>G1</v>
      </c>
      <c r="H805" s="111" t="str">
        <f ca="1">IF(ISERROR(VLOOKUP($B796&amp;"("&amp;$K774&amp;")",Players!$S$4:$T$132,2,FALSE)),"",VLOOKUP($B796&amp;"("&amp;$K774&amp;")",Players!$S$4:$T$132,2,FALSE))</f>
        <v>G1</v>
      </c>
      <c r="I805" s="111" t="str">
        <f ca="1">IF(ISERROR(VLOOKUP($B803&amp;"("&amp;$K774&amp;")",Players!$S$4:$T$132,2,FALSE)),"",VLOOKUP($B803&amp;"("&amp;$K774&amp;")",Players!$S$4:$T$132,2,FALSE))</f>
        <v>G1</v>
      </c>
      <c r="Q805" s="6"/>
      <c r="R805" s="37"/>
      <c r="S805" s="95"/>
      <c r="T805" s="95"/>
      <c r="U805" s="95"/>
      <c r="V805" s="95"/>
      <c r="W805" s="95"/>
      <c r="X805" s="95"/>
      <c r="Y805" s="85"/>
      <c r="Z805" s="85"/>
      <c r="AA805" s="85"/>
      <c r="AB805" s="85"/>
      <c r="AC805" s="96"/>
      <c r="AD805" s="97"/>
      <c r="AE805" s="85"/>
      <c r="AF805" s="85"/>
    </row>
    <row r="806" spans="1:32" ht="12.75" customHeight="1" x14ac:dyDescent="0.25">
      <c r="A806" s="15" t="s">
        <v>157</v>
      </c>
      <c r="H806" s="110" t="str">
        <f ca="1">IF($Q808&lt;&gt;"",IF(AND($B809&lt;&gt;"Missing Player",$B811&lt;&gt;"Missing Player"),IF(AND(AND($H808&gt;-1,$H810&gt;-1),OR($H808&gt;10,$H810&gt;10),ABS($H808-$H810)&gt;1,IF(OR($H808&gt;11,$H810&gt;11),ABS($H808-$H810)=2,TRUE),$H808=INT($H808),$H810=INT($H810)),"","Error"),""),"")</f>
        <v/>
      </c>
      <c r="I806" s="110" t="str">
        <f ca="1">IF($Q808&lt;&gt;"",IF(AND($B809&lt;&gt;"Missing Player",$B811&lt;&gt;"Missing Player"),IF(AND(AND($I808&gt;-1,$I810&gt;-1),OR($I808&gt;10,$I810&gt;10),ABS($I808-$I810)&gt;1,IF(OR($I808&gt;11,$I810&gt;11),ABS($I808-$I810)=2,TRUE),$I808=INT($I808),$I810=INT($I810)),"","Error"),""),"")</f>
        <v/>
      </c>
      <c r="J806" s="110" t="str">
        <f ca="1">IF($Q808&lt;&gt;"",IF(AND($B809&lt;&gt;"Missing Player",$B811&lt;&gt;"Missing Player"),IF(AND(AND($J808&gt;-1,$J810&gt;-1),OR($J808&gt;10,$J810&gt;10),ABS($J808-$J810)&gt;1,IF(OR($J808&gt;11,$J810&gt;11),ABS($J808-$J810)=2,TRUE),$J808=INT($J808),$J810=INT($J810)),"","Error"),""),"")</f>
        <v/>
      </c>
      <c r="K806" s="110" t="str">
        <f ca="1">IF($Q808&lt;&gt;"",IF(AND($K808&lt;&gt;"",$K810&lt;&gt;""), IF(AND(AND($K808&gt;-1,$K810&gt;-1),OR($K808&gt;10,$K810&gt;10),ABS($K808-$K810)&gt;1,IF(OR($K808&gt;11,$K810&gt;11),ABS($K808-$K810)=2,TRUE),$K808=INT($K808),$K810=INT($K810)),"","Error"),""),"")</f>
        <v/>
      </c>
      <c r="L806" s="110" t="str">
        <f ca="1">IF($Q808&lt;&gt;"",IF(AND($L808&lt;&gt;"",$L810&lt;&gt;""), IF(AND(AND($L808&gt;-1,$L810&gt;-1),OR($L808&gt;10,$L810&gt;10),ABS($L808-$L810)&gt;1,IF(OR($L808&gt;11,$L810&gt;11),ABS($L808-$L810)=2,TRUE),$L808=INT($L808),$L810=INT($L810)),"","Error"),""),"")</f>
        <v/>
      </c>
      <c r="Q806" s="6"/>
      <c r="R806" s="85"/>
      <c r="S806" s="95"/>
      <c r="T806" s="95"/>
      <c r="U806" s="95"/>
      <c r="V806" s="95"/>
      <c r="W806" s="95"/>
      <c r="X806" s="95"/>
      <c r="Y806" s="85"/>
      <c r="Z806" s="85"/>
      <c r="AA806" s="85"/>
      <c r="AB806" s="85"/>
      <c r="AC806" s="85"/>
      <c r="AD806" s="85"/>
      <c r="AE806" s="85"/>
      <c r="AF806" s="85"/>
    </row>
    <row r="807" spans="1:32" ht="12.75" customHeight="1" x14ac:dyDescent="0.25">
      <c r="A807" s="5" t="s">
        <v>160</v>
      </c>
      <c r="B807" s="256" t="s">
        <v>58</v>
      </c>
      <c r="C807" s="257"/>
      <c r="D807" s="257"/>
      <c r="E807" s="257"/>
      <c r="F807" s="257"/>
      <c r="G807" s="258"/>
      <c r="H807" s="5">
        <v>1</v>
      </c>
      <c r="I807" s="5">
        <v>2</v>
      </c>
      <c r="J807" s="5">
        <v>3</v>
      </c>
      <c r="K807" s="5">
        <v>4</v>
      </c>
      <c r="L807" s="5">
        <v>5</v>
      </c>
      <c r="M807" s="270"/>
      <c r="N807" s="271"/>
      <c r="O807" s="271"/>
      <c r="P807" s="272"/>
      <c r="Q807" s="6"/>
      <c r="T807" s="7"/>
    </row>
    <row r="808" spans="1:32" ht="12.75" customHeight="1" x14ac:dyDescent="0.25">
      <c r="A808" s="259" t="str">
        <f>B774</f>
        <v>B</v>
      </c>
      <c r="B808" s="230" t="str">
        <f ca="1">IF($B780&lt;&gt;"",$B780,"")</f>
        <v/>
      </c>
      <c r="C808" s="231"/>
      <c r="D808" s="231"/>
      <c r="E808" s="231"/>
      <c r="F808" s="231"/>
      <c r="G808" s="232"/>
      <c r="H808" s="233"/>
      <c r="I808" s="233"/>
      <c r="J808" s="233"/>
      <c r="K808" s="233"/>
      <c r="L808" s="233" t="str">
        <f ca="1">IF($B801&lt;&gt;"",IF(AND($B801="Missing Player",$G812=2,$J812=2),0,IF(AND($B803="Missing Player",$G812=2,$J812=2),11,"")),"")</f>
        <v/>
      </c>
      <c r="M808" s="245" t="str">
        <f ca="1">IF(OR(AND($B808&lt;&gt;"",$B809&lt;&gt;"",$B808=$B809),AND($B810&lt;&gt;"",$B811&lt;&gt;"",$B810=$B811)),"Invalid Partner","")</f>
        <v/>
      </c>
      <c r="N808" s="246"/>
      <c r="O808" s="246"/>
      <c r="P808" s="247"/>
      <c r="Q808" s="37" t="str">
        <f ca="1">IF(L808=L810,IF(K808=K810,IF(J808&lt;&gt;"",IF(J808&gt;J810,"W","L"),""),IF(K808&gt;K810,"W","L")),IF(L808&gt;L810,"W","L"))</f>
        <v/>
      </c>
      <c r="T808" s="7"/>
    </row>
    <row r="809" spans="1:32" ht="12.75" customHeight="1" x14ac:dyDescent="0.25">
      <c r="A809" s="260"/>
      <c r="B809" s="266" t="str">
        <f ca="1">IF($B801="Missing Player",$B801,"")</f>
        <v/>
      </c>
      <c r="C809" s="267"/>
      <c r="D809" s="267"/>
      <c r="E809" s="267"/>
      <c r="F809" s="267"/>
      <c r="G809" s="268"/>
      <c r="H809" s="234"/>
      <c r="I809" s="234"/>
      <c r="J809" s="234"/>
      <c r="K809" s="234"/>
      <c r="L809" s="234"/>
      <c r="M809" s="245"/>
      <c r="N809" s="246"/>
      <c r="O809" s="246"/>
      <c r="P809" s="247"/>
      <c r="Q809" s="110" t="str">
        <f ca="1">IF($Q808&lt;&gt;"",IF($B811&lt;&gt;"Missing Player",IF($Q808="W",IF(SUM(IF($H808&gt;$H810,1,0),IF($I808&gt;$I810,1,0),IF($J808&gt;$J810,1,0),IF($K808&gt;$K810,1,0),IF($L808&gt;$L810,1,0))&lt;&gt;3,"Error",""),""),""),"")</f>
        <v/>
      </c>
      <c r="R809" s="295" t="str">
        <f>$A775</f>
        <v/>
      </c>
      <c r="S809" s="295"/>
      <c r="T809" s="295"/>
      <c r="U809" s="295"/>
      <c r="V809" s="295"/>
      <c r="W809" s="295"/>
      <c r="X809" s="219" t="str">
        <f>CONCATENATE("(",$B774," vs ",$K774,")")</f>
        <v>(B vs G)</v>
      </c>
      <c r="Y809" s="219"/>
      <c r="Z809" s="295" t="str">
        <f>$J775</f>
        <v/>
      </c>
      <c r="AA809" s="295"/>
      <c r="AB809" s="295"/>
      <c r="AC809" s="295"/>
      <c r="AD809" s="295"/>
      <c r="AE809" s="295"/>
      <c r="AF809"/>
    </row>
    <row r="810" spans="1:32" ht="12.75" customHeight="1" x14ac:dyDescent="0.25">
      <c r="A810" s="265" t="str">
        <f>K774</f>
        <v>G</v>
      </c>
      <c r="B810" s="230" t="str">
        <f ca="1">IF($B782&lt;&gt;"",$B782,"")</f>
        <v/>
      </c>
      <c r="C810" s="231"/>
      <c r="D810" s="231"/>
      <c r="E810" s="231"/>
      <c r="F810" s="231"/>
      <c r="G810" s="232"/>
      <c r="H810" s="233"/>
      <c r="I810" s="233"/>
      <c r="J810" s="233"/>
      <c r="K810" s="233"/>
      <c r="L810" s="233" t="str">
        <f ca="1">IF($B803&lt;&gt;"",IF(AND($B803="Missing Player",$G812=2,$J812=2),0,IF(AND($B801="Missing Player",$G812=2,$J812=2),11,"")),"")</f>
        <v/>
      </c>
      <c r="M810" s="250" t="s">
        <v>169</v>
      </c>
      <c r="N810" s="251"/>
      <c r="O810" s="251"/>
      <c r="P810" s="252"/>
      <c r="Q810" s="37" t="str">
        <f ca="1">IF(Q808&lt;&gt;"",IF(Q808="W","L","W"),"")</f>
        <v/>
      </c>
      <c r="R810"/>
      <c r="S810"/>
      <c r="T810"/>
      <c r="U810"/>
      <c r="V810"/>
      <c r="W810"/>
      <c r="X810"/>
      <c r="Y810"/>
      <c r="Z810"/>
      <c r="AA810"/>
      <c r="AB810"/>
      <c r="AC810"/>
      <c r="AD810"/>
      <c r="AE810"/>
      <c r="AF810"/>
    </row>
    <row r="811" spans="1:32" ht="12.75" customHeight="1" x14ac:dyDescent="0.25">
      <c r="A811" s="260"/>
      <c r="B811" s="266" t="str">
        <f ca="1">IF($B803="Missing Player",$B803,"")</f>
        <v/>
      </c>
      <c r="C811" s="267"/>
      <c r="D811" s="267"/>
      <c r="E811" s="267"/>
      <c r="F811" s="267"/>
      <c r="G811" s="268"/>
      <c r="H811" s="234"/>
      <c r="I811" s="234"/>
      <c r="J811" s="235"/>
      <c r="K811" s="235"/>
      <c r="L811" s="235"/>
      <c r="M811" s="250"/>
      <c r="N811" s="251"/>
      <c r="O811" s="251"/>
      <c r="P811" s="252"/>
      <c r="Q811" s="110" t="str">
        <f ca="1">IF($Q810&lt;&gt;"",IF($B809&lt;&gt;"Missing Player",IF($Q810="W",IF(SUM(IF($H810&gt;$H808,1,0),IF($I810&gt;$I808,1,0),IF($J810&gt;$J808,1,0),IF($K810&gt;$K808,1,0),IF($L810&gt;$L808,1,0))&lt;&gt;3,"Error",""),""),""),"")</f>
        <v/>
      </c>
      <c r="R811" t="str">
        <f>A799</f>
        <v>4th Singles</v>
      </c>
      <c r="S811"/>
      <c r="T811"/>
      <c r="U811"/>
      <c r="V811"/>
      <c r="W811"/>
      <c r="X811"/>
      <c r="Y811"/>
      <c r="Z811"/>
      <c r="AA811"/>
      <c r="AB811"/>
      <c r="AC811"/>
      <c r="AD811"/>
      <c r="AE811"/>
      <c r="AF811"/>
    </row>
    <row r="812" spans="1:32" ht="12.75" customHeight="1" x14ac:dyDescent="0.25">
      <c r="G812" s="53">
        <f ca="1">COUNTIF($Q780:$Q780,"W")+COUNTIF($Q787:$Q787,"W")+COUNTIF($Q794:$Q794,"W")+COUNTIF($Q801:$Q801,"W")</f>
        <v>0</v>
      </c>
      <c r="J812" s="53">
        <f ca="1">COUNTIF($Q782:$Q782,"W")+COUNTIF($Q789:$Q789,"W")+COUNTIF($Q796:$Q796,"W")+COUNTIF($Q803:$Q803,"W")</f>
        <v>0</v>
      </c>
      <c r="R812" s="47" t="s">
        <v>160</v>
      </c>
      <c r="S812" s="304" t="s">
        <v>58</v>
      </c>
      <c r="T812" s="305"/>
      <c r="U812" s="305"/>
      <c r="V812" s="305"/>
      <c r="W812" s="305"/>
      <c r="X812" s="306"/>
      <c r="Y812" s="47">
        <v>1</v>
      </c>
      <c r="Z812" s="47">
        <v>2</v>
      </c>
      <c r="AA812" s="47">
        <v>3</v>
      </c>
      <c r="AB812" s="47">
        <v>4</v>
      </c>
      <c r="AC812" s="47">
        <v>5</v>
      </c>
      <c r="AD812" s="286"/>
      <c r="AE812" s="287"/>
      <c r="AF812" s="288"/>
    </row>
    <row r="813" spans="1:32" ht="12.75" customHeight="1" thickBot="1" x14ac:dyDescent="0.3">
      <c r="F813" s="212" t="s">
        <v>170</v>
      </c>
      <c r="G813" s="212"/>
      <c r="H813" s="212"/>
      <c r="I813" s="212"/>
      <c r="J813" s="212"/>
      <c r="K813" s="212"/>
      <c r="R813" s="259" t="str">
        <f>B774</f>
        <v>B</v>
      </c>
      <c r="S813" s="307" t="str">
        <f ca="1">IF($B801&lt;&gt;"",$B801,"")</f>
        <v/>
      </c>
      <c r="T813" s="308"/>
      <c r="U813" s="308"/>
      <c r="V813" s="308"/>
      <c r="W813" s="308"/>
      <c r="X813" s="309"/>
      <c r="Y813" s="284"/>
      <c r="Z813" s="284"/>
      <c r="AA813" s="297"/>
      <c r="AB813" s="297"/>
      <c r="AC813" s="297"/>
      <c r="AD813" s="296"/>
      <c r="AE813" s="298"/>
      <c r="AF813" s="299"/>
    </row>
    <row r="814" spans="1:32" ht="12.75" customHeight="1" x14ac:dyDescent="0.25">
      <c r="A814" s="16"/>
      <c r="B814" s="16"/>
      <c r="C814" s="16"/>
      <c r="D814" s="16"/>
      <c r="E814" s="16"/>
      <c r="G814" s="261" t="str">
        <f>B774</f>
        <v>B</v>
      </c>
      <c r="H814" s="262"/>
      <c r="I814" s="263" t="str">
        <f>K774</f>
        <v>G</v>
      </c>
      <c r="J814" s="264"/>
      <c r="L814" s="16"/>
      <c r="M814" s="16"/>
      <c r="N814" s="16"/>
      <c r="O814" s="16"/>
      <c r="P814" s="16"/>
      <c r="R814" s="260"/>
      <c r="S814" s="310"/>
      <c r="T814" s="311"/>
      <c r="U814" s="311"/>
      <c r="V814" s="311"/>
      <c r="W814" s="311"/>
      <c r="X814" s="312"/>
      <c r="Y814" s="285"/>
      <c r="Z814" s="285"/>
      <c r="AA814" s="303"/>
      <c r="AB814" s="303"/>
      <c r="AC814" s="303"/>
      <c r="AD814" s="300"/>
      <c r="AE814" s="301"/>
      <c r="AF814" s="302"/>
    </row>
    <row r="815" spans="1:32" ht="12.75" customHeight="1" thickBot="1" x14ac:dyDescent="0.3">
      <c r="A815" s="2" t="s">
        <v>160</v>
      </c>
      <c r="B815" s="40" t="str">
        <f>B774</f>
        <v>B</v>
      </c>
      <c r="C815" s="3" t="s">
        <v>158</v>
      </c>
      <c r="F815" s="53" t="str">
        <f>CONCATENATE($B774,"-",$K774)</f>
        <v>B-G</v>
      </c>
      <c r="G815" s="240" t="str">
        <f ca="1">IF(OR(Q780&lt;&gt;"",Q787&lt;&gt;"",Q794&lt;&gt;"",Q801&lt;&gt;"",Q808&lt;&gt;""),COUNTIF(Q780:Q780,"W")+COUNTIF(Q787:Q787,"W")+COUNTIF(Q794:Q794,"W")+COUNTIF(Q801:Q801,"W")+COUNTIF(Q808:Q808,"W"),"")</f>
        <v/>
      </c>
      <c r="H815" s="241"/>
      <c r="I815" s="242" t="str">
        <f ca="1">IF(OR(Q782&lt;&gt;"",Q789&lt;&gt;"",Q796&lt;&gt;"",Q803&lt;&gt;"",Q810&lt;&gt;""),COUNTIF(Q782:Q782,"W")+COUNTIF(Q789:Q789,"W")+COUNTIF(Q796:Q796,"W")+COUNTIF(Q803:Q803,"W")+COUNTIF(Q810:Q810,"W"),"")</f>
        <v/>
      </c>
      <c r="J815" s="243"/>
      <c r="L815" s="2" t="s">
        <v>160</v>
      </c>
      <c r="M815" s="40" t="str">
        <f>K774</f>
        <v>G</v>
      </c>
      <c r="N815" s="3" t="s">
        <v>158</v>
      </c>
      <c r="R815" s="259" t="str">
        <f>K774</f>
        <v>G</v>
      </c>
      <c r="S815" s="307" t="str">
        <f ca="1">IF($B803&lt;&gt;"",$B803,"")</f>
        <v/>
      </c>
      <c r="T815" s="308"/>
      <c r="U815" s="308"/>
      <c r="V815" s="308"/>
      <c r="W815" s="308"/>
      <c r="X815" s="309"/>
      <c r="Y815" s="284"/>
      <c r="Z815" s="284"/>
      <c r="AA815" s="297"/>
      <c r="AB815" s="297"/>
      <c r="AC815" s="297"/>
      <c r="AD815" s="289" t="s">
        <v>169</v>
      </c>
      <c r="AE815" s="290"/>
      <c r="AF815" s="291"/>
    </row>
    <row r="816" spans="1:32" ht="12.75" customHeight="1" x14ac:dyDescent="0.35">
      <c r="F816" s="18" t="s">
        <v>403</v>
      </c>
      <c r="G816" s="17"/>
      <c r="H816" s="17"/>
      <c r="I816" s="17"/>
      <c r="J816" s="17"/>
      <c r="R816" s="285"/>
      <c r="S816" s="310"/>
      <c r="T816" s="311"/>
      <c r="U816" s="311"/>
      <c r="V816" s="311"/>
      <c r="W816" s="311"/>
      <c r="X816" s="312"/>
      <c r="Y816" s="285"/>
      <c r="Z816" s="285"/>
      <c r="AA816" s="285"/>
      <c r="AB816" s="285"/>
      <c r="AC816" s="285"/>
      <c r="AD816" s="292"/>
      <c r="AE816" s="293"/>
      <c r="AF816" s="294"/>
    </row>
    <row r="817" spans="1:32" ht="12.75" customHeight="1" x14ac:dyDescent="0.25">
      <c r="R817" s="1"/>
      <c r="S817" s="11"/>
      <c r="T817" s="11"/>
      <c r="U817" s="11"/>
      <c r="V817" s="11"/>
      <c r="W817" s="11"/>
    </row>
    <row r="818" spans="1:32" ht="12.75" customHeight="1" x14ac:dyDescent="0.25">
      <c r="F818" s="212"/>
      <c r="G818" s="212"/>
      <c r="H818" s="212"/>
      <c r="I818" s="212"/>
      <c r="R818" s="1"/>
      <c r="S818" s="11"/>
      <c r="T818" s="11"/>
      <c r="U818" s="11"/>
      <c r="V818" s="11"/>
      <c r="W818" s="11"/>
    </row>
    <row r="819" spans="1:32" ht="12.75" customHeight="1" x14ac:dyDescent="0.25">
      <c r="F819" s="212"/>
      <c r="G819" s="212"/>
      <c r="H819" s="212"/>
      <c r="I819" s="212"/>
      <c r="R819" s="1"/>
      <c r="S819" s="11"/>
      <c r="T819" s="11"/>
      <c r="U819" s="11"/>
      <c r="V819" s="11"/>
      <c r="W819" s="11"/>
    </row>
    <row r="820" spans="1:32" ht="12.75" customHeight="1" x14ac:dyDescent="0.25">
      <c r="K820" s="219" t="s">
        <v>176</v>
      </c>
      <c r="L820" s="219"/>
      <c r="M820" s="219"/>
      <c r="N820" s="219"/>
      <c r="O820" s="219"/>
      <c r="P820" s="219"/>
      <c r="R820" s="1"/>
      <c r="S820" s="11"/>
      <c r="T820" s="11"/>
      <c r="U820" s="11"/>
      <c r="V820" s="11"/>
      <c r="W820" s="11"/>
    </row>
    <row r="821" spans="1:32" ht="12.75" customHeight="1" x14ac:dyDescent="0.25">
      <c r="A821" s="9" t="s">
        <v>161</v>
      </c>
      <c r="B821"/>
      <c r="C821"/>
      <c r="D821" t="str">
        <f>Draw!$B$1</f>
        <v>Enter Division Name</v>
      </c>
      <c r="E821"/>
      <c r="F821" s="6"/>
      <c r="G821" s="6"/>
      <c r="H821" s="6"/>
      <c r="I821"/>
      <c r="J821"/>
      <c r="K821"/>
      <c r="L821"/>
      <c r="M821" s="219"/>
      <c r="N821" s="219"/>
      <c r="O821" s="219"/>
      <c r="P821" s="219"/>
      <c r="R821" s="1"/>
      <c r="S821" s="11"/>
      <c r="T821" s="11"/>
      <c r="U821" s="11"/>
      <c r="V821" s="11"/>
      <c r="W821" s="11"/>
    </row>
    <row r="822" spans="1:32" ht="12.75" customHeight="1" x14ac:dyDescent="0.25">
      <c r="A822" s="2" t="s">
        <v>162</v>
      </c>
      <c r="D822" t="str">
        <f>Draw!$D$1</f>
        <v>Enter Hosting Location (City, ST)</v>
      </c>
      <c r="J822" t="str">
        <f ca="1">$J$6</f>
        <v>[NCTTA Teams Template (v3.4).xlsx]</v>
      </c>
      <c r="R822" s="1"/>
      <c r="S822" s="11"/>
      <c r="T822" s="11"/>
      <c r="U822" s="11"/>
      <c r="V822" s="11"/>
      <c r="W822" s="11"/>
    </row>
    <row r="823" spans="1:32" ht="12.75" customHeight="1" x14ac:dyDescent="0.25">
      <c r="A823" s="2" t="s">
        <v>163</v>
      </c>
      <c r="D823" s="275" t="str">
        <f>Draw!$P$1</f>
        <v>Enter Date</v>
      </c>
      <c r="E823" s="275"/>
      <c r="F823" s="275"/>
      <c r="G823" s="275"/>
      <c r="J823" s="244" t="str">
        <f>CHOOSE(Draw!$T$1,"Round 3, Match 5","Round 1, Match 5","Round 3, Match 5","","","","Round 6, Match 2","Round 5, Match 1","Round 5, Match 1","Round 4, Match 2","Round 4, Match 2")</f>
        <v>Round 3, Match 5</v>
      </c>
      <c r="K823" s="244"/>
      <c r="L823" s="244"/>
      <c r="M823" s="277" t="str">
        <f>IF(AND($J823&lt;&gt;"",Draw!$AC$10&lt;&gt;"",Draw!$AC$13&lt;&gt;""),Draw!$AC$10+TIME(0,VALUE(MID($J823,7,FIND(",",$J823)-FIND(" ",$J823)-1)-1)*Draw!$AC$13,0),"")</f>
        <v/>
      </c>
      <c r="N823" s="277"/>
      <c r="O823" s="125" t="str">
        <f>$F866</f>
        <v>C-F</v>
      </c>
      <c r="R823" s="1"/>
      <c r="S823" s="11"/>
      <c r="T823" s="11"/>
      <c r="U823" s="11"/>
      <c r="V823" s="11"/>
      <c r="W823" s="11"/>
    </row>
    <row r="824" spans="1:32" ht="12.75" customHeight="1" x14ac:dyDescent="0.25">
      <c r="A824" s="6"/>
      <c r="B824"/>
      <c r="C824"/>
      <c r="D824"/>
      <c r="E824"/>
      <c r="F824" s="6"/>
      <c r="G824" s="6"/>
      <c r="H824" s="11"/>
      <c r="I824" s="6"/>
      <c r="J824"/>
      <c r="K824"/>
      <c r="L824"/>
      <c r="M824"/>
      <c r="N824"/>
      <c r="O824" s="269" t="str">
        <f>IF(OR(AND(VLOOKUP($B825,$AM$1:$AX$12,12,FALSE)="C",VLOOKUP($K825,$AM$1:$AX$12,12,FALSE)="C"),AND(VLOOKUP($B825,$AM$1:$AX$12,12,FALSE)="W",VLOOKUP($K825,$AM$1:$AX$12,12,FALSE)="W")),"Official",IF(AND($A826="",$J826=""),"","Scrimmage"))</f>
        <v/>
      </c>
      <c r="P824" s="269"/>
      <c r="R824" s="1"/>
      <c r="S824" s="11"/>
      <c r="T824" s="11"/>
      <c r="U824" s="11"/>
      <c r="V824" s="11"/>
      <c r="W824" s="11"/>
    </row>
    <row r="825" spans="1:32" ht="12.75" customHeight="1" x14ac:dyDescent="0.25">
      <c r="A825" s="12" t="s">
        <v>160</v>
      </c>
      <c r="B825" s="98" t="str">
        <f>CHOOSE(Draw!$T$1,"C","H","I","A","A","A","D","A","A","E","H")</f>
        <v>C</v>
      </c>
      <c r="C825" s="109">
        <f>VLOOKUP($B825,$AM$1:$AN$12,2)</f>
        <v>3</v>
      </c>
      <c r="D825" s="10"/>
      <c r="E825" s="10"/>
      <c r="F825" s="8"/>
      <c r="H825" s="1" t="s">
        <v>164</v>
      </c>
      <c r="J825" s="12" t="s">
        <v>160</v>
      </c>
      <c r="K825" s="98" t="str">
        <f>CHOOSE(Draw!$T$1,"F","K","L","H","L","H","G","C","E","G","J")</f>
        <v>F</v>
      </c>
      <c r="L825" s="109">
        <f>VLOOKUP($K825,$AM$1:$AN$12,2)</f>
        <v>6</v>
      </c>
      <c r="M825" s="10"/>
      <c r="N825" s="10"/>
      <c r="O825" s="13"/>
      <c r="R825" s="1"/>
      <c r="S825" s="11"/>
      <c r="T825" s="11"/>
      <c r="U825" s="11"/>
      <c r="V825" s="11"/>
      <c r="W825" s="11"/>
    </row>
    <row r="826" spans="1:32" ht="12.75" customHeight="1" x14ac:dyDescent="0.25">
      <c r="A826" s="253" t="str">
        <f>IF(VLOOKUP($B825,Draw!$A$4:$B$27,2)&lt;&gt;0,VLOOKUP($B825,Draw!$A$4:$B$27,2),"")</f>
        <v/>
      </c>
      <c r="B826" s="254"/>
      <c r="C826" s="254"/>
      <c r="D826" s="254"/>
      <c r="E826" s="254"/>
      <c r="F826" s="255"/>
      <c r="G826" s="273" t="s">
        <v>420</v>
      </c>
      <c r="H826" s="249"/>
      <c r="I826" s="274"/>
      <c r="J826" s="253" t="str">
        <f>IF(VLOOKUP($K825,Draw!$A$4:$B$27,2)&lt;&gt;0,VLOOKUP($K825,Draw!$A$4:$B$27,2),"")</f>
        <v/>
      </c>
      <c r="K826" s="254"/>
      <c r="L826" s="254"/>
      <c r="M826" s="254"/>
      <c r="N826" s="254"/>
      <c r="O826" s="255"/>
      <c r="P826"/>
      <c r="R826" s="1"/>
      <c r="S826" s="11"/>
      <c r="T826" s="11"/>
      <c r="U826" s="11"/>
      <c r="V826" s="11"/>
      <c r="W826" s="11"/>
    </row>
    <row r="827" spans="1:32" ht="12.75" customHeight="1" x14ac:dyDescent="0.25">
      <c r="A827" s="6"/>
      <c r="B827"/>
      <c r="C827"/>
      <c r="D827"/>
      <c r="E827"/>
      <c r="F827" s="6"/>
      <c r="G827" s="248" t="str">
        <f>"Page "&amp;VALUE(RIGHT($G826,LEN($G826)-SEARCH("-",$G826)))/2</f>
        <v>Page 17</v>
      </c>
      <c r="H827" s="249"/>
      <c r="I827" s="249"/>
      <c r="J827"/>
      <c r="K827"/>
      <c r="L827"/>
      <c r="M827"/>
      <c r="N827"/>
      <c r="O827"/>
      <c r="P827"/>
      <c r="R827" s="1"/>
      <c r="S827" s="11"/>
      <c r="T827" s="11"/>
      <c r="U827" s="11"/>
      <c r="V827" s="11"/>
      <c r="W827" s="11"/>
      <c r="AF827"/>
    </row>
    <row r="828" spans="1:32" ht="12.75" customHeight="1" x14ac:dyDescent="0.25">
      <c r="A828" s="276" t="s">
        <v>177</v>
      </c>
      <c r="B828" s="276"/>
      <c r="C828" s="276"/>
      <c r="D828" s="276"/>
      <c r="E828" s="276"/>
      <c r="F828" s="276"/>
      <c r="G828" s="276"/>
      <c r="H828" s="276"/>
      <c r="I828" s="276"/>
      <c r="J828" s="276"/>
      <c r="K828" s="276"/>
      <c r="L828" s="276"/>
      <c r="M828" s="276"/>
      <c r="N828" s="276"/>
      <c r="O828" s="276"/>
      <c r="P828" s="276"/>
      <c r="Q828" s="6"/>
      <c r="R828" s="1"/>
      <c r="S828" s="11"/>
      <c r="T828" s="11"/>
      <c r="U828" s="11"/>
      <c r="V828" s="11"/>
      <c r="W828" s="11"/>
      <c r="AF828" s="14"/>
    </row>
    <row r="829" spans="1:32" ht="12.75" customHeight="1" x14ac:dyDescent="0.25">
      <c r="A829" s="15" t="s">
        <v>165</v>
      </c>
      <c r="H829" s="110" t="str">
        <f>IF($Q831&lt;&gt;"",IF(AND(AND($H831&gt;-1,$H833&gt;-1),OR($H831&gt;10,$H833&gt;10),ABS($H831-$H833)&gt;1,IF(OR($H831&gt;11,$H833&gt;11),ABS($H831-$H833)=2,TRUE),$H831=INT($H831),$H833=INT($H833)),"","Error"),"")</f>
        <v/>
      </c>
      <c r="I829" s="110" t="str">
        <f>IF($Q831&lt;&gt;"",IF(AND(AND($I831&gt;-1,$I833&gt;-1),OR($I831&gt;10,$I833&gt;10),ABS($I831-$I833)&gt;1,IF(OR($I831&gt;11,$I833&gt;11),ABS($I831-$I833)=2,TRUE),$I831=INT($I831),$I833=INT($I833)),"","Error"),"")</f>
        <v/>
      </c>
      <c r="J829" s="110" t="str">
        <f>IF($Q831&lt;&gt;"",IF(AND(AND($J831&gt;-1,$J833&gt;-1),OR($J831&gt;10,$J833&gt;10),ABS($J831-$J833)&gt;1,IF(OR($J831&gt;11,$J833&gt;11),ABS($J831-$J833)=2,TRUE),$J831=INT($J831),$J833=INT($J833)),"","Error"),"")</f>
        <v/>
      </c>
      <c r="K829" s="110" t="str">
        <f>IF($Q831&lt;&gt;"",IF(AND($K831&lt;&gt;"",$K833&lt;&gt;""), IF(AND(AND($K831&gt;-1,$K833&gt;-1),OR($K831&gt;10,$K833&gt;10),ABS($K831-$K833)&gt;1,IF(OR($K831&gt;11,$K833&gt;11),ABS($K831-$K833)=2,TRUE),$K831=INT($K831),$K833=INT($K833)),"","Error"),""),"")</f>
        <v/>
      </c>
      <c r="L829" s="110" t="str">
        <f>IF($Q831&lt;&gt;"",IF(AND($L831&lt;&gt;"",$L833&lt;&gt;""), IF(AND(AND($L831&gt;-1,$L833&gt;-1),OR($L831&gt;10,$L833&gt;10),ABS($L831-$L833)&gt;1,IF(OR($L831&gt;11,$L833&gt;11),ABS($L831-$L833)=2,TRUE),$L831=INT($L831),$L833=INT($L833)),"","Error"),""),"")</f>
        <v/>
      </c>
      <c r="R829" s="1"/>
      <c r="S829" s="11"/>
      <c r="T829" s="11"/>
      <c r="U829" s="11"/>
      <c r="V829" s="11"/>
      <c r="W829" s="11"/>
    </row>
    <row r="830" spans="1:32" ht="12.75" customHeight="1" x14ac:dyDescent="0.25">
      <c r="A830" s="5" t="s">
        <v>160</v>
      </c>
      <c r="B830" s="256" t="s">
        <v>58</v>
      </c>
      <c r="C830" s="257"/>
      <c r="D830" s="257"/>
      <c r="E830" s="257"/>
      <c r="F830" s="257"/>
      <c r="G830" s="258"/>
      <c r="H830" s="5">
        <v>1</v>
      </c>
      <c r="I830" s="5">
        <v>2</v>
      </c>
      <c r="J830" s="5">
        <v>3</v>
      </c>
      <c r="K830" s="5">
        <v>4</v>
      </c>
      <c r="L830" s="5">
        <v>5</v>
      </c>
      <c r="M830" s="270"/>
      <c r="N830" s="271"/>
      <c r="O830" s="271"/>
      <c r="P830" s="272"/>
      <c r="R830" s="1"/>
      <c r="S830" s="11"/>
      <c r="T830" s="11"/>
      <c r="U830" s="11"/>
      <c r="V830" s="11"/>
      <c r="W830" s="11"/>
    </row>
    <row r="831" spans="1:32" ht="12.75" customHeight="1" x14ac:dyDescent="0.25">
      <c r="A831" s="259" t="str">
        <f>B825</f>
        <v>C</v>
      </c>
      <c r="B831" s="236" t="str">
        <f ca="1">IF(AND(OFFSET($AO$1,$C825-1,8,1,1),$A826&lt;&gt;"",$J826&lt;&gt;""),CHOOSE($C825,$AO$1,$AO$2,$AO$3,$AO$4,$AO$5,$AO$6,$AO$7,$AO$8,$AO$9,$AO$10,$AO$11,$AO$12),"")</f>
        <v/>
      </c>
      <c r="C831" s="237"/>
      <c r="D831" s="237"/>
      <c r="E831" s="237"/>
      <c r="F831" s="237"/>
      <c r="G831" s="237"/>
      <c r="H831" s="233"/>
      <c r="I831" s="233"/>
      <c r="J831" s="233"/>
      <c r="K831" s="233"/>
      <c r="L831" s="233"/>
      <c r="M831" s="281"/>
      <c r="N831" s="282"/>
      <c r="O831" s="282"/>
      <c r="P831" s="283"/>
      <c r="Q831" s="40" t="str">
        <f>IF($L831=$L833,IF($K831=$K833,IF($J831&lt;&gt;"",IF($J831&gt;$J833,"W","L"),""),IF($K831&gt;$K833,"W","L")),IF($L831&gt;$L833,"W","L"))</f>
        <v/>
      </c>
      <c r="R831" s="1"/>
      <c r="S831" s="11"/>
      <c r="T831" s="11"/>
      <c r="U831" s="11"/>
      <c r="V831" s="11"/>
      <c r="W831" s="11"/>
    </row>
    <row r="832" spans="1:32" ht="12.75" customHeight="1" x14ac:dyDescent="0.25">
      <c r="A832" s="260"/>
      <c r="B832" s="238"/>
      <c r="C832" s="239"/>
      <c r="D832" s="239"/>
      <c r="E832" s="239"/>
      <c r="F832" s="239"/>
      <c r="G832" s="239"/>
      <c r="H832" s="234"/>
      <c r="I832" s="234"/>
      <c r="J832" s="234"/>
      <c r="K832" s="234"/>
      <c r="L832" s="234"/>
      <c r="M832" s="281"/>
      <c r="N832" s="282"/>
      <c r="O832" s="282"/>
      <c r="P832" s="283"/>
      <c r="Q832" s="110" t="str">
        <f>IF($Q831&lt;&gt;"",IF($Q831="W",IF(SUM(IF($H831&gt;$H833,1,0),IF($I831&gt;$I833,1,0),IF($J831&gt;$J833,1,0),IF($K831&gt;$K833,1,0),IF($L831&gt;$L833,1,0))&lt;&gt;3,"Error",""),""),"")</f>
        <v/>
      </c>
      <c r="R832" s="295" t="str">
        <f>$A826</f>
        <v/>
      </c>
      <c r="S832" s="295"/>
      <c r="T832" s="295"/>
      <c r="U832" s="295"/>
      <c r="V832" s="295"/>
      <c r="W832" s="295"/>
      <c r="X832" s="219" t="str">
        <f>CONCATENATE("(",$B825," vs ",$K825,")")</f>
        <v>(C vs F)</v>
      </c>
      <c r="Y832" s="219"/>
      <c r="Z832" s="295" t="str">
        <f>$J826</f>
        <v/>
      </c>
      <c r="AA832" s="295"/>
      <c r="AB832" s="295"/>
      <c r="AC832" s="295"/>
      <c r="AD832" s="295"/>
      <c r="AE832" s="295"/>
      <c r="AF832"/>
    </row>
    <row r="833" spans="1:32" ht="12.75" customHeight="1" x14ac:dyDescent="0.25">
      <c r="A833" s="259" t="str">
        <f>K825</f>
        <v>F</v>
      </c>
      <c r="B833" s="236" t="str">
        <f ca="1">IF(AND(OFFSET($AO$1,$L825-1,8,1,1),$A826&lt;&gt;"",$J826&lt;&gt;""),CHOOSE($L825,$AO$1,$AO$2,$AO$3,$AO$4,$AO$5,$AO$6,$AO$7,$AO$8,$AO$9,$AO$10,$AO$11,$AO$12),"")</f>
        <v/>
      </c>
      <c r="C833" s="237"/>
      <c r="D833" s="237"/>
      <c r="E833" s="237"/>
      <c r="F833" s="237"/>
      <c r="G833" s="237"/>
      <c r="H833" s="233"/>
      <c r="I833" s="233"/>
      <c r="J833" s="233"/>
      <c r="K833" s="233"/>
      <c r="L833" s="233"/>
      <c r="M833" s="250" t="s">
        <v>169</v>
      </c>
      <c r="N833" s="251"/>
      <c r="O833" s="251"/>
      <c r="P833" s="252"/>
      <c r="Q833" s="40" t="str">
        <f>IF($Q831&lt;&gt;"",IF($Q831="W","L","W"),"")</f>
        <v/>
      </c>
      <c r="R833"/>
      <c r="S833"/>
      <c r="T833"/>
      <c r="U833"/>
      <c r="V833"/>
      <c r="W833"/>
      <c r="X833"/>
      <c r="Y833"/>
      <c r="Z833"/>
      <c r="AA833"/>
      <c r="AB833"/>
      <c r="AC833"/>
      <c r="AD833"/>
      <c r="AE833"/>
      <c r="AF833"/>
    </row>
    <row r="834" spans="1:32" ht="12.75" customHeight="1" x14ac:dyDescent="0.25">
      <c r="A834" s="260"/>
      <c r="B834" s="238"/>
      <c r="C834" s="239"/>
      <c r="D834" s="239"/>
      <c r="E834" s="239"/>
      <c r="F834" s="239"/>
      <c r="G834" s="239"/>
      <c r="H834" s="234"/>
      <c r="I834" s="234"/>
      <c r="J834" s="235"/>
      <c r="K834" s="235"/>
      <c r="L834" s="235"/>
      <c r="M834" s="250"/>
      <c r="N834" s="251"/>
      <c r="O834" s="251"/>
      <c r="P834" s="252"/>
      <c r="Q834" s="110" t="str">
        <f>IF($Q833&lt;&gt;"",IF($Q833="W",IF(SUM(IF($H833&gt;$H831,1,0),IF($I833&gt;$I831,1,0),IF($J833&gt;$J831,1,0),IF($K833&gt;$K831,1,0),IF($L833&gt;$L831,1,0))&lt;&gt;3,"Error",""),""),"")</f>
        <v/>
      </c>
      <c r="R834" t="str">
        <f>$A836</f>
        <v>2nd Singles</v>
      </c>
      <c r="S834"/>
      <c r="T834"/>
      <c r="U834"/>
      <c r="V834"/>
      <c r="W834"/>
      <c r="X834"/>
      <c r="Y834"/>
      <c r="Z834"/>
      <c r="AA834"/>
      <c r="AB834"/>
      <c r="AC834"/>
      <c r="AD834"/>
      <c r="AE834"/>
      <c r="AF834"/>
    </row>
    <row r="835" spans="1:32" ht="12.75" customHeight="1" x14ac:dyDescent="0.25">
      <c r="Q835" s="6"/>
      <c r="R835" s="47" t="s">
        <v>160</v>
      </c>
      <c r="S835" s="304" t="s">
        <v>58</v>
      </c>
      <c r="T835" s="305"/>
      <c r="U835" s="305"/>
      <c r="V835" s="305"/>
      <c r="W835" s="305"/>
      <c r="X835" s="306"/>
      <c r="Y835" s="47">
        <v>1</v>
      </c>
      <c r="Z835" s="47">
        <v>2</v>
      </c>
      <c r="AA835" s="47">
        <v>3</v>
      </c>
      <c r="AB835" s="47">
        <v>4</v>
      </c>
      <c r="AC835" s="47">
        <v>5</v>
      </c>
      <c r="AD835" s="286"/>
      <c r="AE835" s="287"/>
      <c r="AF835" s="288"/>
    </row>
    <row r="836" spans="1:32" ht="12.75" customHeight="1" x14ac:dyDescent="0.25">
      <c r="A836" s="15" t="s">
        <v>166</v>
      </c>
      <c r="H836" s="110" t="str">
        <f>IF($Q838&lt;&gt;"",IF(AND(AND($H838&gt;-1,$H840&gt;-1),OR($H838&gt;10,$H840&gt;10),ABS($H838-$H840)&gt;1,IF(OR($H838&gt;11,$H840&gt;11),ABS($H838-$H840)=2,TRUE),$H838=INT($H838),$H840=INT($H840)),"","Error"),"")</f>
        <v/>
      </c>
      <c r="I836" s="110" t="str">
        <f>IF($Q838&lt;&gt;"",IF(AND(AND($I838&gt;-1,$I840&gt;-1),OR($I838&gt;10,$I840&gt;10),ABS($I838-$I840)&gt;1,IF(OR($I838&gt;11,$I840&gt;11),ABS($I838-$I840)=2,TRUE),$I838=INT($I838),$I840=INT($I840)),"","Error"),"")</f>
        <v/>
      </c>
      <c r="J836" s="110" t="str">
        <f>IF($Q838&lt;&gt;"",IF(AND(AND($J838&gt;-1,$J840&gt;-1),OR($J838&gt;10,$J840&gt;10),ABS($J838-$J840)&gt;1,IF(OR($J838&gt;11,$J840&gt;11),ABS($J838-$J840)=2,TRUE),$J838=INT($J838),$J840=INT($J840)),"","Error"),"")</f>
        <v/>
      </c>
      <c r="K836" s="110" t="str">
        <f>IF($Q838&lt;&gt;"",IF(AND($K838&lt;&gt;"",$K840&lt;&gt;""), IF(AND(AND($K838&gt;-1,$K840&gt;-1),OR($K838&gt;10,$K840&gt;10),ABS($K838-$K840)&gt;1,IF(OR($K838&gt;11,$K840&gt;11),ABS($K838-$K840)=2,TRUE),$K838=INT($K838),$K840=INT($K840)),"","Error"),""),"")</f>
        <v/>
      </c>
      <c r="L836" s="110" t="str">
        <f>IF($Q838&lt;&gt;"",IF(AND($L838&lt;&gt;"",$L840&lt;&gt;""), IF(AND(AND($L838&gt;-1,$L840&gt;-1),OR($L838&gt;10,$L840&gt;10),ABS($L838-$L840)&gt;1,IF(OR($L838&gt;11,$L840&gt;11),ABS($L838-$L840)=2,TRUE),$L838=INT($L838),$L840=INT($L840)),"","Error"),""),"")</f>
        <v/>
      </c>
      <c r="Q836" s="6"/>
      <c r="R836" s="259" t="str">
        <f>$B825</f>
        <v>C</v>
      </c>
      <c r="S836" s="307" t="str">
        <f ca="1">IF($B838&lt;&gt;"",$B838,"")</f>
        <v/>
      </c>
      <c r="T836" s="308"/>
      <c r="U836" s="308"/>
      <c r="V836" s="308"/>
      <c r="W836" s="308"/>
      <c r="X836" s="309"/>
      <c r="Y836" s="284"/>
      <c r="Z836" s="284"/>
      <c r="AA836" s="284"/>
      <c r="AB836" s="284"/>
      <c r="AC836" s="284"/>
      <c r="AD836" s="296"/>
      <c r="AE836" s="290"/>
      <c r="AF836" s="291"/>
    </row>
    <row r="837" spans="1:32" ht="12.75" customHeight="1" x14ac:dyDescent="0.25">
      <c r="A837" s="5" t="s">
        <v>160</v>
      </c>
      <c r="B837" s="256" t="s">
        <v>58</v>
      </c>
      <c r="C837" s="257"/>
      <c r="D837" s="257"/>
      <c r="E837" s="257"/>
      <c r="F837" s="257"/>
      <c r="G837" s="258"/>
      <c r="H837" s="5">
        <v>1</v>
      </c>
      <c r="I837" s="5">
        <v>2</v>
      </c>
      <c r="J837" s="5">
        <v>3</v>
      </c>
      <c r="K837" s="5">
        <v>4</v>
      </c>
      <c r="L837" s="5">
        <v>5</v>
      </c>
      <c r="M837" s="270"/>
      <c r="N837" s="271"/>
      <c r="O837" s="271"/>
      <c r="P837" s="272"/>
      <c r="Q837" s="6"/>
      <c r="R837" s="285"/>
      <c r="S837" s="310"/>
      <c r="T837" s="311"/>
      <c r="U837" s="311"/>
      <c r="V837" s="311"/>
      <c r="W837" s="311"/>
      <c r="X837" s="312"/>
      <c r="Y837" s="285"/>
      <c r="Z837" s="285"/>
      <c r="AA837" s="285"/>
      <c r="AB837" s="285"/>
      <c r="AC837" s="285"/>
      <c r="AD837" s="292"/>
      <c r="AE837" s="293"/>
      <c r="AF837" s="294"/>
    </row>
    <row r="838" spans="1:32" ht="12.75" customHeight="1" x14ac:dyDescent="0.25">
      <c r="A838" s="259" t="str">
        <f>B825</f>
        <v>C</v>
      </c>
      <c r="B838" s="236" t="str">
        <f ca="1">IF(AND(OFFSET($AO$1,$C825-1,8,1,1),$A826&lt;&gt;"",$J826&lt;&gt;""),CHOOSE($C825,$AP$1,$AP$2,$AP$3,$AP$4,$AP$5,$AP$6,$AP$7,$AP$8,$AP$9,$AP$10,$AP$11,$AP$12),"")</f>
        <v/>
      </c>
      <c r="C838" s="237"/>
      <c r="D838" s="237"/>
      <c r="E838" s="237"/>
      <c r="F838" s="237"/>
      <c r="G838" s="237"/>
      <c r="H838" s="233"/>
      <c r="I838" s="233"/>
      <c r="J838" s="233"/>
      <c r="K838" s="233"/>
      <c r="L838" s="233"/>
      <c r="M838" s="245" t="str">
        <f ca="1">IF(OR(AND($B831&lt;&gt;"",$B838&lt;&gt;"",$C856&lt;=$B856),AND($B833&lt;&gt;"",$B840&lt;&gt;"",$G856&lt;=$F856)),"Invalid Lineup","")</f>
        <v/>
      </c>
      <c r="N838" s="246"/>
      <c r="O838" s="246"/>
      <c r="P838" s="247"/>
      <c r="Q838" s="40" t="str">
        <f>IF($L838=$L840,IF($K838=$K840,IF($J838&lt;&gt;"",IF($J838&gt;$J840,"W","L"),""),IF($K838&gt;$K840,"W","L")),IF($L838&gt;$L840,"W","L"))</f>
        <v/>
      </c>
      <c r="R838" s="259" t="str">
        <f>$K825</f>
        <v>F</v>
      </c>
      <c r="S838" s="307" t="str">
        <f ca="1">IF($B840&lt;&gt;"",$B840,"")</f>
        <v/>
      </c>
      <c r="T838" s="308"/>
      <c r="U838" s="308"/>
      <c r="V838" s="308"/>
      <c r="W838" s="308"/>
      <c r="X838" s="309"/>
      <c r="Y838" s="284"/>
      <c r="Z838" s="284"/>
      <c r="AA838" s="284"/>
      <c r="AB838" s="284"/>
      <c r="AC838" s="297"/>
      <c r="AD838" s="289" t="s">
        <v>169</v>
      </c>
      <c r="AE838" s="290"/>
      <c r="AF838" s="291"/>
    </row>
    <row r="839" spans="1:32" ht="12.75" customHeight="1" x14ac:dyDescent="0.25">
      <c r="A839" s="260"/>
      <c r="B839" s="238"/>
      <c r="C839" s="239"/>
      <c r="D839" s="239"/>
      <c r="E839" s="239"/>
      <c r="F839" s="239"/>
      <c r="G839" s="239"/>
      <c r="H839" s="234"/>
      <c r="I839" s="234"/>
      <c r="J839" s="234"/>
      <c r="K839" s="234"/>
      <c r="L839" s="234"/>
      <c r="M839" s="245"/>
      <c r="N839" s="246"/>
      <c r="O839" s="246"/>
      <c r="P839" s="247"/>
      <c r="Q839" s="110" t="str">
        <f>IF($Q838&lt;&gt;"",IF($Q838="W",IF(SUM(IF($H838&gt;$H840,1,0),IF($I838&gt;$I840,1,0),IF($J838&gt;$J840,1,0),IF($K838&gt;$K840,1,0),IF($L838&gt;$L840,1,0))&lt;&gt;3,"Error",""),""),"")</f>
        <v/>
      </c>
      <c r="R839" s="285"/>
      <c r="S839" s="310"/>
      <c r="T839" s="311"/>
      <c r="U839" s="311"/>
      <c r="V839" s="311"/>
      <c r="W839" s="311"/>
      <c r="X839" s="312"/>
      <c r="Y839" s="285"/>
      <c r="Z839" s="285"/>
      <c r="AA839" s="285"/>
      <c r="AB839" s="285"/>
      <c r="AC839" s="285"/>
      <c r="AD839" s="292"/>
      <c r="AE839" s="293"/>
      <c r="AF839" s="294"/>
    </row>
    <row r="840" spans="1:32" ht="12.75" customHeight="1" x14ac:dyDescent="0.25">
      <c r="A840" s="259" t="str">
        <f>K825</f>
        <v>F</v>
      </c>
      <c r="B840" s="236" t="str">
        <f ca="1">IF(AND(OFFSET($AO$1,$L825-1,8,1,1),$A826&lt;&gt;"",$J826&lt;&gt;""),CHOOSE($L825,$AP$1,$AP$2,$AP$3,$AP$4,$AP$5,$AP$6,$AP$7,$AP$8,$AP$9,$AP$10,$AP$11,$AP$12),"")</f>
        <v/>
      </c>
      <c r="C840" s="237"/>
      <c r="D840" s="237"/>
      <c r="E840" s="237"/>
      <c r="F840" s="237"/>
      <c r="G840" s="237"/>
      <c r="H840" s="233"/>
      <c r="I840" s="233"/>
      <c r="J840" s="233"/>
      <c r="K840" s="233"/>
      <c r="L840" s="233"/>
      <c r="M840" s="250" t="s">
        <v>169</v>
      </c>
      <c r="N840" s="251"/>
      <c r="O840" s="251"/>
      <c r="P840" s="252"/>
      <c r="Q840" s="40" t="str">
        <f>IF($Q838&lt;&gt;"",IF($Q838="W","L","W"),"")</f>
        <v/>
      </c>
      <c r="R840" s="14"/>
      <c r="S840" s="14"/>
      <c r="T840" s="14"/>
      <c r="U840" s="14"/>
      <c r="V840" s="14"/>
      <c r="W840" s="14"/>
      <c r="X840" s="7"/>
      <c r="Y840" s="7"/>
      <c r="Z840" s="14"/>
      <c r="AA840" s="14"/>
      <c r="AB840" s="14"/>
      <c r="AC840" s="14"/>
      <c r="AD840" s="14"/>
      <c r="AE840" s="14"/>
      <c r="AF840"/>
    </row>
    <row r="841" spans="1:32" ht="12.75" customHeight="1" x14ac:dyDescent="0.25">
      <c r="A841" s="260"/>
      <c r="B841" s="238"/>
      <c r="C841" s="239"/>
      <c r="D841" s="239"/>
      <c r="E841" s="239"/>
      <c r="F841" s="239"/>
      <c r="G841" s="239"/>
      <c r="H841" s="234"/>
      <c r="I841" s="234"/>
      <c r="J841" s="235"/>
      <c r="K841" s="235"/>
      <c r="L841" s="235"/>
      <c r="M841" s="250"/>
      <c r="N841" s="251"/>
      <c r="O841" s="251"/>
      <c r="P841" s="252"/>
      <c r="Q841" s="110" t="str">
        <f>IF($Q840&lt;&gt;"",IF($Q840="W",IF(SUM(IF($H840&gt;$H838,1,0),IF($I840&gt;$I838,1,0),IF($J840&gt;$J838,1,0),IF($K840&gt;$K838,1,0),IF($L840&gt;$L838,1,0))&lt;&gt;3,"Error",""),""),"")</f>
        <v/>
      </c>
      <c r="R841" s="14"/>
      <c r="S841" s="14"/>
      <c r="T841" s="14"/>
      <c r="U841" s="14"/>
      <c r="V841" s="14"/>
      <c r="W841" s="14"/>
      <c r="X841" s="7"/>
      <c r="Y841" s="7"/>
      <c r="Z841" s="14"/>
      <c r="AA841" s="14"/>
      <c r="AB841" s="14"/>
      <c r="AC841" s="14"/>
      <c r="AD841" s="14"/>
      <c r="AE841" s="14"/>
      <c r="AF841"/>
    </row>
    <row r="842" spans="1:32" ht="12.75" customHeight="1" x14ac:dyDescent="0.25">
      <c r="Q842" s="6"/>
      <c r="R842" s="14"/>
      <c r="S842" s="14"/>
      <c r="T842" s="14"/>
      <c r="U842" s="14"/>
      <c r="V842" s="14"/>
      <c r="W842" s="14"/>
      <c r="X842" s="7"/>
      <c r="Y842" s="7"/>
      <c r="Z842" s="14"/>
      <c r="AA842" s="14"/>
      <c r="AB842" s="14"/>
      <c r="AC842" s="14"/>
      <c r="AD842" s="14"/>
      <c r="AE842" s="14"/>
      <c r="AF842"/>
    </row>
    <row r="843" spans="1:32" ht="12.75" customHeight="1" x14ac:dyDescent="0.25">
      <c r="A843" s="15" t="s">
        <v>167</v>
      </c>
      <c r="H843" s="110" t="str">
        <f>IF($Q845&lt;&gt;"",IF(AND(AND($H845&gt;-1,$H847&gt;-1),OR($H845&gt;10,$H847&gt;10),ABS($H845-$H847)&gt;1,IF(OR($H845&gt;11,$H847&gt;11),ABS($H845-$H847)=2,TRUE),$H845=INT($H845),$H847=INT($H847)),"","Error"),"")</f>
        <v/>
      </c>
      <c r="I843" s="110" t="str">
        <f>IF($Q845&lt;&gt;"",IF(AND(AND($I845&gt;-1,$I847&gt;-1),OR($I845&gt;10,$I847&gt;10),ABS($I845-$I847)&gt;1,IF(OR($I845&gt;11,$I847&gt;11),ABS($I845-$I847)=2,TRUE),$I845=INT($I845),$I847=INT($I847)),"","Error"),"")</f>
        <v/>
      </c>
      <c r="J843" s="110" t="str">
        <f>IF($Q845&lt;&gt;"",IF(AND(AND($J845&gt;-1,$J847&gt;-1),OR($J845&gt;10,$J847&gt;10),ABS($J845-$J847)&gt;1,IF(OR($J845&gt;11,$J847&gt;11),ABS($J845-$J847)=2,TRUE),$J845=INT($J845),$J847=INT($J847)),"","Error"),"")</f>
        <v/>
      </c>
      <c r="K843" s="110" t="str">
        <f>IF($Q845&lt;&gt;"",IF(AND($K845&lt;&gt;"",$K847&lt;&gt;""), IF(AND(AND($K845&gt;-1,$K847&gt;-1),OR($K845&gt;10,$K847&gt;10),ABS($K845-$K847)&gt;1,IF(OR($K845&gt;11,$K847&gt;11),ABS($K845-$K847)=2,TRUE),$K845=INT($K845),$K847=INT($K847)),"","Error"),""),"")</f>
        <v/>
      </c>
      <c r="L843" s="110" t="str">
        <f>IF($Q845&lt;&gt;"",IF(AND($L845&lt;&gt;"",$L847&lt;&gt;""), IF(AND(AND($L845&gt;-1,$L847&gt;-1),OR($L845&gt;10,$L847&gt;10),ABS($L845-$L847)&gt;1,IF(OR($L845&gt;11,$L847&gt;11),ABS($L845-$L847)=2,TRUE),$L845=INT($L845),$L847=INT($L847)),"","Error"),""),"")</f>
        <v/>
      </c>
      <c r="Q843" s="6"/>
      <c r="R843" s="14"/>
      <c r="S843" s="14"/>
      <c r="T843" s="14"/>
      <c r="U843" s="14"/>
      <c r="V843" s="14"/>
      <c r="W843" s="14"/>
      <c r="X843" s="7"/>
      <c r="Y843" s="7"/>
      <c r="Z843" s="14"/>
      <c r="AA843" s="14"/>
      <c r="AB843" s="14"/>
      <c r="AC843" s="14"/>
      <c r="AD843" s="14"/>
      <c r="AE843" s="14"/>
      <c r="AF843"/>
    </row>
    <row r="844" spans="1:32" ht="12.75" customHeight="1" x14ac:dyDescent="0.25">
      <c r="A844" s="5" t="s">
        <v>160</v>
      </c>
      <c r="B844" s="256" t="s">
        <v>58</v>
      </c>
      <c r="C844" s="257"/>
      <c r="D844" s="257"/>
      <c r="E844" s="257"/>
      <c r="F844" s="257"/>
      <c r="G844" s="258"/>
      <c r="H844" s="5">
        <v>1</v>
      </c>
      <c r="I844" s="5">
        <v>2</v>
      </c>
      <c r="J844" s="5">
        <v>3</v>
      </c>
      <c r="K844" s="5">
        <v>4</v>
      </c>
      <c r="L844" s="5">
        <v>5</v>
      </c>
      <c r="M844" s="270"/>
      <c r="N844" s="271"/>
      <c r="O844" s="271"/>
      <c r="P844" s="272"/>
      <c r="Q844" s="6"/>
      <c r="R844" s="14"/>
      <c r="S844" s="14"/>
      <c r="T844" s="14"/>
      <c r="U844" s="14"/>
      <c r="V844" s="14"/>
      <c r="W844" s="14"/>
      <c r="X844" s="7"/>
      <c r="Y844" s="7"/>
      <c r="Z844" s="14"/>
      <c r="AA844" s="14"/>
      <c r="AB844" s="14"/>
      <c r="AC844" s="14"/>
      <c r="AD844" s="14"/>
      <c r="AE844" s="14"/>
      <c r="AF844"/>
    </row>
    <row r="845" spans="1:32" ht="12.75" customHeight="1" x14ac:dyDescent="0.25">
      <c r="A845" s="259" t="str">
        <f>B825</f>
        <v>C</v>
      </c>
      <c r="B845" s="236" t="str">
        <f ca="1">IF(AND(OFFSET($AO$1,$C825-1,8,1,1),$A826&lt;&gt;"",$J826&lt;&gt;""),CHOOSE($C825,$AQ$1,$AQ$2,$AQ$3,$AQ$4,$AQ$5,$AQ$6,$AQ$7,$AQ$8,$AQ$9,$AQ$10,$AQ$11,$AQ$12),"")</f>
        <v/>
      </c>
      <c r="C845" s="237"/>
      <c r="D845" s="237"/>
      <c r="E845" s="237"/>
      <c r="F845" s="237"/>
      <c r="G845" s="237"/>
      <c r="H845" s="233"/>
      <c r="I845" s="233"/>
      <c r="J845" s="233"/>
      <c r="K845" s="233"/>
      <c r="L845" s="233"/>
      <c r="M845" s="245" t="str">
        <f ca="1">IF(OR(AND($B838&lt;&gt;"",$B845&lt;&gt;"",$D856&lt;=$C856),AND($B840&lt;&gt;"",$B847&lt;&gt;"",$H856&lt;=$G856)),"Invalid Lineup","")</f>
        <v/>
      </c>
      <c r="N845" s="246"/>
      <c r="O845" s="246"/>
      <c r="P845" s="247"/>
      <c r="Q845" s="40" t="str">
        <f>IF($L845=$L847,IF($K845=$K847,IF($J845&lt;&gt;"",IF($J845&gt;$J847,"W","L"),""),IF($K845&gt;$K847,"W","L")),IF($L845&gt;$L847,"W","L"))</f>
        <v/>
      </c>
      <c r="R845" s="14"/>
      <c r="S845" s="14"/>
      <c r="T845" s="14"/>
      <c r="U845" s="14"/>
      <c r="V845" s="14"/>
      <c r="W845" s="14"/>
      <c r="X845" s="7"/>
      <c r="Y845" s="7"/>
      <c r="Z845" s="14"/>
      <c r="AA845" s="14"/>
      <c r="AB845" s="14"/>
      <c r="AC845" s="14"/>
      <c r="AD845" s="14"/>
      <c r="AE845" s="14"/>
      <c r="AF845"/>
    </row>
    <row r="846" spans="1:32" ht="12.75" customHeight="1" x14ac:dyDescent="0.25">
      <c r="A846" s="260"/>
      <c r="B846" s="238"/>
      <c r="C846" s="239"/>
      <c r="D846" s="239"/>
      <c r="E846" s="239"/>
      <c r="F846" s="239"/>
      <c r="G846" s="239"/>
      <c r="H846" s="234"/>
      <c r="I846" s="234"/>
      <c r="J846" s="234"/>
      <c r="K846" s="234"/>
      <c r="L846" s="234"/>
      <c r="M846" s="245"/>
      <c r="N846" s="246"/>
      <c r="O846" s="246"/>
      <c r="P846" s="247"/>
      <c r="Q846" s="110" t="str">
        <f>IF($Q845&lt;&gt;"",IF($Q845="W",IF(SUM(IF($H845&gt;$H847,1,0),IF($I845&gt;$I847,1,0),IF($J845&gt;$J847,1,0),IF($K845&gt;$K847,1,0),IF($L845&gt;$L847,1,0))&lt;&gt;3,"Error",""),""),"")</f>
        <v/>
      </c>
      <c r="R846" s="295" t="str">
        <f>$A826</f>
        <v/>
      </c>
      <c r="S846" s="295"/>
      <c r="T846" s="295"/>
      <c r="U846" s="295"/>
      <c r="V846" s="295"/>
      <c r="W846" s="295"/>
      <c r="X846" s="219" t="str">
        <f>CONCATENATE("(",$B825," vs ",$K825,")")</f>
        <v>(C vs F)</v>
      </c>
      <c r="Y846" s="219"/>
      <c r="Z846" s="295" t="str">
        <f>$J826</f>
        <v/>
      </c>
      <c r="AA846" s="295"/>
      <c r="AB846" s="295"/>
      <c r="AC846" s="295"/>
      <c r="AD846" s="295"/>
      <c r="AE846" s="295"/>
      <c r="AF846"/>
    </row>
    <row r="847" spans="1:32" ht="12.75" customHeight="1" x14ac:dyDescent="0.25">
      <c r="A847" s="259" t="str">
        <f>K825</f>
        <v>F</v>
      </c>
      <c r="B847" s="236" t="str">
        <f ca="1">IF(AND(OFFSET($AO$1,$L825-1,8,1,1),$A826&lt;&gt;"",$J826&lt;&gt;""),CHOOSE($L825,$AQ$1,$AQ$2,$AQ$3,$AQ$4,$AQ$5,$AQ$6,$AQ$7,$AQ$8,$AQ$9,$AQ$10,$AQ$11,$AQ$12),"")</f>
        <v/>
      </c>
      <c r="C847" s="237"/>
      <c r="D847" s="237"/>
      <c r="E847" s="237"/>
      <c r="F847" s="237"/>
      <c r="G847" s="237"/>
      <c r="H847" s="233"/>
      <c r="I847" s="233"/>
      <c r="J847" s="233"/>
      <c r="K847" s="233"/>
      <c r="L847" s="233"/>
      <c r="M847" s="250" t="s">
        <v>169</v>
      </c>
      <c r="N847" s="251"/>
      <c r="O847" s="251"/>
      <c r="P847" s="252"/>
      <c r="Q847" s="40" t="str">
        <f>IF($Q845&lt;&gt;"",IF($Q845="W","L","W"),"")</f>
        <v/>
      </c>
      <c r="R847"/>
      <c r="S847"/>
      <c r="T847"/>
      <c r="U847"/>
      <c r="V847"/>
      <c r="W847"/>
      <c r="X847"/>
      <c r="Y847"/>
      <c r="Z847"/>
      <c r="AA847"/>
      <c r="AB847"/>
      <c r="AC847"/>
      <c r="AD847"/>
      <c r="AE847"/>
      <c r="AF847"/>
    </row>
    <row r="848" spans="1:32" ht="12.75" customHeight="1" x14ac:dyDescent="0.25">
      <c r="A848" s="260"/>
      <c r="B848" s="238"/>
      <c r="C848" s="239"/>
      <c r="D848" s="239"/>
      <c r="E848" s="239"/>
      <c r="F848" s="239"/>
      <c r="G848" s="239"/>
      <c r="H848" s="234"/>
      <c r="I848" s="234"/>
      <c r="J848" s="235"/>
      <c r="K848" s="235"/>
      <c r="L848" s="235"/>
      <c r="M848" s="250"/>
      <c r="N848" s="251"/>
      <c r="O848" s="251"/>
      <c r="P848" s="252"/>
      <c r="Q848" s="110" t="str">
        <f>IF($Q847&lt;&gt;"",IF($Q847="W",IF(SUM(IF($H847&gt;$H845,1,0),IF($I847&gt;$I845,1,0),IF($J847&gt;$J845,1,0),IF($K847&gt;$K845,1,0),IF($L847&gt;$L845,1,0))&lt;&gt;3,"Error",""),""),"")</f>
        <v/>
      </c>
      <c r="R848" t="str">
        <f>$A843</f>
        <v>3rd Singles</v>
      </c>
      <c r="S848"/>
      <c r="T848"/>
      <c r="U848"/>
      <c r="V848"/>
      <c r="W848"/>
      <c r="X848"/>
      <c r="Y848"/>
      <c r="Z848"/>
      <c r="AA848"/>
      <c r="AB848"/>
      <c r="AC848"/>
      <c r="AD848"/>
      <c r="AE848"/>
      <c r="AF848"/>
    </row>
    <row r="849" spans="1:32" ht="12.75" customHeight="1" x14ac:dyDescent="0.25">
      <c r="Q849" s="6"/>
      <c r="R849" s="47" t="s">
        <v>160</v>
      </c>
      <c r="S849" s="86" t="s">
        <v>58</v>
      </c>
      <c r="T849" s="87"/>
      <c r="U849" s="87"/>
      <c r="V849" s="87"/>
      <c r="W849" s="87"/>
      <c r="X849" s="88"/>
      <c r="Y849" s="47">
        <v>1</v>
      </c>
      <c r="Z849" s="47">
        <v>2</v>
      </c>
      <c r="AA849" s="47">
        <v>3</v>
      </c>
      <c r="AB849" s="47">
        <v>4</v>
      </c>
      <c r="AC849" s="47">
        <v>5</v>
      </c>
      <c r="AD849" s="89"/>
      <c r="AE849" s="90"/>
      <c r="AF849" s="91"/>
    </row>
    <row r="850" spans="1:32" ht="12.75" customHeight="1" x14ac:dyDescent="0.25">
      <c r="A850" s="15" t="s">
        <v>168</v>
      </c>
      <c r="H850" s="110" t="str">
        <f ca="1">IF($Q852&lt;&gt;"",IF(AND($B852&lt;&gt;"Missing Player",$B854&lt;&gt;"Missing Player"),IF(AND(AND($H852&gt;-1,$H854&gt;-1),OR($H852&gt;10,$H854&gt;10),ABS($H852-$H854)&gt;1,IF(OR($H852&gt;11,$H854&gt;11),ABS($H852-$H854)=2,TRUE),$H852=INT($H852),$H854=INT($H854)),"","Error"),""),"")</f>
        <v/>
      </c>
      <c r="I850" s="110" t="str">
        <f ca="1">IF($Q852&lt;&gt;"",IF(AND($B852&lt;&gt;"Missing Player",$B854&lt;&gt;"Missing Player"),IF(AND(AND($I852&gt;-1,$I854&gt;-1),OR($I852&gt;10,$I854&gt;10),ABS($I852-$I854)&gt;1,IF(OR($I852&gt;11,$I854&gt;11),ABS($I852-$I854)=2,TRUE),$I852=INT($I852),$I854=INT($I854)),"","Error"),""),"")</f>
        <v/>
      </c>
      <c r="J850" s="110" t="str">
        <f ca="1">IF($Q852&lt;&gt;"",IF(AND($B852&lt;&gt;"Missing Player",$B854&lt;&gt;"Missing Player"),IF(AND(AND($J852&gt;-1,$J854&gt;-1),OR($J852&gt;10,$J854&gt;10),ABS($J852-$J854)&gt;1,IF(OR($J852&gt;11,$J854&gt;11),ABS($J852-$J854)=2,TRUE),$J852=INT($J852),$J854=INT($J854)),"","Error"),""),"")</f>
        <v/>
      </c>
      <c r="K850" s="110" t="str">
        <f ca="1">IF($Q852&lt;&gt;"",IF(AND($K852&lt;&gt;"",$K854&lt;&gt;""), IF(AND(AND($K852&gt;-1,$K854&gt;-1),OR($K852&gt;10,$K854&gt;10),ABS($K852-$K854)&gt;1,IF(OR($K852&gt;11,$K854&gt;11),ABS($K852-$K854)=2,TRUE),$K852=INT($K852),$K854=INT($K854)),"","Error"),""),"")</f>
        <v/>
      </c>
      <c r="L850" s="110" t="str">
        <f ca="1">IF($Q852&lt;&gt;"",IF(AND($L852&lt;&gt;"",$L854&lt;&gt;""), IF(AND(AND($L852&gt;-1,$L854&gt;-1),OR($L852&gt;10,$L854&gt;10),ABS($L852-$L854)&gt;1,IF(OR($L852&gt;11,$L854&gt;11),ABS($L852-$L854)=2,TRUE),$L852=INT($L852),$L854=INT($L854)),"","Error"),""),"")</f>
        <v/>
      </c>
      <c r="Q850" s="6"/>
      <c r="R850" s="259" t="str">
        <f>$B825</f>
        <v>C</v>
      </c>
      <c r="S850" s="307" t="str">
        <f ca="1">IF($B845&lt;&gt;"",$B845,"")</f>
        <v/>
      </c>
      <c r="T850" s="308"/>
      <c r="U850" s="308"/>
      <c r="V850" s="308"/>
      <c r="W850" s="308"/>
      <c r="X850" s="309"/>
      <c r="Y850" s="284"/>
      <c r="Z850" s="284"/>
      <c r="AA850" s="284"/>
      <c r="AB850" s="284"/>
      <c r="AC850" s="284"/>
      <c r="AD850" s="296"/>
      <c r="AE850" s="290"/>
      <c r="AF850" s="291"/>
    </row>
    <row r="851" spans="1:32" ht="12.75" customHeight="1" x14ac:dyDescent="0.25">
      <c r="A851" s="5" t="s">
        <v>160</v>
      </c>
      <c r="B851" s="256" t="s">
        <v>58</v>
      </c>
      <c r="C851" s="257"/>
      <c r="D851" s="257"/>
      <c r="E851" s="257"/>
      <c r="F851" s="257"/>
      <c r="G851" s="258"/>
      <c r="H851" s="5">
        <v>1</v>
      </c>
      <c r="I851" s="5">
        <v>2</v>
      </c>
      <c r="J851" s="5">
        <v>3</v>
      </c>
      <c r="K851" s="5">
        <v>4</v>
      </c>
      <c r="L851" s="5">
        <v>5</v>
      </c>
      <c r="M851" s="270"/>
      <c r="N851" s="271"/>
      <c r="O851" s="271"/>
      <c r="P851" s="272"/>
      <c r="Q851" s="6"/>
      <c r="R851" s="285"/>
      <c r="S851" s="310"/>
      <c r="T851" s="311"/>
      <c r="U851" s="311"/>
      <c r="V851" s="311"/>
      <c r="W851" s="311"/>
      <c r="X851" s="312"/>
      <c r="Y851" s="285"/>
      <c r="Z851" s="285"/>
      <c r="AA851" s="285"/>
      <c r="AB851" s="285"/>
      <c r="AC851" s="285"/>
      <c r="AD851" s="292"/>
      <c r="AE851" s="293"/>
      <c r="AF851" s="294"/>
    </row>
    <row r="852" spans="1:32" ht="12.75" customHeight="1" x14ac:dyDescent="0.25">
      <c r="A852" s="259" t="str">
        <f>B825</f>
        <v>C</v>
      </c>
      <c r="B852" s="236" t="str">
        <f ca="1">IF(AND(OFFSET($AO$1,$C825-1,8,1,1),$A826&lt;&gt;"",$J826&lt;&gt;""),CHOOSE($C825,$AR$1,$AR$2,$AR$3,$AR$4,$AR$5,$AR$6,$AR$7,$AR$8,$AR$9,$AR$10,$AR$11,$AR$12),"")</f>
        <v/>
      </c>
      <c r="C852" s="237"/>
      <c r="D852" s="237"/>
      <c r="E852" s="237"/>
      <c r="F852" s="237"/>
      <c r="G852" s="237"/>
      <c r="H852" s="233"/>
      <c r="I852" s="233"/>
      <c r="J852" s="233"/>
      <c r="K852" s="233"/>
      <c r="L852" s="233" t="str">
        <f ca="1">IF(AND($B852&lt;&gt;"",$Q831&lt;&gt;""),IF($B852="Missing Player",0,IF($B854="Missing Player",11,"")),"")</f>
        <v/>
      </c>
      <c r="M852" s="245" t="str">
        <f ca="1">IF(OR(AND($B845&lt;&gt;"",$B852&lt;&gt;"",$E856&lt;=$D856),AND($B847&lt;&gt;"",$B854&lt;&gt;"",$I856&lt;=$H856)),"Invalid Lineup","")</f>
        <v/>
      </c>
      <c r="N852" s="246"/>
      <c r="O852" s="246"/>
      <c r="P852" s="247"/>
      <c r="Q852" s="40" t="str">
        <f ca="1">IF($L852=$L854,IF($K852=$K854,IF($J852&lt;&gt;"",IF($J852&gt;$J854,"W","L"),""),IF($K852&gt;$K854,"W","L")),IF($L852&gt;$L854,"W","L"))</f>
        <v/>
      </c>
      <c r="R852" s="259" t="str">
        <f>$K825</f>
        <v>F</v>
      </c>
      <c r="S852" s="307" t="str">
        <f ca="1">IF($B847&lt;&gt;"",$B847,"")</f>
        <v/>
      </c>
      <c r="T852" s="308"/>
      <c r="U852" s="308"/>
      <c r="V852" s="308"/>
      <c r="W852" s="308"/>
      <c r="X852" s="309"/>
      <c r="Y852" s="284"/>
      <c r="Z852" s="284"/>
      <c r="AA852" s="284"/>
      <c r="AB852" s="284"/>
      <c r="AC852" s="297"/>
      <c r="AD852" s="289" t="s">
        <v>169</v>
      </c>
      <c r="AE852" s="290"/>
      <c r="AF852" s="291"/>
    </row>
    <row r="853" spans="1:32" ht="12.75" customHeight="1" x14ac:dyDescent="0.25">
      <c r="A853" s="260"/>
      <c r="B853" s="238"/>
      <c r="C853" s="239"/>
      <c r="D853" s="239"/>
      <c r="E853" s="239"/>
      <c r="F853" s="239"/>
      <c r="G853" s="239"/>
      <c r="H853" s="234"/>
      <c r="I853" s="234"/>
      <c r="J853" s="234"/>
      <c r="K853" s="234"/>
      <c r="L853" s="234"/>
      <c r="M853" s="245"/>
      <c r="N853" s="246"/>
      <c r="O853" s="246"/>
      <c r="P853" s="247"/>
      <c r="Q853" s="110" t="str">
        <f ca="1">IF($Q852&lt;&gt;"",IF($B854&lt;&gt;"Missing Player",IF($Q852="W",IF(SUM(IF($H852&gt;$H854,1,0),IF($I852&gt;$I854,1,0),IF($J852&gt;$J854,1,0),IF($K852&gt;$K854,1,0),IF($L852&gt;$L854,1,0))&lt;&gt;3,"Error",""),""),""),"")</f>
        <v/>
      </c>
      <c r="R853" s="285"/>
      <c r="S853" s="310"/>
      <c r="T853" s="311"/>
      <c r="U853" s="311"/>
      <c r="V853" s="311"/>
      <c r="W853" s="311"/>
      <c r="X853" s="312"/>
      <c r="Y853" s="285"/>
      <c r="Z853" s="285"/>
      <c r="AA853" s="285"/>
      <c r="AB853" s="285"/>
      <c r="AC853" s="285"/>
      <c r="AD853" s="292"/>
      <c r="AE853" s="293"/>
      <c r="AF853" s="294"/>
    </row>
    <row r="854" spans="1:32" ht="12.75" customHeight="1" x14ac:dyDescent="0.25">
      <c r="A854" s="259" t="str">
        <f>K825</f>
        <v>F</v>
      </c>
      <c r="B854" s="236" t="str">
        <f ca="1">IF(AND(OFFSET($AO$1,$L825-1,8,1,1),$A826&lt;&gt;"",$J826&lt;&gt;""),CHOOSE($L825,$AR$1,$AR$2,$AR$3,$AR$4,$AR$5,$AR$6,$AR$7,$AR$8,$AR$9,$AR$10,$AR$11,$AR$12),"")</f>
        <v/>
      </c>
      <c r="C854" s="237"/>
      <c r="D854" s="237"/>
      <c r="E854" s="237"/>
      <c r="F854" s="237"/>
      <c r="G854" s="237"/>
      <c r="H854" s="233"/>
      <c r="I854" s="233"/>
      <c r="J854" s="233"/>
      <c r="K854" s="233"/>
      <c r="L854" s="233" t="str">
        <f ca="1">IF(AND($B854&lt;&gt;"",$Q831&lt;&gt;""),IF($B854="Missing Player",0,IF($B852="Missing Player",11,"")),"")</f>
        <v/>
      </c>
      <c r="M854" s="250" t="s">
        <v>169</v>
      </c>
      <c r="N854" s="251"/>
      <c r="O854" s="251"/>
      <c r="P854" s="252"/>
      <c r="Q854" s="40" t="str">
        <f ca="1">IF($Q852&lt;&gt;"",IF($Q852="W","L","W"),"")</f>
        <v/>
      </c>
      <c r="R854" s="94"/>
      <c r="S854" s="84"/>
      <c r="T854" s="84"/>
      <c r="U854" s="84"/>
      <c r="V854" s="84"/>
      <c r="W854" s="84"/>
      <c r="X854" s="84"/>
      <c r="Y854" s="93"/>
      <c r="Z854" s="93"/>
      <c r="AA854" s="93"/>
      <c r="AB854" s="93"/>
      <c r="AC854" s="93"/>
      <c r="AD854" s="92"/>
      <c r="AE854" s="93"/>
      <c r="AF854" s="93"/>
    </row>
    <row r="855" spans="1:32" ht="12.75" customHeight="1" x14ac:dyDescent="0.25">
      <c r="A855" s="260"/>
      <c r="B855" s="238"/>
      <c r="C855" s="239"/>
      <c r="D855" s="239"/>
      <c r="E855" s="239"/>
      <c r="F855" s="239"/>
      <c r="G855" s="239"/>
      <c r="H855" s="234"/>
      <c r="I855" s="234"/>
      <c r="J855" s="235"/>
      <c r="K855" s="235"/>
      <c r="L855" s="235"/>
      <c r="M855" s="250"/>
      <c r="N855" s="251"/>
      <c r="O855" s="251"/>
      <c r="P855" s="252"/>
      <c r="Q855" s="110" t="str">
        <f ca="1">IF($Q854&lt;&gt;"",IF($B852&lt;&gt;"Missing Player",IF($Q854="W",IF(SUM(IF($H854&gt;$H852,1,0),IF($I854&gt;$I852,1,0),IF($J854&gt;$J852,1,0),IF($K854&gt;$K852,1,0),IF($L854&gt;$L852,1,0))&lt;&gt;3,"Error",""),""),""),"")</f>
        <v/>
      </c>
      <c r="R855" s="85"/>
      <c r="S855" s="95"/>
      <c r="T855" s="95"/>
      <c r="U855" s="95"/>
      <c r="V855" s="95"/>
      <c r="W855" s="95"/>
      <c r="X855" s="95"/>
      <c r="Y855" s="85"/>
      <c r="Z855" s="85"/>
      <c r="AA855" s="85"/>
      <c r="AB855" s="85"/>
      <c r="AC855" s="85"/>
      <c r="AD855" s="85"/>
      <c r="AE855" s="85"/>
      <c r="AF855" s="85"/>
    </row>
    <row r="856" spans="1:32" ht="12.75" customHeight="1" x14ac:dyDescent="0.25">
      <c r="B856" s="111" t="str">
        <f ca="1">IF(ISERROR(VLOOKUP($B831&amp;"("&amp;$B825&amp;")",Players!$S$4:$T$132,2,FALSE)),"",VLOOKUP($B831&amp;"("&amp;$B825&amp;")",Players!$S$4:$T$132,2,FALSE))</f>
        <v>C1</v>
      </c>
      <c r="C856" s="111" t="str">
        <f ca="1">IF(ISERROR(VLOOKUP($B838&amp;"("&amp;$B825&amp;")",Players!$S$4:$T$132,2,FALSE)),"",VLOOKUP($B838&amp;"("&amp;$B825&amp;")",Players!$S$4:$T$132,2,FALSE))</f>
        <v>C1</v>
      </c>
      <c r="D856" s="111" t="str">
        <f ca="1">IF(ISERROR(VLOOKUP($B845&amp;"("&amp;$B825&amp;")",Players!$S$4:$T$132,2,FALSE)),"",VLOOKUP($B845&amp;"("&amp;$B825&amp;")",Players!$S$4:$T$132,2,FALSE))</f>
        <v>C1</v>
      </c>
      <c r="E856" s="111" t="str">
        <f ca="1">IF(ISERROR(VLOOKUP($B852&amp;"("&amp;$B825&amp;")",Players!$S$4:$T$132,2,FALSE)),"",VLOOKUP($B852&amp;"("&amp;$B825&amp;")",Players!$S$4:$T$132,2,FALSE))</f>
        <v>C1</v>
      </c>
      <c r="F856" s="111" t="str">
        <f ca="1">IF(ISERROR(VLOOKUP($B833&amp;"("&amp;$K825&amp;")",Players!$S$4:$T$132,2,FALSE)),"",VLOOKUP($B833&amp;"("&amp;$K825&amp;")",Players!$S$4:$T$132,2,FALSE))</f>
        <v>F1</v>
      </c>
      <c r="G856" s="111" t="str">
        <f ca="1">IF(ISERROR(VLOOKUP($B840&amp;"("&amp;$K825&amp;")",Players!$S$4:$T$132,2,FALSE)),"",VLOOKUP($B840&amp;"("&amp;$K825&amp;")",Players!$S$4:$T$132,2,FALSE))</f>
        <v>F1</v>
      </c>
      <c r="H856" s="111" t="str">
        <f ca="1">IF(ISERROR(VLOOKUP($B847&amp;"("&amp;$K825&amp;")",Players!$S$4:$T$132,2,FALSE)),"",VLOOKUP($B847&amp;"("&amp;$K825&amp;")",Players!$S$4:$T$132,2,FALSE))</f>
        <v>F1</v>
      </c>
      <c r="I856" s="111" t="str">
        <f ca="1">IF(ISERROR(VLOOKUP($B854&amp;"("&amp;$K825&amp;")",Players!$S$4:$T$132,2,FALSE)),"",VLOOKUP($B854&amp;"("&amp;$K825&amp;")",Players!$S$4:$T$132,2,FALSE))</f>
        <v>F1</v>
      </c>
      <c r="Q856" s="6"/>
      <c r="R856" s="37"/>
      <c r="S856" s="95"/>
      <c r="T856" s="95"/>
      <c r="U856" s="95"/>
      <c r="V856" s="95"/>
      <c r="W856" s="95"/>
      <c r="X856" s="95"/>
      <c r="Y856" s="85"/>
      <c r="Z856" s="85"/>
      <c r="AA856" s="85"/>
      <c r="AB856" s="85"/>
      <c r="AC856" s="96"/>
      <c r="AD856" s="97"/>
      <c r="AE856" s="85"/>
      <c r="AF856" s="85"/>
    </row>
    <row r="857" spans="1:32" ht="12.75" customHeight="1" x14ac:dyDescent="0.25">
      <c r="A857" s="15" t="s">
        <v>157</v>
      </c>
      <c r="H857" s="110" t="str">
        <f ca="1">IF($Q859&lt;&gt;"",IF(AND($B860&lt;&gt;"Missing Player",$B862&lt;&gt;"Missing Player"),IF(AND(AND($H859&gt;-1,$H861&gt;-1),OR($H859&gt;10,$H861&gt;10),ABS($H859-$H861)&gt;1,IF(OR($H859&gt;11,$H861&gt;11),ABS($H859-$H861)=2,TRUE),$H859=INT($H859),$H861=INT($H861)),"","Error"),""),"")</f>
        <v/>
      </c>
      <c r="I857" s="110" t="str">
        <f ca="1">IF($Q859&lt;&gt;"",IF(AND($B860&lt;&gt;"Missing Player",$B862&lt;&gt;"Missing Player"),IF(AND(AND($I859&gt;-1,$I861&gt;-1),OR($I859&gt;10,$I861&gt;10),ABS($I859-$I861)&gt;1,IF(OR($I859&gt;11,$I861&gt;11),ABS($I859-$I861)=2,TRUE),$I859=INT($I859),$I861=INT($I861)),"","Error"),""),"")</f>
        <v/>
      </c>
      <c r="J857" s="110" t="str">
        <f ca="1">IF($Q859&lt;&gt;"",IF(AND($B860&lt;&gt;"Missing Player",$B862&lt;&gt;"Missing Player"),IF(AND(AND($J859&gt;-1,$J861&gt;-1),OR($J859&gt;10,$J861&gt;10),ABS($J859-$J861)&gt;1,IF(OR($J859&gt;11,$J861&gt;11),ABS($J859-$J861)=2,TRUE),$J859=INT($J859),$J861=INT($J861)),"","Error"),""),"")</f>
        <v/>
      </c>
      <c r="K857" s="110" t="str">
        <f ca="1">IF($Q859&lt;&gt;"",IF(AND($K859&lt;&gt;"",$K861&lt;&gt;""), IF(AND(AND($K859&gt;-1,$K861&gt;-1),OR($K859&gt;10,$K861&gt;10),ABS($K859-$K861)&gt;1,IF(OR($K859&gt;11,$K861&gt;11),ABS($K859-$K861)=2,TRUE),$K859=INT($K859),$K861=INT($K861)),"","Error"),""),"")</f>
        <v/>
      </c>
      <c r="L857" s="110" t="str">
        <f ca="1">IF($Q859&lt;&gt;"",IF(AND($L859&lt;&gt;"",$L861&lt;&gt;""), IF(AND(AND($L859&gt;-1,$L861&gt;-1),OR($L859&gt;10,$L861&gt;10),ABS($L859-$L861)&gt;1,IF(OR($L859&gt;11,$L861&gt;11),ABS($L859-$L861)=2,TRUE),$L859=INT($L859),$L861=INT($L861)),"","Error"),""),"")</f>
        <v/>
      </c>
      <c r="Q857" s="6"/>
      <c r="R857" s="85"/>
      <c r="S857" s="95"/>
      <c r="T857" s="95"/>
      <c r="U857" s="95"/>
      <c r="V857" s="95"/>
      <c r="W857" s="95"/>
      <c r="X857" s="95"/>
      <c r="Y857" s="85"/>
      <c r="Z857" s="85"/>
      <c r="AA857" s="85"/>
      <c r="AB857" s="85"/>
      <c r="AC857" s="85"/>
      <c r="AD857" s="85"/>
      <c r="AE857" s="85"/>
      <c r="AF857" s="85"/>
    </row>
    <row r="858" spans="1:32" ht="12.75" customHeight="1" x14ac:dyDescent="0.25">
      <c r="A858" s="5" t="s">
        <v>160</v>
      </c>
      <c r="B858" s="256" t="s">
        <v>58</v>
      </c>
      <c r="C858" s="257"/>
      <c r="D858" s="257"/>
      <c r="E858" s="257"/>
      <c r="F858" s="257"/>
      <c r="G858" s="258"/>
      <c r="H858" s="5">
        <v>1</v>
      </c>
      <c r="I858" s="5">
        <v>2</v>
      </c>
      <c r="J858" s="5">
        <v>3</v>
      </c>
      <c r="K858" s="5">
        <v>4</v>
      </c>
      <c r="L858" s="5">
        <v>5</v>
      </c>
      <c r="M858" s="270"/>
      <c r="N858" s="271"/>
      <c r="O858" s="271"/>
      <c r="P858" s="272"/>
      <c r="Q858" s="6"/>
      <c r="T858" s="7"/>
    </row>
    <row r="859" spans="1:32" ht="12.75" customHeight="1" x14ac:dyDescent="0.25">
      <c r="A859" s="259" t="str">
        <f>B825</f>
        <v>C</v>
      </c>
      <c r="B859" s="230" t="str">
        <f ca="1">IF($B831&lt;&gt;"",$B831,"")</f>
        <v/>
      </c>
      <c r="C859" s="231"/>
      <c r="D859" s="231"/>
      <c r="E859" s="231"/>
      <c r="F859" s="231"/>
      <c r="G859" s="232"/>
      <c r="H859" s="233"/>
      <c r="I859" s="233"/>
      <c r="J859" s="233"/>
      <c r="K859" s="233"/>
      <c r="L859" s="233" t="str">
        <f ca="1">IF($B852&lt;&gt;"",IF(AND($B852="Missing Player",$G863=2,$J863=2),0,IF(AND($B854="Missing Player",$G863=2,$J863=2),11,"")),"")</f>
        <v/>
      </c>
      <c r="M859" s="245" t="str">
        <f ca="1">IF(OR(AND($B859&lt;&gt;"",$B860&lt;&gt;"",$B859=$B860),AND($B861&lt;&gt;"",$B862&lt;&gt;"",$B861=$B862)),"Invalid Partner","")</f>
        <v/>
      </c>
      <c r="N859" s="246"/>
      <c r="O859" s="246"/>
      <c r="P859" s="247"/>
      <c r="Q859" s="37" t="str">
        <f ca="1">IF(L859=L861,IF(K859=K861,IF(J859&lt;&gt;"",IF(J859&gt;J861,"W","L"),""),IF(K859&gt;K861,"W","L")),IF(L859&gt;L861,"W","L"))</f>
        <v/>
      </c>
      <c r="T859" s="7"/>
    </row>
    <row r="860" spans="1:32" ht="12.75" customHeight="1" x14ac:dyDescent="0.25">
      <c r="A860" s="260"/>
      <c r="B860" s="266" t="str">
        <f ca="1">IF($B852="Missing Player",$B852,"")</f>
        <v/>
      </c>
      <c r="C860" s="267"/>
      <c r="D860" s="267"/>
      <c r="E860" s="267"/>
      <c r="F860" s="267"/>
      <c r="G860" s="268"/>
      <c r="H860" s="234"/>
      <c r="I860" s="234"/>
      <c r="J860" s="234"/>
      <c r="K860" s="234"/>
      <c r="L860" s="234"/>
      <c r="M860" s="245"/>
      <c r="N860" s="246"/>
      <c r="O860" s="246"/>
      <c r="P860" s="247"/>
      <c r="Q860" s="110" t="str">
        <f ca="1">IF($Q859&lt;&gt;"",IF($B862&lt;&gt;"Missing Player",IF($Q859="W",IF(SUM(IF($H859&gt;$H861,1,0),IF($I859&gt;$I861,1,0),IF($J859&gt;$J861,1,0),IF($K859&gt;$K861,1,0),IF($L859&gt;$L861,1,0))&lt;&gt;3,"Error",""),""),""),"")</f>
        <v/>
      </c>
      <c r="R860" s="295" t="str">
        <f>$A826</f>
        <v/>
      </c>
      <c r="S860" s="295"/>
      <c r="T860" s="295"/>
      <c r="U860" s="295"/>
      <c r="V860" s="295"/>
      <c r="W860" s="295"/>
      <c r="X860" s="219" t="str">
        <f>CONCATENATE("(",$B825," vs ",$K825,")")</f>
        <v>(C vs F)</v>
      </c>
      <c r="Y860" s="219"/>
      <c r="Z860" s="295" t="str">
        <f>$J826</f>
        <v/>
      </c>
      <c r="AA860" s="295"/>
      <c r="AB860" s="295"/>
      <c r="AC860" s="295"/>
      <c r="AD860" s="295"/>
      <c r="AE860" s="295"/>
      <c r="AF860"/>
    </row>
    <row r="861" spans="1:32" ht="12.75" customHeight="1" x14ac:dyDescent="0.25">
      <c r="A861" s="265" t="str">
        <f>K825</f>
        <v>F</v>
      </c>
      <c r="B861" s="230" t="str">
        <f ca="1">IF($B833&lt;&gt;"",$B833,"")</f>
        <v/>
      </c>
      <c r="C861" s="231"/>
      <c r="D861" s="231"/>
      <c r="E861" s="231"/>
      <c r="F861" s="231"/>
      <c r="G861" s="232"/>
      <c r="H861" s="233"/>
      <c r="I861" s="233"/>
      <c r="J861" s="233"/>
      <c r="K861" s="233"/>
      <c r="L861" s="233" t="str">
        <f ca="1">IF($B854&lt;&gt;"",IF(AND($B854="Missing Player",$G863=2,$J863=2),0,IF(AND($B852="Missing Player",$G863=2,$J863=2),11,"")),"")</f>
        <v/>
      </c>
      <c r="M861" s="250" t="s">
        <v>169</v>
      </c>
      <c r="N861" s="251"/>
      <c r="O861" s="251"/>
      <c r="P861" s="252"/>
      <c r="Q861" s="37" t="str">
        <f ca="1">IF(Q859&lt;&gt;"",IF(Q859="W","L","W"),"")</f>
        <v/>
      </c>
      <c r="R861"/>
      <c r="S861"/>
      <c r="T861"/>
      <c r="U861"/>
      <c r="V861"/>
      <c r="W861"/>
      <c r="X861"/>
      <c r="Y861"/>
      <c r="Z861"/>
      <c r="AA861"/>
      <c r="AB861"/>
      <c r="AC861"/>
      <c r="AD861"/>
      <c r="AE861"/>
      <c r="AF861"/>
    </row>
    <row r="862" spans="1:32" ht="12.75" customHeight="1" x14ac:dyDescent="0.25">
      <c r="A862" s="260"/>
      <c r="B862" s="266" t="str">
        <f ca="1">IF($B854="Missing Player",$B854,"")</f>
        <v/>
      </c>
      <c r="C862" s="267"/>
      <c r="D862" s="267"/>
      <c r="E862" s="267"/>
      <c r="F862" s="267"/>
      <c r="G862" s="268"/>
      <c r="H862" s="234"/>
      <c r="I862" s="234"/>
      <c r="J862" s="235"/>
      <c r="K862" s="235"/>
      <c r="L862" s="235"/>
      <c r="M862" s="250"/>
      <c r="N862" s="251"/>
      <c r="O862" s="251"/>
      <c r="P862" s="252"/>
      <c r="Q862" s="110" t="str">
        <f ca="1">IF($Q861&lt;&gt;"",IF($B860&lt;&gt;"Missing Player",IF($Q861="W",IF(SUM(IF($H861&gt;$H859,1,0),IF($I861&gt;$I859,1,0),IF($J861&gt;$J859,1,0),IF($K861&gt;$K859,1,0),IF($L861&gt;$L859,1,0))&lt;&gt;3,"Error",""),""),""),"")</f>
        <v/>
      </c>
      <c r="R862" t="str">
        <f>A850</f>
        <v>4th Singles</v>
      </c>
      <c r="S862"/>
      <c r="T862"/>
      <c r="U862"/>
      <c r="V862"/>
      <c r="W862"/>
      <c r="X862"/>
      <c r="Y862"/>
      <c r="Z862"/>
      <c r="AA862"/>
      <c r="AB862"/>
      <c r="AC862"/>
      <c r="AD862"/>
      <c r="AE862"/>
      <c r="AF862"/>
    </row>
    <row r="863" spans="1:32" ht="12.75" customHeight="1" x14ac:dyDescent="0.25">
      <c r="G863" s="53">
        <f ca="1">COUNTIF($Q831:$Q831,"W")+COUNTIF($Q838:$Q838,"W")+COUNTIF($Q845:$Q845,"W")+COUNTIF($Q852:$Q852,"W")</f>
        <v>0</v>
      </c>
      <c r="J863" s="53">
        <f ca="1">COUNTIF($Q833:$Q833,"W")+COUNTIF($Q840:$Q840,"W")+COUNTIF($Q847:$Q847,"W")+COUNTIF($Q854:$Q854,"W")</f>
        <v>0</v>
      </c>
      <c r="R863" s="47" t="s">
        <v>160</v>
      </c>
      <c r="S863" s="304" t="s">
        <v>58</v>
      </c>
      <c r="T863" s="305"/>
      <c r="U863" s="305"/>
      <c r="V863" s="305"/>
      <c r="W863" s="305"/>
      <c r="X863" s="306"/>
      <c r="Y863" s="47">
        <v>1</v>
      </c>
      <c r="Z863" s="47">
        <v>2</v>
      </c>
      <c r="AA863" s="47">
        <v>3</v>
      </c>
      <c r="AB863" s="47">
        <v>4</v>
      </c>
      <c r="AC863" s="47">
        <v>5</v>
      </c>
      <c r="AD863" s="286"/>
      <c r="AE863" s="287"/>
      <c r="AF863" s="288"/>
    </row>
    <row r="864" spans="1:32" ht="12.75" customHeight="1" thickBot="1" x14ac:dyDescent="0.3">
      <c r="F864" s="212" t="s">
        <v>170</v>
      </c>
      <c r="G864" s="212"/>
      <c r="H864" s="212"/>
      <c r="I864" s="212"/>
      <c r="J864" s="212"/>
      <c r="K864" s="212"/>
      <c r="R864" s="259" t="str">
        <f>B825</f>
        <v>C</v>
      </c>
      <c r="S864" s="307" t="str">
        <f ca="1">IF($B852&lt;&gt;"",$B852,"")</f>
        <v/>
      </c>
      <c r="T864" s="308"/>
      <c r="U864" s="308"/>
      <c r="V864" s="308"/>
      <c r="W864" s="308"/>
      <c r="X864" s="309"/>
      <c r="Y864" s="284"/>
      <c r="Z864" s="284"/>
      <c r="AA864" s="297"/>
      <c r="AB864" s="297"/>
      <c r="AC864" s="297"/>
      <c r="AD864" s="296"/>
      <c r="AE864" s="298"/>
      <c r="AF864" s="299"/>
    </row>
    <row r="865" spans="1:32" ht="12.75" customHeight="1" x14ac:dyDescent="0.25">
      <c r="A865" s="16"/>
      <c r="B865" s="16"/>
      <c r="C865" s="16"/>
      <c r="D865" s="16"/>
      <c r="E865" s="16"/>
      <c r="G865" s="261" t="str">
        <f>B825</f>
        <v>C</v>
      </c>
      <c r="H865" s="262"/>
      <c r="I865" s="263" t="str">
        <f>K825</f>
        <v>F</v>
      </c>
      <c r="J865" s="264"/>
      <c r="L865" s="16"/>
      <c r="M865" s="16"/>
      <c r="N865" s="16"/>
      <c r="O865" s="16"/>
      <c r="P865" s="16"/>
      <c r="R865" s="260"/>
      <c r="S865" s="310"/>
      <c r="T865" s="311"/>
      <c r="U865" s="311"/>
      <c r="V865" s="311"/>
      <c r="W865" s="311"/>
      <c r="X865" s="312"/>
      <c r="Y865" s="285"/>
      <c r="Z865" s="285"/>
      <c r="AA865" s="303"/>
      <c r="AB865" s="303"/>
      <c r="AC865" s="303"/>
      <c r="AD865" s="300"/>
      <c r="AE865" s="301"/>
      <c r="AF865" s="302"/>
    </row>
    <row r="866" spans="1:32" ht="12.75" customHeight="1" thickBot="1" x14ac:dyDescent="0.3">
      <c r="A866" s="2" t="s">
        <v>160</v>
      </c>
      <c r="B866" s="40" t="str">
        <f>B825</f>
        <v>C</v>
      </c>
      <c r="C866" s="3" t="s">
        <v>158</v>
      </c>
      <c r="F866" s="53" t="str">
        <f>CONCATENATE($B825,"-",$K825)</f>
        <v>C-F</v>
      </c>
      <c r="G866" s="240" t="str">
        <f ca="1">IF(OR(Q831&lt;&gt;"",Q838&lt;&gt;"",Q845&lt;&gt;"",Q852&lt;&gt;"",Q859&lt;&gt;""),COUNTIF(Q831:Q831,"W")+COUNTIF(Q838:Q838,"W")+COUNTIF(Q845:Q845,"W")+COUNTIF(Q852:Q852,"W")+COUNTIF(Q859:Q859,"W"),"")</f>
        <v/>
      </c>
      <c r="H866" s="241"/>
      <c r="I866" s="242" t="str">
        <f ca="1">IF(OR(Q833&lt;&gt;"",Q840&lt;&gt;"",Q847&lt;&gt;"",Q854&lt;&gt;"",Q861&lt;&gt;""),COUNTIF(Q833:Q833,"W")+COUNTIF(Q840:Q840,"W")+COUNTIF(Q847:Q847,"W")+COUNTIF(Q854:Q854,"W")+COUNTIF(Q861:Q861,"W"),"")</f>
        <v/>
      </c>
      <c r="J866" s="243"/>
      <c r="L866" s="2" t="s">
        <v>160</v>
      </c>
      <c r="M866" s="40" t="str">
        <f>K825</f>
        <v>F</v>
      </c>
      <c r="N866" s="3" t="s">
        <v>158</v>
      </c>
      <c r="R866" s="259" t="str">
        <f>K825</f>
        <v>F</v>
      </c>
      <c r="S866" s="307" t="str">
        <f ca="1">IF($B854&lt;&gt;"",$B854,"")</f>
        <v/>
      </c>
      <c r="T866" s="308"/>
      <c r="U866" s="308"/>
      <c r="V866" s="308"/>
      <c r="W866" s="308"/>
      <c r="X866" s="309"/>
      <c r="Y866" s="284"/>
      <c r="Z866" s="284"/>
      <c r="AA866" s="297"/>
      <c r="AB866" s="297"/>
      <c r="AC866" s="297"/>
      <c r="AD866" s="289" t="s">
        <v>169</v>
      </c>
      <c r="AE866" s="290"/>
      <c r="AF866" s="291"/>
    </row>
    <row r="867" spans="1:32" ht="12.75" customHeight="1" x14ac:dyDescent="0.35">
      <c r="F867" s="18" t="s">
        <v>403</v>
      </c>
      <c r="G867" s="17"/>
      <c r="H867" s="17"/>
      <c r="I867" s="17"/>
      <c r="J867" s="17"/>
      <c r="R867" s="285"/>
      <c r="S867" s="310"/>
      <c r="T867" s="311"/>
      <c r="U867" s="311"/>
      <c r="V867" s="311"/>
      <c r="W867" s="311"/>
      <c r="X867" s="312"/>
      <c r="Y867" s="285"/>
      <c r="Z867" s="285"/>
      <c r="AA867" s="285"/>
      <c r="AB867" s="285"/>
      <c r="AC867" s="285"/>
      <c r="AD867" s="292"/>
      <c r="AE867" s="293"/>
      <c r="AF867" s="294"/>
    </row>
    <row r="868" spans="1:32" ht="12.75" customHeight="1" x14ac:dyDescent="0.25">
      <c r="R868" s="1"/>
      <c r="S868" s="11"/>
      <c r="T868" s="11"/>
      <c r="U868" s="11"/>
      <c r="V868" s="11"/>
      <c r="W868" s="11"/>
    </row>
    <row r="869" spans="1:32" ht="12.75" customHeight="1" x14ac:dyDescent="0.25">
      <c r="F869" s="212"/>
      <c r="G869" s="212"/>
      <c r="H869" s="212"/>
      <c r="I869" s="212"/>
      <c r="R869" s="1"/>
      <c r="S869" s="11"/>
      <c r="T869" s="11"/>
      <c r="U869" s="11"/>
      <c r="V869" s="11"/>
      <c r="W869" s="11"/>
    </row>
    <row r="870" spans="1:32" ht="12.75" customHeight="1" x14ac:dyDescent="0.25">
      <c r="F870" s="212"/>
      <c r="G870" s="212"/>
      <c r="H870" s="212"/>
      <c r="I870" s="212"/>
      <c r="R870" s="1"/>
      <c r="S870" s="11"/>
      <c r="T870" s="11"/>
      <c r="U870" s="11"/>
      <c r="V870" s="11"/>
      <c r="W870" s="11"/>
    </row>
    <row r="871" spans="1:32" ht="12.75" customHeight="1" x14ac:dyDescent="0.25">
      <c r="K871" s="219" t="s">
        <v>176</v>
      </c>
      <c r="L871" s="219"/>
      <c r="M871" s="219"/>
      <c r="N871" s="219"/>
      <c r="O871" s="219"/>
      <c r="P871" s="219"/>
      <c r="R871" s="1"/>
      <c r="S871" s="11"/>
      <c r="T871" s="11"/>
      <c r="U871" s="11"/>
      <c r="V871" s="11"/>
      <c r="W871" s="11"/>
    </row>
    <row r="872" spans="1:32" ht="12.75" customHeight="1" x14ac:dyDescent="0.25">
      <c r="A872" s="9" t="s">
        <v>161</v>
      </c>
      <c r="B872"/>
      <c r="C872"/>
      <c r="D872" t="str">
        <f>Draw!$B$1</f>
        <v>Enter Division Name</v>
      </c>
      <c r="E872"/>
      <c r="F872" s="6"/>
      <c r="G872" s="6"/>
      <c r="H872" s="6"/>
      <c r="I872"/>
      <c r="J872"/>
      <c r="K872"/>
      <c r="L872"/>
      <c r="M872" s="219"/>
      <c r="N872" s="219"/>
      <c r="O872" s="219"/>
      <c r="P872" s="219"/>
      <c r="R872" s="1"/>
      <c r="S872" s="11"/>
      <c r="T872" s="11"/>
      <c r="U872" s="11"/>
      <c r="V872" s="11"/>
      <c r="W872" s="11"/>
    </row>
    <row r="873" spans="1:32" ht="12.75" customHeight="1" x14ac:dyDescent="0.25">
      <c r="A873" s="2" t="s">
        <v>162</v>
      </c>
      <c r="D873" t="str">
        <f>Draw!$D$1</f>
        <v>Enter Hosting Location (City, ST)</v>
      </c>
      <c r="J873" t="str">
        <f ca="1">$J$6</f>
        <v>[NCTTA Teams Template (v3.4).xlsx]</v>
      </c>
      <c r="R873" s="1"/>
      <c r="S873" s="11"/>
      <c r="T873" s="11"/>
      <c r="U873" s="11"/>
      <c r="V873" s="11"/>
      <c r="W873" s="11"/>
    </row>
    <row r="874" spans="1:32" ht="12.75" customHeight="1" x14ac:dyDescent="0.25">
      <c r="A874" s="2" t="s">
        <v>163</v>
      </c>
      <c r="D874" s="275" t="str">
        <f>Draw!$P$1</f>
        <v>Enter Date</v>
      </c>
      <c r="E874" s="275"/>
      <c r="F874" s="275"/>
      <c r="G874" s="275"/>
      <c r="J874" s="244" t="str">
        <f>CHOOSE(Draw!$T$1,"Round 3, Match 6","Round 1, Match 6","Round 3, Match 6","","","","Round 6, Match 3","Round 5, Match 2","Round 5, Match 2","Round 4, Match 3","Round 4, Match 3")</f>
        <v>Round 3, Match 6</v>
      </c>
      <c r="K874" s="244"/>
      <c r="L874" s="244"/>
      <c r="M874" s="277" t="str">
        <f>IF(AND($J874&lt;&gt;"",Draw!$AC$10&lt;&gt;"",Draw!$AC$13&lt;&gt;""),Draw!$AC$10+TIME(0,VALUE(MID($J874,7,FIND(",",$J874)-FIND(" ",$J874)-1)-1)*Draw!$AC$13,0),"")</f>
        <v/>
      </c>
      <c r="N874" s="277"/>
      <c r="O874" s="125" t="str">
        <f>$F917</f>
        <v>D-E</v>
      </c>
      <c r="R874" s="1"/>
      <c r="S874" s="11"/>
      <c r="T874" s="11"/>
      <c r="U874" s="11"/>
      <c r="V874" s="11"/>
      <c r="W874" s="11"/>
    </row>
    <row r="875" spans="1:32" ht="12.75" customHeight="1" x14ac:dyDescent="0.25">
      <c r="A875" s="6"/>
      <c r="B875"/>
      <c r="C875"/>
      <c r="D875"/>
      <c r="E875"/>
      <c r="F875" s="6"/>
      <c r="G875" s="6"/>
      <c r="H875" s="11"/>
      <c r="I875" s="6"/>
      <c r="J875"/>
      <c r="K875"/>
      <c r="L875"/>
      <c r="M875"/>
      <c r="N875"/>
      <c r="O875" s="269" t="str">
        <f>IF(OR(AND(VLOOKUP($B876,$AM$1:$AX$12,12,FALSE)="C",VLOOKUP($K876,$AM$1:$AX$12,12,FALSE)="C"),AND(VLOOKUP($B876,$AM$1:$AX$12,12,FALSE)="W",VLOOKUP($K876,$AM$1:$AX$12,12,FALSE)="W")),"Official",IF(AND($A877="",$J877=""),"","Scrimmage"))</f>
        <v/>
      </c>
      <c r="P875" s="269"/>
      <c r="R875" s="1"/>
      <c r="S875" s="11"/>
      <c r="T875" s="11"/>
      <c r="U875" s="11"/>
      <c r="V875" s="11"/>
      <c r="W875" s="11"/>
    </row>
    <row r="876" spans="1:32" ht="12.75" customHeight="1" x14ac:dyDescent="0.25">
      <c r="A876" s="12" t="s">
        <v>160</v>
      </c>
      <c r="B876" s="98" t="str">
        <f>CHOOSE(Draw!$T$1,"D","I","J","A","B","A","E","B","D","D","G")</f>
        <v>D</v>
      </c>
      <c r="C876" s="109">
        <f>VLOOKUP($B876,$AM$1:$AN$12,2)</f>
        <v>4</v>
      </c>
      <c r="D876" s="10"/>
      <c r="E876" s="10"/>
      <c r="F876" s="8"/>
      <c r="H876" s="1" t="s">
        <v>164</v>
      </c>
      <c r="J876" s="12" t="s">
        <v>160</v>
      </c>
      <c r="K876" s="98" t="str">
        <f>CHOOSE(Draw!$T$1,"E","J","K","I","F","I","F","D","F","H","K")</f>
        <v>E</v>
      </c>
      <c r="L876" s="109">
        <f>VLOOKUP($K876,$AM$1:$AN$12,2)</f>
        <v>5</v>
      </c>
      <c r="M876" s="10"/>
      <c r="N876" s="10"/>
      <c r="O876" s="13"/>
      <c r="R876" s="1"/>
      <c r="S876" s="11"/>
      <c r="T876" s="11"/>
      <c r="U876" s="11"/>
      <c r="V876" s="11"/>
      <c r="W876" s="11"/>
    </row>
    <row r="877" spans="1:32" ht="12.75" customHeight="1" x14ac:dyDescent="0.25">
      <c r="A877" s="253" t="str">
        <f>IF(VLOOKUP($B876,Draw!$A$4:$B$27,2)&lt;&gt;0,VLOOKUP($B876,Draw!$A$4:$B$27,2),"")</f>
        <v/>
      </c>
      <c r="B877" s="254"/>
      <c r="C877" s="254"/>
      <c r="D877" s="254"/>
      <c r="E877" s="254"/>
      <c r="F877" s="255"/>
      <c r="G877" s="273" t="s">
        <v>421</v>
      </c>
      <c r="H877" s="249"/>
      <c r="I877" s="274"/>
      <c r="J877" s="253" t="str">
        <f>IF(VLOOKUP($K876,Draw!$A$4:$B$27,2)&lt;&gt;0,VLOOKUP($K876,Draw!$A$4:$B$27,2),"")</f>
        <v/>
      </c>
      <c r="K877" s="254"/>
      <c r="L877" s="254"/>
      <c r="M877" s="254"/>
      <c r="N877" s="254"/>
      <c r="O877" s="255"/>
      <c r="P877"/>
      <c r="R877" s="1"/>
      <c r="S877" s="11"/>
      <c r="T877" s="11"/>
      <c r="U877" s="11"/>
      <c r="V877" s="11"/>
      <c r="W877" s="11"/>
    </row>
    <row r="878" spans="1:32" ht="12.75" customHeight="1" x14ac:dyDescent="0.25">
      <c r="A878" s="6"/>
      <c r="B878"/>
      <c r="C878"/>
      <c r="D878"/>
      <c r="E878"/>
      <c r="F878" s="6"/>
      <c r="G878" s="248" t="str">
        <f>"Page "&amp;VALUE(RIGHT($G877,LEN($G877)-SEARCH("-",$G877)))/2</f>
        <v>Page 18</v>
      </c>
      <c r="H878" s="249"/>
      <c r="I878" s="249"/>
      <c r="J878"/>
      <c r="K878"/>
      <c r="L878"/>
      <c r="M878"/>
      <c r="N878"/>
      <c r="O878"/>
      <c r="P878"/>
      <c r="R878" s="1"/>
      <c r="S878" s="11"/>
      <c r="T878" s="11"/>
      <c r="U878" s="11"/>
      <c r="V878" s="11"/>
      <c r="W878" s="11"/>
      <c r="AF878"/>
    </row>
    <row r="879" spans="1:32" ht="12.75" customHeight="1" x14ac:dyDescent="0.25">
      <c r="A879" s="276" t="s">
        <v>177</v>
      </c>
      <c r="B879" s="276"/>
      <c r="C879" s="276"/>
      <c r="D879" s="276"/>
      <c r="E879" s="276"/>
      <c r="F879" s="276"/>
      <c r="G879" s="276"/>
      <c r="H879" s="276"/>
      <c r="I879" s="276"/>
      <c r="J879" s="276"/>
      <c r="K879" s="276"/>
      <c r="L879" s="276"/>
      <c r="M879" s="276"/>
      <c r="N879" s="276"/>
      <c r="O879" s="276"/>
      <c r="P879" s="276"/>
      <c r="Q879" s="6"/>
      <c r="R879" s="1"/>
      <c r="S879" s="11"/>
      <c r="T879" s="11"/>
      <c r="U879" s="11"/>
      <c r="V879" s="11"/>
      <c r="W879" s="11"/>
      <c r="AF879" s="14"/>
    </row>
    <row r="880" spans="1:32" ht="12.75" customHeight="1" x14ac:dyDescent="0.25">
      <c r="A880" s="15" t="s">
        <v>165</v>
      </c>
      <c r="H880" s="110" t="str">
        <f>IF($Q882&lt;&gt;"",IF(AND(AND($H882&gt;-1,$H884&gt;-1),OR($H882&gt;10,$H884&gt;10),ABS($H882-$H884)&gt;1,IF(OR($H882&gt;11,$H884&gt;11),ABS($H882-$H884)=2,TRUE),$H882=INT($H882),$H884=INT($H884)),"","Error"),"")</f>
        <v/>
      </c>
      <c r="I880" s="110" t="str">
        <f>IF($Q882&lt;&gt;"",IF(AND(AND($I882&gt;-1,$I884&gt;-1),OR($I882&gt;10,$I884&gt;10),ABS($I882-$I884)&gt;1,IF(OR($I882&gt;11,$I884&gt;11),ABS($I882-$I884)=2,TRUE),$I882=INT($I882),$I884=INT($I884)),"","Error"),"")</f>
        <v/>
      </c>
      <c r="J880" s="110" t="str">
        <f>IF($Q882&lt;&gt;"",IF(AND(AND($J882&gt;-1,$J884&gt;-1),OR($J882&gt;10,$J884&gt;10),ABS($J882-$J884)&gt;1,IF(OR($J882&gt;11,$J884&gt;11),ABS($J882-$J884)=2,TRUE),$J882=INT($J882),$J884=INT($J884)),"","Error"),"")</f>
        <v/>
      </c>
      <c r="K880" s="110" t="str">
        <f>IF($Q882&lt;&gt;"",IF(AND($K882&lt;&gt;"",$K884&lt;&gt;""), IF(AND(AND($K882&gt;-1,$K884&gt;-1),OR($K882&gt;10,$K884&gt;10),ABS($K882-$K884)&gt;1,IF(OR($K882&gt;11,$K884&gt;11),ABS($K882-$K884)=2,TRUE),$K882=INT($K882),$K884=INT($K884)),"","Error"),""),"")</f>
        <v/>
      </c>
      <c r="L880" s="110" t="str">
        <f>IF($Q882&lt;&gt;"",IF(AND($L882&lt;&gt;"",$L884&lt;&gt;""), IF(AND(AND($L882&gt;-1,$L884&gt;-1),OR($L882&gt;10,$L884&gt;10),ABS($L882-$L884)&gt;1,IF(OR($L882&gt;11,$L884&gt;11),ABS($L882-$L884)=2,TRUE),$L882=INT($L882),$L884=INT($L884)),"","Error"),""),"")</f>
        <v/>
      </c>
      <c r="R880" s="1"/>
      <c r="S880" s="11"/>
      <c r="T880" s="11"/>
      <c r="U880" s="11"/>
      <c r="V880" s="11"/>
      <c r="W880" s="11"/>
    </row>
    <row r="881" spans="1:32" ht="12.75" customHeight="1" x14ac:dyDescent="0.25">
      <c r="A881" s="5" t="s">
        <v>160</v>
      </c>
      <c r="B881" s="256" t="s">
        <v>58</v>
      </c>
      <c r="C881" s="257"/>
      <c r="D881" s="257"/>
      <c r="E881" s="257"/>
      <c r="F881" s="257"/>
      <c r="G881" s="258"/>
      <c r="H881" s="5">
        <v>1</v>
      </c>
      <c r="I881" s="5">
        <v>2</v>
      </c>
      <c r="J881" s="5">
        <v>3</v>
      </c>
      <c r="K881" s="5">
        <v>4</v>
      </c>
      <c r="L881" s="5">
        <v>5</v>
      </c>
      <c r="M881" s="270"/>
      <c r="N881" s="271"/>
      <c r="O881" s="271"/>
      <c r="P881" s="272"/>
      <c r="R881" s="1"/>
      <c r="S881" s="11"/>
      <c r="T881" s="11"/>
      <c r="U881" s="11"/>
      <c r="V881" s="11"/>
      <c r="W881" s="11"/>
    </row>
    <row r="882" spans="1:32" ht="12.75" customHeight="1" x14ac:dyDescent="0.25">
      <c r="A882" s="259" t="str">
        <f>B876</f>
        <v>D</v>
      </c>
      <c r="B882" s="236" t="str">
        <f ca="1">IF(AND(OFFSET($AO$1,$C876-1,8,1,1),$A877&lt;&gt;"",$J877&lt;&gt;""),CHOOSE($C876,$AO$1,$AO$2,$AO$3,$AO$4,$AO$5,$AO$6,$AO$7,$AO$8,$AO$9,$AO$10,$AO$11,$AO$12),"")</f>
        <v/>
      </c>
      <c r="C882" s="237"/>
      <c r="D882" s="237"/>
      <c r="E882" s="237"/>
      <c r="F882" s="237"/>
      <c r="G882" s="237"/>
      <c r="H882" s="233"/>
      <c r="I882" s="233"/>
      <c r="J882" s="233"/>
      <c r="K882" s="233"/>
      <c r="L882" s="233"/>
      <c r="M882" s="281"/>
      <c r="N882" s="282"/>
      <c r="O882" s="282"/>
      <c r="P882" s="283"/>
      <c r="Q882" s="40" t="str">
        <f>IF($L882=$L884,IF($K882=$K884,IF($J882&lt;&gt;"",IF($J882&gt;$J884,"W","L"),""),IF($K882&gt;$K884,"W","L")),IF($L882&gt;$L884,"W","L"))</f>
        <v/>
      </c>
      <c r="R882" s="1"/>
      <c r="S882" s="11"/>
      <c r="T882" s="11"/>
      <c r="U882" s="11"/>
      <c r="V882" s="11"/>
      <c r="W882" s="11"/>
    </row>
    <row r="883" spans="1:32" ht="12.75" customHeight="1" x14ac:dyDescent="0.25">
      <c r="A883" s="260"/>
      <c r="B883" s="238"/>
      <c r="C883" s="239"/>
      <c r="D883" s="239"/>
      <c r="E883" s="239"/>
      <c r="F883" s="239"/>
      <c r="G883" s="239"/>
      <c r="H883" s="234"/>
      <c r="I883" s="234"/>
      <c r="J883" s="234"/>
      <c r="K883" s="234"/>
      <c r="L883" s="234"/>
      <c r="M883" s="281"/>
      <c r="N883" s="282"/>
      <c r="O883" s="282"/>
      <c r="P883" s="283"/>
      <c r="Q883" s="110" t="str">
        <f>IF($Q882&lt;&gt;"",IF($Q882="W",IF(SUM(IF($H882&gt;$H884,1,0),IF($I882&gt;$I884,1,0),IF($J882&gt;$J884,1,0),IF($K882&gt;$K884,1,0),IF($L882&gt;$L884,1,0))&lt;&gt;3,"Error",""),""),"")</f>
        <v/>
      </c>
      <c r="R883" s="295" t="str">
        <f>$A877</f>
        <v/>
      </c>
      <c r="S883" s="295"/>
      <c r="T883" s="295"/>
      <c r="U883" s="295"/>
      <c r="V883" s="295"/>
      <c r="W883" s="295"/>
      <c r="X883" s="219" t="str">
        <f>CONCATENATE("(",$B876," vs ",$K876,")")</f>
        <v>(D vs E)</v>
      </c>
      <c r="Y883" s="219"/>
      <c r="Z883" s="295" t="str">
        <f>$J877</f>
        <v/>
      </c>
      <c r="AA883" s="295"/>
      <c r="AB883" s="295"/>
      <c r="AC883" s="295"/>
      <c r="AD883" s="295"/>
      <c r="AE883" s="295"/>
      <c r="AF883"/>
    </row>
    <row r="884" spans="1:32" ht="12.75" customHeight="1" x14ac:dyDescent="0.25">
      <c r="A884" s="259" t="str">
        <f>K876</f>
        <v>E</v>
      </c>
      <c r="B884" s="236" t="str">
        <f ca="1">IF(AND(OFFSET($AO$1,$L876-1,8,1,1),$A877&lt;&gt;"",$J877&lt;&gt;""),CHOOSE($L876,$AO$1,$AO$2,$AO$3,$AO$4,$AO$5,$AO$6,$AO$7,$AO$8,$AO$9,$AO$10,$AO$11,$AO$12),"")</f>
        <v/>
      </c>
      <c r="C884" s="237"/>
      <c r="D884" s="237"/>
      <c r="E884" s="237"/>
      <c r="F884" s="237"/>
      <c r="G884" s="237"/>
      <c r="H884" s="233"/>
      <c r="I884" s="233"/>
      <c r="J884" s="233"/>
      <c r="K884" s="233"/>
      <c r="L884" s="233"/>
      <c r="M884" s="250" t="s">
        <v>169</v>
      </c>
      <c r="N884" s="251"/>
      <c r="O884" s="251"/>
      <c r="P884" s="252"/>
      <c r="Q884" s="40" t="str">
        <f>IF($Q882&lt;&gt;"",IF($Q882="W","L","W"),"")</f>
        <v/>
      </c>
      <c r="R884"/>
      <c r="S884"/>
      <c r="T884"/>
      <c r="U884"/>
      <c r="V884"/>
      <c r="W884"/>
      <c r="X884"/>
      <c r="Y884"/>
      <c r="Z884"/>
      <c r="AA884"/>
      <c r="AB884"/>
      <c r="AC884"/>
      <c r="AD884"/>
      <c r="AE884"/>
      <c r="AF884"/>
    </row>
    <row r="885" spans="1:32" ht="12.75" customHeight="1" x14ac:dyDescent="0.25">
      <c r="A885" s="260"/>
      <c r="B885" s="238"/>
      <c r="C885" s="239"/>
      <c r="D885" s="239"/>
      <c r="E885" s="239"/>
      <c r="F885" s="239"/>
      <c r="G885" s="239"/>
      <c r="H885" s="234"/>
      <c r="I885" s="234"/>
      <c r="J885" s="235"/>
      <c r="K885" s="235"/>
      <c r="L885" s="235"/>
      <c r="M885" s="250"/>
      <c r="N885" s="251"/>
      <c r="O885" s="251"/>
      <c r="P885" s="252"/>
      <c r="Q885" s="110" t="str">
        <f>IF($Q884&lt;&gt;"",IF($Q884="W",IF(SUM(IF($H884&gt;$H882,1,0),IF($I884&gt;$I882,1,0),IF($J884&gt;$J882,1,0),IF($K884&gt;$K882,1,0),IF($L884&gt;$L882,1,0))&lt;&gt;3,"Error",""),""),"")</f>
        <v/>
      </c>
      <c r="R885" t="str">
        <f>$A887</f>
        <v>2nd Singles</v>
      </c>
      <c r="S885"/>
      <c r="T885"/>
      <c r="U885"/>
      <c r="V885"/>
      <c r="W885"/>
      <c r="X885"/>
      <c r="Y885"/>
      <c r="Z885"/>
      <c r="AA885"/>
      <c r="AB885"/>
      <c r="AC885"/>
      <c r="AD885"/>
      <c r="AE885"/>
      <c r="AF885"/>
    </row>
    <row r="886" spans="1:32" ht="12.75" customHeight="1" x14ac:dyDescent="0.25">
      <c r="Q886" s="6"/>
      <c r="R886" s="47" t="s">
        <v>160</v>
      </c>
      <c r="S886" s="304" t="s">
        <v>58</v>
      </c>
      <c r="T886" s="305"/>
      <c r="U886" s="305"/>
      <c r="V886" s="305"/>
      <c r="W886" s="305"/>
      <c r="X886" s="306"/>
      <c r="Y886" s="47">
        <v>1</v>
      </c>
      <c r="Z886" s="47">
        <v>2</v>
      </c>
      <c r="AA886" s="47">
        <v>3</v>
      </c>
      <c r="AB886" s="47">
        <v>4</v>
      </c>
      <c r="AC886" s="47">
        <v>5</v>
      </c>
      <c r="AD886" s="286"/>
      <c r="AE886" s="287"/>
      <c r="AF886" s="288"/>
    </row>
    <row r="887" spans="1:32" ht="12.75" customHeight="1" x14ac:dyDescent="0.25">
      <c r="A887" s="15" t="s">
        <v>166</v>
      </c>
      <c r="H887" s="110" t="str">
        <f>IF($Q889&lt;&gt;"",IF(AND(AND($H889&gt;-1,$H891&gt;-1),OR($H889&gt;10,$H891&gt;10),ABS($H889-$H891)&gt;1,IF(OR($H889&gt;11,$H891&gt;11),ABS($H889-$H891)=2,TRUE),$H889=INT($H889),$H891=INT($H891)),"","Error"),"")</f>
        <v/>
      </c>
      <c r="I887" s="110" t="str">
        <f>IF($Q889&lt;&gt;"",IF(AND(AND($I889&gt;-1,$I891&gt;-1),OR($I889&gt;10,$I891&gt;10),ABS($I889-$I891)&gt;1,IF(OR($I889&gt;11,$I891&gt;11),ABS($I889-$I891)=2,TRUE),$I889=INT($I889),$I891=INT($I891)),"","Error"),"")</f>
        <v/>
      </c>
      <c r="J887" s="110" t="str">
        <f>IF($Q889&lt;&gt;"",IF(AND(AND($J889&gt;-1,$J891&gt;-1),OR($J889&gt;10,$J891&gt;10),ABS($J889-$J891)&gt;1,IF(OR($J889&gt;11,$J891&gt;11),ABS($J889-$J891)=2,TRUE),$J889=INT($J889),$J891=INT($J891)),"","Error"),"")</f>
        <v/>
      </c>
      <c r="K887" s="110" t="str">
        <f>IF($Q889&lt;&gt;"",IF(AND($K889&lt;&gt;"",$K891&lt;&gt;""), IF(AND(AND($K889&gt;-1,$K891&gt;-1),OR($K889&gt;10,$K891&gt;10),ABS($K889-$K891)&gt;1,IF(OR($K889&gt;11,$K891&gt;11),ABS($K889-$K891)=2,TRUE),$K889=INT($K889),$K891=INT($K891)),"","Error"),""),"")</f>
        <v/>
      </c>
      <c r="L887" s="110" t="str">
        <f>IF($Q889&lt;&gt;"",IF(AND($L889&lt;&gt;"",$L891&lt;&gt;""), IF(AND(AND($L889&gt;-1,$L891&gt;-1),OR($L889&gt;10,$L891&gt;10),ABS($L889-$L891)&gt;1,IF(OR($L889&gt;11,$L891&gt;11),ABS($L889-$L891)=2,TRUE),$L889=INT($L889),$L891=INT($L891)),"","Error"),""),"")</f>
        <v/>
      </c>
      <c r="Q887" s="6"/>
      <c r="R887" s="259" t="str">
        <f>$B876</f>
        <v>D</v>
      </c>
      <c r="S887" s="307" t="str">
        <f ca="1">IF($B889&lt;&gt;"",$B889,"")</f>
        <v/>
      </c>
      <c r="T887" s="308"/>
      <c r="U887" s="308"/>
      <c r="V887" s="308"/>
      <c r="W887" s="308"/>
      <c r="X887" s="309"/>
      <c r="Y887" s="284"/>
      <c r="Z887" s="284"/>
      <c r="AA887" s="284"/>
      <c r="AB887" s="284"/>
      <c r="AC887" s="284"/>
      <c r="AD887" s="296"/>
      <c r="AE887" s="290"/>
      <c r="AF887" s="291"/>
    </row>
    <row r="888" spans="1:32" ht="12.75" customHeight="1" x14ac:dyDescent="0.25">
      <c r="A888" s="5" t="s">
        <v>160</v>
      </c>
      <c r="B888" s="256" t="s">
        <v>58</v>
      </c>
      <c r="C888" s="257"/>
      <c r="D888" s="257"/>
      <c r="E888" s="257"/>
      <c r="F888" s="257"/>
      <c r="G888" s="258"/>
      <c r="H888" s="5">
        <v>1</v>
      </c>
      <c r="I888" s="5">
        <v>2</v>
      </c>
      <c r="J888" s="5">
        <v>3</v>
      </c>
      <c r="K888" s="5">
        <v>4</v>
      </c>
      <c r="L888" s="5">
        <v>5</v>
      </c>
      <c r="M888" s="270"/>
      <c r="N888" s="271"/>
      <c r="O888" s="271"/>
      <c r="P888" s="272"/>
      <c r="Q888" s="6"/>
      <c r="R888" s="285"/>
      <c r="S888" s="310"/>
      <c r="T888" s="311"/>
      <c r="U888" s="311"/>
      <c r="V888" s="311"/>
      <c r="W888" s="311"/>
      <c r="X888" s="312"/>
      <c r="Y888" s="285"/>
      <c r="Z888" s="285"/>
      <c r="AA888" s="285"/>
      <c r="AB888" s="285"/>
      <c r="AC888" s="285"/>
      <c r="AD888" s="292"/>
      <c r="AE888" s="293"/>
      <c r="AF888" s="294"/>
    </row>
    <row r="889" spans="1:32" ht="12.75" customHeight="1" x14ac:dyDescent="0.25">
      <c r="A889" s="259" t="str">
        <f>B876</f>
        <v>D</v>
      </c>
      <c r="B889" s="236" t="str">
        <f ca="1">IF(AND(OFFSET($AO$1,$C876-1,8,1,1),$A877&lt;&gt;"",$J877&lt;&gt;""),CHOOSE($C876,$AP$1,$AP$2,$AP$3,$AP$4,$AP$5,$AP$6,$AP$7,$AP$8,$AP$9,$AP$10,$AP$11,$AP$12),"")</f>
        <v/>
      </c>
      <c r="C889" s="237"/>
      <c r="D889" s="237"/>
      <c r="E889" s="237"/>
      <c r="F889" s="237"/>
      <c r="G889" s="237"/>
      <c r="H889" s="233"/>
      <c r="I889" s="233"/>
      <c r="J889" s="233"/>
      <c r="K889" s="233"/>
      <c r="L889" s="233"/>
      <c r="M889" s="245" t="str">
        <f ca="1">IF(OR(AND($B882&lt;&gt;"",$B889&lt;&gt;"",$C907&lt;=$B907),AND($B884&lt;&gt;"",$B891&lt;&gt;"",$G907&lt;=$F907)),"Invalid Lineup","")</f>
        <v/>
      </c>
      <c r="N889" s="246"/>
      <c r="O889" s="246"/>
      <c r="P889" s="247"/>
      <c r="Q889" s="40" t="str">
        <f>IF($L889=$L891,IF($K889=$K891,IF($J889&lt;&gt;"",IF($J889&gt;$J891,"W","L"),""),IF($K889&gt;$K891,"W","L")),IF($L889&gt;$L891,"W","L"))</f>
        <v/>
      </c>
      <c r="R889" s="259" t="str">
        <f>$K876</f>
        <v>E</v>
      </c>
      <c r="S889" s="307" t="str">
        <f ca="1">IF($B891&lt;&gt;"",$B891,"")</f>
        <v/>
      </c>
      <c r="T889" s="308"/>
      <c r="U889" s="308"/>
      <c r="V889" s="308"/>
      <c r="W889" s="308"/>
      <c r="X889" s="309"/>
      <c r="Y889" s="284"/>
      <c r="Z889" s="284"/>
      <c r="AA889" s="284"/>
      <c r="AB889" s="284"/>
      <c r="AC889" s="297"/>
      <c r="AD889" s="289" t="s">
        <v>169</v>
      </c>
      <c r="AE889" s="290"/>
      <c r="AF889" s="291"/>
    </row>
    <row r="890" spans="1:32" ht="12.75" customHeight="1" x14ac:dyDescent="0.25">
      <c r="A890" s="260"/>
      <c r="B890" s="238"/>
      <c r="C890" s="239"/>
      <c r="D890" s="239"/>
      <c r="E890" s="239"/>
      <c r="F890" s="239"/>
      <c r="G890" s="239"/>
      <c r="H890" s="234"/>
      <c r="I890" s="234"/>
      <c r="J890" s="234"/>
      <c r="K890" s="234"/>
      <c r="L890" s="234"/>
      <c r="M890" s="245"/>
      <c r="N890" s="246"/>
      <c r="O890" s="246"/>
      <c r="P890" s="247"/>
      <c r="Q890" s="110" t="str">
        <f>IF($Q889&lt;&gt;"",IF($Q889="W",IF(SUM(IF($H889&gt;$H891,1,0),IF($I889&gt;$I891,1,0),IF($J889&gt;$J891,1,0),IF($K889&gt;$K891,1,0),IF($L889&gt;$L891,1,0))&lt;&gt;3,"Error",""),""),"")</f>
        <v/>
      </c>
      <c r="R890" s="285"/>
      <c r="S890" s="310"/>
      <c r="T890" s="311"/>
      <c r="U890" s="311"/>
      <c r="V890" s="311"/>
      <c r="W890" s="311"/>
      <c r="X890" s="312"/>
      <c r="Y890" s="285"/>
      <c r="Z890" s="285"/>
      <c r="AA890" s="285"/>
      <c r="AB890" s="285"/>
      <c r="AC890" s="285"/>
      <c r="AD890" s="292"/>
      <c r="AE890" s="293"/>
      <c r="AF890" s="294"/>
    </row>
    <row r="891" spans="1:32" ht="12.75" customHeight="1" x14ac:dyDescent="0.25">
      <c r="A891" s="259" t="str">
        <f>K876</f>
        <v>E</v>
      </c>
      <c r="B891" s="236" t="str">
        <f ca="1">IF(AND(OFFSET($AO$1,$L876-1,8,1,1),$A877&lt;&gt;"",$J877&lt;&gt;""),CHOOSE($L876,$AP$1,$AP$2,$AP$3,$AP$4,$AP$5,$AP$6,$AP$7,$AP$8,$AP$9,$AP$10,$AP$11,$AP$12),"")</f>
        <v/>
      </c>
      <c r="C891" s="237"/>
      <c r="D891" s="237"/>
      <c r="E891" s="237"/>
      <c r="F891" s="237"/>
      <c r="G891" s="237"/>
      <c r="H891" s="233"/>
      <c r="I891" s="233"/>
      <c r="J891" s="233"/>
      <c r="K891" s="233"/>
      <c r="L891" s="233"/>
      <c r="M891" s="250" t="s">
        <v>169</v>
      </c>
      <c r="N891" s="251"/>
      <c r="O891" s="251"/>
      <c r="P891" s="252"/>
      <c r="Q891" s="40" t="str">
        <f>IF($Q889&lt;&gt;"",IF($Q889="W","L","W"),"")</f>
        <v/>
      </c>
      <c r="R891" s="14"/>
      <c r="S891" s="14"/>
      <c r="T891" s="14"/>
      <c r="U891" s="14"/>
      <c r="V891" s="14"/>
      <c r="W891" s="14"/>
      <c r="X891" s="7"/>
      <c r="Y891" s="7"/>
      <c r="Z891" s="14"/>
      <c r="AA891" s="14"/>
      <c r="AB891" s="14"/>
      <c r="AC891" s="14"/>
      <c r="AD891" s="14"/>
      <c r="AE891" s="14"/>
      <c r="AF891"/>
    </row>
    <row r="892" spans="1:32" ht="12.75" customHeight="1" x14ac:dyDescent="0.25">
      <c r="A892" s="260"/>
      <c r="B892" s="238"/>
      <c r="C892" s="239"/>
      <c r="D892" s="239"/>
      <c r="E892" s="239"/>
      <c r="F892" s="239"/>
      <c r="G892" s="239"/>
      <c r="H892" s="234"/>
      <c r="I892" s="234"/>
      <c r="J892" s="235"/>
      <c r="K892" s="235"/>
      <c r="L892" s="235"/>
      <c r="M892" s="250"/>
      <c r="N892" s="251"/>
      <c r="O892" s="251"/>
      <c r="P892" s="252"/>
      <c r="Q892" s="110" t="str">
        <f>IF($Q891&lt;&gt;"",IF($Q891="W",IF(SUM(IF($H891&gt;$H889,1,0),IF($I891&gt;$I889,1,0),IF($J891&gt;$J889,1,0),IF($K891&gt;$K889,1,0),IF($L891&gt;$L889,1,0))&lt;&gt;3,"Error",""),""),"")</f>
        <v/>
      </c>
      <c r="R892" s="14"/>
      <c r="S892" s="14"/>
      <c r="T892" s="14"/>
      <c r="U892" s="14"/>
      <c r="V892" s="14"/>
      <c r="W892" s="14"/>
      <c r="X892" s="7"/>
      <c r="Y892" s="7"/>
      <c r="Z892" s="14"/>
      <c r="AA892" s="14"/>
      <c r="AB892" s="14"/>
      <c r="AC892" s="14"/>
      <c r="AD892" s="14"/>
      <c r="AE892" s="14"/>
      <c r="AF892"/>
    </row>
    <row r="893" spans="1:32" ht="12.75" customHeight="1" x14ac:dyDescent="0.25">
      <c r="Q893" s="6"/>
      <c r="R893" s="14"/>
      <c r="S893" s="14"/>
      <c r="T893" s="14"/>
      <c r="U893" s="14"/>
      <c r="V893" s="14"/>
      <c r="W893" s="14"/>
      <c r="X893" s="7"/>
      <c r="Y893" s="7"/>
      <c r="Z893" s="14"/>
      <c r="AA893" s="14"/>
      <c r="AB893" s="14"/>
      <c r="AC893" s="14"/>
      <c r="AD893" s="14"/>
      <c r="AE893" s="14"/>
      <c r="AF893"/>
    </row>
    <row r="894" spans="1:32" ht="12.75" customHeight="1" x14ac:dyDescent="0.25">
      <c r="A894" s="15" t="s">
        <v>167</v>
      </c>
      <c r="H894" s="110" t="str">
        <f>IF($Q896&lt;&gt;"",IF(AND(AND($H896&gt;-1,$H898&gt;-1),OR($H896&gt;10,$H898&gt;10),ABS($H896-$H898)&gt;1,IF(OR($H896&gt;11,$H898&gt;11),ABS($H896-$H898)=2,TRUE),$H896=INT($H896),$H898=INT($H898)),"","Error"),"")</f>
        <v/>
      </c>
      <c r="I894" s="110" t="str">
        <f>IF($Q896&lt;&gt;"",IF(AND(AND($I896&gt;-1,$I898&gt;-1),OR($I896&gt;10,$I898&gt;10),ABS($I896-$I898)&gt;1,IF(OR($I896&gt;11,$I898&gt;11),ABS($I896-$I898)=2,TRUE),$I896=INT($I896),$I898=INT($I898)),"","Error"),"")</f>
        <v/>
      </c>
      <c r="J894" s="110" t="str">
        <f>IF($Q896&lt;&gt;"",IF(AND(AND($J896&gt;-1,$J898&gt;-1),OR($J896&gt;10,$J898&gt;10),ABS($J896-$J898)&gt;1,IF(OR($J896&gt;11,$J898&gt;11),ABS($J896-$J898)=2,TRUE),$J896=INT($J896),$J898=INT($J898)),"","Error"),"")</f>
        <v/>
      </c>
      <c r="K894" s="110" t="str">
        <f>IF($Q896&lt;&gt;"",IF(AND($K896&lt;&gt;"",$K898&lt;&gt;""), IF(AND(AND($K896&gt;-1,$K898&gt;-1),OR($K896&gt;10,$K898&gt;10),ABS($K896-$K898)&gt;1,IF(OR($K896&gt;11,$K898&gt;11),ABS($K896-$K898)=2,TRUE),$K896=INT($K896),$K898=INT($K898)),"","Error"),""),"")</f>
        <v/>
      </c>
      <c r="L894" s="110" t="str">
        <f>IF($Q896&lt;&gt;"",IF(AND($L896&lt;&gt;"",$L898&lt;&gt;""), IF(AND(AND($L896&gt;-1,$L898&gt;-1),OR($L896&gt;10,$L898&gt;10),ABS($L896-$L898)&gt;1,IF(OR($L896&gt;11,$L898&gt;11),ABS($L896-$L898)=2,TRUE),$L896=INT($L896),$L898=INT($L898)),"","Error"),""),"")</f>
        <v/>
      </c>
      <c r="Q894" s="6"/>
      <c r="R894" s="14"/>
      <c r="S894" s="14"/>
      <c r="T894" s="14"/>
      <c r="U894" s="14"/>
      <c r="V894" s="14"/>
      <c r="W894" s="14"/>
      <c r="X894" s="7"/>
      <c r="Y894" s="7"/>
      <c r="Z894" s="14"/>
      <c r="AA894" s="14"/>
      <c r="AB894" s="14"/>
      <c r="AC894" s="14"/>
      <c r="AD894" s="14"/>
      <c r="AE894" s="14"/>
      <c r="AF894"/>
    </row>
    <row r="895" spans="1:32" ht="12.75" customHeight="1" x14ac:dyDescent="0.25">
      <c r="A895" s="5" t="s">
        <v>160</v>
      </c>
      <c r="B895" s="256" t="s">
        <v>58</v>
      </c>
      <c r="C895" s="257"/>
      <c r="D895" s="257"/>
      <c r="E895" s="257"/>
      <c r="F895" s="257"/>
      <c r="G895" s="258"/>
      <c r="H895" s="5">
        <v>1</v>
      </c>
      <c r="I895" s="5">
        <v>2</v>
      </c>
      <c r="J895" s="5">
        <v>3</v>
      </c>
      <c r="K895" s="5">
        <v>4</v>
      </c>
      <c r="L895" s="5">
        <v>5</v>
      </c>
      <c r="M895" s="270"/>
      <c r="N895" s="271"/>
      <c r="O895" s="271"/>
      <c r="P895" s="272"/>
      <c r="Q895" s="6"/>
      <c r="R895" s="14"/>
      <c r="S895" s="14"/>
      <c r="T895" s="14"/>
      <c r="U895" s="14"/>
      <c r="V895" s="14"/>
      <c r="W895" s="14"/>
      <c r="X895" s="7"/>
      <c r="Y895" s="7"/>
      <c r="Z895" s="14"/>
      <c r="AA895" s="14"/>
      <c r="AB895" s="14"/>
      <c r="AC895" s="14"/>
      <c r="AD895" s="14"/>
      <c r="AE895" s="14"/>
      <c r="AF895"/>
    </row>
    <row r="896" spans="1:32" ht="12.75" customHeight="1" x14ac:dyDescent="0.25">
      <c r="A896" s="259" t="str">
        <f>B876</f>
        <v>D</v>
      </c>
      <c r="B896" s="236" t="str">
        <f ca="1">IF(AND(OFFSET($AO$1,$C876-1,8,1,1),$A877&lt;&gt;"",$J877&lt;&gt;""),CHOOSE($C876,$AQ$1,$AQ$2,$AQ$3,$AQ$4,$AQ$5,$AQ$6,$AQ$7,$AQ$8,$AQ$9,$AQ$10,$AQ$11,$AQ$12),"")</f>
        <v/>
      </c>
      <c r="C896" s="237"/>
      <c r="D896" s="237"/>
      <c r="E896" s="237"/>
      <c r="F896" s="237"/>
      <c r="G896" s="237"/>
      <c r="H896" s="233"/>
      <c r="I896" s="233"/>
      <c r="J896" s="233"/>
      <c r="K896" s="233"/>
      <c r="L896" s="233"/>
      <c r="M896" s="245" t="str">
        <f ca="1">IF(OR(AND($B889&lt;&gt;"",$B896&lt;&gt;"",$D907&lt;=$C907),AND($B891&lt;&gt;"",$B898&lt;&gt;"",$H907&lt;=$G907)),"Invalid Lineup","")</f>
        <v/>
      </c>
      <c r="N896" s="246"/>
      <c r="O896" s="246"/>
      <c r="P896" s="247"/>
      <c r="Q896" s="40" t="str">
        <f>IF($L896=$L898,IF($K896=$K898,IF($J896&lt;&gt;"",IF($J896&gt;$J898,"W","L"),""),IF($K896&gt;$K898,"W","L")),IF($L896&gt;$L898,"W","L"))</f>
        <v/>
      </c>
      <c r="R896" s="14"/>
      <c r="S896" s="14"/>
      <c r="T896" s="14"/>
      <c r="U896" s="14"/>
      <c r="V896" s="14"/>
      <c r="W896" s="14"/>
      <c r="X896" s="7"/>
      <c r="Y896" s="7"/>
      <c r="Z896" s="14"/>
      <c r="AA896" s="14"/>
      <c r="AB896" s="14"/>
      <c r="AC896" s="14"/>
      <c r="AD896" s="14"/>
      <c r="AE896" s="14"/>
      <c r="AF896"/>
    </row>
    <row r="897" spans="1:32" ht="12.75" customHeight="1" x14ac:dyDescent="0.25">
      <c r="A897" s="260"/>
      <c r="B897" s="238"/>
      <c r="C897" s="239"/>
      <c r="D897" s="239"/>
      <c r="E897" s="239"/>
      <c r="F897" s="239"/>
      <c r="G897" s="239"/>
      <c r="H897" s="234"/>
      <c r="I897" s="234"/>
      <c r="J897" s="234"/>
      <c r="K897" s="234"/>
      <c r="L897" s="234"/>
      <c r="M897" s="245"/>
      <c r="N897" s="246"/>
      <c r="O897" s="246"/>
      <c r="P897" s="247"/>
      <c r="Q897" s="110" t="str">
        <f>IF($Q896&lt;&gt;"",IF($Q896="W",IF(SUM(IF($H896&gt;$H898,1,0),IF($I896&gt;$I898,1,0),IF($J896&gt;$J898,1,0),IF($K896&gt;$K898,1,0),IF($L896&gt;$L898,1,0))&lt;&gt;3,"Error",""),""),"")</f>
        <v/>
      </c>
      <c r="R897" s="295" t="str">
        <f>$A877</f>
        <v/>
      </c>
      <c r="S897" s="295"/>
      <c r="T897" s="295"/>
      <c r="U897" s="295"/>
      <c r="V897" s="295"/>
      <c r="W897" s="295"/>
      <c r="X897" s="219" t="str">
        <f>CONCATENATE("(",$B876," vs ",$K876,")")</f>
        <v>(D vs E)</v>
      </c>
      <c r="Y897" s="219"/>
      <c r="Z897" s="295" t="str">
        <f>$J877</f>
        <v/>
      </c>
      <c r="AA897" s="295"/>
      <c r="AB897" s="295"/>
      <c r="AC897" s="295"/>
      <c r="AD897" s="295"/>
      <c r="AE897" s="295"/>
      <c r="AF897"/>
    </row>
    <row r="898" spans="1:32" ht="12.75" customHeight="1" x14ac:dyDescent="0.25">
      <c r="A898" s="259" t="str">
        <f>K876</f>
        <v>E</v>
      </c>
      <c r="B898" s="236" t="str">
        <f ca="1">IF(AND(OFFSET($AO$1,$L876-1,8,1,1),$A877&lt;&gt;"",$J877&lt;&gt;""),CHOOSE($L876,$AQ$1,$AQ$2,$AQ$3,$AQ$4,$AQ$5,$AQ$6,$AQ$7,$AQ$8,$AQ$9,$AQ$10,$AQ$11,$AQ$12),"")</f>
        <v/>
      </c>
      <c r="C898" s="237"/>
      <c r="D898" s="237"/>
      <c r="E898" s="237"/>
      <c r="F898" s="237"/>
      <c r="G898" s="237"/>
      <c r="H898" s="233"/>
      <c r="I898" s="233"/>
      <c r="J898" s="233"/>
      <c r="K898" s="233"/>
      <c r="L898" s="233"/>
      <c r="M898" s="250" t="s">
        <v>169</v>
      </c>
      <c r="N898" s="251"/>
      <c r="O898" s="251"/>
      <c r="P898" s="252"/>
      <c r="Q898" s="40" t="str">
        <f>IF($Q896&lt;&gt;"",IF($Q896="W","L","W"),"")</f>
        <v/>
      </c>
      <c r="R898"/>
      <c r="S898"/>
      <c r="T898"/>
      <c r="U898"/>
      <c r="V898"/>
      <c r="W898"/>
      <c r="X898"/>
      <c r="Y898"/>
      <c r="Z898"/>
      <c r="AA898"/>
      <c r="AB898"/>
      <c r="AC898"/>
      <c r="AD898"/>
      <c r="AE898"/>
      <c r="AF898"/>
    </row>
    <row r="899" spans="1:32" ht="12.75" customHeight="1" x14ac:dyDescent="0.25">
      <c r="A899" s="260"/>
      <c r="B899" s="238"/>
      <c r="C899" s="239"/>
      <c r="D899" s="239"/>
      <c r="E899" s="239"/>
      <c r="F899" s="239"/>
      <c r="G899" s="239"/>
      <c r="H899" s="234"/>
      <c r="I899" s="234"/>
      <c r="J899" s="235"/>
      <c r="K899" s="235"/>
      <c r="L899" s="235"/>
      <c r="M899" s="250"/>
      <c r="N899" s="251"/>
      <c r="O899" s="251"/>
      <c r="P899" s="252"/>
      <c r="Q899" s="110" t="str">
        <f>IF($Q898&lt;&gt;"",IF($Q898="W",IF(SUM(IF($H898&gt;$H896,1,0),IF($I898&gt;$I896,1,0),IF($J898&gt;$J896,1,0),IF($K898&gt;$K896,1,0),IF($L898&gt;$L896,1,0))&lt;&gt;3,"Error",""),""),"")</f>
        <v/>
      </c>
      <c r="R899" t="str">
        <f>$A894</f>
        <v>3rd Singles</v>
      </c>
      <c r="S899"/>
      <c r="T899"/>
      <c r="U899"/>
      <c r="V899"/>
      <c r="W899"/>
      <c r="X899"/>
      <c r="Y899"/>
      <c r="Z899"/>
      <c r="AA899"/>
      <c r="AB899"/>
      <c r="AC899"/>
      <c r="AD899"/>
      <c r="AE899"/>
      <c r="AF899"/>
    </row>
    <row r="900" spans="1:32" ht="12.75" customHeight="1" x14ac:dyDescent="0.25">
      <c r="Q900" s="6"/>
      <c r="R900" s="47" t="s">
        <v>160</v>
      </c>
      <c r="S900" s="86" t="s">
        <v>58</v>
      </c>
      <c r="T900" s="87"/>
      <c r="U900" s="87"/>
      <c r="V900" s="87"/>
      <c r="W900" s="87"/>
      <c r="X900" s="88"/>
      <c r="Y900" s="47">
        <v>1</v>
      </c>
      <c r="Z900" s="47">
        <v>2</v>
      </c>
      <c r="AA900" s="47">
        <v>3</v>
      </c>
      <c r="AB900" s="47">
        <v>4</v>
      </c>
      <c r="AC900" s="47">
        <v>5</v>
      </c>
      <c r="AD900" s="89"/>
      <c r="AE900" s="90"/>
      <c r="AF900" s="91"/>
    </row>
    <row r="901" spans="1:32" ht="12.75" customHeight="1" x14ac:dyDescent="0.25">
      <c r="A901" s="15" t="s">
        <v>168</v>
      </c>
      <c r="H901" s="110" t="str">
        <f ca="1">IF($Q903&lt;&gt;"",IF(AND($B903&lt;&gt;"Missing Player",$B905&lt;&gt;"Missing Player"),IF(AND(AND($H903&gt;-1,$H905&gt;-1),OR($H903&gt;10,$H905&gt;10),ABS($H903-$H905)&gt;1,IF(OR($H903&gt;11,$H905&gt;11),ABS($H903-$H905)=2,TRUE),$H903=INT($H903),$H905=INT($H905)),"","Error"),""),"")</f>
        <v/>
      </c>
      <c r="I901" s="110" t="str">
        <f ca="1">IF($Q903&lt;&gt;"",IF(AND($B903&lt;&gt;"Missing Player",$B905&lt;&gt;"Missing Player"),IF(AND(AND($I903&gt;-1,$I905&gt;-1),OR($I903&gt;10,$I905&gt;10),ABS($I903-$I905)&gt;1,IF(OR($I903&gt;11,$I905&gt;11),ABS($I903-$I905)=2,TRUE),$I903=INT($I903),$I905=INT($I905)),"","Error"),""),"")</f>
        <v/>
      </c>
      <c r="J901" s="110" t="str">
        <f ca="1">IF($Q903&lt;&gt;"",IF(AND($B903&lt;&gt;"Missing Player",$B905&lt;&gt;"Missing Player"),IF(AND(AND($J903&gt;-1,$J905&gt;-1),OR($J903&gt;10,$J905&gt;10),ABS($J903-$J905)&gt;1,IF(OR($J903&gt;11,$J905&gt;11),ABS($J903-$J905)=2,TRUE),$J903=INT($J903),$J905=INT($J905)),"","Error"),""),"")</f>
        <v/>
      </c>
      <c r="K901" s="110" t="str">
        <f ca="1">IF($Q903&lt;&gt;"",IF(AND($K903&lt;&gt;"",$K905&lt;&gt;""), IF(AND(AND($K903&gt;-1,$K905&gt;-1),OR($K903&gt;10,$K905&gt;10),ABS($K903-$K905)&gt;1,IF(OR($K903&gt;11,$K905&gt;11),ABS($K903-$K905)=2,TRUE),$K903=INT($K903),$K905=INT($K905)),"","Error"),""),"")</f>
        <v/>
      </c>
      <c r="L901" s="110" t="str">
        <f ca="1">IF($Q903&lt;&gt;"",IF(AND($L903&lt;&gt;"",$L905&lt;&gt;""), IF(AND(AND($L903&gt;-1,$L905&gt;-1),OR($L903&gt;10,$L905&gt;10),ABS($L903-$L905)&gt;1,IF(OR($L903&gt;11,$L905&gt;11),ABS($L903-$L905)=2,TRUE),$L903=INT($L903),$L905=INT($L905)),"","Error"),""),"")</f>
        <v/>
      </c>
      <c r="Q901" s="6"/>
      <c r="R901" s="259" t="str">
        <f>$B876</f>
        <v>D</v>
      </c>
      <c r="S901" s="307" t="str">
        <f ca="1">IF($B896&lt;&gt;"",$B896,"")</f>
        <v/>
      </c>
      <c r="T901" s="308"/>
      <c r="U901" s="308"/>
      <c r="V901" s="308"/>
      <c r="W901" s="308"/>
      <c r="X901" s="309"/>
      <c r="Y901" s="284"/>
      <c r="Z901" s="284"/>
      <c r="AA901" s="284"/>
      <c r="AB901" s="284"/>
      <c r="AC901" s="284"/>
      <c r="AD901" s="296"/>
      <c r="AE901" s="290"/>
      <c r="AF901" s="291"/>
    </row>
    <row r="902" spans="1:32" ht="12.75" customHeight="1" x14ac:dyDescent="0.25">
      <c r="A902" s="5" t="s">
        <v>160</v>
      </c>
      <c r="B902" s="256" t="s">
        <v>58</v>
      </c>
      <c r="C902" s="257"/>
      <c r="D902" s="257"/>
      <c r="E902" s="257"/>
      <c r="F902" s="257"/>
      <c r="G902" s="258"/>
      <c r="H902" s="5">
        <v>1</v>
      </c>
      <c r="I902" s="5">
        <v>2</v>
      </c>
      <c r="J902" s="5">
        <v>3</v>
      </c>
      <c r="K902" s="5">
        <v>4</v>
      </c>
      <c r="L902" s="5">
        <v>5</v>
      </c>
      <c r="M902" s="270"/>
      <c r="N902" s="271"/>
      <c r="O902" s="271"/>
      <c r="P902" s="272"/>
      <c r="Q902" s="6"/>
      <c r="R902" s="285"/>
      <c r="S902" s="310"/>
      <c r="T902" s="311"/>
      <c r="U902" s="311"/>
      <c r="V902" s="311"/>
      <c r="W902" s="311"/>
      <c r="X902" s="312"/>
      <c r="Y902" s="285"/>
      <c r="Z902" s="285"/>
      <c r="AA902" s="285"/>
      <c r="AB902" s="285"/>
      <c r="AC902" s="285"/>
      <c r="AD902" s="292"/>
      <c r="AE902" s="293"/>
      <c r="AF902" s="294"/>
    </row>
    <row r="903" spans="1:32" ht="12.75" customHeight="1" x14ac:dyDescent="0.25">
      <c r="A903" s="259" t="str">
        <f>B876</f>
        <v>D</v>
      </c>
      <c r="B903" s="236" t="str">
        <f ca="1">IF(AND(OFFSET($AO$1,$C876-1,8,1,1),$A877&lt;&gt;"",$J877&lt;&gt;""),CHOOSE($C876,$AR$1,$AR$2,$AR$3,$AR$4,$AR$5,$AR$6,$AR$7,$AR$8,$AR$9,$AR$10,$AR$11,$AR$12),"")</f>
        <v/>
      </c>
      <c r="C903" s="237"/>
      <c r="D903" s="237"/>
      <c r="E903" s="237"/>
      <c r="F903" s="237"/>
      <c r="G903" s="237"/>
      <c r="H903" s="233"/>
      <c r="I903" s="233"/>
      <c r="J903" s="233"/>
      <c r="K903" s="233"/>
      <c r="L903" s="233" t="str">
        <f ca="1">IF(AND($B903&lt;&gt;"",$Q882&lt;&gt;""),IF($B903="Missing Player",0,IF($B905="Missing Player",11,"")),"")</f>
        <v/>
      </c>
      <c r="M903" s="245" t="str">
        <f ca="1">IF(OR(AND($B896&lt;&gt;"",$B903&lt;&gt;"",$E907&lt;=$D907),AND($B898&lt;&gt;"",$B905&lt;&gt;"",$I907&lt;=$H907)),"Invalid Lineup","")</f>
        <v/>
      </c>
      <c r="N903" s="246"/>
      <c r="O903" s="246"/>
      <c r="P903" s="247"/>
      <c r="Q903" s="40" t="str">
        <f ca="1">IF($L903=$L905,IF($K903=$K905,IF($J903&lt;&gt;"",IF($J903&gt;$J905,"W","L"),""),IF($K903&gt;$K905,"W","L")),IF($L903&gt;$L905,"W","L"))</f>
        <v/>
      </c>
      <c r="R903" s="259" t="str">
        <f>$K876</f>
        <v>E</v>
      </c>
      <c r="S903" s="307" t="str">
        <f ca="1">IF($B898&lt;&gt;"",$B898,"")</f>
        <v/>
      </c>
      <c r="T903" s="308"/>
      <c r="U903" s="308"/>
      <c r="V903" s="308"/>
      <c r="W903" s="308"/>
      <c r="X903" s="309"/>
      <c r="Y903" s="284"/>
      <c r="Z903" s="284"/>
      <c r="AA903" s="284"/>
      <c r="AB903" s="284"/>
      <c r="AC903" s="297"/>
      <c r="AD903" s="289" t="s">
        <v>169</v>
      </c>
      <c r="AE903" s="290"/>
      <c r="AF903" s="291"/>
    </row>
    <row r="904" spans="1:32" ht="12.75" customHeight="1" x14ac:dyDescent="0.25">
      <c r="A904" s="260"/>
      <c r="B904" s="238"/>
      <c r="C904" s="239"/>
      <c r="D904" s="239"/>
      <c r="E904" s="239"/>
      <c r="F904" s="239"/>
      <c r="G904" s="239"/>
      <c r="H904" s="234"/>
      <c r="I904" s="234"/>
      <c r="J904" s="234"/>
      <c r="K904" s="234"/>
      <c r="L904" s="234"/>
      <c r="M904" s="245"/>
      <c r="N904" s="246"/>
      <c r="O904" s="246"/>
      <c r="P904" s="247"/>
      <c r="Q904" s="110" t="str">
        <f ca="1">IF($Q903&lt;&gt;"",IF($B905&lt;&gt;"Missing Player",IF($Q903="W",IF(SUM(IF($H903&gt;$H905,1,0),IF($I903&gt;$I905,1,0),IF($J903&gt;$J905,1,0),IF($K903&gt;$K905,1,0),IF($L903&gt;$L905,1,0))&lt;&gt;3,"Error",""),""),""),"")</f>
        <v/>
      </c>
      <c r="R904" s="285"/>
      <c r="S904" s="310"/>
      <c r="T904" s="311"/>
      <c r="U904" s="311"/>
      <c r="V904" s="311"/>
      <c r="W904" s="311"/>
      <c r="X904" s="312"/>
      <c r="Y904" s="285"/>
      <c r="Z904" s="285"/>
      <c r="AA904" s="285"/>
      <c r="AB904" s="285"/>
      <c r="AC904" s="285"/>
      <c r="AD904" s="292"/>
      <c r="AE904" s="293"/>
      <c r="AF904" s="294"/>
    </row>
    <row r="905" spans="1:32" ht="12.75" customHeight="1" x14ac:dyDescent="0.25">
      <c r="A905" s="259" t="str">
        <f>K876</f>
        <v>E</v>
      </c>
      <c r="B905" s="236" t="str">
        <f ca="1">IF(AND(OFFSET($AO$1,$L876-1,8,1,1),$A877&lt;&gt;"",$J877&lt;&gt;""),CHOOSE($L876,$AR$1,$AR$2,$AR$3,$AR$4,$AR$5,$AR$6,$AR$7,$AR$8,$AR$9,$AR$10,$AR$11,$AR$12),"")</f>
        <v/>
      </c>
      <c r="C905" s="237"/>
      <c r="D905" s="237"/>
      <c r="E905" s="237"/>
      <c r="F905" s="237"/>
      <c r="G905" s="237"/>
      <c r="H905" s="233"/>
      <c r="I905" s="233"/>
      <c r="J905" s="233"/>
      <c r="K905" s="233"/>
      <c r="L905" s="233" t="str">
        <f ca="1">IF(AND($B905&lt;&gt;"",$Q882&lt;&gt;""),IF($B905="Missing Player",0,IF($B903="Missing Player",11,"")),"")</f>
        <v/>
      </c>
      <c r="M905" s="250" t="s">
        <v>169</v>
      </c>
      <c r="N905" s="251"/>
      <c r="O905" s="251"/>
      <c r="P905" s="252"/>
      <c r="Q905" s="40" t="str">
        <f ca="1">IF($Q903&lt;&gt;"",IF($Q903="W","L","W"),"")</f>
        <v/>
      </c>
      <c r="R905" s="94"/>
      <c r="S905" s="84"/>
      <c r="T905" s="84"/>
      <c r="U905" s="84"/>
      <c r="V905" s="84"/>
      <c r="W905" s="84"/>
      <c r="X905" s="84"/>
      <c r="Y905" s="93"/>
      <c r="Z905" s="93"/>
      <c r="AA905" s="93"/>
      <c r="AB905" s="93"/>
      <c r="AC905" s="93"/>
      <c r="AD905" s="92"/>
      <c r="AE905" s="93"/>
      <c r="AF905" s="93"/>
    </row>
    <row r="906" spans="1:32" ht="12.75" customHeight="1" x14ac:dyDescent="0.25">
      <c r="A906" s="260"/>
      <c r="B906" s="238"/>
      <c r="C906" s="239"/>
      <c r="D906" s="239"/>
      <c r="E906" s="239"/>
      <c r="F906" s="239"/>
      <c r="G906" s="239"/>
      <c r="H906" s="234"/>
      <c r="I906" s="234"/>
      <c r="J906" s="235"/>
      <c r="K906" s="235"/>
      <c r="L906" s="235"/>
      <c r="M906" s="250"/>
      <c r="N906" s="251"/>
      <c r="O906" s="251"/>
      <c r="P906" s="252"/>
      <c r="Q906" s="110" t="str">
        <f ca="1">IF($Q905&lt;&gt;"",IF($B903&lt;&gt;"Missing Player",IF($Q905="W",IF(SUM(IF($H905&gt;$H903,1,0),IF($I905&gt;$I903,1,0),IF($J905&gt;$J903,1,0),IF($K905&gt;$K903,1,0),IF($L905&gt;$L903,1,0))&lt;&gt;3,"Error",""),""),""),"")</f>
        <v/>
      </c>
      <c r="R906" s="85"/>
      <c r="S906" s="95"/>
      <c r="T906" s="95"/>
      <c r="U906" s="95"/>
      <c r="V906" s="95"/>
      <c r="W906" s="95"/>
      <c r="X906" s="95"/>
      <c r="Y906" s="85"/>
      <c r="Z906" s="85"/>
      <c r="AA906" s="85"/>
      <c r="AB906" s="85"/>
      <c r="AC906" s="85"/>
      <c r="AD906" s="85"/>
      <c r="AE906" s="85"/>
      <c r="AF906" s="85"/>
    </row>
    <row r="907" spans="1:32" ht="12.75" customHeight="1" x14ac:dyDescent="0.25">
      <c r="B907" s="111" t="str">
        <f ca="1">IF(ISERROR(VLOOKUP($B882&amp;"("&amp;$B876&amp;")",Players!$S$4:$T$132,2,FALSE)),"",VLOOKUP($B882&amp;"("&amp;$B876&amp;")",Players!$S$4:$T$132,2,FALSE))</f>
        <v>D1</v>
      </c>
      <c r="C907" s="111" t="str">
        <f ca="1">IF(ISERROR(VLOOKUP($B889&amp;"("&amp;$B876&amp;")",Players!$S$4:$T$132,2,FALSE)),"",VLOOKUP($B889&amp;"("&amp;$B876&amp;")",Players!$S$4:$T$132,2,FALSE))</f>
        <v>D1</v>
      </c>
      <c r="D907" s="111" t="str">
        <f ca="1">IF(ISERROR(VLOOKUP($B896&amp;"("&amp;$B876&amp;")",Players!$S$4:$T$132,2,FALSE)),"",VLOOKUP($B896&amp;"("&amp;$B876&amp;")",Players!$S$4:$T$132,2,FALSE))</f>
        <v>D1</v>
      </c>
      <c r="E907" s="111" t="str">
        <f ca="1">IF(ISERROR(VLOOKUP($B903&amp;"("&amp;$B876&amp;")",Players!$S$4:$T$132,2,FALSE)),"",VLOOKUP($B903&amp;"("&amp;$B876&amp;")",Players!$S$4:$T$132,2,FALSE))</f>
        <v>D1</v>
      </c>
      <c r="F907" s="111" t="str">
        <f ca="1">IF(ISERROR(VLOOKUP($B884&amp;"("&amp;$K876&amp;")",Players!$S$4:$T$132,2,FALSE)),"",VLOOKUP($B884&amp;"("&amp;$K876&amp;")",Players!$S$4:$T$132,2,FALSE))</f>
        <v>E1</v>
      </c>
      <c r="G907" s="111" t="str">
        <f ca="1">IF(ISERROR(VLOOKUP($B891&amp;"("&amp;$K876&amp;")",Players!$S$4:$T$132,2,FALSE)),"",VLOOKUP($B891&amp;"("&amp;$K876&amp;")",Players!$S$4:$T$132,2,FALSE))</f>
        <v>E1</v>
      </c>
      <c r="H907" s="111" t="str">
        <f ca="1">IF(ISERROR(VLOOKUP($B898&amp;"("&amp;$K876&amp;")",Players!$S$4:$T$132,2,FALSE)),"",VLOOKUP($B898&amp;"("&amp;$K876&amp;")",Players!$S$4:$T$132,2,FALSE))</f>
        <v>E1</v>
      </c>
      <c r="I907" s="111" t="str">
        <f ca="1">IF(ISERROR(VLOOKUP($B905&amp;"("&amp;$K876&amp;")",Players!$S$4:$T$132,2,FALSE)),"",VLOOKUP($B905&amp;"("&amp;$K876&amp;")",Players!$S$4:$T$132,2,FALSE))</f>
        <v>E1</v>
      </c>
      <c r="Q907" s="6"/>
      <c r="R907" s="37"/>
      <c r="S907" s="95"/>
      <c r="T907" s="95"/>
      <c r="U907" s="95"/>
      <c r="V907" s="95"/>
      <c r="W907" s="95"/>
      <c r="X907" s="95"/>
      <c r="Y907" s="85"/>
      <c r="Z907" s="85"/>
      <c r="AA907" s="85"/>
      <c r="AB907" s="85"/>
      <c r="AC907" s="96"/>
      <c r="AD907" s="97"/>
      <c r="AE907" s="85"/>
      <c r="AF907" s="85"/>
    </row>
    <row r="908" spans="1:32" ht="12.75" customHeight="1" x14ac:dyDescent="0.25">
      <c r="A908" s="15" t="s">
        <v>157</v>
      </c>
      <c r="H908" s="110" t="str">
        <f ca="1">IF($Q910&lt;&gt;"",IF(AND($B911&lt;&gt;"Missing Player",$B913&lt;&gt;"Missing Player"),IF(AND(AND($H910&gt;-1,$H912&gt;-1),OR($H910&gt;10,$H912&gt;10),ABS($H910-$H912)&gt;1,IF(OR($H910&gt;11,$H912&gt;11),ABS($H910-$H912)=2,TRUE),$H910=INT($H910),$H912=INT($H912)),"","Error"),""),"")</f>
        <v/>
      </c>
      <c r="I908" s="110" t="str">
        <f ca="1">IF($Q910&lt;&gt;"",IF(AND($B911&lt;&gt;"Missing Player",$B913&lt;&gt;"Missing Player"),IF(AND(AND($I910&gt;-1,$I912&gt;-1),OR($I910&gt;10,$I912&gt;10),ABS($I910-$I912)&gt;1,IF(OR($I910&gt;11,$I912&gt;11),ABS($I910-$I912)=2,TRUE),$I910=INT($I910),$I912=INT($I912)),"","Error"),""),"")</f>
        <v/>
      </c>
      <c r="J908" s="110" t="str">
        <f ca="1">IF($Q910&lt;&gt;"",IF(AND($B911&lt;&gt;"Missing Player",$B913&lt;&gt;"Missing Player"),IF(AND(AND($J910&gt;-1,$J912&gt;-1),OR($J910&gt;10,$J912&gt;10),ABS($J910-$J912)&gt;1,IF(OR($J910&gt;11,$J912&gt;11),ABS($J910-$J912)=2,TRUE),$J910=INT($J910),$J912=INT($J912)),"","Error"),""),"")</f>
        <v/>
      </c>
      <c r="K908" s="110" t="str">
        <f ca="1">IF($Q910&lt;&gt;"",IF(AND($K910&lt;&gt;"",$K912&lt;&gt;""), IF(AND(AND($K910&gt;-1,$K912&gt;-1),OR($K910&gt;10,$K912&gt;10),ABS($K910-$K912)&gt;1,IF(OR($K910&gt;11,$K912&gt;11),ABS($K910-$K912)=2,TRUE),$K910=INT($K910),$K912=INT($K912)),"","Error"),""),"")</f>
        <v/>
      </c>
      <c r="L908" s="110" t="str">
        <f ca="1">IF($Q910&lt;&gt;"",IF(AND($L910&lt;&gt;"",$L912&lt;&gt;""), IF(AND(AND($L910&gt;-1,$L912&gt;-1),OR($L910&gt;10,$L912&gt;10),ABS($L910-$L912)&gt;1,IF(OR($L910&gt;11,$L912&gt;11),ABS($L910-$L912)=2,TRUE),$L910=INT($L910),$L912=INT($L912)),"","Error"),""),"")</f>
        <v/>
      </c>
      <c r="Q908" s="6"/>
      <c r="R908" s="85"/>
      <c r="S908" s="95"/>
      <c r="T908" s="95"/>
      <c r="U908" s="95"/>
      <c r="V908" s="95"/>
      <c r="W908" s="95"/>
      <c r="X908" s="95"/>
      <c r="Y908" s="85"/>
      <c r="Z908" s="85"/>
      <c r="AA908" s="85"/>
      <c r="AB908" s="85"/>
      <c r="AC908" s="85"/>
      <c r="AD908" s="85"/>
      <c r="AE908" s="85"/>
      <c r="AF908" s="85"/>
    </row>
    <row r="909" spans="1:32" ht="12.75" customHeight="1" x14ac:dyDescent="0.25">
      <c r="A909" s="5" t="s">
        <v>160</v>
      </c>
      <c r="B909" s="256" t="s">
        <v>58</v>
      </c>
      <c r="C909" s="257"/>
      <c r="D909" s="257"/>
      <c r="E909" s="257"/>
      <c r="F909" s="257"/>
      <c r="G909" s="258"/>
      <c r="H909" s="5">
        <v>1</v>
      </c>
      <c r="I909" s="5">
        <v>2</v>
      </c>
      <c r="J909" s="5">
        <v>3</v>
      </c>
      <c r="K909" s="5">
        <v>4</v>
      </c>
      <c r="L909" s="5">
        <v>5</v>
      </c>
      <c r="M909" s="270"/>
      <c r="N909" s="271"/>
      <c r="O909" s="271"/>
      <c r="P909" s="272"/>
      <c r="Q909" s="6"/>
      <c r="T909" s="7"/>
    </row>
    <row r="910" spans="1:32" ht="12.75" customHeight="1" x14ac:dyDescent="0.25">
      <c r="A910" s="259" t="str">
        <f>B876</f>
        <v>D</v>
      </c>
      <c r="B910" s="230" t="str">
        <f ca="1">IF($B882&lt;&gt;"",$B882,"")</f>
        <v/>
      </c>
      <c r="C910" s="231"/>
      <c r="D910" s="231"/>
      <c r="E910" s="231"/>
      <c r="F910" s="231"/>
      <c r="G910" s="232"/>
      <c r="H910" s="233"/>
      <c r="I910" s="233"/>
      <c r="J910" s="233"/>
      <c r="K910" s="233"/>
      <c r="L910" s="233" t="str">
        <f ca="1">IF($B903&lt;&gt;"",IF(AND($B903="Missing Player",$G914=2,$J914=2),0,IF(AND($B905="Missing Player",$G914=2,$J914=2),11,"")),"")</f>
        <v/>
      </c>
      <c r="M910" s="245" t="str">
        <f ca="1">IF(OR(AND($B910&lt;&gt;"",$B911&lt;&gt;"",$B910=$B911),AND($B912&lt;&gt;"",$B913&lt;&gt;"",$B912=$B913)),"Invalid Partner","")</f>
        <v/>
      </c>
      <c r="N910" s="246"/>
      <c r="O910" s="246"/>
      <c r="P910" s="247"/>
      <c r="Q910" s="37" t="str">
        <f ca="1">IF(L910=L912,IF(K910=K912,IF(J910&lt;&gt;"",IF(J910&gt;J912,"W","L"),""),IF(K910&gt;K912,"W","L")),IF(L910&gt;L912,"W","L"))</f>
        <v/>
      </c>
      <c r="T910" s="7"/>
    </row>
    <row r="911" spans="1:32" ht="12.75" customHeight="1" x14ac:dyDescent="0.25">
      <c r="A911" s="260"/>
      <c r="B911" s="266" t="str">
        <f ca="1">IF($B903="Missing Player",$B903,"")</f>
        <v/>
      </c>
      <c r="C911" s="267"/>
      <c r="D911" s="267"/>
      <c r="E911" s="267"/>
      <c r="F911" s="267"/>
      <c r="G911" s="268"/>
      <c r="H911" s="234"/>
      <c r="I911" s="234"/>
      <c r="J911" s="234"/>
      <c r="K911" s="234"/>
      <c r="L911" s="234"/>
      <c r="M911" s="245"/>
      <c r="N911" s="246"/>
      <c r="O911" s="246"/>
      <c r="P911" s="247"/>
      <c r="Q911" s="110" t="str">
        <f ca="1">IF($Q910&lt;&gt;"",IF($B913&lt;&gt;"Missing Player",IF($Q910="W",IF(SUM(IF($H910&gt;$H912,1,0),IF($I910&gt;$I912,1,0),IF($J910&gt;$J912,1,0),IF($K910&gt;$K912,1,0),IF($L910&gt;$L912,1,0))&lt;&gt;3,"Error",""),""),""),"")</f>
        <v/>
      </c>
      <c r="R911" s="295" t="str">
        <f>$A877</f>
        <v/>
      </c>
      <c r="S911" s="295"/>
      <c r="T911" s="295"/>
      <c r="U911" s="295"/>
      <c r="V911" s="295"/>
      <c r="W911" s="295"/>
      <c r="X911" s="219" t="str">
        <f>CONCATENATE("(",$B876," vs ",$K876,")")</f>
        <v>(D vs E)</v>
      </c>
      <c r="Y911" s="219"/>
      <c r="Z911" s="295" t="str">
        <f>$J877</f>
        <v/>
      </c>
      <c r="AA911" s="295"/>
      <c r="AB911" s="295"/>
      <c r="AC911" s="295"/>
      <c r="AD911" s="295"/>
      <c r="AE911" s="295"/>
      <c r="AF911"/>
    </row>
    <row r="912" spans="1:32" ht="12.75" customHeight="1" x14ac:dyDescent="0.25">
      <c r="A912" s="265" t="str">
        <f>K876</f>
        <v>E</v>
      </c>
      <c r="B912" s="230" t="str">
        <f ca="1">IF($B884&lt;&gt;"",$B884,"")</f>
        <v/>
      </c>
      <c r="C912" s="231"/>
      <c r="D912" s="231"/>
      <c r="E912" s="231"/>
      <c r="F912" s="231"/>
      <c r="G912" s="232"/>
      <c r="H912" s="233"/>
      <c r="I912" s="233"/>
      <c r="J912" s="233"/>
      <c r="K912" s="233"/>
      <c r="L912" s="233" t="str">
        <f ca="1">IF($B905&lt;&gt;"",IF(AND($B905="Missing Player",$G914=2,$J914=2),0,IF(AND($B903="Missing Player",$G914=2,$J914=2),11,"")),"")</f>
        <v/>
      </c>
      <c r="M912" s="250" t="s">
        <v>169</v>
      </c>
      <c r="N912" s="251"/>
      <c r="O912" s="251"/>
      <c r="P912" s="252"/>
      <c r="Q912" s="37" t="str">
        <f ca="1">IF(Q910&lt;&gt;"",IF(Q910="W","L","W"),"")</f>
        <v/>
      </c>
      <c r="R912"/>
      <c r="S912"/>
      <c r="T912"/>
      <c r="U912"/>
      <c r="V912"/>
      <c r="W912"/>
      <c r="X912"/>
      <c r="Y912"/>
      <c r="Z912"/>
      <c r="AA912"/>
      <c r="AB912"/>
      <c r="AC912"/>
      <c r="AD912"/>
      <c r="AE912"/>
      <c r="AF912"/>
    </row>
    <row r="913" spans="1:32" ht="12.75" customHeight="1" x14ac:dyDescent="0.25">
      <c r="A913" s="260"/>
      <c r="B913" s="266" t="str">
        <f ca="1">IF($B905="Missing Player",$B905,"")</f>
        <v/>
      </c>
      <c r="C913" s="267"/>
      <c r="D913" s="267"/>
      <c r="E913" s="267"/>
      <c r="F913" s="267"/>
      <c r="G913" s="268"/>
      <c r="H913" s="234"/>
      <c r="I913" s="234"/>
      <c r="J913" s="235"/>
      <c r="K913" s="235"/>
      <c r="L913" s="235"/>
      <c r="M913" s="250"/>
      <c r="N913" s="251"/>
      <c r="O913" s="251"/>
      <c r="P913" s="252"/>
      <c r="Q913" s="110" t="str">
        <f ca="1">IF($Q912&lt;&gt;"",IF($B911&lt;&gt;"Missing Player",IF($Q912="W",IF(SUM(IF($H912&gt;$H910,1,0),IF($I912&gt;$I910,1,0),IF($J912&gt;$J910,1,0),IF($K912&gt;$K910,1,0),IF($L912&gt;$L910,1,0))&lt;&gt;3,"Error",""),""),""),"")</f>
        <v/>
      </c>
      <c r="R913" t="str">
        <f>A901</f>
        <v>4th Singles</v>
      </c>
      <c r="S913"/>
      <c r="T913"/>
      <c r="U913"/>
      <c r="V913"/>
      <c r="W913"/>
      <c r="X913"/>
      <c r="Y913"/>
      <c r="Z913"/>
      <c r="AA913"/>
      <c r="AB913"/>
      <c r="AC913"/>
      <c r="AD913"/>
      <c r="AE913"/>
      <c r="AF913"/>
    </row>
    <row r="914" spans="1:32" ht="12.75" customHeight="1" x14ac:dyDescent="0.25">
      <c r="G914" s="53">
        <f ca="1">COUNTIF($Q882:$Q882,"W")+COUNTIF($Q889:$Q889,"W")+COUNTIF($Q896:$Q896,"W")+COUNTIF($Q903:$Q903,"W")</f>
        <v>0</v>
      </c>
      <c r="J914" s="53">
        <f ca="1">COUNTIF($Q884:$Q884,"W")+COUNTIF($Q891:$Q891,"W")+COUNTIF($Q898:$Q898,"W")+COUNTIF($Q905:$Q905,"W")</f>
        <v>0</v>
      </c>
      <c r="R914" s="47" t="s">
        <v>160</v>
      </c>
      <c r="S914" s="304" t="s">
        <v>58</v>
      </c>
      <c r="T914" s="305"/>
      <c r="U914" s="305"/>
      <c r="V914" s="305"/>
      <c r="W914" s="305"/>
      <c r="X914" s="306"/>
      <c r="Y914" s="47">
        <v>1</v>
      </c>
      <c r="Z914" s="47">
        <v>2</v>
      </c>
      <c r="AA914" s="47">
        <v>3</v>
      </c>
      <c r="AB914" s="47">
        <v>4</v>
      </c>
      <c r="AC914" s="47">
        <v>5</v>
      </c>
      <c r="AD914" s="286"/>
      <c r="AE914" s="287"/>
      <c r="AF914" s="288"/>
    </row>
    <row r="915" spans="1:32" ht="12.75" customHeight="1" thickBot="1" x14ac:dyDescent="0.3">
      <c r="F915" s="212" t="s">
        <v>170</v>
      </c>
      <c r="G915" s="212"/>
      <c r="H915" s="212"/>
      <c r="I915" s="212"/>
      <c r="J915" s="212"/>
      <c r="K915" s="212"/>
      <c r="R915" s="259" t="str">
        <f>B876</f>
        <v>D</v>
      </c>
      <c r="S915" s="307" t="str">
        <f ca="1">IF($B903&lt;&gt;"",$B903,"")</f>
        <v/>
      </c>
      <c r="T915" s="308"/>
      <c r="U915" s="308"/>
      <c r="V915" s="308"/>
      <c r="W915" s="308"/>
      <c r="X915" s="309"/>
      <c r="Y915" s="284"/>
      <c r="Z915" s="284"/>
      <c r="AA915" s="297"/>
      <c r="AB915" s="297"/>
      <c r="AC915" s="297"/>
      <c r="AD915" s="296"/>
      <c r="AE915" s="298"/>
      <c r="AF915" s="299"/>
    </row>
    <row r="916" spans="1:32" ht="12.75" customHeight="1" x14ac:dyDescent="0.25">
      <c r="A916" s="16"/>
      <c r="B916" s="16"/>
      <c r="C916" s="16"/>
      <c r="D916" s="16"/>
      <c r="E916" s="16"/>
      <c r="G916" s="261" t="str">
        <f>B876</f>
        <v>D</v>
      </c>
      <c r="H916" s="262"/>
      <c r="I916" s="263" t="str">
        <f>K876</f>
        <v>E</v>
      </c>
      <c r="J916" s="264"/>
      <c r="L916" s="16"/>
      <c r="M916" s="16"/>
      <c r="N916" s="16"/>
      <c r="O916" s="16"/>
      <c r="P916" s="16"/>
      <c r="R916" s="260"/>
      <c r="S916" s="310"/>
      <c r="T916" s="311"/>
      <c r="U916" s="311"/>
      <c r="V916" s="311"/>
      <c r="W916" s="311"/>
      <c r="X916" s="312"/>
      <c r="Y916" s="285"/>
      <c r="Z916" s="285"/>
      <c r="AA916" s="303"/>
      <c r="AB916" s="303"/>
      <c r="AC916" s="303"/>
      <c r="AD916" s="300"/>
      <c r="AE916" s="301"/>
      <c r="AF916" s="302"/>
    </row>
    <row r="917" spans="1:32" ht="12.75" customHeight="1" thickBot="1" x14ac:dyDescent="0.3">
      <c r="A917" s="2" t="s">
        <v>160</v>
      </c>
      <c r="B917" s="40" t="str">
        <f>B876</f>
        <v>D</v>
      </c>
      <c r="C917" s="3" t="s">
        <v>158</v>
      </c>
      <c r="F917" s="53" t="str">
        <f>CONCATENATE($B876,"-",$K876)</f>
        <v>D-E</v>
      </c>
      <c r="G917" s="240" t="str">
        <f ca="1">IF(OR(Q882&lt;&gt;"",Q889&lt;&gt;"",Q896&lt;&gt;"",Q903&lt;&gt;"",Q910&lt;&gt;""),COUNTIF(Q882:Q882,"W")+COUNTIF(Q889:Q889,"W")+COUNTIF(Q896:Q896,"W")+COUNTIF(Q903:Q903,"W")+COUNTIF(Q910:Q910,"W"),"")</f>
        <v/>
      </c>
      <c r="H917" s="241"/>
      <c r="I917" s="242" t="str">
        <f ca="1">IF(OR(Q884&lt;&gt;"",Q891&lt;&gt;"",Q898&lt;&gt;"",Q905&lt;&gt;"",Q912&lt;&gt;""),COUNTIF(Q884:Q884,"W")+COUNTIF(Q891:Q891,"W")+COUNTIF(Q898:Q898,"W")+COUNTIF(Q905:Q905,"W")+COUNTIF(Q912:Q912,"W"),"")</f>
        <v/>
      </c>
      <c r="J917" s="243"/>
      <c r="L917" s="2" t="s">
        <v>160</v>
      </c>
      <c r="M917" s="40" t="str">
        <f>K876</f>
        <v>E</v>
      </c>
      <c r="N917" s="3" t="s">
        <v>158</v>
      </c>
      <c r="R917" s="259" t="str">
        <f>K876</f>
        <v>E</v>
      </c>
      <c r="S917" s="307" t="str">
        <f ca="1">IF($B905&lt;&gt;"",$B905,"")</f>
        <v/>
      </c>
      <c r="T917" s="308"/>
      <c r="U917" s="308"/>
      <c r="V917" s="308"/>
      <c r="W917" s="308"/>
      <c r="X917" s="309"/>
      <c r="Y917" s="284"/>
      <c r="Z917" s="284"/>
      <c r="AA917" s="297"/>
      <c r="AB917" s="297"/>
      <c r="AC917" s="297"/>
      <c r="AD917" s="289" t="s">
        <v>169</v>
      </c>
      <c r="AE917" s="290"/>
      <c r="AF917" s="291"/>
    </row>
    <row r="918" spans="1:32" ht="12.75" customHeight="1" x14ac:dyDescent="0.35">
      <c r="F918" s="18" t="s">
        <v>403</v>
      </c>
      <c r="G918" s="17"/>
      <c r="H918" s="17"/>
      <c r="I918" s="17"/>
      <c r="J918" s="17"/>
      <c r="R918" s="285"/>
      <c r="S918" s="310"/>
      <c r="T918" s="311"/>
      <c r="U918" s="311"/>
      <c r="V918" s="311"/>
      <c r="W918" s="311"/>
      <c r="X918" s="312"/>
      <c r="Y918" s="285"/>
      <c r="Z918" s="285"/>
      <c r="AA918" s="285"/>
      <c r="AB918" s="285"/>
      <c r="AC918" s="285"/>
      <c r="AD918" s="292"/>
      <c r="AE918" s="293"/>
      <c r="AF918" s="294"/>
    </row>
    <row r="919" spans="1:32" ht="12.75" customHeight="1" x14ac:dyDescent="0.25">
      <c r="R919" s="1"/>
      <c r="S919" s="11"/>
      <c r="T919" s="11"/>
      <c r="U919" s="11"/>
      <c r="V919" s="11"/>
      <c r="W919" s="11"/>
    </row>
    <row r="920" spans="1:32" ht="12.75" customHeight="1" x14ac:dyDescent="0.25">
      <c r="F920" s="212"/>
      <c r="G920" s="212"/>
      <c r="H920" s="212"/>
      <c r="I920" s="212"/>
      <c r="R920" s="1"/>
      <c r="S920" s="11"/>
      <c r="T920" s="11"/>
      <c r="U920" s="11"/>
      <c r="V920" s="11"/>
      <c r="W920" s="11"/>
    </row>
    <row r="921" spans="1:32" ht="12.75" customHeight="1" x14ac:dyDescent="0.25">
      <c r="F921" s="212"/>
      <c r="G921" s="212"/>
      <c r="H921" s="212"/>
      <c r="I921" s="212"/>
      <c r="R921" s="1"/>
      <c r="S921" s="11"/>
      <c r="T921" s="11"/>
      <c r="U921" s="11"/>
      <c r="V921" s="11"/>
      <c r="W921" s="11"/>
    </row>
    <row r="922" spans="1:32" ht="12.75" customHeight="1" x14ac:dyDescent="0.25">
      <c r="K922" s="219" t="s">
        <v>176</v>
      </c>
      <c r="L922" s="219"/>
      <c r="M922" s="219"/>
      <c r="N922" s="219"/>
      <c r="O922" s="219"/>
      <c r="P922" s="219"/>
      <c r="R922" s="1"/>
      <c r="S922" s="11"/>
      <c r="T922" s="11"/>
      <c r="U922" s="11"/>
      <c r="V922" s="11"/>
      <c r="W922" s="11"/>
    </row>
    <row r="923" spans="1:32" ht="12.75" customHeight="1" x14ac:dyDescent="0.25">
      <c r="A923" s="9" t="s">
        <v>161</v>
      </c>
      <c r="B923"/>
      <c r="C923"/>
      <c r="D923" t="str">
        <f>Draw!$B$1</f>
        <v>Enter Division Name</v>
      </c>
      <c r="E923"/>
      <c r="F923" s="6"/>
      <c r="G923" s="6"/>
      <c r="H923" s="6"/>
      <c r="I923"/>
      <c r="J923"/>
      <c r="K923"/>
      <c r="L923"/>
      <c r="M923" s="219"/>
      <c r="N923" s="219"/>
      <c r="O923" s="219"/>
      <c r="P923" s="219"/>
      <c r="R923" s="1"/>
      <c r="S923" s="11"/>
      <c r="T923" s="11"/>
      <c r="U923" s="11"/>
      <c r="V923" s="11"/>
      <c r="W923" s="11"/>
    </row>
    <row r="924" spans="1:32" ht="12.75" customHeight="1" x14ac:dyDescent="0.25">
      <c r="A924" s="2" t="s">
        <v>162</v>
      </c>
      <c r="D924" t="str">
        <f>Draw!$D$1</f>
        <v>Enter Hosting Location (City, ST)</v>
      </c>
      <c r="J924" t="str">
        <f ca="1">$J$6</f>
        <v>[NCTTA Teams Template (v3.4).xlsx]</v>
      </c>
      <c r="R924" s="1"/>
      <c r="S924" s="11"/>
      <c r="T924" s="11"/>
      <c r="U924" s="11"/>
      <c r="V924" s="11"/>
      <c r="W924" s="11"/>
    </row>
    <row r="925" spans="1:32" ht="12.75" customHeight="1" x14ac:dyDescent="0.25">
      <c r="A925" s="2" t="s">
        <v>163</v>
      </c>
      <c r="D925" s="275" t="str">
        <f>Draw!$P$1</f>
        <v>Enter Date</v>
      </c>
      <c r="E925" s="275"/>
      <c r="F925" s="275"/>
      <c r="G925" s="275"/>
      <c r="J925" s="244" t="str">
        <f>CHOOSE(Draw!$T$1,"Round 4, Match 1","Round 2, Match 4","","","","","Round 7, Match 1","Round 5, Match 3","Round 5, Match 3","Round 4, Match 4","Round 4, Match 4")</f>
        <v>Round 4, Match 1</v>
      </c>
      <c r="K925" s="244"/>
      <c r="L925" s="244"/>
      <c r="M925" s="277" t="str">
        <f>IF(AND($J925&lt;&gt;"",Draw!$AC$10&lt;&gt;"",Draw!$AC$13&lt;&gt;""),Draw!$AC$10+TIME(0,VALUE(MID($J925,7,FIND(",",$J925)-FIND(" ",$J925)-1)-1)*Draw!$AC$13,0),"")</f>
        <v/>
      </c>
      <c r="N925" s="277"/>
      <c r="O925" s="125" t="str">
        <f>$F968</f>
        <v>A-I</v>
      </c>
      <c r="R925" s="1"/>
      <c r="S925" s="11"/>
      <c r="T925" s="11"/>
      <c r="U925" s="11"/>
      <c r="V925" s="11"/>
      <c r="W925" s="11"/>
    </row>
    <row r="926" spans="1:32" ht="12.75" customHeight="1" x14ac:dyDescent="0.25">
      <c r="A926" s="6"/>
      <c r="B926"/>
      <c r="C926"/>
      <c r="D926"/>
      <c r="E926"/>
      <c r="F926" s="6"/>
      <c r="G926" s="6"/>
      <c r="H926" s="11"/>
      <c r="I926" s="6"/>
      <c r="J926"/>
      <c r="K926"/>
      <c r="L926"/>
      <c r="M926"/>
      <c r="N926"/>
      <c r="O926" s="269" t="str">
        <f>IF(OR(AND(VLOOKUP($B927,$AM$1:$AX$12,12,FALSE)="C",VLOOKUP($K927,$AM$1:$AX$12,12,FALSE)="C"),AND(VLOOKUP($B927,$AM$1:$AX$12,12,FALSE)="W",VLOOKUP($K927,$AM$1:$AX$12,12,FALSE)="W")),"Official",IF(AND($A928="",$J928=""),"","Scrimmage"))</f>
        <v/>
      </c>
      <c r="P926" s="269"/>
      <c r="R926" s="1"/>
      <c r="S926" s="11"/>
      <c r="T926" s="11"/>
      <c r="U926" s="11"/>
      <c r="V926" s="11"/>
      <c r="W926" s="11"/>
    </row>
    <row r="927" spans="1:32" ht="12.75" customHeight="1" x14ac:dyDescent="0.25">
      <c r="A927" s="12" t="s">
        <v>160</v>
      </c>
      <c r="B927" s="98" t="str">
        <f>CHOOSE(Draw!$T$1,"A","G","A","A","B","A","A","E","C","C","B")</f>
        <v>A</v>
      </c>
      <c r="C927" s="109">
        <f>VLOOKUP($B927,$AM$1:$AN$12,2)</f>
        <v>1</v>
      </c>
      <c r="D927" s="10"/>
      <c r="E927" s="10"/>
      <c r="F927" s="8"/>
      <c r="H927" s="1" t="s">
        <v>164</v>
      </c>
      <c r="J927" s="12" t="s">
        <v>160</v>
      </c>
      <c r="K927" s="98" t="str">
        <f>CHOOSE(Draw!$T$1,"I","J","E","J","G","J","F","H","G","I","E")</f>
        <v>I</v>
      </c>
      <c r="L927" s="109">
        <f>VLOOKUP($K927,$AM$1:$AN$12,2)</f>
        <v>9</v>
      </c>
      <c r="M927" s="10"/>
      <c r="N927" s="10"/>
      <c r="O927" s="13"/>
      <c r="R927" s="1"/>
      <c r="S927" s="11"/>
      <c r="T927" s="11"/>
      <c r="U927" s="11"/>
      <c r="V927" s="11"/>
      <c r="W927" s="11"/>
    </row>
    <row r="928" spans="1:32" ht="12.75" customHeight="1" x14ac:dyDescent="0.25">
      <c r="A928" s="253" t="str">
        <f>IF(VLOOKUP($B927,Draw!$A$4:$B$27,2)&lt;&gt;0,VLOOKUP($B927,Draw!$A$4:$B$27,2),"")</f>
        <v/>
      </c>
      <c r="B928" s="254"/>
      <c r="C928" s="254"/>
      <c r="D928" s="254"/>
      <c r="E928" s="254"/>
      <c r="F928" s="255"/>
      <c r="G928" s="273" t="s">
        <v>422</v>
      </c>
      <c r="H928" s="249"/>
      <c r="I928" s="274"/>
      <c r="J928" s="253" t="str">
        <f>IF(VLOOKUP($K927,Draw!$A$4:$B$27,2)&lt;&gt;0,VLOOKUP($K927,Draw!$A$4:$B$27,2),"")</f>
        <v/>
      </c>
      <c r="K928" s="254"/>
      <c r="L928" s="254"/>
      <c r="M928" s="254"/>
      <c r="N928" s="254"/>
      <c r="O928" s="255"/>
      <c r="P928"/>
      <c r="R928" s="1"/>
      <c r="S928" s="11"/>
      <c r="T928" s="11"/>
      <c r="U928" s="11"/>
      <c r="V928" s="11"/>
      <c r="W928" s="11"/>
    </row>
    <row r="929" spans="1:32" ht="12.75" customHeight="1" x14ac:dyDescent="0.25">
      <c r="A929" s="6"/>
      <c r="B929"/>
      <c r="C929"/>
      <c r="D929"/>
      <c r="E929"/>
      <c r="F929" s="6"/>
      <c r="G929" s="248" t="str">
        <f>"Page "&amp;VALUE(RIGHT($G928,LEN($G928)-SEARCH("-",$G928)))/2</f>
        <v>Page 19</v>
      </c>
      <c r="H929" s="249"/>
      <c r="I929" s="249"/>
      <c r="J929"/>
      <c r="K929"/>
      <c r="L929"/>
      <c r="M929"/>
      <c r="N929"/>
      <c r="O929"/>
      <c r="P929"/>
      <c r="R929" s="1"/>
      <c r="S929" s="11"/>
      <c r="T929" s="11"/>
      <c r="U929" s="11"/>
      <c r="V929" s="11"/>
      <c r="W929" s="11"/>
      <c r="AF929"/>
    </row>
    <row r="930" spans="1:32" ht="12.75" customHeight="1" x14ac:dyDescent="0.25">
      <c r="A930" s="276" t="s">
        <v>177</v>
      </c>
      <c r="B930" s="276"/>
      <c r="C930" s="276"/>
      <c r="D930" s="276"/>
      <c r="E930" s="276"/>
      <c r="F930" s="276"/>
      <c r="G930" s="276"/>
      <c r="H930" s="276"/>
      <c r="I930" s="276"/>
      <c r="J930" s="276"/>
      <c r="K930" s="276"/>
      <c r="L930" s="276"/>
      <c r="M930" s="276"/>
      <c r="N930" s="276"/>
      <c r="O930" s="276"/>
      <c r="P930" s="276"/>
      <c r="Q930" s="6"/>
      <c r="R930" s="1"/>
      <c r="S930" s="11"/>
      <c r="T930" s="11"/>
      <c r="U930" s="11"/>
      <c r="V930" s="11"/>
      <c r="W930" s="11"/>
      <c r="AF930" s="14"/>
    </row>
    <row r="931" spans="1:32" ht="12.75" customHeight="1" x14ac:dyDescent="0.25">
      <c r="A931" s="15" t="s">
        <v>165</v>
      </c>
      <c r="H931" s="110" t="str">
        <f>IF($Q933&lt;&gt;"",IF(AND(AND($H933&gt;-1,$H935&gt;-1),OR($H933&gt;10,$H935&gt;10),ABS($H933-$H935)&gt;1,IF(OR($H933&gt;11,$H935&gt;11),ABS($H933-$H935)=2,TRUE),$H933=INT($H933),$H935=INT($H935)),"","Error"),"")</f>
        <v/>
      </c>
      <c r="I931" s="110" t="str">
        <f>IF($Q933&lt;&gt;"",IF(AND(AND($I933&gt;-1,$I935&gt;-1),OR($I933&gt;10,$I935&gt;10),ABS($I933-$I935)&gt;1,IF(OR($I933&gt;11,$I935&gt;11),ABS($I933-$I935)=2,TRUE),$I933=INT($I933),$I935=INT($I935)),"","Error"),"")</f>
        <v/>
      </c>
      <c r="J931" s="110" t="str">
        <f>IF($Q933&lt;&gt;"",IF(AND(AND($J933&gt;-1,$J935&gt;-1),OR($J933&gt;10,$J935&gt;10),ABS($J933-$J935)&gt;1,IF(OR($J933&gt;11,$J935&gt;11),ABS($J933-$J935)=2,TRUE),$J933=INT($J933),$J935=INT($J935)),"","Error"),"")</f>
        <v/>
      </c>
      <c r="K931" s="110" t="str">
        <f>IF($Q933&lt;&gt;"",IF(AND($K933&lt;&gt;"",$K935&lt;&gt;""), IF(AND(AND($K933&gt;-1,$K935&gt;-1),OR($K933&gt;10,$K935&gt;10),ABS($K933-$K935)&gt;1,IF(OR($K933&gt;11,$K935&gt;11),ABS($K933-$K935)=2,TRUE),$K933=INT($K933),$K935=INT($K935)),"","Error"),""),"")</f>
        <v/>
      </c>
      <c r="L931" s="110" t="str">
        <f>IF($Q933&lt;&gt;"",IF(AND($L933&lt;&gt;"",$L935&lt;&gt;""), IF(AND(AND($L933&gt;-1,$L935&gt;-1),OR($L933&gt;10,$L935&gt;10),ABS($L933-$L935)&gt;1,IF(OR($L933&gt;11,$L935&gt;11),ABS($L933-$L935)=2,TRUE),$L933=INT($L933),$L935=INT($L935)),"","Error"),""),"")</f>
        <v/>
      </c>
      <c r="R931" s="1"/>
      <c r="S931" s="11"/>
      <c r="T931" s="11"/>
      <c r="U931" s="11"/>
      <c r="V931" s="11"/>
      <c r="W931" s="11"/>
    </row>
    <row r="932" spans="1:32" ht="12.75" customHeight="1" x14ac:dyDescent="0.25">
      <c r="A932" s="5" t="s">
        <v>160</v>
      </c>
      <c r="B932" s="256" t="s">
        <v>58</v>
      </c>
      <c r="C932" s="257"/>
      <c r="D932" s="257"/>
      <c r="E932" s="257"/>
      <c r="F932" s="257"/>
      <c r="G932" s="258"/>
      <c r="H932" s="5">
        <v>1</v>
      </c>
      <c r="I932" s="5">
        <v>2</v>
      </c>
      <c r="J932" s="5">
        <v>3</v>
      </c>
      <c r="K932" s="5">
        <v>4</v>
      </c>
      <c r="L932" s="5">
        <v>5</v>
      </c>
      <c r="M932" s="270"/>
      <c r="N932" s="271"/>
      <c r="O932" s="271"/>
      <c r="P932" s="272"/>
      <c r="R932" s="1"/>
      <c r="S932" s="11"/>
      <c r="T932" s="11"/>
      <c r="U932" s="11"/>
      <c r="V932" s="11"/>
      <c r="W932" s="11"/>
    </row>
    <row r="933" spans="1:32" ht="12.75" customHeight="1" x14ac:dyDescent="0.25">
      <c r="A933" s="259" t="str">
        <f>B927</f>
        <v>A</v>
      </c>
      <c r="B933" s="236" t="str">
        <f ca="1">IF(AND(OFFSET($AO$1,$C927-1,8,1,1),$A928&lt;&gt;"",$J928&lt;&gt;""),CHOOSE($C927,$AO$1,$AO$2,$AO$3,$AO$4,$AO$5,$AO$6,$AO$7,$AO$8,$AO$9,$AO$10,$AO$11,$AO$12),"")</f>
        <v/>
      </c>
      <c r="C933" s="237"/>
      <c r="D933" s="237"/>
      <c r="E933" s="237"/>
      <c r="F933" s="237"/>
      <c r="G933" s="237"/>
      <c r="H933" s="233"/>
      <c r="I933" s="233"/>
      <c r="J933" s="233"/>
      <c r="K933" s="233"/>
      <c r="L933" s="233"/>
      <c r="M933" s="281"/>
      <c r="N933" s="282"/>
      <c r="O933" s="282"/>
      <c r="P933" s="283"/>
      <c r="Q933" s="40" t="str">
        <f>IF($L933=$L935,IF($K933=$K935,IF($J933&lt;&gt;"",IF($J933&gt;$J935,"W","L"),""),IF($K933&gt;$K935,"W","L")),IF($L933&gt;$L935,"W","L"))</f>
        <v/>
      </c>
      <c r="R933" s="1"/>
      <c r="S933" s="11"/>
      <c r="T933" s="11"/>
      <c r="U933" s="11"/>
      <c r="V933" s="11"/>
      <c r="W933" s="11"/>
    </row>
    <row r="934" spans="1:32" ht="12.75" customHeight="1" x14ac:dyDescent="0.25">
      <c r="A934" s="260"/>
      <c r="B934" s="238"/>
      <c r="C934" s="239"/>
      <c r="D934" s="239"/>
      <c r="E934" s="239"/>
      <c r="F934" s="239"/>
      <c r="G934" s="239"/>
      <c r="H934" s="234"/>
      <c r="I934" s="234"/>
      <c r="J934" s="234"/>
      <c r="K934" s="234"/>
      <c r="L934" s="234"/>
      <c r="M934" s="281"/>
      <c r="N934" s="282"/>
      <c r="O934" s="282"/>
      <c r="P934" s="283"/>
      <c r="Q934" s="110" t="str">
        <f>IF($Q933&lt;&gt;"",IF($Q933="W",IF(SUM(IF($H933&gt;$H935,1,0),IF($I933&gt;$I935,1,0),IF($J933&gt;$J935,1,0),IF($K933&gt;$K935,1,0),IF($L933&gt;$L935,1,0))&lt;&gt;3,"Error",""),""),"")</f>
        <v/>
      </c>
      <c r="R934" s="295" t="str">
        <f>$A928</f>
        <v/>
      </c>
      <c r="S934" s="295"/>
      <c r="T934" s="295"/>
      <c r="U934" s="295"/>
      <c r="V934" s="295"/>
      <c r="W934" s="295"/>
      <c r="X934" s="219" t="str">
        <f>CONCATENATE("(",$B927," vs ",$K927,")")</f>
        <v>(A vs I)</v>
      </c>
      <c r="Y934" s="219"/>
      <c r="Z934" s="295" t="str">
        <f>$J928</f>
        <v/>
      </c>
      <c r="AA934" s="295"/>
      <c r="AB934" s="295"/>
      <c r="AC934" s="295"/>
      <c r="AD934" s="295"/>
      <c r="AE934" s="295"/>
      <c r="AF934"/>
    </row>
    <row r="935" spans="1:32" ht="12.75" customHeight="1" x14ac:dyDescent="0.25">
      <c r="A935" s="259" t="str">
        <f>K927</f>
        <v>I</v>
      </c>
      <c r="B935" s="236" t="str">
        <f ca="1">IF(AND(OFFSET($AO$1,$L927-1,8,1,1),$A928&lt;&gt;"",$J928&lt;&gt;""),CHOOSE($L927,$AO$1,$AO$2,$AO$3,$AO$4,$AO$5,$AO$6,$AO$7,$AO$8,$AO$9,$AO$10,$AO$11,$AO$12),"")</f>
        <v/>
      </c>
      <c r="C935" s="237"/>
      <c r="D935" s="237"/>
      <c r="E935" s="237"/>
      <c r="F935" s="237"/>
      <c r="G935" s="237"/>
      <c r="H935" s="233"/>
      <c r="I935" s="233"/>
      <c r="J935" s="233"/>
      <c r="K935" s="233"/>
      <c r="L935" s="233"/>
      <c r="M935" s="250" t="s">
        <v>169</v>
      </c>
      <c r="N935" s="251"/>
      <c r="O935" s="251"/>
      <c r="P935" s="252"/>
      <c r="Q935" s="40" t="str">
        <f>IF($Q933&lt;&gt;"",IF($Q933="W","L","W"),"")</f>
        <v/>
      </c>
      <c r="R935"/>
      <c r="S935"/>
      <c r="T935"/>
      <c r="U935"/>
      <c r="V935"/>
      <c r="W935"/>
      <c r="X935"/>
      <c r="Y935"/>
      <c r="Z935"/>
      <c r="AA935"/>
      <c r="AB935"/>
      <c r="AC935"/>
      <c r="AD935"/>
      <c r="AE935"/>
      <c r="AF935"/>
    </row>
    <row r="936" spans="1:32" ht="12.75" customHeight="1" x14ac:dyDescent="0.25">
      <c r="A936" s="260"/>
      <c r="B936" s="238"/>
      <c r="C936" s="239"/>
      <c r="D936" s="239"/>
      <c r="E936" s="239"/>
      <c r="F936" s="239"/>
      <c r="G936" s="239"/>
      <c r="H936" s="234"/>
      <c r="I936" s="234"/>
      <c r="J936" s="235"/>
      <c r="K936" s="235"/>
      <c r="L936" s="235"/>
      <c r="M936" s="250"/>
      <c r="N936" s="251"/>
      <c r="O936" s="251"/>
      <c r="P936" s="252"/>
      <c r="Q936" s="110" t="str">
        <f>IF($Q935&lt;&gt;"",IF($Q935="W",IF(SUM(IF($H935&gt;$H933,1,0),IF($I935&gt;$I933,1,0),IF($J935&gt;$J933,1,0),IF($K935&gt;$K933,1,0),IF($L935&gt;$L933,1,0))&lt;&gt;3,"Error",""),""),"")</f>
        <v/>
      </c>
      <c r="R936" t="str">
        <f>$A938</f>
        <v>2nd Singles</v>
      </c>
      <c r="S936"/>
      <c r="T936"/>
      <c r="U936"/>
      <c r="V936"/>
      <c r="W936"/>
      <c r="X936"/>
      <c r="Y936"/>
      <c r="Z936"/>
      <c r="AA936"/>
      <c r="AB936"/>
      <c r="AC936"/>
      <c r="AD936"/>
      <c r="AE936"/>
      <c r="AF936"/>
    </row>
    <row r="937" spans="1:32" ht="12.75" customHeight="1" x14ac:dyDescent="0.25">
      <c r="Q937" s="6"/>
      <c r="R937" s="47" t="s">
        <v>160</v>
      </c>
      <c r="S937" s="304" t="s">
        <v>58</v>
      </c>
      <c r="T937" s="305"/>
      <c r="U937" s="305"/>
      <c r="V937" s="305"/>
      <c r="W937" s="305"/>
      <c r="X937" s="306"/>
      <c r="Y937" s="47">
        <v>1</v>
      </c>
      <c r="Z937" s="47">
        <v>2</v>
      </c>
      <c r="AA937" s="47">
        <v>3</v>
      </c>
      <c r="AB937" s="47">
        <v>4</v>
      </c>
      <c r="AC937" s="47">
        <v>5</v>
      </c>
      <c r="AD937" s="286"/>
      <c r="AE937" s="287"/>
      <c r="AF937" s="288"/>
    </row>
    <row r="938" spans="1:32" ht="12.75" customHeight="1" x14ac:dyDescent="0.25">
      <c r="A938" s="15" t="s">
        <v>166</v>
      </c>
      <c r="H938" s="110" t="str">
        <f>IF($Q940&lt;&gt;"",IF(AND(AND($H940&gt;-1,$H942&gt;-1),OR($H940&gt;10,$H942&gt;10),ABS($H940-$H942)&gt;1,IF(OR($H940&gt;11,$H942&gt;11),ABS($H940-$H942)=2,TRUE),$H940=INT($H940),$H942=INT($H942)),"","Error"),"")</f>
        <v/>
      </c>
      <c r="I938" s="110" t="str">
        <f>IF($Q940&lt;&gt;"",IF(AND(AND($I940&gt;-1,$I942&gt;-1),OR($I940&gt;10,$I942&gt;10),ABS($I940-$I942)&gt;1,IF(OR($I940&gt;11,$I942&gt;11),ABS($I940-$I942)=2,TRUE),$I940=INT($I940),$I942=INT($I942)),"","Error"),"")</f>
        <v/>
      </c>
      <c r="J938" s="110" t="str">
        <f>IF($Q940&lt;&gt;"",IF(AND(AND($J940&gt;-1,$J942&gt;-1),OR($J940&gt;10,$J942&gt;10),ABS($J940-$J942)&gt;1,IF(OR($J940&gt;11,$J942&gt;11),ABS($J940-$J942)=2,TRUE),$J940=INT($J940),$J942=INT($J942)),"","Error"),"")</f>
        <v/>
      </c>
      <c r="K938" s="110" t="str">
        <f>IF($Q940&lt;&gt;"",IF(AND($K940&lt;&gt;"",$K942&lt;&gt;""), IF(AND(AND($K940&gt;-1,$K942&gt;-1),OR($K940&gt;10,$K942&gt;10),ABS($K940-$K942)&gt;1,IF(OR($K940&gt;11,$K942&gt;11),ABS($K940-$K942)=2,TRUE),$K940=INT($K940),$K942=INT($K942)),"","Error"),""),"")</f>
        <v/>
      </c>
      <c r="L938" s="110" t="str">
        <f>IF($Q940&lt;&gt;"",IF(AND($L940&lt;&gt;"",$L942&lt;&gt;""), IF(AND(AND($L940&gt;-1,$L942&gt;-1),OR($L940&gt;10,$L942&gt;10),ABS($L940-$L942)&gt;1,IF(OR($L940&gt;11,$L942&gt;11),ABS($L940-$L942)=2,TRUE),$L940=INT($L940),$L942=INT($L942)),"","Error"),""),"")</f>
        <v/>
      </c>
      <c r="Q938" s="6"/>
      <c r="R938" s="259" t="str">
        <f>$B927</f>
        <v>A</v>
      </c>
      <c r="S938" s="307" t="str">
        <f ca="1">IF($B940&lt;&gt;"",$B940,"")</f>
        <v/>
      </c>
      <c r="T938" s="308"/>
      <c r="U938" s="308"/>
      <c r="V938" s="308"/>
      <c r="W938" s="308"/>
      <c r="X938" s="309"/>
      <c r="Y938" s="284"/>
      <c r="Z938" s="284"/>
      <c r="AA938" s="284"/>
      <c r="AB938" s="284"/>
      <c r="AC938" s="284"/>
      <c r="AD938" s="296"/>
      <c r="AE938" s="290"/>
      <c r="AF938" s="291"/>
    </row>
    <row r="939" spans="1:32" ht="12.75" customHeight="1" x14ac:dyDescent="0.25">
      <c r="A939" s="5" t="s">
        <v>160</v>
      </c>
      <c r="B939" s="256" t="s">
        <v>58</v>
      </c>
      <c r="C939" s="257"/>
      <c r="D939" s="257"/>
      <c r="E939" s="257"/>
      <c r="F939" s="257"/>
      <c r="G939" s="258"/>
      <c r="H939" s="5">
        <v>1</v>
      </c>
      <c r="I939" s="5">
        <v>2</v>
      </c>
      <c r="J939" s="5">
        <v>3</v>
      </c>
      <c r="K939" s="5">
        <v>4</v>
      </c>
      <c r="L939" s="5">
        <v>5</v>
      </c>
      <c r="M939" s="270"/>
      <c r="N939" s="271"/>
      <c r="O939" s="271"/>
      <c r="P939" s="272"/>
      <c r="Q939" s="6"/>
      <c r="R939" s="285"/>
      <c r="S939" s="310"/>
      <c r="T939" s="311"/>
      <c r="U939" s="311"/>
      <c r="V939" s="311"/>
      <c r="W939" s="311"/>
      <c r="X939" s="312"/>
      <c r="Y939" s="285"/>
      <c r="Z939" s="285"/>
      <c r="AA939" s="285"/>
      <c r="AB939" s="285"/>
      <c r="AC939" s="285"/>
      <c r="AD939" s="292"/>
      <c r="AE939" s="293"/>
      <c r="AF939" s="294"/>
    </row>
    <row r="940" spans="1:32" ht="12.75" customHeight="1" x14ac:dyDescent="0.25">
      <c r="A940" s="259" t="str">
        <f>B927</f>
        <v>A</v>
      </c>
      <c r="B940" s="236" t="str">
        <f ca="1">IF(AND(OFFSET($AO$1,$C927-1,8,1,1),$A928&lt;&gt;"",$J928&lt;&gt;""),CHOOSE($C927,$AP$1,$AP$2,$AP$3,$AP$4,$AP$5,$AP$6,$AP$7,$AP$8,$AP$9,$AP$10,$AP$11,$AP$12),"")</f>
        <v/>
      </c>
      <c r="C940" s="237"/>
      <c r="D940" s="237"/>
      <c r="E940" s="237"/>
      <c r="F940" s="237"/>
      <c r="G940" s="237"/>
      <c r="H940" s="233"/>
      <c r="I940" s="233"/>
      <c r="J940" s="233"/>
      <c r="K940" s="233"/>
      <c r="L940" s="233"/>
      <c r="M940" s="245" t="str">
        <f ca="1">IF(OR(AND($B933&lt;&gt;"",$B940&lt;&gt;"",$C958&lt;=$B958),AND($B935&lt;&gt;"",$B942&lt;&gt;"",$G958&lt;=$F958)),"Invalid Lineup","")</f>
        <v/>
      </c>
      <c r="N940" s="246"/>
      <c r="O940" s="246"/>
      <c r="P940" s="247"/>
      <c r="Q940" s="40" t="str">
        <f>IF($L940=$L942,IF($K940=$K942,IF($J940&lt;&gt;"",IF($J940&gt;$J942,"W","L"),""),IF($K940&gt;$K942,"W","L")),IF($L940&gt;$L942,"W","L"))</f>
        <v/>
      </c>
      <c r="R940" s="259" t="str">
        <f>$K927</f>
        <v>I</v>
      </c>
      <c r="S940" s="307" t="str">
        <f ca="1">IF($B942&lt;&gt;"",$B942,"")</f>
        <v/>
      </c>
      <c r="T940" s="308"/>
      <c r="U940" s="308"/>
      <c r="V940" s="308"/>
      <c r="W940" s="308"/>
      <c r="X940" s="309"/>
      <c r="Y940" s="284"/>
      <c r="Z940" s="284"/>
      <c r="AA940" s="284"/>
      <c r="AB940" s="284"/>
      <c r="AC940" s="297"/>
      <c r="AD940" s="289" t="s">
        <v>169</v>
      </c>
      <c r="AE940" s="290"/>
      <c r="AF940" s="291"/>
    </row>
    <row r="941" spans="1:32" ht="12.75" customHeight="1" x14ac:dyDescent="0.25">
      <c r="A941" s="260"/>
      <c r="B941" s="238"/>
      <c r="C941" s="239"/>
      <c r="D941" s="239"/>
      <c r="E941" s="239"/>
      <c r="F941" s="239"/>
      <c r="G941" s="239"/>
      <c r="H941" s="234"/>
      <c r="I941" s="234"/>
      <c r="J941" s="234"/>
      <c r="K941" s="234"/>
      <c r="L941" s="234"/>
      <c r="M941" s="245"/>
      <c r="N941" s="246"/>
      <c r="O941" s="246"/>
      <c r="P941" s="247"/>
      <c r="Q941" s="110" t="str">
        <f>IF($Q940&lt;&gt;"",IF($Q940="W",IF(SUM(IF($H940&gt;$H942,1,0),IF($I940&gt;$I942,1,0),IF($J940&gt;$J942,1,0),IF($K940&gt;$K942,1,0),IF($L940&gt;$L942,1,0))&lt;&gt;3,"Error",""),""),"")</f>
        <v/>
      </c>
      <c r="R941" s="285"/>
      <c r="S941" s="310"/>
      <c r="T941" s="311"/>
      <c r="U941" s="311"/>
      <c r="V941" s="311"/>
      <c r="W941" s="311"/>
      <c r="X941" s="312"/>
      <c r="Y941" s="285"/>
      <c r="Z941" s="285"/>
      <c r="AA941" s="285"/>
      <c r="AB941" s="285"/>
      <c r="AC941" s="285"/>
      <c r="AD941" s="292"/>
      <c r="AE941" s="293"/>
      <c r="AF941" s="294"/>
    </row>
    <row r="942" spans="1:32" ht="12.75" customHeight="1" x14ac:dyDescent="0.25">
      <c r="A942" s="259" t="str">
        <f>K927</f>
        <v>I</v>
      </c>
      <c r="B942" s="236" t="str">
        <f ca="1">IF(AND(OFFSET($AO$1,$L927-1,8,1,1),$A928&lt;&gt;"",$J928&lt;&gt;""),CHOOSE($L927,$AP$1,$AP$2,$AP$3,$AP$4,$AP$5,$AP$6,$AP$7,$AP$8,$AP$9,$AP$10,$AP$11,$AP$12),"")</f>
        <v/>
      </c>
      <c r="C942" s="237"/>
      <c r="D942" s="237"/>
      <c r="E942" s="237"/>
      <c r="F942" s="237"/>
      <c r="G942" s="237"/>
      <c r="H942" s="233"/>
      <c r="I942" s="233"/>
      <c r="J942" s="233"/>
      <c r="K942" s="233"/>
      <c r="L942" s="233"/>
      <c r="M942" s="250" t="s">
        <v>169</v>
      </c>
      <c r="N942" s="251"/>
      <c r="O942" s="251"/>
      <c r="P942" s="252"/>
      <c r="Q942" s="40" t="str">
        <f>IF($Q940&lt;&gt;"",IF($Q940="W","L","W"),"")</f>
        <v/>
      </c>
      <c r="R942" s="14"/>
      <c r="S942" s="14"/>
      <c r="T942" s="14"/>
      <c r="U942" s="14"/>
      <c r="V942" s="14"/>
      <c r="W942" s="14"/>
      <c r="X942" s="7"/>
      <c r="Y942" s="7"/>
      <c r="Z942" s="14"/>
      <c r="AA942" s="14"/>
      <c r="AB942" s="14"/>
      <c r="AC942" s="14"/>
      <c r="AD942" s="14"/>
      <c r="AE942" s="14"/>
      <c r="AF942"/>
    </row>
    <row r="943" spans="1:32" ht="12.75" customHeight="1" x14ac:dyDescent="0.25">
      <c r="A943" s="260"/>
      <c r="B943" s="238"/>
      <c r="C943" s="239"/>
      <c r="D943" s="239"/>
      <c r="E943" s="239"/>
      <c r="F943" s="239"/>
      <c r="G943" s="239"/>
      <c r="H943" s="234"/>
      <c r="I943" s="234"/>
      <c r="J943" s="235"/>
      <c r="K943" s="235"/>
      <c r="L943" s="235"/>
      <c r="M943" s="250"/>
      <c r="N943" s="251"/>
      <c r="O943" s="251"/>
      <c r="P943" s="252"/>
      <c r="Q943" s="110" t="str">
        <f>IF($Q942&lt;&gt;"",IF($Q942="W",IF(SUM(IF($H942&gt;$H940,1,0),IF($I942&gt;$I940,1,0),IF($J942&gt;$J940,1,0),IF($K942&gt;$K940,1,0),IF($L942&gt;$L940,1,0))&lt;&gt;3,"Error",""),""),"")</f>
        <v/>
      </c>
      <c r="R943" s="14"/>
      <c r="S943" s="14"/>
      <c r="T943" s="14"/>
      <c r="U943" s="14"/>
      <c r="V943" s="14"/>
      <c r="W943" s="14"/>
      <c r="X943" s="7"/>
      <c r="Y943" s="7"/>
      <c r="Z943" s="14"/>
      <c r="AA943" s="14"/>
      <c r="AB943" s="14"/>
      <c r="AC943" s="14"/>
      <c r="AD943" s="14"/>
      <c r="AE943" s="14"/>
      <c r="AF943"/>
    </row>
    <row r="944" spans="1:32" ht="12.75" customHeight="1" x14ac:dyDescent="0.25">
      <c r="Q944" s="6"/>
      <c r="R944" s="14"/>
      <c r="S944" s="14"/>
      <c r="T944" s="14"/>
      <c r="U944" s="14"/>
      <c r="V944" s="14"/>
      <c r="W944" s="14"/>
      <c r="X944" s="7"/>
      <c r="Y944" s="7"/>
      <c r="Z944" s="14"/>
      <c r="AA944" s="14"/>
      <c r="AB944" s="14"/>
      <c r="AC944" s="14"/>
      <c r="AD944" s="14"/>
      <c r="AE944" s="14"/>
      <c r="AF944"/>
    </row>
    <row r="945" spans="1:32" ht="12.75" customHeight="1" x14ac:dyDescent="0.25">
      <c r="A945" s="15" t="s">
        <v>167</v>
      </c>
      <c r="H945" s="110" t="str">
        <f>IF($Q947&lt;&gt;"",IF(AND(AND($H947&gt;-1,$H949&gt;-1),OR($H947&gt;10,$H949&gt;10),ABS($H947-$H949)&gt;1,IF(OR($H947&gt;11,$H949&gt;11),ABS($H947-$H949)=2,TRUE),$H947=INT($H947),$H949=INT($H949)),"","Error"),"")</f>
        <v/>
      </c>
      <c r="I945" s="110" t="str">
        <f>IF($Q947&lt;&gt;"",IF(AND(AND($I947&gt;-1,$I949&gt;-1),OR($I947&gt;10,$I949&gt;10),ABS($I947-$I949)&gt;1,IF(OR($I947&gt;11,$I949&gt;11),ABS($I947-$I949)=2,TRUE),$I947=INT($I947),$I949=INT($I949)),"","Error"),"")</f>
        <v/>
      </c>
      <c r="J945" s="110" t="str">
        <f>IF($Q947&lt;&gt;"",IF(AND(AND($J947&gt;-1,$J949&gt;-1),OR($J947&gt;10,$J949&gt;10),ABS($J947-$J949)&gt;1,IF(OR($J947&gt;11,$J949&gt;11),ABS($J947-$J949)=2,TRUE),$J947=INT($J947),$J949=INT($J949)),"","Error"),"")</f>
        <v/>
      </c>
      <c r="K945" s="110" t="str">
        <f>IF($Q947&lt;&gt;"",IF(AND($K947&lt;&gt;"",$K949&lt;&gt;""), IF(AND(AND($K947&gt;-1,$K949&gt;-1),OR($K947&gt;10,$K949&gt;10),ABS($K947-$K949)&gt;1,IF(OR($K947&gt;11,$K949&gt;11),ABS($K947-$K949)=2,TRUE),$K947=INT($K947),$K949=INT($K949)),"","Error"),""),"")</f>
        <v/>
      </c>
      <c r="L945" s="110" t="str">
        <f>IF($Q947&lt;&gt;"",IF(AND($L947&lt;&gt;"",$L949&lt;&gt;""), IF(AND(AND($L947&gt;-1,$L949&gt;-1),OR($L947&gt;10,$L949&gt;10),ABS($L947-$L949)&gt;1,IF(OR($L947&gt;11,$L949&gt;11),ABS($L947-$L949)=2,TRUE),$L947=INT($L947),$L949=INT($L949)),"","Error"),""),"")</f>
        <v/>
      </c>
      <c r="Q945" s="6"/>
      <c r="R945" s="14"/>
      <c r="S945" s="14"/>
      <c r="T945" s="14"/>
      <c r="U945" s="14"/>
      <c r="V945" s="14"/>
      <c r="W945" s="14"/>
      <c r="X945" s="7"/>
      <c r="Y945" s="7"/>
      <c r="Z945" s="14"/>
      <c r="AA945" s="14"/>
      <c r="AB945" s="14"/>
      <c r="AC945" s="14"/>
      <c r="AD945" s="14"/>
      <c r="AE945" s="14"/>
      <c r="AF945"/>
    </row>
    <row r="946" spans="1:32" ht="12.75" customHeight="1" x14ac:dyDescent="0.25">
      <c r="A946" s="5" t="s">
        <v>160</v>
      </c>
      <c r="B946" s="256" t="s">
        <v>58</v>
      </c>
      <c r="C946" s="257"/>
      <c r="D946" s="257"/>
      <c r="E946" s="257"/>
      <c r="F946" s="257"/>
      <c r="G946" s="258"/>
      <c r="H946" s="5">
        <v>1</v>
      </c>
      <c r="I946" s="5">
        <v>2</v>
      </c>
      <c r="J946" s="5">
        <v>3</v>
      </c>
      <c r="K946" s="5">
        <v>4</v>
      </c>
      <c r="L946" s="5">
        <v>5</v>
      </c>
      <c r="M946" s="270"/>
      <c r="N946" s="271"/>
      <c r="O946" s="271"/>
      <c r="P946" s="272"/>
      <c r="Q946" s="6"/>
      <c r="R946" s="14"/>
      <c r="S946" s="14"/>
      <c r="T946" s="14"/>
      <c r="U946" s="14"/>
      <c r="V946" s="14"/>
      <c r="W946" s="14"/>
      <c r="X946" s="7"/>
      <c r="Y946" s="7"/>
      <c r="Z946" s="14"/>
      <c r="AA946" s="14"/>
      <c r="AB946" s="14"/>
      <c r="AC946" s="14"/>
      <c r="AD946" s="14"/>
      <c r="AE946" s="14"/>
      <c r="AF946"/>
    </row>
    <row r="947" spans="1:32" ht="12.75" customHeight="1" x14ac:dyDescent="0.25">
      <c r="A947" s="259" t="str">
        <f>B927</f>
        <v>A</v>
      </c>
      <c r="B947" s="236" t="str">
        <f ca="1">IF(AND(OFFSET($AO$1,$C927-1,8,1,1),$A928&lt;&gt;"",$J928&lt;&gt;""),CHOOSE($C927,$AQ$1,$AQ$2,$AQ$3,$AQ$4,$AQ$5,$AQ$6,$AQ$7,$AQ$8,$AQ$9,$AQ$10,$AQ$11,$AQ$12),"")</f>
        <v/>
      </c>
      <c r="C947" s="237"/>
      <c r="D947" s="237"/>
      <c r="E947" s="237"/>
      <c r="F947" s="237"/>
      <c r="G947" s="237"/>
      <c r="H947" s="233"/>
      <c r="I947" s="233"/>
      <c r="J947" s="233"/>
      <c r="K947" s="233"/>
      <c r="L947" s="233"/>
      <c r="M947" s="245" t="str">
        <f ca="1">IF(OR(AND($B940&lt;&gt;"",$B947&lt;&gt;"",$D958&lt;=$C958),AND($B942&lt;&gt;"",$B949&lt;&gt;"",$H958&lt;=$G958)),"Invalid Lineup","")</f>
        <v/>
      </c>
      <c r="N947" s="246"/>
      <c r="O947" s="246"/>
      <c r="P947" s="247"/>
      <c r="Q947" s="40" t="str">
        <f>IF($L947=$L949,IF($K947=$K949,IF($J947&lt;&gt;"",IF($J947&gt;$J949,"W","L"),""),IF($K947&gt;$K949,"W","L")),IF($L947&gt;$L949,"W","L"))</f>
        <v/>
      </c>
      <c r="R947" s="14"/>
      <c r="S947" s="14"/>
      <c r="T947" s="14"/>
      <c r="U947" s="14"/>
      <c r="V947" s="14"/>
      <c r="W947" s="14"/>
      <c r="X947" s="7"/>
      <c r="Y947" s="7"/>
      <c r="Z947" s="14"/>
      <c r="AA947" s="14"/>
      <c r="AB947" s="14"/>
      <c r="AC947" s="14"/>
      <c r="AD947" s="14"/>
      <c r="AE947" s="14"/>
      <c r="AF947"/>
    </row>
    <row r="948" spans="1:32" ht="12.75" customHeight="1" x14ac:dyDescent="0.25">
      <c r="A948" s="260"/>
      <c r="B948" s="238"/>
      <c r="C948" s="239"/>
      <c r="D948" s="239"/>
      <c r="E948" s="239"/>
      <c r="F948" s="239"/>
      <c r="G948" s="239"/>
      <c r="H948" s="234"/>
      <c r="I948" s="234"/>
      <c r="J948" s="234"/>
      <c r="K948" s="234"/>
      <c r="L948" s="234"/>
      <c r="M948" s="245"/>
      <c r="N948" s="246"/>
      <c r="O948" s="246"/>
      <c r="P948" s="247"/>
      <c r="Q948" s="110" t="str">
        <f>IF($Q947&lt;&gt;"",IF($Q947="W",IF(SUM(IF($H947&gt;$H949,1,0),IF($I947&gt;$I949,1,0),IF($J947&gt;$J949,1,0),IF($K947&gt;$K949,1,0),IF($L947&gt;$L949,1,0))&lt;&gt;3,"Error",""),""),"")</f>
        <v/>
      </c>
      <c r="R948" s="295" t="str">
        <f>$A928</f>
        <v/>
      </c>
      <c r="S948" s="295"/>
      <c r="T948" s="295"/>
      <c r="U948" s="295"/>
      <c r="V948" s="295"/>
      <c r="W948" s="295"/>
      <c r="X948" s="219" t="str">
        <f>CONCATENATE("(",$B927," vs ",$K927,")")</f>
        <v>(A vs I)</v>
      </c>
      <c r="Y948" s="219"/>
      <c r="Z948" s="295" t="str">
        <f>$J928</f>
        <v/>
      </c>
      <c r="AA948" s="295"/>
      <c r="AB948" s="295"/>
      <c r="AC948" s="295"/>
      <c r="AD948" s="295"/>
      <c r="AE948" s="295"/>
      <c r="AF948"/>
    </row>
    <row r="949" spans="1:32" ht="12.75" customHeight="1" x14ac:dyDescent="0.25">
      <c r="A949" s="259" t="str">
        <f>K927</f>
        <v>I</v>
      </c>
      <c r="B949" s="236" t="str">
        <f ca="1">IF(AND(OFFSET($AO$1,$L927-1,8,1,1),$A928&lt;&gt;"",$J928&lt;&gt;""),CHOOSE($L927,$AQ$1,$AQ$2,$AQ$3,$AQ$4,$AQ$5,$AQ$6,$AQ$7,$AQ$8,$AQ$9,$AQ$10,$AQ$11,$AQ$12),"")</f>
        <v/>
      </c>
      <c r="C949" s="237"/>
      <c r="D949" s="237"/>
      <c r="E949" s="237"/>
      <c r="F949" s="237"/>
      <c r="G949" s="237"/>
      <c r="H949" s="233"/>
      <c r="I949" s="233"/>
      <c r="J949" s="233"/>
      <c r="K949" s="233"/>
      <c r="L949" s="233"/>
      <c r="M949" s="250" t="s">
        <v>169</v>
      </c>
      <c r="N949" s="251"/>
      <c r="O949" s="251"/>
      <c r="P949" s="252"/>
      <c r="Q949" s="40" t="str">
        <f>IF($Q947&lt;&gt;"",IF($Q947="W","L","W"),"")</f>
        <v/>
      </c>
      <c r="R949"/>
      <c r="S949"/>
      <c r="T949"/>
      <c r="U949"/>
      <c r="V949"/>
      <c r="W949"/>
      <c r="X949"/>
      <c r="Y949"/>
      <c r="Z949"/>
      <c r="AA949"/>
      <c r="AB949"/>
      <c r="AC949"/>
      <c r="AD949"/>
      <c r="AE949"/>
      <c r="AF949"/>
    </row>
    <row r="950" spans="1:32" ht="12.75" customHeight="1" x14ac:dyDescent="0.25">
      <c r="A950" s="260"/>
      <c r="B950" s="238"/>
      <c r="C950" s="239"/>
      <c r="D950" s="239"/>
      <c r="E950" s="239"/>
      <c r="F950" s="239"/>
      <c r="G950" s="239"/>
      <c r="H950" s="234"/>
      <c r="I950" s="234"/>
      <c r="J950" s="235"/>
      <c r="K950" s="235"/>
      <c r="L950" s="235"/>
      <c r="M950" s="250"/>
      <c r="N950" s="251"/>
      <c r="O950" s="251"/>
      <c r="P950" s="252"/>
      <c r="Q950" s="110" t="str">
        <f>IF($Q949&lt;&gt;"",IF($Q949="W",IF(SUM(IF($H949&gt;$H947,1,0),IF($I949&gt;$I947,1,0),IF($J949&gt;$J947,1,0),IF($K949&gt;$K947,1,0),IF($L949&gt;$L947,1,0))&lt;&gt;3,"Error",""),""),"")</f>
        <v/>
      </c>
      <c r="R950" t="str">
        <f>$A945</f>
        <v>3rd Singles</v>
      </c>
      <c r="S950"/>
      <c r="T950"/>
      <c r="U950"/>
      <c r="V950"/>
      <c r="W950"/>
      <c r="X950"/>
      <c r="Y950"/>
      <c r="Z950"/>
      <c r="AA950"/>
      <c r="AB950"/>
      <c r="AC950"/>
      <c r="AD950"/>
      <c r="AE950"/>
      <c r="AF950"/>
    </row>
    <row r="951" spans="1:32" ht="12.75" customHeight="1" x14ac:dyDescent="0.25">
      <c r="Q951" s="6"/>
      <c r="R951" s="47" t="s">
        <v>160</v>
      </c>
      <c r="S951" s="86" t="s">
        <v>58</v>
      </c>
      <c r="T951" s="87"/>
      <c r="U951" s="87"/>
      <c r="V951" s="87"/>
      <c r="W951" s="87"/>
      <c r="X951" s="88"/>
      <c r="Y951" s="47">
        <v>1</v>
      </c>
      <c r="Z951" s="47">
        <v>2</v>
      </c>
      <c r="AA951" s="47">
        <v>3</v>
      </c>
      <c r="AB951" s="47">
        <v>4</v>
      </c>
      <c r="AC951" s="47">
        <v>5</v>
      </c>
      <c r="AD951" s="89"/>
      <c r="AE951" s="90"/>
      <c r="AF951" s="91"/>
    </row>
    <row r="952" spans="1:32" ht="12.75" customHeight="1" x14ac:dyDescent="0.25">
      <c r="A952" s="15" t="s">
        <v>168</v>
      </c>
      <c r="H952" s="110" t="str">
        <f ca="1">IF($Q954&lt;&gt;"",IF(AND($B954&lt;&gt;"Missing Player",$B956&lt;&gt;"Missing Player"),IF(AND(AND($H954&gt;-1,$H956&gt;-1),OR($H954&gt;10,$H956&gt;10),ABS($H954-$H956)&gt;1,IF(OR($H954&gt;11,$H956&gt;11),ABS($H954-$H956)=2,TRUE),$H954=INT($H954),$H956=INT($H956)),"","Error"),""),"")</f>
        <v/>
      </c>
      <c r="I952" s="110" t="str">
        <f ca="1">IF($Q954&lt;&gt;"",IF(AND($B954&lt;&gt;"Missing Player",$B956&lt;&gt;"Missing Player"),IF(AND(AND($I954&gt;-1,$I956&gt;-1),OR($I954&gt;10,$I956&gt;10),ABS($I954-$I956)&gt;1,IF(OR($I954&gt;11,$I956&gt;11),ABS($I954-$I956)=2,TRUE),$I954=INT($I954),$I956=INT($I956)),"","Error"),""),"")</f>
        <v/>
      </c>
      <c r="J952" s="110" t="str">
        <f ca="1">IF($Q954&lt;&gt;"",IF(AND($B954&lt;&gt;"Missing Player",$B956&lt;&gt;"Missing Player"),IF(AND(AND($J954&gt;-1,$J956&gt;-1),OR($J954&gt;10,$J956&gt;10),ABS($J954-$J956)&gt;1,IF(OR($J954&gt;11,$J956&gt;11),ABS($J954-$J956)=2,TRUE),$J954=INT($J954),$J956=INT($J956)),"","Error"),""),"")</f>
        <v/>
      </c>
      <c r="K952" s="110" t="str">
        <f ca="1">IF($Q954&lt;&gt;"",IF(AND($K954&lt;&gt;"",$K956&lt;&gt;""), IF(AND(AND($K954&gt;-1,$K956&gt;-1),OR($K954&gt;10,$K956&gt;10),ABS($K954-$K956)&gt;1,IF(OR($K954&gt;11,$K956&gt;11),ABS($K954-$K956)=2,TRUE),$K954=INT($K954),$K956=INT($K956)),"","Error"),""),"")</f>
        <v/>
      </c>
      <c r="L952" s="110" t="str">
        <f ca="1">IF($Q954&lt;&gt;"",IF(AND($L954&lt;&gt;"",$L956&lt;&gt;""), IF(AND(AND($L954&gt;-1,$L956&gt;-1),OR($L954&gt;10,$L956&gt;10),ABS($L954-$L956)&gt;1,IF(OR($L954&gt;11,$L956&gt;11),ABS($L954-$L956)=2,TRUE),$L954=INT($L954),$L956=INT($L956)),"","Error"),""),"")</f>
        <v/>
      </c>
      <c r="Q952" s="6"/>
      <c r="R952" s="259" t="str">
        <f>$B927</f>
        <v>A</v>
      </c>
      <c r="S952" s="307" t="str">
        <f ca="1">IF($B947&lt;&gt;"",$B947,"")</f>
        <v/>
      </c>
      <c r="T952" s="308"/>
      <c r="U952" s="308"/>
      <c r="V952" s="308"/>
      <c r="W952" s="308"/>
      <c r="X952" s="309"/>
      <c r="Y952" s="284"/>
      <c r="Z952" s="284"/>
      <c r="AA952" s="284"/>
      <c r="AB952" s="284"/>
      <c r="AC952" s="284"/>
      <c r="AD952" s="296"/>
      <c r="AE952" s="290"/>
      <c r="AF952" s="291"/>
    </row>
    <row r="953" spans="1:32" ht="12.75" customHeight="1" x14ac:dyDescent="0.25">
      <c r="A953" s="5" t="s">
        <v>160</v>
      </c>
      <c r="B953" s="256" t="s">
        <v>58</v>
      </c>
      <c r="C953" s="257"/>
      <c r="D953" s="257"/>
      <c r="E953" s="257"/>
      <c r="F953" s="257"/>
      <c r="G953" s="258"/>
      <c r="H953" s="5">
        <v>1</v>
      </c>
      <c r="I953" s="5">
        <v>2</v>
      </c>
      <c r="J953" s="5">
        <v>3</v>
      </c>
      <c r="K953" s="5">
        <v>4</v>
      </c>
      <c r="L953" s="5">
        <v>5</v>
      </c>
      <c r="M953" s="270"/>
      <c r="N953" s="271"/>
      <c r="O953" s="271"/>
      <c r="P953" s="272"/>
      <c r="Q953" s="6"/>
      <c r="R953" s="285"/>
      <c r="S953" s="310"/>
      <c r="T953" s="311"/>
      <c r="U953" s="311"/>
      <c r="V953" s="311"/>
      <c r="W953" s="311"/>
      <c r="X953" s="312"/>
      <c r="Y953" s="285"/>
      <c r="Z953" s="285"/>
      <c r="AA953" s="285"/>
      <c r="AB953" s="285"/>
      <c r="AC953" s="285"/>
      <c r="AD953" s="292"/>
      <c r="AE953" s="293"/>
      <c r="AF953" s="294"/>
    </row>
    <row r="954" spans="1:32" ht="12.75" customHeight="1" x14ac:dyDescent="0.25">
      <c r="A954" s="259" t="str">
        <f>B927</f>
        <v>A</v>
      </c>
      <c r="B954" s="236" t="str">
        <f ca="1">IF(AND(OFFSET($AO$1,$C927-1,8,1,1),$A928&lt;&gt;"",$J928&lt;&gt;""),CHOOSE($C927,$AR$1,$AR$2,$AR$3,$AR$4,$AR$5,$AR$6,$AR$7,$AR$8,$AR$9,$AR$10,$AR$11,$AR$12),"")</f>
        <v/>
      </c>
      <c r="C954" s="237"/>
      <c r="D954" s="237"/>
      <c r="E954" s="237"/>
      <c r="F954" s="237"/>
      <c r="G954" s="237"/>
      <c r="H954" s="233"/>
      <c r="I954" s="233"/>
      <c r="J954" s="233"/>
      <c r="K954" s="233"/>
      <c r="L954" s="233" t="str">
        <f ca="1">IF(AND($B954&lt;&gt;"",$Q933&lt;&gt;""),IF($B954="Missing Player",0,IF($B956="Missing Player",11,"")),"")</f>
        <v/>
      </c>
      <c r="M954" s="245" t="str">
        <f ca="1">IF(OR(AND($B947&lt;&gt;"",$B954&lt;&gt;"",$E958&lt;=$D958),AND($B949&lt;&gt;"",$B956&lt;&gt;"",$I958&lt;=$H958)),"Invalid Lineup","")</f>
        <v/>
      </c>
      <c r="N954" s="246"/>
      <c r="O954" s="246"/>
      <c r="P954" s="247"/>
      <c r="Q954" s="40" t="str">
        <f ca="1">IF($L954=$L956,IF($K954=$K956,IF($J954&lt;&gt;"",IF($J954&gt;$J956,"W","L"),""),IF($K954&gt;$K956,"W","L")),IF($L954&gt;$L956,"W","L"))</f>
        <v/>
      </c>
      <c r="R954" s="259" t="str">
        <f>$K927</f>
        <v>I</v>
      </c>
      <c r="S954" s="307" t="str">
        <f ca="1">IF($B949&lt;&gt;"",$B949,"")</f>
        <v/>
      </c>
      <c r="T954" s="308"/>
      <c r="U954" s="308"/>
      <c r="V954" s="308"/>
      <c r="W954" s="308"/>
      <c r="X954" s="309"/>
      <c r="Y954" s="284"/>
      <c r="Z954" s="284"/>
      <c r="AA954" s="284"/>
      <c r="AB954" s="284"/>
      <c r="AC954" s="297"/>
      <c r="AD954" s="289" t="s">
        <v>169</v>
      </c>
      <c r="AE954" s="290"/>
      <c r="AF954" s="291"/>
    </row>
    <row r="955" spans="1:32" ht="12.75" customHeight="1" x14ac:dyDescent="0.25">
      <c r="A955" s="260"/>
      <c r="B955" s="238"/>
      <c r="C955" s="239"/>
      <c r="D955" s="239"/>
      <c r="E955" s="239"/>
      <c r="F955" s="239"/>
      <c r="G955" s="239"/>
      <c r="H955" s="234"/>
      <c r="I955" s="234"/>
      <c r="J955" s="234"/>
      <c r="K955" s="234"/>
      <c r="L955" s="234"/>
      <c r="M955" s="245"/>
      <c r="N955" s="246"/>
      <c r="O955" s="246"/>
      <c r="P955" s="247"/>
      <c r="Q955" s="110" t="str">
        <f ca="1">IF($Q954&lt;&gt;"",IF($B956&lt;&gt;"Missing Player",IF($Q954="W",IF(SUM(IF($H954&gt;$H956,1,0),IF($I954&gt;$I956,1,0),IF($J954&gt;$J956,1,0),IF($K954&gt;$K956,1,0),IF($L954&gt;$L956,1,0))&lt;&gt;3,"Error",""),""),""),"")</f>
        <v/>
      </c>
      <c r="R955" s="285"/>
      <c r="S955" s="310"/>
      <c r="T955" s="311"/>
      <c r="U955" s="311"/>
      <c r="V955" s="311"/>
      <c r="W955" s="311"/>
      <c r="X955" s="312"/>
      <c r="Y955" s="285"/>
      <c r="Z955" s="285"/>
      <c r="AA955" s="285"/>
      <c r="AB955" s="285"/>
      <c r="AC955" s="285"/>
      <c r="AD955" s="292"/>
      <c r="AE955" s="293"/>
      <c r="AF955" s="294"/>
    </row>
    <row r="956" spans="1:32" ht="12.75" customHeight="1" x14ac:dyDescent="0.25">
      <c r="A956" s="259" t="str">
        <f>K927</f>
        <v>I</v>
      </c>
      <c r="B956" s="236" t="str">
        <f ca="1">IF(AND(OFFSET($AO$1,$L927-1,8,1,1),$A928&lt;&gt;"",$J928&lt;&gt;""),CHOOSE($L927,$AR$1,$AR$2,$AR$3,$AR$4,$AR$5,$AR$6,$AR$7,$AR$8,$AR$9,$AR$10,$AR$11,$AR$12),"")</f>
        <v/>
      </c>
      <c r="C956" s="237"/>
      <c r="D956" s="237"/>
      <c r="E956" s="237"/>
      <c r="F956" s="237"/>
      <c r="G956" s="237"/>
      <c r="H956" s="233"/>
      <c r="I956" s="233"/>
      <c r="J956" s="233"/>
      <c r="K956" s="233"/>
      <c r="L956" s="233" t="str">
        <f ca="1">IF(AND($B956&lt;&gt;"",$Q933&lt;&gt;""),IF($B956="Missing Player",0,IF($B954="Missing Player",11,"")),"")</f>
        <v/>
      </c>
      <c r="M956" s="250" t="s">
        <v>169</v>
      </c>
      <c r="N956" s="251"/>
      <c r="O956" s="251"/>
      <c r="P956" s="252"/>
      <c r="Q956" s="40" t="str">
        <f ca="1">IF($Q954&lt;&gt;"",IF($Q954="W","L","W"),"")</f>
        <v/>
      </c>
      <c r="R956" s="94"/>
      <c r="S956" s="84"/>
      <c r="T956" s="84"/>
      <c r="U956" s="84"/>
      <c r="V956" s="84"/>
      <c r="W956" s="84"/>
      <c r="X956" s="84"/>
      <c r="Y956" s="93"/>
      <c r="Z956" s="93"/>
      <c r="AA956" s="93"/>
      <c r="AB956" s="93"/>
      <c r="AC956" s="93"/>
      <c r="AD956" s="92"/>
      <c r="AE956" s="93"/>
      <c r="AF956" s="93"/>
    </row>
    <row r="957" spans="1:32" ht="12.75" customHeight="1" x14ac:dyDescent="0.25">
      <c r="A957" s="260"/>
      <c r="B957" s="238"/>
      <c r="C957" s="239"/>
      <c r="D957" s="239"/>
      <c r="E957" s="239"/>
      <c r="F957" s="239"/>
      <c r="G957" s="239"/>
      <c r="H957" s="234"/>
      <c r="I957" s="234"/>
      <c r="J957" s="235"/>
      <c r="K957" s="235"/>
      <c r="L957" s="235"/>
      <c r="M957" s="250"/>
      <c r="N957" s="251"/>
      <c r="O957" s="251"/>
      <c r="P957" s="252"/>
      <c r="Q957" s="110" t="str">
        <f ca="1">IF($Q956&lt;&gt;"",IF($B954&lt;&gt;"Missing Player",IF($Q956="W",IF(SUM(IF($H956&gt;$H954,1,0),IF($I956&gt;$I954,1,0),IF($J956&gt;$J954,1,0),IF($K956&gt;$K954,1,0),IF($L956&gt;$L954,1,0))&lt;&gt;3,"Error",""),""),""),"")</f>
        <v/>
      </c>
      <c r="R957" s="85"/>
      <c r="S957" s="95"/>
      <c r="T957" s="95"/>
      <c r="U957" s="95"/>
      <c r="V957" s="95"/>
      <c r="W957" s="95"/>
      <c r="X957" s="95"/>
      <c r="Y957" s="85"/>
      <c r="Z957" s="85"/>
      <c r="AA957" s="85"/>
      <c r="AB957" s="85"/>
      <c r="AC957" s="85"/>
      <c r="AD957" s="85"/>
      <c r="AE957" s="85"/>
      <c r="AF957" s="85"/>
    </row>
    <row r="958" spans="1:32" ht="12.75" customHeight="1" x14ac:dyDescent="0.25">
      <c r="B958" s="111" t="str">
        <f ca="1">IF(ISERROR(VLOOKUP($B933&amp;"("&amp;$B927&amp;")",Players!$S$4:$T$132,2,FALSE)),"",VLOOKUP($B933&amp;"("&amp;$B927&amp;")",Players!$S$4:$T$132,2,FALSE))</f>
        <v>A1</v>
      </c>
      <c r="C958" s="111" t="str">
        <f ca="1">IF(ISERROR(VLOOKUP($B940&amp;"("&amp;$B927&amp;")",Players!$S$4:$T$132,2,FALSE)),"",VLOOKUP($B940&amp;"("&amp;$B927&amp;")",Players!$S$4:$T$132,2,FALSE))</f>
        <v>A1</v>
      </c>
      <c r="D958" s="111" t="str">
        <f ca="1">IF(ISERROR(VLOOKUP($B947&amp;"("&amp;$B927&amp;")",Players!$S$4:$T$132,2,FALSE)),"",VLOOKUP($B947&amp;"("&amp;$B927&amp;")",Players!$S$4:$T$132,2,FALSE))</f>
        <v>A1</v>
      </c>
      <c r="E958" s="111" t="str">
        <f ca="1">IF(ISERROR(VLOOKUP($B954&amp;"("&amp;$B927&amp;")",Players!$S$4:$T$132,2,FALSE)),"",VLOOKUP($B954&amp;"("&amp;$B927&amp;")",Players!$S$4:$T$132,2,FALSE))</f>
        <v>A1</v>
      </c>
      <c r="F958" s="111" t="str">
        <f ca="1">IF(ISERROR(VLOOKUP($B935&amp;"("&amp;$K927&amp;")",Players!$S$4:$T$132,2,FALSE)),"",VLOOKUP($B935&amp;"("&amp;$K927&amp;")",Players!$S$4:$T$132,2,FALSE))</f>
        <v>I1</v>
      </c>
      <c r="G958" s="111" t="str">
        <f ca="1">IF(ISERROR(VLOOKUP($B942&amp;"("&amp;$K927&amp;")",Players!$S$4:$T$132,2,FALSE)),"",VLOOKUP($B942&amp;"("&amp;$K927&amp;")",Players!$S$4:$T$132,2,FALSE))</f>
        <v>I1</v>
      </c>
      <c r="H958" s="111" t="str">
        <f ca="1">IF(ISERROR(VLOOKUP($B949&amp;"("&amp;$K927&amp;")",Players!$S$4:$T$132,2,FALSE)),"",VLOOKUP($B949&amp;"("&amp;$K927&amp;")",Players!$S$4:$T$132,2,FALSE))</f>
        <v>I1</v>
      </c>
      <c r="I958" s="111" t="str">
        <f ca="1">IF(ISERROR(VLOOKUP($B956&amp;"("&amp;$K927&amp;")",Players!$S$4:$T$132,2,FALSE)),"",VLOOKUP($B956&amp;"("&amp;$K927&amp;")",Players!$S$4:$T$132,2,FALSE))</f>
        <v>I1</v>
      </c>
      <c r="Q958" s="6"/>
      <c r="R958" s="37"/>
      <c r="S958" s="95"/>
      <c r="T958" s="95"/>
      <c r="U958" s="95"/>
      <c r="V958" s="95"/>
      <c r="W958" s="95"/>
      <c r="X958" s="95"/>
      <c r="Y958" s="85"/>
      <c r="Z958" s="85"/>
      <c r="AA958" s="85"/>
      <c r="AB958" s="85"/>
      <c r="AC958" s="96"/>
      <c r="AD958" s="97"/>
      <c r="AE958" s="85"/>
      <c r="AF958" s="85"/>
    </row>
    <row r="959" spans="1:32" ht="12.75" customHeight="1" x14ac:dyDescent="0.25">
      <c r="A959" s="15" t="s">
        <v>157</v>
      </c>
      <c r="H959" s="110" t="str">
        <f ca="1">IF($Q961&lt;&gt;"",IF(AND($B962&lt;&gt;"Missing Player",$B964&lt;&gt;"Missing Player"),IF(AND(AND($H961&gt;-1,$H963&gt;-1),OR($H961&gt;10,$H963&gt;10),ABS($H961-$H963)&gt;1,IF(OR($H961&gt;11,$H963&gt;11),ABS($H961-$H963)=2,TRUE),$H961=INT($H961),$H963=INT($H963)),"","Error"),""),"")</f>
        <v/>
      </c>
      <c r="I959" s="110" t="str">
        <f ca="1">IF($Q961&lt;&gt;"",IF(AND($B962&lt;&gt;"Missing Player",$B964&lt;&gt;"Missing Player"),IF(AND(AND($I961&gt;-1,$I963&gt;-1),OR($I961&gt;10,$I963&gt;10),ABS($I961-$I963)&gt;1,IF(OR($I961&gt;11,$I963&gt;11),ABS($I961-$I963)=2,TRUE),$I961=INT($I961),$I963=INT($I963)),"","Error"),""),"")</f>
        <v/>
      </c>
      <c r="J959" s="110" t="str">
        <f ca="1">IF($Q961&lt;&gt;"",IF(AND($B962&lt;&gt;"Missing Player",$B964&lt;&gt;"Missing Player"),IF(AND(AND($J961&gt;-1,$J963&gt;-1),OR($J961&gt;10,$J963&gt;10),ABS($J961-$J963)&gt;1,IF(OR($J961&gt;11,$J963&gt;11),ABS($J961-$J963)=2,TRUE),$J961=INT($J961),$J963=INT($J963)),"","Error"),""),"")</f>
        <v/>
      </c>
      <c r="K959" s="110" t="str">
        <f ca="1">IF($Q961&lt;&gt;"",IF(AND($K961&lt;&gt;"",$K963&lt;&gt;""), IF(AND(AND($K961&gt;-1,$K963&gt;-1),OR($K961&gt;10,$K963&gt;10),ABS($K961-$K963)&gt;1,IF(OR($K961&gt;11,$K963&gt;11),ABS($K961-$K963)=2,TRUE),$K961=INT($K961),$K963=INT($K963)),"","Error"),""),"")</f>
        <v/>
      </c>
      <c r="L959" s="110" t="str">
        <f ca="1">IF($Q961&lt;&gt;"",IF(AND($L961&lt;&gt;"",$L963&lt;&gt;""), IF(AND(AND($L961&gt;-1,$L963&gt;-1),OR($L961&gt;10,$L963&gt;10),ABS($L961-$L963)&gt;1,IF(OR($L961&gt;11,$L963&gt;11),ABS($L961-$L963)=2,TRUE),$L961=INT($L961),$L963=INT($L963)),"","Error"),""),"")</f>
        <v/>
      </c>
      <c r="Q959" s="6"/>
      <c r="R959" s="85"/>
      <c r="S959" s="95"/>
      <c r="T959" s="95"/>
      <c r="U959" s="95"/>
      <c r="V959" s="95"/>
      <c r="W959" s="95"/>
      <c r="X959" s="95"/>
      <c r="Y959" s="85"/>
      <c r="Z959" s="85"/>
      <c r="AA959" s="85"/>
      <c r="AB959" s="85"/>
      <c r="AC959" s="85"/>
      <c r="AD959" s="85"/>
      <c r="AE959" s="85"/>
      <c r="AF959" s="85"/>
    </row>
    <row r="960" spans="1:32" ht="12.75" customHeight="1" x14ac:dyDescent="0.25">
      <c r="A960" s="5" t="s">
        <v>160</v>
      </c>
      <c r="B960" s="256" t="s">
        <v>58</v>
      </c>
      <c r="C960" s="257"/>
      <c r="D960" s="257"/>
      <c r="E960" s="257"/>
      <c r="F960" s="257"/>
      <c r="G960" s="258"/>
      <c r="H960" s="5">
        <v>1</v>
      </c>
      <c r="I960" s="5">
        <v>2</v>
      </c>
      <c r="J960" s="5">
        <v>3</v>
      </c>
      <c r="K960" s="5">
        <v>4</v>
      </c>
      <c r="L960" s="5">
        <v>5</v>
      </c>
      <c r="M960" s="270"/>
      <c r="N960" s="271"/>
      <c r="O960" s="271"/>
      <c r="P960" s="272"/>
      <c r="Q960" s="6"/>
      <c r="T960" s="7"/>
    </row>
    <row r="961" spans="1:32" ht="12.75" customHeight="1" x14ac:dyDescent="0.25">
      <c r="A961" s="259" t="str">
        <f>B927</f>
        <v>A</v>
      </c>
      <c r="B961" s="230" t="str">
        <f ca="1">IF($B933&lt;&gt;"",$B933,"")</f>
        <v/>
      </c>
      <c r="C961" s="231"/>
      <c r="D961" s="231"/>
      <c r="E961" s="231"/>
      <c r="F961" s="231"/>
      <c r="G961" s="232"/>
      <c r="H961" s="233"/>
      <c r="I961" s="233"/>
      <c r="J961" s="233"/>
      <c r="K961" s="233"/>
      <c r="L961" s="233" t="str">
        <f ca="1">IF($B954&lt;&gt;"",IF(AND($B954="Missing Player",$G965=2,$J965=2),0,IF(AND($B956="Missing Player",$G965=2,$J965=2),11,"")),"")</f>
        <v/>
      </c>
      <c r="M961" s="245" t="str">
        <f ca="1">IF(OR(AND($B961&lt;&gt;"",$B962&lt;&gt;"",$B961=$B962),AND($B963&lt;&gt;"",$B964&lt;&gt;"",$B963=$B964)),"Invalid Partner","")</f>
        <v/>
      </c>
      <c r="N961" s="246"/>
      <c r="O961" s="246"/>
      <c r="P961" s="247"/>
      <c r="Q961" s="37" t="str">
        <f ca="1">IF(L961=L963,IF(K961=K963,IF(J961&lt;&gt;"",IF(J961&gt;J963,"W","L"),""),IF(K961&gt;K963,"W","L")),IF(L961&gt;L963,"W","L"))</f>
        <v/>
      </c>
      <c r="T961" s="7"/>
    </row>
    <row r="962" spans="1:32" ht="12.75" customHeight="1" x14ac:dyDescent="0.25">
      <c r="A962" s="260"/>
      <c r="B962" s="266" t="str">
        <f ca="1">IF($B954="Missing Player",$B954,"")</f>
        <v/>
      </c>
      <c r="C962" s="267"/>
      <c r="D962" s="267"/>
      <c r="E962" s="267"/>
      <c r="F962" s="267"/>
      <c r="G962" s="268"/>
      <c r="H962" s="234"/>
      <c r="I962" s="234"/>
      <c r="J962" s="234"/>
      <c r="K962" s="234"/>
      <c r="L962" s="234"/>
      <c r="M962" s="245"/>
      <c r="N962" s="246"/>
      <c r="O962" s="246"/>
      <c r="P962" s="247"/>
      <c r="Q962" s="110" t="str">
        <f ca="1">IF($Q961&lt;&gt;"",IF($B964&lt;&gt;"Missing Player",IF($Q961="W",IF(SUM(IF($H961&gt;$H963,1,0),IF($I961&gt;$I963,1,0),IF($J961&gt;$J963,1,0),IF($K961&gt;$K963,1,0),IF($L961&gt;$L963,1,0))&lt;&gt;3,"Error",""),""),""),"")</f>
        <v/>
      </c>
      <c r="R962" s="295" t="str">
        <f>$A928</f>
        <v/>
      </c>
      <c r="S962" s="295"/>
      <c r="T962" s="295"/>
      <c r="U962" s="295"/>
      <c r="V962" s="295"/>
      <c r="W962" s="295"/>
      <c r="X962" s="219" t="str">
        <f>CONCATENATE("(",$B927," vs ",$K927,")")</f>
        <v>(A vs I)</v>
      </c>
      <c r="Y962" s="219"/>
      <c r="Z962" s="295" t="str">
        <f>$J928</f>
        <v/>
      </c>
      <c r="AA962" s="295"/>
      <c r="AB962" s="295"/>
      <c r="AC962" s="295"/>
      <c r="AD962" s="295"/>
      <c r="AE962" s="295"/>
      <c r="AF962"/>
    </row>
    <row r="963" spans="1:32" ht="12.75" customHeight="1" x14ac:dyDescent="0.25">
      <c r="A963" s="265" t="str">
        <f>K927</f>
        <v>I</v>
      </c>
      <c r="B963" s="230" t="str">
        <f ca="1">IF($B935&lt;&gt;"",$B935,"")</f>
        <v/>
      </c>
      <c r="C963" s="231"/>
      <c r="D963" s="231"/>
      <c r="E963" s="231"/>
      <c r="F963" s="231"/>
      <c r="G963" s="232"/>
      <c r="H963" s="233"/>
      <c r="I963" s="233"/>
      <c r="J963" s="233"/>
      <c r="K963" s="233"/>
      <c r="L963" s="233" t="str">
        <f ca="1">IF($B956&lt;&gt;"",IF(AND($B956="Missing Player",$G965=2,$J965=2),0,IF(AND($B954="Missing Player",$G965=2,$J965=2),11,"")),"")</f>
        <v/>
      </c>
      <c r="M963" s="250" t="s">
        <v>169</v>
      </c>
      <c r="N963" s="251"/>
      <c r="O963" s="251"/>
      <c r="P963" s="252"/>
      <c r="Q963" s="37" t="str">
        <f ca="1">IF(Q961&lt;&gt;"",IF(Q961="W","L","W"),"")</f>
        <v/>
      </c>
      <c r="R963"/>
      <c r="S963"/>
      <c r="T963"/>
      <c r="U963"/>
      <c r="V963"/>
      <c r="W963"/>
      <c r="X963"/>
      <c r="Y963"/>
      <c r="Z963"/>
      <c r="AA963"/>
      <c r="AB963"/>
      <c r="AC963"/>
      <c r="AD963"/>
      <c r="AE963"/>
      <c r="AF963"/>
    </row>
    <row r="964" spans="1:32" ht="12.75" customHeight="1" x14ac:dyDescent="0.25">
      <c r="A964" s="260"/>
      <c r="B964" s="266" t="str">
        <f ca="1">IF($B956="Missing Player",$B956,"")</f>
        <v/>
      </c>
      <c r="C964" s="267"/>
      <c r="D964" s="267"/>
      <c r="E964" s="267"/>
      <c r="F964" s="267"/>
      <c r="G964" s="268"/>
      <c r="H964" s="234"/>
      <c r="I964" s="234"/>
      <c r="J964" s="235"/>
      <c r="K964" s="235"/>
      <c r="L964" s="235"/>
      <c r="M964" s="250"/>
      <c r="N964" s="251"/>
      <c r="O964" s="251"/>
      <c r="P964" s="252"/>
      <c r="Q964" s="110" t="str">
        <f ca="1">IF($Q963&lt;&gt;"",IF($B962&lt;&gt;"Missing Player",IF($Q963="W",IF(SUM(IF($H963&gt;$H961,1,0),IF($I963&gt;$I961,1,0),IF($J963&gt;$J961,1,0),IF($K963&gt;$K961,1,0),IF($L963&gt;$L961,1,0))&lt;&gt;3,"Error",""),""),""),"")</f>
        <v/>
      </c>
      <c r="R964" t="str">
        <f>A952</f>
        <v>4th Singles</v>
      </c>
      <c r="S964"/>
      <c r="T964"/>
      <c r="U964"/>
      <c r="V964"/>
      <c r="W964"/>
      <c r="X964"/>
      <c r="Y964"/>
      <c r="Z964"/>
      <c r="AA964"/>
      <c r="AB964"/>
      <c r="AC964"/>
      <c r="AD964"/>
      <c r="AE964"/>
      <c r="AF964"/>
    </row>
    <row r="965" spans="1:32" ht="12.75" customHeight="1" x14ac:dyDescent="0.25">
      <c r="G965" s="53">
        <f ca="1">COUNTIF($Q933:$Q933,"W")+COUNTIF($Q940:$Q940,"W")+COUNTIF($Q947:$Q947,"W")+COUNTIF($Q954:$Q954,"W")</f>
        <v>0</v>
      </c>
      <c r="J965" s="53">
        <f ca="1">COUNTIF($Q935:$Q935,"W")+COUNTIF($Q942:$Q942,"W")+COUNTIF($Q949:$Q949,"W")+COUNTIF($Q956:$Q956,"W")</f>
        <v>0</v>
      </c>
      <c r="R965" s="47" t="s">
        <v>160</v>
      </c>
      <c r="S965" s="304" t="s">
        <v>58</v>
      </c>
      <c r="T965" s="305"/>
      <c r="U965" s="305"/>
      <c r="V965" s="305"/>
      <c r="W965" s="305"/>
      <c r="X965" s="306"/>
      <c r="Y965" s="47">
        <v>1</v>
      </c>
      <c r="Z965" s="47">
        <v>2</v>
      </c>
      <c r="AA965" s="47">
        <v>3</v>
      </c>
      <c r="AB965" s="47">
        <v>4</v>
      </c>
      <c r="AC965" s="47">
        <v>5</v>
      </c>
      <c r="AD965" s="286"/>
      <c r="AE965" s="287"/>
      <c r="AF965" s="288"/>
    </row>
    <row r="966" spans="1:32" ht="12.75" customHeight="1" thickBot="1" x14ac:dyDescent="0.3">
      <c r="F966" s="212" t="s">
        <v>170</v>
      </c>
      <c r="G966" s="212"/>
      <c r="H966" s="212"/>
      <c r="I966" s="212"/>
      <c r="J966" s="212"/>
      <c r="K966" s="212"/>
      <c r="R966" s="259" t="str">
        <f>B927</f>
        <v>A</v>
      </c>
      <c r="S966" s="307" t="str">
        <f ca="1">IF($B954&lt;&gt;"",$B954,"")</f>
        <v/>
      </c>
      <c r="T966" s="308"/>
      <c r="U966" s="308"/>
      <c r="V966" s="308"/>
      <c r="W966" s="308"/>
      <c r="X966" s="309"/>
      <c r="Y966" s="284"/>
      <c r="Z966" s="284"/>
      <c r="AA966" s="297"/>
      <c r="AB966" s="297"/>
      <c r="AC966" s="297"/>
      <c r="AD966" s="296"/>
      <c r="AE966" s="298"/>
      <c r="AF966" s="299"/>
    </row>
    <row r="967" spans="1:32" ht="12.75" customHeight="1" x14ac:dyDescent="0.25">
      <c r="A967" s="16"/>
      <c r="B967" s="16"/>
      <c r="C967" s="16"/>
      <c r="D967" s="16"/>
      <c r="E967" s="16"/>
      <c r="G967" s="261" t="str">
        <f>B927</f>
        <v>A</v>
      </c>
      <c r="H967" s="262"/>
      <c r="I967" s="263" t="str">
        <f>K927</f>
        <v>I</v>
      </c>
      <c r="J967" s="264"/>
      <c r="L967" s="16"/>
      <c r="M967" s="16"/>
      <c r="N967" s="16"/>
      <c r="O967" s="16"/>
      <c r="P967" s="16"/>
      <c r="R967" s="260"/>
      <c r="S967" s="310"/>
      <c r="T967" s="311"/>
      <c r="U967" s="311"/>
      <c r="V967" s="311"/>
      <c r="W967" s="311"/>
      <c r="X967" s="312"/>
      <c r="Y967" s="285"/>
      <c r="Z967" s="285"/>
      <c r="AA967" s="303"/>
      <c r="AB967" s="303"/>
      <c r="AC967" s="303"/>
      <c r="AD967" s="300"/>
      <c r="AE967" s="301"/>
      <c r="AF967" s="302"/>
    </row>
    <row r="968" spans="1:32" ht="12.75" customHeight="1" thickBot="1" x14ac:dyDescent="0.3">
      <c r="A968" s="2" t="s">
        <v>160</v>
      </c>
      <c r="B968" s="40" t="str">
        <f>B927</f>
        <v>A</v>
      </c>
      <c r="C968" s="3" t="s">
        <v>158</v>
      </c>
      <c r="F968" s="53" t="str">
        <f>CONCATENATE($B927,"-",$K927)</f>
        <v>A-I</v>
      </c>
      <c r="G968" s="240" t="str">
        <f ca="1">IF(OR(Q933&lt;&gt;"",Q940&lt;&gt;"",Q947&lt;&gt;"",Q954&lt;&gt;"",Q961&lt;&gt;""),COUNTIF(Q933:Q933,"W")+COUNTIF(Q940:Q940,"W")+COUNTIF(Q947:Q947,"W")+COUNTIF(Q954:Q954,"W")+COUNTIF(Q961:Q961,"W"),"")</f>
        <v/>
      </c>
      <c r="H968" s="241"/>
      <c r="I968" s="242" t="str">
        <f ca="1">IF(OR(Q935&lt;&gt;"",Q942&lt;&gt;"",Q949&lt;&gt;"",Q956&lt;&gt;"",Q963&lt;&gt;""),COUNTIF(Q935:Q935,"W")+COUNTIF(Q942:Q942,"W")+COUNTIF(Q949:Q949,"W")+COUNTIF(Q956:Q956,"W")+COUNTIF(Q963:Q963,"W"),"")</f>
        <v/>
      </c>
      <c r="J968" s="243"/>
      <c r="L968" s="2" t="s">
        <v>160</v>
      </c>
      <c r="M968" s="40" t="str">
        <f>K927</f>
        <v>I</v>
      </c>
      <c r="N968" s="3" t="s">
        <v>158</v>
      </c>
      <c r="R968" s="259" t="str">
        <f>K927</f>
        <v>I</v>
      </c>
      <c r="S968" s="307" t="str">
        <f ca="1">IF($B956&lt;&gt;"",$B956,"")</f>
        <v/>
      </c>
      <c r="T968" s="308"/>
      <c r="U968" s="308"/>
      <c r="V968" s="308"/>
      <c r="W968" s="308"/>
      <c r="X968" s="309"/>
      <c r="Y968" s="284"/>
      <c r="Z968" s="284"/>
      <c r="AA968" s="297"/>
      <c r="AB968" s="297"/>
      <c r="AC968" s="297"/>
      <c r="AD968" s="289" t="s">
        <v>169</v>
      </c>
      <c r="AE968" s="290"/>
      <c r="AF968" s="291"/>
    </row>
    <row r="969" spans="1:32" ht="12.75" customHeight="1" x14ac:dyDescent="0.35">
      <c r="F969" s="18" t="s">
        <v>403</v>
      </c>
      <c r="G969" s="17"/>
      <c r="H969" s="17"/>
      <c r="I969" s="17"/>
      <c r="J969" s="17"/>
      <c r="R969" s="285"/>
      <c r="S969" s="310"/>
      <c r="T969" s="311"/>
      <c r="U969" s="311"/>
      <c r="V969" s="311"/>
      <c r="W969" s="311"/>
      <c r="X969" s="312"/>
      <c r="Y969" s="285"/>
      <c r="Z969" s="285"/>
      <c r="AA969" s="285"/>
      <c r="AB969" s="285"/>
      <c r="AC969" s="285"/>
      <c r="AD969" s="292"/>
      <c r="AE969" s="293"/>
      <c r="AF969" s="294"/>
    </row>
    <row r="970" spans="1:32" ht="12.75" customHeight="1" x14ac:dyDescent="0.25">
      <c r="R970" s="1"/>
      <c r="S970" s="11"/>
      <c r="T970" s="11"/>
      <c r="U970" s="11"/>
      <c r="V970" s="11"/>
      <c r="W970" s="11"/>
    </row>
    <row r="971" spans="1:32" ht="12.75" customHeight="1" x14ac:dyDescent="0.25">
      <c r="F971" s="212"/>
      <c r="G971" s="212"/>
      <c r="H971" s="212"/>
      <c r="I971" s="212"/>
      <c r="R971" s="1"/>
      <c r="S971" s="11"/>
      <c r="T971" s="11"/>
      <c r="U971" s="11"/>
      <c r="V971" s="11"/>
      <c r="W971" s="11"/>
    </row>
    <row r="972" spans="1:32" ht="12.75" customHeight="1" x14ac:dyDescent="0.25">
      <c r="F972" s="212"/>
      <c r="G972" s="212"/>
      <c r="H972" s="212"/>
      <c r="I972" s="212"/>
      <c r="R972" s="1"/>
      <c r="S972" s="11"/>
      <c r="T972" s="11"/>
      <c r="U972" s="11"/>
      <c r="V972" s="11"/>
      <c r="W972" s="11"/>
    </row>
    <row r="973" spans="1:32" ht="12.75" customHeight="1" x14ac:dyDescent="0.25">
      <c r="K973" s="219" t="s">
        <v>176</v>
      </c>
      <c r="L973" s="219"/>
      <c r="M973" s="219"/>
      <c r="N973" s="219"/>
      <c r="O973" s="219"/>
      <c r="P973" s="219"/>
      <c r="R973" s="1"/>
      <c r="S973" s="11"/>
      <c r="T973" s="11"/>
      <c r="U973" s="11"/>
      <c r="V973" s="11"/>
      <c r="W973" s="11"/>
    </row>
    <row r="974" spans="1:32" ht="12.75" customHeight="1" x14ac:dyDescent="0.25">
      <c r="A974" s="9" t="s">
        <v>161</v>
      </c>
      <c r="B974"/>
      <c r="C974"/>
      <c r="D974" t="str">
        <f>Draw!$B$1</f>
        <v>Enter Division Name</v>
      </c>
      <c r="E974"/>
      <c r="F974" s="6"/>
      <c r="G974" s="6"/>
      <c r="H974" s="6"/>
      <c r="I974"/>
      <c r="J974"/>
      <c r="K974"/>
      <c r="L974"/>
      <c r="M974" s="219"/>
      <c r="N974" s="219"/>
      <c r="O974" s="219"/>
      <c r="P974" s="219"/>
      <c r="R974" s="1"/>
      <c r="S974" s="11"/>
      <c r="T974" s="11"/>
      <c r="U974" s="11"/>
      <c r="V974" s="11"/>
      <c r="W974" s="11"/>
    </row>
    <row r="975" spans="1:32" ht="12.75" customHeight="1" x14ac:dyDescent="0.25">
      <c r="A975" s="2" t="s">
        <v>162</v>
      </c>
      <c r="D975" t="str">
        <f>Draw!$D$1</f>
        <v>Enter Hosting Location (City, ST)</v>
      </c>
      <c r="J975" t="str">
        <f ca="1">$J$6</f>
        <v>[NCTTA Teams Template (v3.4).xlsx]</v>
      </c>
      <c r="R975" s="1"/>
      <c r="S975" s="11"/>
      <c r="T975" s="11"/>
      <c r="U975" s="11"/>
      <c r="V975" s="11"/>
      <c r="W975" s="11"/>
    </row>
    <row r="976" spans="1:32" ht="12.75" customHeight="1" x14ac:dyDescent="0.25">
      <c r="A976" s="2" t="s">
        <v>163</v>
      </c>
      <c r="D976" s="275" t="str">
        <f>Draw!$P$1</f>
        <v>Enter Date</v>
      </c>
      <c r="E976" s="275"/>
      <c r="F976" s="275"/>
      <c r="G976" s="275"/>
      <c r="J976" s="244" t="str">
        <f>CHOOSE(Draw!$T$1,"Round 4, Match 2","Round 2, Match 5","","","","","Round 7, Match 2","Round 5, Match 4","Round 5, Match 4","Round 4, Match 5","Round 4, Match 5")</f>
        <v>Round 4, Match 2</v>
      </c>
      <c r="K976" s="244"/>
      <c r="L976" s="244"/>
      <c r="M976" s="277" t="str">
        <f>IF(AND($J976&lt;&gt;"",Draw!$AC$10&lt;&gt;"",Draw!$AC$13&lt;&gt;""),Draw!$AC$10+TIME(0,VALUE(MID($J976,7,FIND(",",$J976)-FIND(" ",$J976)-1)-1)*Draw!$AC$13,0),"")</f>
        <v/>
      </c>
      <c r="N976" s="277"/>
      <c r="O976" s="125" t="str">
        <f>$F1019</f>
        <v>H-J</v>
      </c>
      <c r="R976" s="1"/>
      <c r="S976" s="11"/>
      <c r="T976" s="11"/>
      <c r="U976" s="11"/>
      <c r="V976" s="11"/>
      <c r="W976" s="11"/>
    </row>
    <row r="977" spans="1:32" ht="12.75" customHeight="1" x14ac:dyDescent="0.25">
      <c r="A977" s="6"/>
      <c r="B977"/>
      <c r="C977"/>
      <c r="D977"/>
      <c r="E977"/>
      <c r="F977" s="6"/>
      <c r="G977" s="6"/>
      <c r="H977" s="11"/>
      <c r="I977" s="6"/>
      <c r="J977"/>
      <c r="K977"/>
      <c r="L977"/>
      <c r="M977"/>
      <c r="N977"/>
      <c r="O977" s="269" t="str">
        <f>IF(OR(AND(VLOOKUP($B978,$AM$1:$AX$12,12,FALSE)="C",VLOOKUP($K978,$AM$1:$AX$12,12,FALSE)="C"),AND(VLOOKUP($B978,$AM$1:$AX$12,12,FALSE)="W",VLOOKUP($K978,$AM$1:$AX$12,12,FALSE)="W")),"Official",IF(AND($A979="",$J979=""),"","Scrimmage"))</f>
        <v/>
      </c>
      <c r="P977" s="269"/>
      <c r="R977" s="1"/>
      <c r="S977" s="11"/>
      <c r="T977" s="11"/>
      <c r="U977" s="11"/>
      <c r="V977" s="11"/>
      <c r="W977" s="11"/>
    </row>
    <row r="978" spans="1:32" ht="12.75" customHeight="1" x14ac:dyDescent="0.25">
      <c r="A978" s="12" t="s">
        <v>160</v>
      </c>
      <c r="B978" s="98" t="str">
        <f>CHOOSE(Draw!$T$1,"H","I","A","A","B","A","E","F","B","B","C")</f>
        <v>H</v>
      </c>
      <c r="C978" s="109">
        <f>VLOOKUP($B978,$AM$1:$AN$12,2)</f>
        <v>8</v>
      </c>
      <c r="D978" s="10"/>
      <c r="E978" s="10"/>
      <c r="F978" s="8"/>
      <c r="H978" s="1" t="s">
        <v>164</v>
      </c>
      <c r="J978" s="12" t="s">
        <v>160</v>
      </c>
      <c r="K978" s="98" t="str">
        <f>CHOOSE(Draw!$T$1,"J","K","F","K","H","K","G","G","H","J","D")</f>
        <v>J</v>
      </c>
      <c r="L978" s="109">
        <f>VLOOKUP($K978,$AM$1:$AN$12,2)</f>
        <v>10</v>
      </c>
      <c r="M978" s="10"/>
      <c r="N978" s="10"/>
      <c r="O978" s="13"/>
      <c r="R978" s="1"/>
      <c r="S978" s="11"/>
      <c r="T978" s="11"/>
      <c r="U978" s="11"/>
      <c r="V978" s="11"/>
      <c r="W978" s="11"/>
    </row>
    <row r="979" spans="1:32" ht="12.75" customHeight="1" x14ac:dyDescent="0.25">
      <c r="A979" s="253" t="str">
        <f>IF(VLOOKUP($B978,Draw!$A$4:$B$27,2)&lt;&gt;0,VLOOKUP($B978,Draw!$A$4:$B$27,2),"")</f>
        <v/>
      </c>
      <c r="B979" s="254"/>
      <c r="C979" s="254"/>
      <c r="D979" s="254"/>
      <c r="E979" s="254"/>
      <c r="F979" s="255"/>
      <c r="G979" s="273" t="s">
        <v>423</v>
      </c>
      <c r="H979" s="249"/>
      <c r="I979" s="274"/>
      <c r="J979" s="253" t="str">
        <f>IF(VLOOKUP($K978,Draw!$A$4:$B$27,2)&lt;&gt;0,VLOOKUP($K978,Draw!$A$4:$B$27,2),"")</f>
        <v/>
      </c>
      <c r="K979" s="254"/>
      <c r="L979" s="254"/>
      <c r="M979" s="254"/>
      <c r="N979" s="254"/>
      <c r="O979" s="255"/>
      <c r="P979"/>
      <c r="R979" s="1"/>
      <c r="S979" s="11"/>
      <c r="T979" s="11"/>
      <c r="U979" s="11"/>
      <c r="V979" s="11"/>
      <c r="W979" s="11"/>
    </row>
    <row r="980" spans="1:32" ht="12.75" customHeight="1" x14ac:dyDescent="0.25">
      <c r="A980" s="6"/>
      <c r="B980"/>
      <c r="C980"/>
      <c r="D980"/>
      <c r="E980"/>
      <c r="F980" s="6"/>
      <c r="G980" s="248" t="str">
        <f>"Page "&amp;VALUE(RIGHT($G979,LEN($G979)-SEARCH("-",$G979)))/2</f>
        <v>Page 20</v>
      </c>
      <c r="H980" s="249"/>
      <c r="I980" s="249"/>
      <c r="J980"/>
      <c r="K980"/>
      <c r="L980"/>
      <c r="M980"/>
      <c r="N980"/>
      <c r="O980"/>
      <c r="P980"/>
      <c r="R980" s="1"/>
      <c r="S980" s="11"/>
      <c r="T980" s="11"/>
      <c r="U980" s="11"/>
      <c r="V980" s="11"/>
      <c r="W980" s="11"/>
      <c r="AF980"/>
    </row>
    <row r="981" spans="1:32" ht="12.75" customHeight="1" x14ac:dyDescent="0.25">
      <c r="A981" s="276" t="s">
        <v>177</v>
      </c>
      <c r="B981" s="276"/>
      <c r="C981" s="276"/>
      <c r="D981" s="276"/>
      <c r="E981" s="276"/>
      <c r="F981" s="276"/>
      <c r="G981" s="276"/>
      <c r="H981" s="276"/>
      <c r="I981" s="276"/>
      <c r="J981" s="276"/>
      <c r="K981" s="276"/>
      <c r="L981" s="276"/>
      <c r="M981" s="276"/>
      <c r="N981" s="276"/>
      <c r="O981" s="276"/>
      <c r="P981" s="276"/>
      <c r="Q981" s="6"/>
      <c r="R981" s="1"/>
      <c r="S981" s="11"/>
      <c r="T981" s="11"/>
      <c r="U981" s="11"/>
      <c r="V981" s="11"/>
      <c r="W981" s="11"/>
      <c r="AF981" s="14"/>
    </row>
    <row r="982" spans="1:32" ht="12.75" customHeight="1" x14ac:dyDescent="0.25">
      <c r="A982" s="15" t="s">
        <v>165</v>
      </c>
      <c r="H982" s="110" t="str">
        <f>IF($Q984&lt;&gt;"",IF(AND(AND($H984&gt;-1,$H986&gt;-1),OR($H984&gt;10,$H986&gt;10),ABS($H984-$H986)&gt;1,IF(OR($H984&gt;11,$H986&gt;11),ABS($H984-$H986)=2,TRUE),$H984=INT($H984),$H986=INT($H986)),"","Error"),"")</f>
        <v/>
      </c>
      <c r="I982" s="110" t="str">
        <f>IF($Q984&lt;&gt;"",IF(AND(AND($I984&gt;-1,$I986&gt;-1),OR($I984&gt;10,$I986&gt;10),ABS($I984-$I986)&gt;1,IF(OR($I984&gt;11,$I986&gt;11),ABS($I984-$I986)=2,TRUE),$I984=INT($I984),$I986=INT($I986)),"","Error"),"")</f>
        <v/>
      </c>
      <c r="J982" s="110" t="str">
        <f>IF($Q984&lt;&gt;"",IF(AND(AND($J984&gt;-1,$J986&gt;-1),OR($J984&gt;10,$J986&gt;10),ABS($J984-$J986)&gt;1,IF(OR($J984&gt;11,$J986&gt;11),ABS($J984-$J986)=2,TRUE),$J984=INT($J984),$J986=INT($J986)),"","Error"),"")</f>
        <v/>
      </c>
      <c r="K982" s="110" t="str">
        <f>IF($Q984&lt;&gt;"",IF(AND($K984&lt;&gt;"",$K986&lt;&gt;""), IF(AND(AND($K984&gt;-1,$K986&gt;-1),OR($K984&gt;10,$K986&gt;10),ABS($K984-$K986)&gt;1,IF(OR($K984&gt;11,$K986&gt;11),ABS($K984-$K986)=2,TRUE),$K984=INT($K984),$K986=INT($K986)),"","Error"),""),"")</f>
        <v/>
      </c>
      <c r="L982" s="110" t="str">
        <f>IF($Q984&lt;&gt;"",IF(AND($L984&lt;&gt;"",$L986&lt;&gt;""), IF(AND(AND($L984&gt;-1,$L986&gt;-1),OR($L984&gt;10,$L986&gt;10),ABS($L984-$L986)&gt;1,IF(OR($L984&gt;11,$L986&gt;11),ABS($L984-$L986)=2,TRUE),$L984=INT($L984),$L986=INT($L986)),"","Error"),""),"")</f>
        <v/>
      </c>
      <c r="R982" s="1"/>
      <c r="S982" s="11"/>
      <c r="T982" s="11"/>
      <c r="U982" s="11"/>
      <c r="V982" s="11"/>
      <c r="W982" s="11"/>
    </row>
    <row r="983" spans="1:32" ht="12.75" customHeight="1" x14ac:dyDescent="0.25">
      <c r="A983" s="5" t="s">
        <v>160</v>
      </c>
      <c r="B983" s="256" t="s">
        <v>58</v>
      </c>
      <c r="C983" s="257"/>
      <c r="D983" s="257"/>
      <c r="E983" s="257"/>
      <c r="F983" s="257"/>
      <c r="G983" s="258"/>
      <c r="H983" s="5">
        <v>1</v>
      </c>
      <c r="I983" s="5">
        <v>2</v>
      </c>
      <c r="J983" s="5">
        <v>3</v>
      </c>
      <c r="K983" s="5">
        <v>4</v>
      </c>
      <c r="L983" s="5">
        <v>5</v>
      </c>
      <c r="M983" s="270"/>
      <c r="N983" s="271"/>
      <c r="O983" s="271"/>
      <c r="P983" s="272"/>
      <c r="R983" s="1"/>
      <c r="S983" s="11"/>
      <c r="T983" s="11"/>
      <c r="U983" s="11"/>
      <c r="V983" s="11"/>
      <c r="W983" s="11"/>
    </row>
    <row r="984" spans="1:32" ht="12.75" customHeight="1" x14ac:dyDescent="0.25">
      <c r="A984" s="259" t="str">
        <f>B978</f>
        <v>H</v>
      </c>
      <c r="B984" s="236" t="str">
        <f ca="1">IF(AND(OFFSET($AO$1,$C978-1,8,1,1),$A979&lt;&gt;"",$J979&lt;&gt;""),CHOOSE($C978,$AO$1,$AO$2,$AO$3,$AO$4,$AO$5,$AO$6,$AO$7,$AO$8,$AO$9,$AO$10,$AO$11,$AO$12),"")</f>
        <v/>
      </c>
      <c r="C984" s="237"/>
      <c r="D984" s="237"/>
      <c r="E984" s="237"/>
      <c r="F984" s="237"/>
      <c r="G984" s="237"/>
      <c r="H984" s="233"/>
      <c r="I984" s="233"/>
      <c r="J984" s="233"/>
      <c r="K984" s="233"/>
      <c r="L984" s="233"/>
      <c r="M984" s="281"/>
      <c r="N984" s="282"/>
      <c r="O984" s="282"/>
      <c r="P984" s="283"/>
      <c r="Q984" s="40" t="str">
        <f>IF($L984=$L986,IF($K984=$K986,IF($J984&lt;&gt;"",IF($J984&gt;$J986,"W","L"),""),IF($K984&gt;$K986,"W","L")),IF($L984&gt;$L986,"W","L"))</f>
        <v/>
      </c>
      <c r="R984" s="1"/>
      <c r="S984" s="11"/>
      <c r="T984" s="11"/>
      <c r="U984" s="11"/>
      <c r="V984" s="11"/>
      <c r="W984" s="11"/>
    </row>
    <row r="985" spans="1:32" ht="12.75" customHeight="1" x14ac:dyDescent="0.25">
      <c r="A985" s="260"/>
      <c r="B985" s="238"/>
      <c r="C985" s="239"/>
      <c r="D985" s="239"/>
      <c r="E985" s="239"/>
      <c r="F985" s="239"/>
      <c r="G985" s="239"/>
      <c r="H985" s="234"/>
      <c r="I985" s="234"/>
      <c r="J985" s="234"/>
      <c r="K985" s="234"/>
      <c r="L985" s="234"/>
      <c r="M985" s="281"/>
      <c r="N985" s="282"/>
      <c r="O985" s="282"/>
      <c r="P985" s="283"/>
      <c r="Q985" s="110" t="str">
        <f>IF($Q984&lt;&gt;"",IF($Q984="W",IF(SUM(IF($H984&gt;$H986,1,0),IF($I984&gt;$I986,1,0),IF($J984&gt;$J986,1,0),IF($K984&gt;$K986,1,0),IF($L984&gt;$L986,1,0))&lt;&gt;3,"Error",""),""),"")</f>
        <v/>
      </c>
      <c r="R985" s="295" t="str">
        <f>$A979</f>
        <v/>
      </c>
      <c r="S985" s="295"/>
      <c r="T985" s="295"/>
      <c r="U985" s="295"/>
      <c r="V985" s="295"/>
      <c r="W985" s="295"/>
      <c r="X985" s="219" t="str">
        <f>CONCATENATE("(",$B978," vs ",$K978,")")</f>
        <v>(H vs J)</v>
      </c>
      <c r="Y985" s="219"/>
      <c r="Z985" s="295" t="str">
        <f>$J979</f>
        <v/>
      </c>
      <c r="AA985" s="295"/>
      <c r="AB985" s="295"/>
      <c r="AC985" s="295"/>
      <c r="AD985" s="295"/>
      <c r="AE985" s="295"/>
      <c r="AF985"/>
    </row>
    <row r="986" spans="1:32" ht="12.75" customHeight="1" x14ac:dyDescent="0.25">
      <c r="A986" s="259" t="str">
        <f>K978</f>
        <v>J</v>
      </c>
      <c r="B986" s="236" t="str">
        <f ca="1">IF(AND(OFFSET($AO$1,$L978-1,8,1,1),$A979&lt;&gt;"",$J979&lt;&gt;""),CHOOSE($L978,$AO$1,$AO$2,$AO$3,$AO$4,$AO$5,$AO$6,$AO$7,$AO$8,$AO$9,$AO$10,$AO$11,$AO$12),"")</f>
        <v/>
      </c>
      <c r="C986" s="237"/>
      <c r="D986" s="237"/>
      <c r="E986" s="237"/>
      <c r="F986" s="237"/>
      <c r="G986" s="237"/>
      <c r="H986" s="233"/>
      <c r="I986" s="233"/>
      <c r="J986" s="233"/>
      <c r="K986" s="233"/>
      <c r="L986" s="233"/>
      <c r="M986" s="250" t="s">
        <v>169</v>
      </c>
      <c r="N986" s="251"/>
      <c r="O986" s="251"/>
      <c r="P986" s="252"/>
      <c r="Q986" s="40" t="str">
        <f>IF($Q984&lt;&gt;"",IF($Q984="W","L","W"),"")</f>
        <v/>
      </c>
      <c r="R986"/>
      <c r="S986"/>
      <c r="T986"/>
      <c r="U986"/>
      <c r="V986"/>
      <c r="W986"/>
      <c r="X986"/>
      <c r="Y986"/>
      <c r="Z986"/>
      <c r="AA986"/>
      <c r="AB986"/>
      <c r="AC986"/>
      <c r="AD986"/>
      <c r="AE986"/>
      <c r="AF986"/>
    </row>
    <row r="987" spans="1:32" ht="12.75" customHeight="1" x14ac:dyDescent="0.25">
      <c r="A987" s="260"/>
      <c r="B987" s="238"/>
      <c r="C987" s="239"/>
      <c r="D987" s="239"/>
      <c r="E987" s="239"/>
      <c r="F987" s="239"/>
      <c r="G987" s="239"/>
      <c r="H987" s="234"/>
      <c r="I987" s="234"/>
      <c r="J987" s="235"/>
      <c r="K987" s="235"/>
      <c r="L987" s="235"/>
      <c r="M987" s="250"/>
      <c r="N987" s="251"/>
      <c r="O987" s="251"/>
      <c r="P987" s="252"/>
      <c r="Q987" s="110" t="str">
        <f>IF($Q986&lt;&gt;"",IF($Q986="W",IF(SUM(IF($H986&gt;$H984,1,0),IF($I986&gt;$I984,1,0),IF($J986&gt;$J984,1,0),IF($K986&gt;$K984,1,0),IF($L986&gt;$L984,1,0))&lt;&gt;3,"Error",""),""),"")</f>
        <v/>
      </c>
      <c r="R987" t="str">
        <f>$A989</f>
        <v>2nd Singles</v>
      </c>
      <c r="S987"/>
      <c r="T987"/>
      <c r="U987"/>
      <c r="V987"/>
      <c r="W987"/>
      <c r="X987"/>
      <c r="Y987"/>
      <c r="Z987"/>
      <c r="AA987"/>
      <c r="AB987"/>
      <c r="AC987"/>
      <c r="AD987"/>
      <c r="AE987"/>
      <c r="AF987"/>
    </row>
    <row r="988" spans="1:32" ht="12.75" customHeight="1" x14ac:dyDescent="0.25">
      <c r="Q988" s="6"/>
      <c r="R988" s="47" t="s">
        <v>160</v>
      </c>
      <c r="S988" s="304" t="s">
        <v>58</v>
      </c>
      <c r="T988" s="305"/>
      <c r="U988" s="305"/>
      <c r="V988" s="305"/>
      <c r="W988" s="305"/>
      <c r="X988" s="306"/>
      <c r="Y988" s="47">
        <v>1</v>
      </c>
      <c r="Z988" s="47">
        <v>2</v>
      </c>
      <c r="AA988" s="47">
        <v>3</v>
      </c>
      <c r="AB988" s="47">
        <v>4</v>
      </c>
      <c r="AC988" s="47">
        <v>5</v>
      </c>
      <c r="AD988" s="286"/>
      <c r="AE988" s="287"/>
      <c r="AF988" s="288"/>
    </row>
    <row r="989" spans="1:32" ht="12.75" customHeight="1" x14ac:dyDescent="0.25">
      <c r="A989" s="15" t="s">
        <v>166</v>
      </c>
      <c r="H989" s="110" t="str">
        <f>IF($Q991&lt;&gt;"",IF(AND(AND($H991&gt;-1,$H993&gt;-1),OR($H991&gt;10,$H993&gt;10),ABS($H991-$H993)&gt;1,IF(OR($H991&gt;11,$H993&gt;11),ABS($H991-$H993)=2,TRUE),$H991=INT($H991),$H993=INT($H993)),"","Error"),"")</f>
        <v/>
      </c>
      <c r="I989" s="110" t="str">
        <f>IF($Q991&lt;&gt;"",IF(AND(AND($I991&gt;-1,$I993&gt;-1),OR($I991&gt;10,$I993&gt;10),ABS($I991-$I993)&gt;1,IF(OR($I991&gt;11,$I993&gt;11),ABS($I991-$I993)=2,TRUE),$I991=INT($I991),$I993=INT($I993)),"","Error"),"")</f>
        <v/>
      </c>
      <c r="J989" s="110" t="str">
        <f>IF($Q991&lt;&gt;"",IF(AND(AND($J991&gt;-1,$J993&gt;-1),OR($J991&gt;10,$J993&gt;10),ABS($J991-$J993)&gt;1,IF(OR($J991&gt;11,$J993&gt;11),ABS($J991-$J993)=2,TRUE),$J991=INT($J991),$J993=INT($J993)),"","Error"),"")</f>
        <v/>
      </c>
      <c r="K989" s="110" t="str">
        <f>IF($Q991&lt;&gt;"",IF(AND($K991&lt;&gt;"",$K993&lt;&gt;""), IF(AND(AND($K991&gt;-1,$K993&gt;-1),OR($K991&gt;10,$K993&gt;10),ABS($K991-$K993)&gt;1,IF(OR($K991&gt;11,$K993&gt;11),ABS($K991-$K993)=2,TRUE),$K991=INT($K991),$K993=INT($K993)),"","Error"),""),"")</f>
        <v/>
      </c>
      <c r="L989" s="110" t="str">
        <f>IF($Q991&lt;&gt;"",IF(AND($L991&lt;&gt;"",$L993&lt;&gt;""), IF(AND(AND($L991&gt;-1,$L993&gt;-1),OR($L991&gt;10,$L993&gt;10),ABS($L991-$L993)&gt;1,IF(OR($L991&gt;11,$L993&gt;11),ABS($L991-$L993)=2,TRUE),$L991=INT($L991),$L993=INT($L993)),"","Error"),""),"")</f>
        <v/>
      </c>
      <c r="Q989" s="6"/>
      <c r="R989" s="259" t="str">
        <f>$B978</f>
        <v>H</v>
      </c>
      <c r="S989" s="307" t="str">
        <f ca="1">IF($B991&lt;&gt;"",$B991,"")</f>
        <v/>
      </c>
      <c r="T989" s="308"/>
      <c r="U989" s="308"/>
      <c r="V989" s="308"/>
      <c r="W989" s="308"/>
      <c r="X989" s="309"/>
      <c r="Y989" s="284"/>
      <c r="Z989" s="284"/>
      <c r="AA989" s="284"/>
      <c r="AB989" s="284"/>
      <c r="AC989" s="284"/>
      <c r="AD989" s="296"/>
      <c r="AE989" s="290"/>
      <c r="AF989" s="291"/>
    </row>
    <row r="990" spans="1:32" ht="12.75" customHeight="1" x14ac:dyDescent="0.25">
      <c r="A990" s="5" t="s">
        <v>160</v>
      </c>
      <c r="B990" s="256" t="s">
        <v>58</v>
      </c>
      <c r="C990" s="257"/>
      <c r="D990" s="257"/>
      <c r="E990" s="257"/>
      <c r="F990" s="257"/>
      <c r="G990" s="258"/>
      <c r="H990" s="5">
        <v>1</v>
      </c>
      <c r="I990" s="5">
        <v>2</v>
      </c>
      <c r="J990" s="5">
        <v>3</v>
      </c>
      <c r="K990" s="5">
        <v>4</v>
      </c>
      <c r="L990" s="5">
        <v>5</v>
      </c>
      <c r="M990" s="270"/>
      <c r="N990" s="271"/>
      <c r="O990" s="271"/>
      <c r="P990" s="272"/>
      <c r="Q990" s="6"/>
      <c r="R990" s="285"/>
      <c r="S990" s="310"/>
      <c r="T990" s="311"/>
      <c r="U990" s="311"/>
      <c r="V990" s="311"/>
      <c r="W990" s="311"/>
      <c r="X990" s="312"/>
      <c r="Y990" s="285"/>
      <c r="Z990" s="285"/>
      <c r="AA990" s="285"/>
      <c r="AB990" s="285"/>
      <c r="AC990" s="285"/>
      <c r="AD990" s="292"/>
      <c r="AE990" s="293"/>
      <c r="AF990" s="294"/>
    </row>
    <row r="991" spans="1:32" ht="12.75" customHeight="1" x14ac:dyDescent="0.25">
      <c r="A991" s="259" t="str">
        <f>B978</f>
        <v>H</v>
      </c>
      <c r="B991" s="236" t="str">
        <f ca="1">IF(AND(OFFSET($AO$1,$C978-1,8,1,1),$A979&lt;&gt;"",$J979&lt;&gt;""),CHOOSE($C978,$AP$1,$AP$2,$AP$3,$AP$4,$AP$5,$AP$6,$AP$7,$AP$8,$AP$9,$AP$10,$AP$11,$AP$12),"")</f>
        <v/>
      </c>
      <c r="C991" s="237"/>
      <c r="D991" s="237"/>
      <c r="E991" s="237"/>
      <c r="F991" s="237"/>
      <c r="G991" s="237"/>
      <c r="H991" s="233"/>
      <c r="I991" s="233"/>
      <c r="J991" s="233"/>
      <c r="K991" s="233"/>
      <c r="L991" s="233"/>
      <c r="M991" s="245" t="str">
        <f ca="1">IF(OR(AND($B984&lt;&gt;"",$B991&lt;&gt;"",$C1009&lt;=$B1009),AND($B986&lt;&gt;"",$B993&lt;&gt;"",$G1009&lt;=$F1009)),"Invalid Lineup","")</f>
        <v/>
      </c>
      <c r="N991" s="246"/>
      <c r="O991" s="246"/>
      <c r="P991" s="247"/>
      <c r="Q991" s="40" t="str">
        <f>IF($L991=$L993,IF($K991=$K993,IF($J991&lt;&gt;"",IF($J991&gt;$J993,"W","L"),""),IF($K991&gt;$K993,"W","L")),IF($L991&gt;$L993,"W","L"))</f>
        <v/>
      </c>
      <c r="R991" s="259" t="str">
        <f>$K978</f>
        <v>J</v>
      </c>
      <c r="S991" s="307" t="str">
        <f ca="1">IF($B993&lt;&gt;"",$B993,"")</f>
        <v/>
      </c>
      <c r="T991" s="308"/>
      <c r="U991" s="308"/>
      <c r="V991" s="308"/>
      <c r="W991" s="308"/>
      <c r="X991" s="309"/>
      <c r="Y991" s="284"/>
      <c r="Z991" s="284"/>
      <c r="AA991" s="284"/>
      <c r="AB991" s="284"/>
      <c r="AC991" s="297"/>
      <c r="AD991" s="289" t="s">
        <v>169</v>
      </c>
      <c r="AE991" s="290"/>
      <c r="AF991" s="291"/>
    </row>
    <row r="992" spans="1:32" ht="12.75" customHeight="1" x14ac:dyDescent="0.25">
      <c r="A992" s="260"/>
      <c r="B992" s="238"/>
      <c r="C992" s="239"/>
      <c r="D992" s="239"/>
      <c r="E992" s="239"/>
      <c r="F992" s="239"/>
      <c r="G992" s="239"/>
      <c r="H992" s="234"/>
      <c r="I992" s="234"/>
      <c r="J992" s="234"/>
      <c r="K992" s="234"/>
      <c r="L992" s="234"/>
      <c r="M992" s="245"/>
      <c r="N992" s="246"/>
      <c r="O992" s="246"/>
      <c r="P992" s="247"/>
      <c r="Q992" s="110" t="str">
        <f>IF($Q991&lt;&gt;"",IF($Q991="W",IF(SUM(IF($H991&gt;$H993,1,0),IF($I991&gt;$I993,1,0),IF($J991&gt;$J993,1,0),IF($K991&gt;$K993,1,0),IF($L991&gt;$L993,1,0))&lt;&gt;3,"Error",""),""),"")</f>
        <v/>
      </c>
      <c r="R992" s="285"/>
      <c r="S992" s="310"/>
      <c r="T992" s="311"/>
      <c r="U992" s="311"/>
      <c r="V992" s="311"/>
      <c r="W992" s="311"/>
      <c r="X992" s="312"/>
      <c r="Y992" s="285"/>
      <c r="Z992" s="285"/>
      <c r="AA992" s="285"/>
      <c r="AB992" s="285"/>
      <c r="AC992" s="285"/>
      <c r="AD992" s="292"/>
      <c r="AE992" s="293"/>
      <c r="AF992" s="294"/>
    </row>
    <row r="993" spans="1:32" ht="12.75" customHeight="1" x14ac:dyDescent="0.25">
      <c r="A993" s="259" t="str">
        <f>K978</f>
        <v>J</v>
      </c>
      <c r="B993" s="236" t="str">
        <f ca="1">IF(AND(OFFSET($AO$1,$L978-1,8,1,1),$A979&lt;&gt;"",$J979&lt;&gt;""),CHOOSE($L978,$AP$1,$AP$2,$AP$3,$AP$4,$AP$5,$AP$6,$AP$7,$AP$8,$AP$9,$AP$10,$AP$11,$AP$12),"")</f>
        <v/>
      </c>
      <c r="C993" s="237"/>
      <c r="D993" s="237"/>
      <c r="E993" s="237"/>
      <c r="F993" s="237"/>
      <c r="G993" s="237"/>
      <c r="H993" s="233"/>
      <c r="I993" s="233"/>
      <c r="J993" s="233"/>
      <c r="K993" s="233"/>
      <c r="L993" s="233"/>
      <c r="M993" s="250" t="s">
        <v>169</v>
      </c>
      <c r="N993" s="251"/>
      <c r="O993" s="251"/>
      <c r="P993" s="252"/>
      <c r="Q993" s="40" t="str">
        <f>IF($Q991&lt;&gt;"",IF($Q991="W","L","W"),"")</f>
        <v/>
      </c>
      <c r="R993" s="14"/>
      <c r="S993" s="14"/>
      <c r="T993" s="14"/>
      <c r="U993" s="14"/>
      <c r="V993" s="14"/>
      <c r="W993" s="14"/>
      <c r="X993" s="7"/>
      <c r="Y993" s="7"/>
      <c r="Z993" s="14"/>
      <c r="AA993" s="14"/>
      <c r="AB993" s="14"/>
      <c r="AC993" s="14"/>
      <c r="AD993" s="14"/>
      <c r="AE993" s="14"/>
      <c r="AF993"/>
    </row>
    <row r="994" spans="1:32" ht="12.75" customHeight="1" x14ac:dyDescent="0.25">
      <c r="A994" s="260"/>
      <c r="B994" s="238"/>
      <c r="C994" s="239"/>
      <c r="D994" s="239"/>
      <c r="E994" s="239"/>
      <c r="F994" s="239"/>
      <c r="G994" s="239"/>
      <c r="H994" s="234"/>
      <c r="I994" s="234"/>
      <c r="J994" s="235"/>
      <c r="K994" s="235"/>
      <c r="L994" s="235"/>
      <c r="M994" s="250"/>
      <c r="N994" s="251"/>
      <c r="O994" s="251"/>
      <c r="P994" s="252"/>
      <c r="Q994" s="110" t="str">
        <f>IF($Q993&lt;&gt;"",IF($Q993="W",IF(SUM(IF($H993&gt;$H991,1,0),IF($I993&gt;$I991,1,0),IF($J993&gt;$J991,1,0),IF($K993&gt;$K991,1,0),IF($L993&gt;$L991,1,0))&lt;&gt;3,"Error",""),""),"")</f>
        <v/>
      </c>
      <c r="R994" s="14"/>
      <c r="S994" s="14"/>
      <c r="T994" s="14"/>
      <c r="U994" s="14"/>
      <c r="V994" s="14"/>
      <c r="W994" s="14"/>
      <c r="X994" s="7"/>
      <c r="Y994" s="7"/>
      <c r="Z994" s="14"/>
      <c r="AA994" s="14"/>
      <c r="AB994" s="14"/>
      <c r="AC994" s="14"/>
      <c r="AD994" s="14"/>
      <c r="AE994" s="14"/>
      <c r="AF994"/>
    </row>
    <row r="995" spans="1:32" ht="12.75" customHeight="1" x14ac:dyDescent="0.25">
      <c r="Q995" s="6"/>
      <c r="R995" s="14"/>
      <c r="S995" s="14"/>
      <c r="T995" s="14"/>
      <c r="U995" s="14"/>
      <c r="V995" s="14"/>
      <c r="W995" s="14"/>
      <c r="X995" s="7"/>
      <c r="Y995" s="7"/>
      <c r="Z995" s="14"/>
      <c r="AA995" s="14"/>
      <c r="AB995" s="14"/>
      <c r="AC995" s="14"/>
      <c r="AD995" s="14"/>
      <c r="AE995" s="14"/>
      <c r="AF995"/>
    </row>
    <row r="996" spans="1:32" ht="12.75" customHeight="1" x14ac:dyDescent="0.25">
      <c r="A996" s="15" t="s">
        <v>167</v>
      </c>
      <c r="H996" s="110" t="str">
        <f>IF($Q998&lt;&gt;"",IF(AND(AND($H998&gt;-1,$H1000&gt;-1),OR($H998&gt;10,$H1000&gt;10),ABS($H998-$H1000)&gt;1,IF(OR($H998&gt;11,$H1000&gt;11),ABS($H998-$H1000)=2,TRUE),$H998=INT($H998),$H1000=INT($H1000)),"","Error"),"")</f>
        <v/>
      </c>
      <c r="I996" s="110" t="str">
        <f>IF($Q998&lt;&gt;"",IF(AND(AND($I998&gt;-1,$I1000&gt;-1),OR($I998&gt;10,$I1000&gt;10),ABS($I998-$I1000)&gt;1,IF(OR($I998&gt;11,$I1000&gt;11),ABS($I998-$I1000)=2,TRUE),$I998=INT($I998),$I1000=INT($I1000)),"","Error"),"")</f>
        <v/>
      </c>
      <c r="J996" s="110" t="str">
        <f>IF($Q998&lt;&gt;"",IF(AND(AND($J998&gt;-1,$J1000&gt;-1),OR($J998&gt;10,$J1000&gt;10),ABS($J998-$J1000)&gt;1,IF(OR($J998&gt;11,$J1000&gt;11),ABS($J998-$J1000)=2,TRUE),$J998=INT($J998),$J1000=INT($J1000)),"","Error"),"")</f>
        <v/>
      </c>
      <c r="K996" s="110" t="str">
        <f>IF($Q998&lt;&gt;"",IF(AND($K998&lt;&gt;"",$K1000&lt;&gt;""), IF(AND(AND($K998&gt;-1,$K1000&gt;-1),OR($K998&gt;10,$K1000&gt;10),ABS($K998-$K1000)&gt;1,IF(OR($K998&gt;11,$K1000&gt;11),ABS($K998-$K1000)=2,TRUE),$K998=INT($K998),$K1000=INT($K1000)),"","Error"),""),"")</f>
        <v/>
      </c>
      <c r="L996" s="110" t="str">
        <f>IF($Q998&lt;&gt;"",IF(AND($L998&lt;&gt;"",$L1000&lt;&gt;""), IF(AND(AND($L998&gt;-1,$L1000&gt;-1),OR($L998&gt;10,$L1000&gt;10),ABS($L998-$L1000)&gt;1,IF(OR($L998&gt;11,$L1000&gt;11),ABS($L998-$L1000)=2,TRUE),$L998=INT($L998),$L1000=INT($L1000)),"","Error"),""),"")</f>
        <v/>
      </c>
      <c r="Q996" s="6"/>
      <c r="R996" s="14"/>
      <c r="S996" s="14"/>
      <c r="T996" s="14"/>
      <c r="U996" s="14"/>
      <c r="V996" s="14"/>
      <c r="W996" s="14"/>
      <c r="X996" s="7"/>
      <c r="Y996" s="7"/>
      <c r="Z996" s="14"/>
      <c r="AA996" s="14"/>
      <c r="AB996" s="14"/>
      <c r="AC996" s="14"/>
      <c r="AD996" s="14"/>
      <c r="AE996" s="14"/>
      <c r="AF996"/>
    </row>
    <row r="997" spans="1:32" ht="12.75" customHeight="1" x14ac:dyDescent="0.25">
      <c r="A997" s="5" t="s">
        <v>160</v>
      </c>
      <c r="B997" s="256" t="s">
        <v>58</v>
      </c>
      <c r="C997" s="257"/>
      <c r="D997" s="257"/>
      <c r="E997" s="257"/>
      <c r="F997" s="257"/>
      <c r="G997" s="258"/>
      <c r="H997" s="5">
        <v>1</v>
      </c>
      <c r="I997" s="5">
        <v>2</v>
      </c>
      <c r="J997" s="5">
        <v>3</v>
      </c>
      <c r="K997" s="5">
        <v>4</v>
      </c>
      <c r="L997" s="5">
        <v>5</v>
      </c>
      <c r="M997" s="270"/>
      <c r="N997" s="271"/>
      <c r="O997" s="271"/>
      <c r="P997" s="272"/>
      <c r="Q997" s="6"/>
      <c r="R997" s="14"/>
      <c r="S997" s="14"/>
      <c r="T997" s="14"/>
      <c r="U997" s="14"/>
      <c r="V997" s="14"/>
      <c r="W997" s="14"/>
      <c r="X997" s="7"/>
      <c r="Y997" s="7"/>
      <c r="Z997" s="14"/>
      <c r="AA997" s="14"/>
      <c r="AB997" s="14"/>
      <c r="AC997" s="14"/>
      <c r="AD997" s="14"/>
      <c r="AE997" s="14"/>
      <c r="AF997"/>
    </row>
    <row r="998" spans="1:32" ht="12.75" customHeight="1" x14ac:dyDescent="0.25">
      <c r="A998" s="259" t="str">
        <f>B978</f>
        <v>H</v>
      </c>
      <c r="B998" s="236" t="str">
        <f ca="1">IF(AND(OFFSET($AO$1,$C978-1,8,1,1),$A979&lt;&gt;"",$J979&lt;&gt;""),CHOOSE($C978,$AQ$1,$AQ$2,$AQ$3,$AQ$4,$AQ$5,$AQ$6,$AQ$7,$AQ$8,$AQ$9,$AQ$10,$AQ$11,$AQ$12),"")</f>
        <v/>
      </c>
      <c r="C998" s="237"/>
      <c r="D998" s="237"/>
      <c r="E998" s="237"/>
      <c r="F998" s="237"/>
      <c r="G998" s="237"/>
      <c r="H998" s="233"/>
      <c r="I998" s="233"/>
      <c r="J998" s="233"/>
      <c r="K998" s="233"/>
      <c r="L998" s="233"/>
      <c r="M998" s="245" t="str">
        <f ca="1">IF(OR(AND($B991&lt;&gt;"",$B998&lt;&gt;"",$D1009&lt;=$C1009),AND($B993&lt;&gt;"",$B1000&lt;&gt;"",$H1009&lt;=$G1009)),"Invalid Lineup","")</f>
        <v/>
      </c>
      <c r="N998" s="246"/>
      <c r="O998" s="246"/>
      <c r="P998" s="247"/>
      <c r="Q998" s="40" t="str">
        <f>IF($L998=$L1000,IF($K998=$K1000,IF($J998&lt;&gt;"",IF($J998&gt;$J1000,"W","L"),""),IF($K998&gt;$K1000,"W","L")),IF($L998&gt;$L1000,"W","L"))</f>
        <v/>
      </c>
      <c r="R998" s="14"/>
      <c r="S998" s="14"/>
      <c r="T998" s="14"/>
      <c r="U998" s="14"/>
      <c r="V998" s="14"/>
      <c r="W998" s="14"/>
      <c r="X998" s="7"/>
      <c r="Y998" s="7"/>
      <c r="Z998" s="14"/>
      <c r="AA998" s="14"/>
      <c r="AB998" s="14"/>
      <c r="AC998" s="14"/>
      <c r="AD998" s="14"/>
      <c r="AE998" s="14"/>
      <c r="AF998"/>
    </row>
    <row r="999" spans="1:32" ht="12.75" customHeight="1" x14ac:dyDescent="0.25">
      <c r="A999" s="260"/>
      <c r="B999" s="238"/>
      <c r="C999" s="239"/>
      <c r="D999" s="239"/>
      <c r="E999" s="239"/>
      <c r="F999" s="239"/>
      <c r="G999" s="239"/>
      <c r="H999" s="234"/>
      <c r="I999" s="234"/>
      <c r="J999" s="234"/>
      <c r="K999" s="234"/>
      <c r="L999" s="234"/>
      <c r="M999" s="245"/>
      <c r="N999" s="246"/>
      <c r="O999" s="246"/>
      <c r="P999" s="247"/>
      <c r="Q999" s="110" t="str">
        <f>IF($Q998&lt;&gt;"",IF($Q998="W",IF(SUM(IF($H998&gt;$H1000,1,0),IF($I998&gt;$I1000,1,0),IF($J998&gt;$J1000,1,0),IF($K998&gt;$K1000,1,0),IF($L998&gt;$L1000,1,0))&lt;&gt;3,"Error",""),""),"")</f>
        <v/>
      </c>
      <c r="R999" s="295" t="str">
        <f>$A979</f>
        <v/>
      </c>
      <c r="S999" s="295"/>
      <c r="T999" s="295"/>
      <c r="U999" s="295"/>
      <c r="V999" s="295"/>
      <c r="W999" s="295"/>
      <c r="X999" s="219" t="str">
        <f>CONCATENATE("(",$B978," vs ",$K978,")")</f>
        <v>(H vs J)</v>
      </c>
      <c r="Y999" s="219"/>
      <c r="Z999" s="295" t="str">
        <f>$J979</f>
        <v/>
      </c>
      <c r="AA999" s="295"/>
      <c r="AB999" s="295"/>
      <c r="AC999" s="295"/>
      <c r="AD999" s="295"/>
      <c r="AE999" s="295"/>
      <c r="AF999"/>
    </row>
    <row r="1000" spans="1:32" ht="12.75" customHeight="1" x14ac:dyDescent="0.25">
      <c r="A1000" s="259" t="str">
        <f>K978</f>
        <v>J</v>
      </c>
      <c r="B1000" s="236" t="str">
        <f ca="1">IF(AND(OFFSET($AO$1,$L978-1,8,1,1),$A979&lt;&gt;"",$J979&lt;&gt;""),CHOOSE($L978,$AQ$1,$AQ$2,$AQ$3,$AQ$4,$AQ$5,$AQ$6,$AQ$7,$AQ$8,$AQ$9,$AQ$10,$AQ$11,$AQ$12),"")</f>
        <v/>
      </c>
      <c r="C1000" s="237"/>
      <c r="D1000" s="237"/>
      <c r="E1000" s="237"/>
      <c r="F1000" s="237"/>
      <c r="G1000" s="237"/>
      <c r="H1000" s="233"/>
      <c r="I1000" s="233"/>
      <c r="J1000" s="233"/>
      <c r="K1000" s="233"/>
      <c r="L1000" s="233"/>
      <c r="M1000" s="250" t="s">
        <v>169</v>
      </c>
      <c r="N1000" s="251"/>
      <c r="O1000" s="251"/>
      <c r="P1000" s="252"/>
      <c r="Q1000" s="40" t="str">
        <f>IF($Q998&lt;&gt;"",IF($Q998="W","L","W"),"")</f>
        <v/>
      </c>
      <c r="R1000"/>
      <c r="S1000"/>
      <c r="T1000"/>
      <c r="U1000"/>
      <c r="V1000"/>
      <c r="W1000"/>
      <c r="X1000"/>
      <c r="Y1000"/>
      <c r="Z1000"/>
      <c r="AA1000"/>
      <c r="AB1000"/>
      <c r="AC1000"/>
      <c r="AD1000"/>
      <c r="AE1000"/>
      <c r="AF1000"/>
    </row>
    <row r="1001" spans="1:32" ht="12.75" customHeight="1" x14ac:dyDescent="0.25">
      <c r="A1001" s="260"/>
      <c r="B1001" s="238"/>
      <c r="C1001" s="239"/>
      <c r="D1001" s="239"/>
      <c r="E1001" s="239"/>
      <c r="F1001" s="239"/>
      <c r="G1001" s="239"/>
      <c r="H1001" s="234"/>
      <c r="I1001" s="234"/>
      <c r="J1001" s="235"/>
      <c r="K1001" s="235"/>
      <c r="L1001" s="235"/>
      <c r="M1001" s="250"/>
      <c r="N1001" s="251"/>
      <c r="O1001" s="251"/>
      <c r="P1001" s="252"/>
      <c r="Q1001" s="110" t="str">
        <f>IF($Q1000&lt;&gt;"",IF($Q1000="W",IF(SUM(IF($H1000&gt;$H998,1,0),IF($I1000&gt;$I998,1,0),IF($J1000&gt;$J998,1,0),IF($K1000&gt;$K998,1,0),IF($L1000&gt;$L998,1,0))&lt;&gt;3,"Error",""),""),"")</f>
        <v/>
      </c>
      <c r="R1001" t="str">
        <f>$A996</f>
        <v>3rd Singles</v>
      </c>
      <c r="S1001"/>
      <c r="T1001"/>
      <c r="U1001"/>
      <c r="V1001"/>
      <c r="W1001"/>
      <c r="X1001"/>
      <c r="Y1001"/>
      <c r="Z1001"/>
      <c r="AA1001"/>
      <c r="AB1001"/>
      <c r="AC1001"/>
      <c r="AD1001"/>
      <c r="AE1001"/>
      <c r="AF1001"/>
    </row>
    <row r="1002" spans="1:32" ht="12.75" customHeight="1" x14ac:dyDescent="0.25">
      <c r="Q1002" s="6"/>
      <c r="R1002" s="47" t="s">
        <v>160</v>
      </c>
      <c r="S1002" s="86" t="s">
        <v>58</v>
      </c>
      <c r="T1002" s="87"/>
      <c r="U1002" s="87"/>
      <c r="V1002" s="87"/>
      <c r="W1002" s="87"/>
      <c r="X1002" s="88"/>
      <c r="Y1002" s="47">
        <v>1</v>
      </c>
      <c r="Z1002" s="47">
        <v>2</v>
      </c>
      <c r="AA1002" s="47">
        <v>3</v>
      </c>
      <c r="AB1002" s="47">
        <v>4</v>
      </c>
      <c r="AC1002" s="47">
        <v>5</v>
      </c>
      <c r="AD1002" s="89"/>
      <c r="AE1002" s="90"/>
      <c r="AF1002" s="91"/>
    </row>
    <row r="1003" spans="1:32" ht="12.75" customHeight="1" x14ac:dyDescent="0.25">
      <c r="A1003" s="15" t="s">
        <v>168</v>
      </c>
      <c r="H1003" s="110" t="str">
        <f ca="1">IF($Q1005&lt;&gt;"",IF(AND($B1005&lt;&gt;"Missing Player",$B1007&lt;&gt;"Missing Player"),IF(AND(AND($H1005&gt;-1,$H1007&gt;-1),OR($H1005&gt;10,$H1007&gt;10),ABS($H1005-$H1007)&gt;1,IF(OR($H1005&gt;11,$H1007&gt;11),ABS($H1005-$H1007)=2,TRUE),$H1005=INT($H1005),$H1007=INT($H1007)),"","Error"),""),"")</f>
        <v/>
      </c>
      <c r="I1003" s="110" t="str">
        <f ca="1">IF($Q1005&lt;&gt;"",IF(AND($B1005&lt;&gt;"Missing Player",$B1007&lt;&gt;"Missing Player"),IF(AND(AND($I1005&gt;-1,$I1007&gt;-1),OR($I1005&gt;10,$I1007&gt;10),ABS($I1005-$I1007)&gt;1,IF(OR($I1005&gt;11,$I1007&gt;11),ABS($I1005-$I1007)=2,TRUE),$I1005=INT($I1005),$I1007=INT($I1007)),"","Error"),""),"")</f>
        <v/>
      </c>
      <c r="J1003" s="110" t="str">
        <f ca="1">IF($Q1005&lt;&gt;"",IF(AND($B1005&lt;&gt;"Missing Player",$B1007&lt;&gt;"Missing Player"),IF(AND(AND($J1005&gt;-1,$J1007&gt;-1),OR($J1005&gt;10,$J1007&gt;10),ABS($J1005-$J1007)&gt;1,IF(OR($J1005&gt;11,$J1007&gt;11),ABS($J1005-$J1007)=2,TRUE),$J1005=INT($J1005),$J1007=INT($J1007)),"","Error"),""),"")</f>
        <v/>
      </c>
      <c r="K1003" s="110" t="str">
        <f ca="1">IF($Q1005&lt;&gt;"",IF(AND($K1005&lt;&gt;"",$K1007&lt;&gt;""), IF(AND(AND($K1005&gt;-1,$K1007&gt;-1),OR($K1005&gt;10,$K1007&gt;10),ABS($K1005-$K1007)&gt;1,IF(OR($K1005&gt;11,$K1007&gt;11),ABS($K1005-$K1007)=2,TRUE),$K1005=INT($K1005),$K1007=INT($K1007)),"","Error"),""),"")</f>
        <v/>
      </c>
      <c r="L1003" s="110" t="str">
        <f ca="1">IF($Q1005&lt;&gt;"",IF(AND($L1005&lt;&gt;"",$L1007&lt;&gt;""), IF(AND(AND($L1005&gt;-1,$L1007&gt;-1),OR($L1005&gt;10,$L1007&gt;10),ABS($L1005-$L1007)&gt;1,IF(OR($L1005&gt;11,$L1007&gt;11),ABS($L1005-$L1007)=2,TRUE),$L1005=INT($L1005),$L1007=INT($L1007)),"","Error"),""),"")</f>
        <v/>
      </c>
      <c r="Q1003" s="6"/>
      <c r="R1003" s="259" t="str">
        <f>$B978</f>
        <v>H</v>
      </c>
      <c r="S1003" s="307" t="str">
        <f ca="1">IF($B998&lt;&gt;"",$B998,"")</f>
        <v/>
      </c>
      <c r="T1003" s="308"/>
      <c r="U1003" s="308"/>
      <c r="V1003" s="308"/>
      <c r="W1003" s="308"/>
      <c r="X1003" s="309"/>
      <c r="Y1003" s="284"/>
      <c r="Z1003" s="284"/>
      <c r="AA1003" s="284"/>
      <c r="AB1003" s="284"/>
      <c r="AC1003" s="284"/>
      <c r="AD1003" s="296"/>
      <c r="AE1003" s="290"/>
      <c r="AF1003" s="291"/>
    </row>
    <row r="1004" spans="1:32" ht="12.75" customHeight="1" x14ac:dyDescent="0.25">
      <c r="A1004" s="5" t="s">
        <v>160</v>
      </c>
      <c r="B1004" s="256" t="s">
        <v>58</v>
      </c>
      <c r="C1004" s="257"/>
      <c r="D1004" s="257"/>
      <c r="E1004" s="257"/>
      <c r="F1004" s="257"/>
      <c r="G1004" s="258"/>
      <c r="H1004" s="5">
        <v>1</v>
      </c>
      <c r="I1004" s="5">
        <v>2</v>
      </c>
      <c r="J1004" s="5">
        <v>3</v>
      </c>
      <c r="K1004" s="5">
        <v>4</v>
      </c>
      <c r="L1004" s="5">
        <v>5</v>
      </c>
      <c r="M1004" s="270"/>
      <c r="N1004" s="271"/>
      <c r="O1004" s="271"/>
      <c r="P1004" s="272"/>
      <c r="Q1004" s="6"/>
      <c r="R1004" s="285"/>
      <c r="S1004" s="310"/>
      <c r="T1004" s="311"/>
      <c r="U1004" s="311"/>
      <c r="V1004" s="311"/>
      <c r="W1004" s="311"/>
      <c r="X1004" s="312"/>
      <c r="Y1004" s="285"/>
      <c r="Z1004" s="285"/>
      <c r="AA1004" s="285"/>
      <c r="AB1004" s="285"/>
      <c r="AC1004" s="285"/>
      <c r="AD1004" s="292"/>
      <c r="AE1004" s="293"/>
      <c r="AF1004" s="294"/>
    </row>
    <row r="1005" spans="1:32" ht="12.75" customHeight="1" x14ac:dyDescent="0.25">
      <c r="A1005" s="259" t="str">
        <f>B978</f>
        <v>H</v>
      </c>
      <c r="B1005" s="236" t="str">
        <f ca="1">IF(AND(OFFSET($AO$1,$C978-1,8,1,1),$A979&lt;&gt;"",$J979&lt;&gt;""),CHOOSE($C978,$AR$1,$AR$2,$AR$3,$AR$4,$AR$5,$AR$6,$AR$7,$AR$8,$AR$9,$AR$10,$AR$11,$AR$12),"")</f>
        <v/>
      </c>
      <c r="C1005" s="237"/>
      <c r="D1005" s="237"/>
      <c r="E1005" s="237"/>
      <c r="F1005" s="237"/>
      <c r="G1005" s="237"/>
      <c r="H1005" s="233"/>
      <c r="I1005" s="233"/>
      <c r="J1005" s="233"/>
      <c r="K1005" s="233"/>
      <c r="L1005" s="233" t="str">
        <f ca="1">IF(AND($B1005&lt;&gt;"",$Q984&lt;&gt;""),IF($B1005="Missing Player",0,IF($B1007="Missing Player",11,"")),"")</f>
        <v/>
      </c>
      <c r="M1005" s="245" t="str">
        <f ca="1">IF(OR(AND($B998&lt;&gt;"",$B1005&lt;&gt;"",$E1009&lt;=$D1009),AND($B1000&lt;&gt;"",$B1007&lt;&gt;"",$I1009&lt;=$H1009)),"Invalid Lineup","")</f>
        <v/>
      </c>
      <c r="N1005" s="246"/>
      <c r="O1005" s="246"/>
      <c r="P1005" s="247"/>
      <c r="Q1005" s="40" t="str">
        <f ca="1">IF($L1005=$L1007,IF($K1005=$K1007,IF($J1005&lt;&gt;"",IF($J1005&gt;$J1007,"W","L"),""),IF($K1005&gt;$K1007,"W","L")),IF($L1005&gt;$L1007,"W","L"))</f>
        <v/>
      </c>
      <c r="R1005" s="259" t="str">
        <f>$K978</f>
        <v>J</v>
      </c>
      <c r="S1005" s="307" t="str">
        <f ca="1">IF($B1000&lt;&gt;"",$B1000,"")</f>
        <v/>
      </c>
      <c r="T1005" s="308"/>
      <c r="U1005" s="308"/>
      <c r="V1005" s="308"/>
      <c r="W1005" s="308"/>
      <c r="X1005" s="309"/>
      <c r="Y1005" s="284"/>
      <c r="Z1005" s="284"/>
      <c r="AA1005" s="284"/>
      <c r="AB1005" s="284"/>
      <c r="AC1005" s="297"/>
      <c r="AD1005" s="289" t="s">
        <v>169</v>
      </c>
      <c r="AE1005" s="290"/>
      <c r="AF1005" s="291"/>
    </row>
    <row r="1006" spans="1:32" ht="12.75" customHeight="1" x14ac:dyDescent="0.25">
      <c r="A1006" s="260"/>
      <c r="B1006" s="238"/>
      <c r="C1006" s="239"/>
      <c r="D1006" s="239"/>
      <c r="E1006" s="239"/>
      <c r="F1006" s="239"/>
      <c r="G1006" s="239"/>
      <c r="H1006" s="234"/>
      <c r="I1006" s="234"/>
      <c r="J1006" s="234"/>
      <c r="K1006" s="234"/>
      <c r="L1006" s="234"/>
      <c r="M1006" s="245"/>
      <c r="N1006" s="246"/>
      <c r="O1006" s="246"/>
      <c r="P1006" s="247"/>
      <c r="Q1006" s="110" t="str">
        <f ca="1">IF($Q1005&lt;&gt;"",IF($B1007&lt;&gt;"Missing Player",IF($Q1005="W",IF(SUM(IF($H1005&gt;$H1007,1,0),IF($I1005&gt;$I1007,1,0),IF($J1005&gt;$J1007,1,0),IF($K1005&gt;$K1007,1,0),IF($L1005&gt;$L1007,1,0))&lt;&gt;3,"Error",""),""),""),"")</f>
        <v/>
      </c>
      <c r="R1006" s="285"/>
      <c r="S1006" s="310"/>
      <c r="T1006" s="311"/>
      <c r="U1006" s="311"/>
      <c r="V1006" s="311"/>
      <c r="W1006" s="311"/>
      <c r="X1006" s="312"/>
      <c r="Y1006" s="285"/>
      <c r="Z1006" s="285"/>
      <c r="AA1006" s="285"/>
      <c r="AB1006" s="285"/>
      <c r="AC1006" s="285"/>
      <c r="AD1006" s="292"/>
      <c r="AE1006" s="293"/>
      <c r="AF1006" s="294"/>
    </row>
    <row r="1007" spans="1:32" ht="12.75" customHeight="1" x14ac:dyDescent="0.25">
      <c r="A1007" s="259" t="str">
        <f>K978</f>
        <v>J</v>
      </c>
      <c r="B1007" s="236" t="str">
        <f ca="1">IF(AND(OFFSET($AO$1,$L978-1,8,1,1),$A979&lt;&gt;"",$J979&lt;&gt;""),CHOOSE($L978,$AR$1,$AR$2,$AR$3,$AR$4,$AR$5,$AR$6,$AR$7,$AR$8,$AR$9,$AR$10,$AR$11,$AR$12),"")</f>
        <v/>
      </c>
      <c r="C1007" s="237"/>
      <c r="D1007" s="237"/>
      <c r="E1007" s="237"/>
      <c r="F1007" s="237"/>
      <c r="G1007" s="237"/>
      <c r="H1007" s="233"/>
      <c r="I1007" s="233"/>
      <c r="J1007" s="233"/>
      <c r="K1007" s="233"/>
      <c r="L1007" s="233" t="str">
        <f ca="1">IF(AND($B1007&lt;&gt;"",$Q984&lt;&gt;""),IF($B1007="Missing Player",0,IF($B1005="Missing Player",11,"")),"")</f>
        <v/>
      </c>
      <c r="M1007" s="250" t="s">
        <v>169</v>
      </c>
      <c r="N1007" s="251"/>
      <c r="O1007" s="251"/>
      <c r="P1007" s="252"/>
      <c r="Q1007" s="40" t="str">
        <f ca="1">IF($Q1005&lt;&gt;"",IF($Q1005="W","L","W"),"")</f>
        <v/>
      </c>
      <c r="R1007" s="94"/>
      <c r="S1007" s="84"/>
      <c r="T1007" s="84"/>
      <c r="U1007" s="84"/>
      <c r="V1007" s="84"/>
      <c r="W1007" s="84"/>
      <c r="X1007" s="84"/>
      <c r="Y1007" s="93"/>
      <c r="Z1007" s="93"/>
      <c r="AA1007" s="93"/>
      <c r="AB1007" s="93"/>
      <c r="AC1007" s="93"/>
      <c r="AD1007" s="92"/>
      <c r="AE1007" s="93"/>
      <c r="AF1007" s="93"/>
    </row>
    <row r="1008" spans="1:32" ht="12.75" customHeight="1" x14ac:dyDescent="0.25">
      <c r="A1008" s="260"/>
      <c r="B1008" s="238"/>
      <c r="C1008" s="239"/>
      <c r="D1008" s="239"/>
      <c r="E1008" s="239"/>
      <c r="F1008" s="239"/>
      <c r="G1008" s="239"/>
      <c r="H1008" s="234"/>
      <c r="I1008" s="234"/>
      <c r="J1008" s="235"/>
      <c r="K1008" s="235"/>
      <c r="L1008" s="235"/>
      <c r="M1008" s="250"/>
      <c r="N1008" s="251"/>
      <c r="O1008" s="251"/>
      <c r="P1008" s="252"/>
      <c r="Q1008" s="110" t="str">
        <f ca="1">IF($Q1007&lt;&gt;"",IF($B1005&lt;&gt;"Missing Player",IF($Q1007="W",IF(SUM(IF($H1007&gt;$H1005,1,0),IF($I1007&gt;$I1005,1,0),IF($J1007&gt;$J1005,1,0),IF($K1007&gt;$K1005,1,0),IF($L1007&gt;$L1005,1,0))&lt;&gt;3,"Error",""),""),""),"")</f>
        <v/>
      </c>
      <c r="R1008" s="85"/>
      <c r="S1008" s="95"/>
      <c r="T1008" s="95"/>
      <c r="U1008" s="95"/>
      <c r="V1008" s="95"/>
      <c r="W1008" s="95"/>
      <c r="X1008" s="95"/>
      <c r="Y1008" s="85"/>
      <c r="Z1008" s="85"/>
      <c r="AA1008" s="85"/>
      <c r="AB1008" s="85"/>
      <c r="AC1008" s="85"/>
      <c r="AD1008" s="85"/>
      <c r="AE1008" s="85"/>
      <c r="AF1008" s="85"/>
    </row>
    <row r="1009" spans="1:32" ht="12.75" customHeight="1" x14ac:dyDescent="0.25">
      <c r="B1009" s="111" t="str">
        <f ca="1">IF(ISERROR(VLOOKUP($B984&amp;"("&amp;$B978&amp;")",Players!$S$4:$T$132,2,FALSE)),"",VLOOKUP($B984&amp;"("&amp;$B978&amp;")",Players!$S$4:$T$132,2,FALSE))</f>
        <v>H1</v>
      </c>
      <c r="C1009" s="111" t="str">
        <f ca="1">IF(ISERROR(VLOOKUP($B991&amp;"("&amp;$B978&amp;")",Players!$S$4:$T$132,2,FALSE)),"",VLOOKUP($B991&amp;"("&amp;$B978&amp;")",Players!$S$4:$T$132,2,FALSE))</f>
        <v>H1</v>
      </c>
      <c r="D1009" s="111" t="str">
        <f ca="1">IF(ISERROR(VLOOKUP($B998&amp;"("&amp;$B978&amp;")",Players!$S$4:$T$132,2,FALSE)),"",VLOOKUP($B998&amp;"("&amp;$B978&amp;")",Players!$S$4:$T$132,2,FALSE))</f>
        <v>H1</v>
      </c>
      <c r="E1009" s="111" t="str">
        <f ca="1">IF(ISERROR(VLOOKUP($B1005&amp;"("&amp;$B978&amp;")",Players!$S$4:$T$132,2,FALSE)),"",VLOOKUP($B1005&amp;"("&amp;$B978&amp;")",Players!$S$4:$T$132,2,FALSE))</f>
        <v>H1</v>
      </c>
      <c r="F1009" s="111" t="str">
        <f ca="1">IF(ISERROR(VLOOKUP($B986&amp;"("&amp;$K978&amp;")",Players!$S$4:$T$132,2,FALSE)),"",VLOOKUP($B986&amp;"("&amp;$K978&amp;")",Players!$S$4:$T$132,2,FALSE))</f>
        <v>J1</v>
      </c>
      <c r="G1009" s="111" t="str">
        <f ca="1">IF(ISERROR(VLOOKUP($B993&amp;"("&amp;$K978&amp;")",Players!$S$4:$T$132,2,FALSE)),"",VLOOKUP($B993&amp;"("&amp;$K978&amp;")",Players!$S$4:$T$132,2,FALSE))</f>
        <v>J1</v>
      </c>
      <c r="H1009" s="111" t="str">
        <f ca="1">IF(ISERROR(VLOOKUP($B1000&amp;"("&amp;$K978&amp;")",Players!$S$4:$T$132,2,FALSE)),"",VLOOKUP($B1000&amp;"("&amp;$K978&amp;")",Players!$S$4:$T$132,2,FALSE))</f>
        <v>J1</v>
      </c>
      <c r="I1009" s="111" t="str">
        <f ca="1">IF(ISERROR(VLOOKUP($B1007&amp;"("&amp;$K978&amp;")",Players!$S$4:$T$132,2,FALSE)),"",VLOOKUP($B1007&amp;"("&amp;$K978&amp;")",Players!$S$4:$T$132,2,FALSE))</f>
        <v>J1</v>
      </c>
      <c r="Q1009" s="6"/>
      <c r="R1009" s="37"/>
      <c r="S1009" s="95"/>
      <c r="T1009" s="95"/>
      <c r="U1009" s="95"/>
      <c r="V1009" s="95"/>
      <c r="W1009" s="95"/>
      <c r="X1009" s="95"/>
      <c r="Y1009" s="85"/>
      <c r="Z1009" s="85"/>
      <c r="AA1009" s="85"/>
      <c r="AB1009" s="85"/>
      <c r="AC1009" s="96"/>
      <c r="AD1009" s="97"/>
      <c r="AE1009" s="85"/>
      <c r="AF1009" s="85"/>
    </row>
    <row r="1010" spans="1:32" ht="12.75" customHeight="1" x14ac:dyDescent="0.25">
      <c r="A1010" s="15" t="s">
        <v>157</v>
      </c>
      <c r="H1010" s="110" t="str">
        <f ca="1">IF($Q1012&lt;&gt;"",IF(AND($B1013&lt;&gt;"Missing Player",$B1015&lt;&gt;"Missing Player"),IF(AND(AND($H1012&gt;-1,$H1014&gt;-1),OR($H1012&gt;10,$H1014&gt;10),ABS($H1012-$H1014)&gt;1,IF(OR($H1012&gt;11,$H1014&gt;11),ABS($H1012-$H1014)=2,TRUE),$H1012=INT($H1012),$H1014=INT($H1014)),"","Error"),""),"")</f>
        <v/>
      </c>
      <c r="I1010" s="110" t="str">
        <f ca="1">IF($Q1012&lt;&gt;"",IF(AND($B1013&lt;&gt;"Missing Player",$B1015&lt;&gt;"Missing Player"),IF(AND(AND($I1012&gt;-1,$I1014&gt;-1),OR($I1012&gt;10,$I1014&gt;10),ABS($I1012-$I1014)&gt;1,IF(OR($I1012&gt;11,$I1014&gt;11),ABS($I1012-$I1014)=2,TRUE),$I1012=INT($I1012),$I1014=INT($I1014)),"","Error"),""),"")</f>
        <v/>
      </c>
      <c r="J1010" s="110" t="str">
        <f ca="1">IF($Q1012&lt;&gt;"",IF(AND($B1013&lt;&gt;"Missing Player",$B1015&lt;&gt;"Missing Player"),IF(AND(AND($J1012&gt;-1,$J1014&gt;-1),OR($J1012&gt;10,$J1014&gt;10),ABS($J1012-$J1014)&gt;1,IF(OR($J1012&gt;11,$J1014&gt;11),ABS($J1012-$J1014)=2,TRUE),$J1012=INT($J1012),$J1014=INT($J1014)),"","Error"),""),"")</f>
        <v/>
      </c>
      <c r="K1010" s="110" t="str">
        <f ca="1">IF($Q1012&lt;&gt;"",IF(AND($K1012&lt;&gt;"",$K1014&lt;&gt;""), IF(AND(AND($K1012&gt;-1,$K1014&gt;-1),OR($K1012&gt;10,$K1014&gt;10),ABS($K1012-$K1014)&gt;1,IF(OR($K1012&gt;11,$K1014&gt;11),ABS($K1012-$K1014)=2,TRUE),$K1012=INT($K1012),$K1014=INT($K1014)),"","Error"),""),"")</f>
        <v/>
      </c>
      <c r="L1010" s="110" t="str">
        <f ca="1">IF($Q1012&lt;&gt;"",IF(AND($L1012&lt;&gt;"",$L1014&lt;&gt;""), IF(AND(AND($L1012&gt;-1,$L1014&gt;-1),OR($L1012&gt;10,$L1014&gt;10),ABS($L1012-$L1014)&gt;1,IF(OR($L1012&gt;11,$L1014&gt;11),ABS($L1012-$L1014)=2,TRUE),$L1012=INT($L1012),$L1014=INT($L1014)),"","Error"),""),"")</f>
        <v/>
      </c>
      <c r="Q1010" s="6"/>
      <c r="R1010" s="85"/>
      <c r="S1010" s="95"/>
      <c r="T1010" s="95"/>
      <c r="U1010" s="95"/>
      <c r="V1010" s="95"/>
      <c r="W1010" s="95"/>
      <c r="X1010" s="95"/>
      <c r="Y1010" s="85"/>
      <c r="Z1010" s="85"/>
      <c r="AA1010" s="85"/>
      <c r="AB1010" s="85"/>
      <c r="AC1010" s="85"/>
      <c r="AD1010" s="85"/>
      <c r="AE1010" s="85"/>
      <c r="AF1010" s="85"/>
    </row>
    <row r="1011" spans="1:32" ht="12.75" customHeight="1" x14ac:dyDescent="0.25">
      <c r="A1011" s="5" t="s">
        <v>160</v>
      </c>
      <c r="B1011" s="256" t="s">
        <v>58</v>
      </c>
      <c r="C1011" s="257"/>
      <c r="D1011" s="257"/>
      <c r="E1011" s="257"/>
      <c r="F1011" s="257"/>
      <c r="G1011" s="258"/>
      <c r="H1011" s="5">
        <v>1</v>
      </c>
      <c r="I1011" s="5">
        <v>2</v>
      </c>
      <c r="J1011" s="5">
        <v>3</v>
      </c>
      <c r="K1011" s="5">
        <v>4</v>
      </c>
      <c r="L1011" s="5">
        <v>5</v>
      </c>
      <c r="M1011" s="270"/>
      <c r="N1011" s="271"/>
      <c r="O1011" s="271"/>
      <c r="P1011" s="272"/>
      <c r="Q1011" s="6"/>
      <c r="T1011" s="7"/>
    </row>
    <row r="1012" spans="1:32" ht="12.75" customHeight="1" x14ac:dyDescent="0.25">
      <c r="A1012" s="259" t="str">
        <f>B978</f>
        <v>H</v>
      </c>
      <c r="B1012" s="230" t="str">
        <f ca="1">IF($B984&lt;&gt;"",$B984,"")</f>
        <v/>
      </c>
      <c r="C1012" s="231"/>
      <c r="D1012" s="231"/>
      <c r="E1012" s="231"/>
      <c r="F1012" s="231"/>
      <c r="G1012" s="232"/>
      <c r="H1012" s="233"/>
      <c r="I1012" s="233"/>
      <c r="J1012" s="233"/>
      <c r="K1012" s="233"/>
      <c r="L1012" s="233" t="str">
        <f ca="1">IF($B1005&lt;&gt;"",IF(AND($B1005="Missing Player",$G1016=2,$J1016=2),0,IF(AND($B1007="Missing Player",$G1016=2,$J1016=2),11,"")),"")</f>
        <v/>
      </c>
      <c r="M1012" s="245" t="str">
        <f ca="1">IF(OR(AND($B1012&lt;&gt;"",$B1013&lt;&gt;"",$B1012=$B1013),AND($B1014&lt;&gt;"",$B1015&lt;&gt;"",$B1014=$B1015)),"Invalid Partner","")</f>
        <v/>
      </c>
      <c r="N1012" s="246"/>
      <c r="O1012" s="246"/>
      <c r="P1012" s="247"/>
      <c r="Q1012" s="37" t="str">
        <f ca="1">IF(L1012=L1014,IF(K1012=K1014,IF(J1012&lt;&gt;"",IF(J1012&gt;J1014,"W","L"),""),IF(K1012&gt;K1014,"W","L")),IF(L1012&gt;L1014,"W","L"))</f>
        <v/>
      </c>
      <c r="T1012" s="7"/>
    </row>
    <row r="1013" spans="1:32" ht="12.75" customHeight="1" x14ac:dyDescent="0.25">
      <c r="A1013" s="260"/>
      <c r="B1013" s="266" t="str">
        <f ca="1">IF($B1005="Missing Player",$B1005,"")</f>
        <v/>
      </c>
      <c r="C1013" s="267"/>
      <c r="D1013" s="267"/>
      <c r="E1013" s="267"/>
      <c r="F1013" s="267"/>
      <c r="G1013" s="268"/>
      <c r="H1013" s="234"/>
      <c r="I1013" s="234"/>
      <c r="J1013" s="234"/>
      <c r="K1013" s="234"/>
      <c r="L1013" s="234"/>
      <c r="M1013" s="245"/>
      <c r="N1013" s="246"/>
      <c r="O1013" s="246"/>
      <c r="P1013" s="247"/>
      <c r="Q1013" s="110" t="str">
        <f ca="1">IF($Q1012&lt;&gt;"",IF($B1015&lt;&gt;"Missing Player",IF($Q1012="W",IF(SUM(IF($H1012&gt;$H1014,1,0),IF($I1012&gt;$I1014,1,0),IF($J1012&gt;$J1014,1,0),IF($K1012&gt;$K1014,1,0),IF($L1012&gt;$L1014,1,0))&lt;&gt;3,"Error",""),""),""),"")</f>
        <v/>
      </c>
      <c r="R1013" s="295" t="str">
        <f>$A979</f>
        <v/>
      </c>
      <c r="S1013" s="295"/>
      <c r="T1013" s="295"/>
      <c r="U1013" s="295"/>
      <c r="V1013" s="295"/>
      <c r="W1013" s="295"/>
      <c r="X1013" s="219" t="str">
        <f>CONCATENATE("(",$B978," vs ",$K978,")")</f>
        <v>(H vs J)</v>
      </c>
      <c r="Y1013" s="219"/>
      <c r="Z1013" s="295" t="str">
        <f>$J979</f>
        <v/>
      </c>
      <c r="AA1013" s="295"/>
      <c r="AB1013" s="295"/>
      <c r="AC1013" s="295"/>
      <c r="AD1013" s="295"/>
      <c r="AE1013" s="295"/>
      <c r="AF1013"/>
    </row>
    <row r="1014" spans="1:32" ht="12.75" customHeight="1" x14ac:dyDescent="0.25">
      <c r="A1014" s="265" t="str">
        <f>K978</f>
        <v>J</v>
      </c>
      <c r="B1014" s="230" t="str">
        <f ca="1">IF($B986&lt;&gt;"",$B986,"")</f>
        <v/>
      </c>
      <c r="C1014" s="231"/>
      <c r="D1014" s="231"/>
      <c r="E1014" s="231"/>
      <c r="F1014" s="231"/>
      <c r="G1014" s="232"/>
      <c r="H1014" s="233"/>
      <c r="I1014" s="233"/>
      <c r="J1014" s="233"/>
      <c r="K1014" s="233"/>
      <c r="L1014" s="233" t="str">
        <f ca="1">IF($B1007&lt;&gt;"",IF(AND($B1007="Missing Player",$G1016=2,$J1016=2),0,IF(AND($B1005="Missing Player",$G1016=2,$J1016=2),11,"")),"")</f>
        <v/>
      </c>
      <c r="M1014" s="250" t="s">
        <v>169</v>
      </c>
      <c r="N1014" s="251"/>
      <c r="O1014" s="251"/>
      <c r="P1014" s="252"/>
      <c r="Q1014" s="37" t="str">
        <f ca="1">IF(Q1012&lt;&gt;"",IF(Q1012="W","L","W"),"")</f>
        <v/>
      </c>
      <c r="R1014"/>
      <c r="S1014"/>
      <c r="T1014"/>
      <c r="U1014"/>
      <c r="V1014"/>
      <c r="W1014"/>
      <c r="X1014"/>
      <c r="Y1014"/>
      <c r="Z1014"/>
      <c r="AA1014"/>
      <c r="AB1014"/>
      <c r="AC1014"/>
      <c r="AD1014"/>
      <c r="AE1014"/>
      <c r="AF1014"/>
    </row>
    <row r="1015" spans="1:32" ht="12.75" customHeight="1" x14ac:dyDescent="0.25">
      <c r="A1015" s="260"/>
      <c r="B1015" s="266" t="str">
        <f ca="1">IF($B1007="Missing Player",$B1007,"")</f>
        <v/>
      </c>
      <c r="C1015" s="267"/>
      <c r="D1015" s="267"/>
      <c r="E1015" s="267"/>
      <c r="F1015" s="267"/>
      <c r="G1015" s="268"/>
      <c r="H1015" s="234"/>
      <c r="I1015" s="234"/>
      <c r="J1015" s="235"/>
      <c r="K1015" s="235"/>
      <c r="L1015" s="235"/>
      <c r="M1015" s="250"/>
      <c r="N1015" s="251"/>
      <c r="O1015" s="251"/>
      <c r="P1015" s="252"/>
      <c r="Q1015" s="110" t="str">
        <f ca="1">IF($Q1014&lt;&gt;"",IF($B1013&lt;&gt;"Missing Player",IF($Q1014="W",IF(SUM(IF($H1014&gt;$H1012,1,0),IF($I1014&gt;$I1012,1,0),IF($J1014&gt;$J1012,1,0),IF($K1014&gt;$K1012,1,0),IF($L1014&gt;$L1012,1,0))&lt;&gt;3,"Error",""),""),""),"")</f>
        <v/>
      </c>
      <c r="R1015" t="str">
        <f>A1003</f>
        <v>4th Singles</v>
      </c>
      <c r="S1015"/>
      <c r="T1015"/>
      <c r="U1015"/>
      <c r="V1015"/>
      <c r="W1015"/>
      <c r="X1015"/>
      <c r="Y1015"/>
      <c r="Z1015"/>
      <c r="AA1015"/>
      <c r="AB1015"/>
      <c r="AC1015"/>
      <c r="AD1015"/>
      <c r="AE1015"/>
      <c r="AF1015"/>
    </row>
    <row r="1016" spans="1:32" ht="12.75" customHeight="1" x14ac:dyDescent="0.25">
      <c r="G1016" s="53">
        <f ca="1">COUNTIF($Q984:$Q984,"W")+COUNTIF($Q991:$Q991,"W")+COUNTIF($Q998:$Q998,"W")+COUNTIF($Q1005:$Q1005,"W")</f>
        <v>0</v>
      </c>
      <c r="J1016" s="53">
        <f ca="1">COUNTIF($Q986:$Q986,"W")+COUNTIF($Q993:$Q993,"W")+COUNTIF($Q1000:$Q1000,"W")+COUNTIF($Q1007:$Q1007,"W")</f>
        <v>0</v>
      </c>
      <c r="R1016" s="47" t="s">
        <v>160</v>
      </c>
      <c r="S1016" s="304" t="s">
        <v>58</v>
      </c>
      <c r="T1016" s="305"/>
      <c r="U1016" s="305"/>
      <c r="V1016" s="305"/>
      <c r="W1016" s="305"/>
      <c r="X1016" s="306"/>
      <c r="Y1016" s="47">
        <v>1</v>
      </c>
      <c r="Z1016" s="47">
        <v>2</v>
      </c>
      <c r="AA1016" s="47">
        <v>3</v>
      </c>
      <c r="AB1016" s="47">
        <v>4</v>
      </c>
      <c r="AC1016" s="47">
        <v>5</v>
      </c>
      <c r="AD1016" s="286"/>
      <c r="AE1016" s="287"/>
      <c r="AF1016" s="288"/>
    </row>
    <row r="1017" spans="1:32" ht="12.75" customHeight="1" thickBot="1" x14ac:dyDescent="0.3">
      <c r="F1017" s="212" t="s">
        <v>170</v>
      </c>
      <c r="G1017" s="212"/>
      <c r="H1017" s="212"/>
      <c r="I1017" s="212"/>
      <c r="J1017" s="212"/>
      <c r="K1017" s="212"/>
      <c r="R1017" s="259" t="str">
        <f>B978</f>
        <v>H</v>
      </c>
      <c r="S1017" s="307" t="str">
        <f ca="1">IF($B1005&lt;&gt;"",$B1005,"")</f>
        <v/>
      </c>
      <c r="T1017" s="308"/>
      <c r="U1017" s="308"/>
      <c r="V1017" s="308"/>
      <c r="W1017" s="308"/>
      <c r="X1017" s="309"/>
      <c r="Y1017" s="284"/>
      <c r="Z1017" s="284"/>
      <c r="AA1017" s="297"/>
      <c r="AB1017" s="297"/>
      <c r="AC1017" s="297"/>
      <c r="AD1017" s="296"/>
      <c r="AE1017" s="298"/>
      <c r="AF1017" s="299"/>
    </row>
    <row r="1018" spans="1:32" ht="12.75" customHeight="1" x14ac:dyDescent="0.25">
      <c r="A1018" s="16"/>
      <c r="B1018" s="16"/>
      <c r="C1018" s="16"/>
      <c r="D1018" s="16"/>
      <c r="E1018" s="16"/>
      <c r="G1018" s="261" t="str">
        <f>B978</f>
        <v>H</v>
      </c>
      <c r="H1018" s="262"/>
      <c r="I1018" s="263" t="str">
        <f>K978</f>
        <v>J</v>
      </c>
      <c r="J1018" s="264"/>
      <c r="L1018" s="16"/>
      <c r="M1018" s="16"/>
      <c r="N1018" s="16"/>
      <c r="O1018" s="16"/>
      <c r="P1018" s="16"/>
      <c r="R1018" s="260"/>
      <c r="S1018" s="310"/>
      <c r="T1018" s="311"/>
      <c r="U1018" s="311"/>
      <c r="V1018" s="311"/>
      <c r="W1018" s="311"/>
      <c r="X1018" s="312"/>
      <c r="Y1018" s="285"/>
      <c r="Z1018" s="285"/>
      <c r="AA1018" s="303"/>
      <c r="AB1018" s="303"/>
      <c r="AC1018" s="303"/>
      <c r="AD1018" s="300"/>
      <c r="AE1018" s="301"/>
      <c r="AF1018" s="302"/>
    </row>
    <row r="1019" spans="1:32" ht="12.75" customHeight="1" thickBot="1" x14ac:dyDescent="0.3">
      <c r="A1019" s="2" t="s">
        <v>160</v>
      </c>
      <c r="B1019" s="40" t="str">
        <f>B978</f>
        <v>H</v>
      </c>
      <c r="C1019" s="3" t="s">
        <v>158</v>
      </c>
      <c r="F1019" s="53" t="str">
        <f>CONCATENATE($B978,"-",$K978)</f>
        <v>H-J</v>
      </c>
      <c r="G1019" s="240" t="str">
        <f ca="1">IF(OR(Q984&lt;&gt;"",Q991&lt;&gt;"",Q998&lt;&gt;"",Q1005&lt;&gt;"",Q1012&lt;&gt;""),COUNTIF(Q984:Q984,"W")+COUNTIF(Q991:Q991,"W")+COUNTIF(Q998:Q998,"W")+COUNTIF(Q1005:Q1005,"W")+COUNTIF(Q1012:Q1012,"W"),"")</f>
        <v/>
      </c>
      <c r="H1019" s="241"/>
      <c r="I1019" s="242" t="str">
        <f ca="1">IF(OR(Q986&lt;&gt;"",Q993&lt;&gt;"",Q1000&lt;&gt;"",Q1007&lt;&gt;"",Q1014&lt;&gt;""),COUNTIF(Q986:Q986,"W")+COUNTIF(Q993:Q993,"W")+COUNTIF(Q1000:Q1000,"W")+COUNTIF(Q1007:Q1007,"W")+COUNTIF(Q1014:Q1014,"W"),"")</f>
        <v/>
      </c>
      <c r="J1019" s="243"/>
      <c r="L1019" s="2" t="s">
        <v>160</v>
      </c>
      <c r="M1019" s="40" t="str">
        <f>K978</f>
        <v>J</v>
      </c>
      <c r="N1019" s="3" t="s">
        <v>158</v>
      </c>
      <c r="R1019" s="259" t="str">
        <f>K978</f>
        <v>J</v>
      </c>
      <c r="S1019" s="307" t="str">
        <f ca="1">IF($B1007&lt;&gt;"",$B1007,"")</f>
        <v/>
      </c>
      <c r="T1019" s="308"/>
      <c r="U1019" s="308"/>
      <c r="V1019" s="308"/>
      <c r="W1019" s="308"/>
      <c r="X1019" s="309"/>
      <c r="Y1019" s="284"/>
      <c r="Z1019" s="284"/>
      <c r="AA1019" s="297"/>
      <c r="AB1019" s="297"/>
      <c r="AC1019" s="297"/>
      <c r="AD1019" s="289" t="s">
        <v>169</v>
      </c>
      <c r="AE1019" s="290"/>
      <c r="AF1019" s="291"/>
    </row>
    <row r="1020" spans="1:32" ht="12.75" customHeight="1" x14ac:dyDescent="0.35">
      <c r="F1020" s="18" t="s">
        <v>403</v>
      </c>
      <c r="G1020" s="17"/>
      <c r="H1020" s="17"/>
      <c r="I1020" s="17"/>
      <c r="J1020" s="17"/>
      <c r="R1020" s="285"/>
      <c r="S1020" s="310"/>
      <c r="T1020" s="311"/>
      <c r="U1020" s="311"/>
      <c r="V1020" s="311"/>
      <c r="W1020" s="311"/>
      <c r="X1020" s="312"/>
      <c r="Y1020" s="285"/>
      <c r="Z1020" s="285"/>
      <c r="AA1020" s="285"/>
      <c r="AB1020" s="285"/>
      <c r="AC1020" s="285"/>
      <c r="AD1020" s="292"/>
      <c r="AE1020" s="293"/>
      <c r="AF1020" s="294"/>
    </row>
    <row r="1021" spans="1:32" ht="12.75" customHeight="1" x14ac:dyDescent="0.25">
      <c r="R1021" s="1"/>
      <c r="S1021" s="11"/>
      <c r="T1021" s="11"/>
      <c r="U1021" s="11"/>
      <c r="V1021" s="11"/>
      <c r="W1021" s="11"/>
    </row>
    <row r="1022" spans="1:32" ht="12.75" customHeight="1" x14ac:dyDescent="0.25">
      <c r="F1022" s="212"/>
      <c r="G1022" s="212"/>
      <c r="H1022" s="212"/>
      <c r="I1022" s="212"/>
      <c r="R1022" s="1"/>
      <c r="S1022" s="11"/>
      <c r="T1022" s="11"/>
      <c r="U1022" s="11"/>
      <c r="V1022" s="11"/>
      <c r="W1022" s="11"/>
    </row>
    <row r="1023" spans="1:32" ht="12.75" customHeight="1" x14ac:dyDescent="0.25">
      <c r="F1023" s="212"/>
      <c r="G1023" s="212"/>
      <c r="H1023" s="212"/>
      <c r="I1023" s="212"/>
      <c r="R1023" s="1"/>
      <c r="S1023" s="11"/>
      <c r="T1023" s="11"/>
      <c r="U1023" s="11"/>
      <c r="V1023" s="11"/>
      <c r="W1023" s="11"/>
    </row>
    <row r="1024" spans="1:32" ht="12.75" customHeight="1" x14ac:dyDescent="0.25">
      <c r="K1024" s="219" t="s">
        <v>176</v>
      </c>
      <c r="L1024" s="219"/>
      <c r="M1024" s="219"/>
      <c r="N1024" s="219"/>
      <c r="O1024" s="219"/>
      <c r="P1024" s="219"/>
      <c r="R1024" s="1"/>
      <c r="S1024" s="11"/>
      <c r="T1024" s="11"/>
      <c r="U1024" s="11"/>
      <c r="V1024" s="11"/>
      <c r="W1024" s="11"/>
    </row>
    <row r="1025" spans="1:32" ht="12.75" customHeight="1" x14ac:dyDescent="0.25">
      <c r="A1025" s="9" t="s">
        <v>161</v>
      </c>
      <c r="B1025"/>
      <c r="C1025"/>
      <c r="D1025" t="str">
        <f>Draw!$B$1</f>
        <v>Enter Division Name</v>
      </c>
      <c r="E1025"/>
      <c r="F1025" s="6"/>
      <c r="G1025" s="6"/>
      <c r="H1025" s="6"/>
      <c r="I1025"/>
      <c r="J1025"/>
      <c r="K1025"/>
      <c r="L1025"/>
      <c r="M1025" s="219"/>
      <c r="N1025" s="219"/>
      <c r="O1025" s="219"/>
      <c r="P1025" s="219"/>
      <c r="R1025" s="1"/>
      <c r="S1025" s="11"/>
      <c r="T1025" s="11"/>
      <c r="U1025" s="11"/>
      <c r="V1025" s="11"/>
      <c r="W1025" s="11"/>
    </row>
    <row r="1026" spans="1:32" ht="12.75" customHeight="1" x14ac:dyDescent="0.25">
      <c r="A1026" s="2" t="s">
        <v>162</v>
      </c>
      <c r="D1026" t="str">
        <f>Draw!$D$1</f>
        <v>Enter Hosting Location (City, ST)</v>
      </c>
      <c r="J1026" t="str">
        <f ca="1">$J$6</f>
        <v>[NCTTA Teams Template (v3.4).xlsx]</v>
      </c>
      <c r="R1026" s="1"/>
      <c r="S1026" s="11"/>
      <c r="T1026" s="11"/>
      <c r="U1026" s="11"/>
      <c r="V1026" s="11"/>
      <c r="W1026" s="11"/>
    </row>
    <row r="1027" spans="1:32" ht="12.75" customHeight="1" x14ac:dyDescent="0.25">
      <c r="A1027" s="2" t="s">
        <v>163</v>
      </c>
      <c r="D1027" s="275" t="str">
        <f>Draw!$P$1</f>
        <v>Enter Date</v>
      </c>
      <c r="E1027" s="275"/>
      <c r="F1027" s="275"/>
      <c r="G1027" s="275"/>
      <c r="J1027" s="244" t="str">
        <f>CHOOSE(Draw!$T$1,"Round 4, Match 3","Round 2, Match 6","","","","","Round 7, Match 3","Round 6, Match 1","Round 6, Match 1","Round 5, Match 1","Round 5, Match 1")</f>
        <v>Round 4, Match 3</v>
      </c>
      <c r="K1027" s="244"/>
      <c r="L1027" s="244"/>
      <c r="M1027" s="277" t="str">
        <f>IF(AND($J1027&lt;&gt;"",Draw!$AC$10&lt;&gt;"",Draw!$AC$13&lt;&gt;""),Draw!$AC$10+TIME(0,VALUE(MID($J1027,7,FIND(",",$J1027)-FIND(" ",$J1027)-1)-1)*Draw!$AC$13,0),"")</f>
        <v/>
      </c>
      <c r="N1027" s="277"/>
      <c r="O1027" s="125" t="str">
        <f>$F1070</f>
        <v>G-K</v>
      </c>
      <c r="R1027" s="1"/>
      <c r="S1027" s="11"/>
      <c r="T1027" s="11"/>
      <c r="U1027" s="11"/>
      <c r="V1027" s="11"/>
      <c r="W1027" s="11"/>
    </row>
    <row r="1028" spans="1:32" ht="12.75" customHeight="1" x14ac:dyDescent="0.25">
      <c r="A1028" s="6"/>
      <c r="B1028"/>
      <c r="C1028"/>
      <c r="D1028"/>
      <c r="E1028"/>
      <c r="F1028" s="6"/>
      <c r="G1028" s="6"/>
      <c r="H1028" s="11"/>
      <c r="I1028" s="6"/>
      <c r="J1028"/>
      <c r="K1028"/>
      <c r="L1028"/>
      <c r="M1028"/>
      <c r="N1028"/>
      <c r="O1028" s="269" t="str">
        <f>IF(OR(AND(VLOOKUP($B1029,$AM$1:$AX$12,12,FALSE)="C",VLOOKUP($K1029,$AM$1:$AX$12,12,FALSE)="C"),AND(VLOOKUP($B1029,$AM$1:$AX$12,12,FALSE)="W",VLOOKUP($K1029,$AM$1:$AX$12,12,FALSE)="W")),"Official",IF(AND($A1030="",$J1030=""),"","Scrimmage"))</f>
        <v/>
      </c>
      <c r="P1028" s="269"/>
      <c r="R1028" s="1"/>
      <c r="S1028" s="11"/>
      <c r="T1028" s="11"/>
      <c r="U1028" s="11"/>
      <c r="V1028" s="11"/>
      <c r="W1028" s="11"/>
    </row>
    <row r="1029" spans="1:32" ht="12.75" customHeight="1" x14ac:dyDescent="0.25">
      <c r="A1029" s="12" t="s">
        <v>160</v>
      </c>
      <c r="B1029" s="98" t="str">
        <f>CHOOSE(Draw!$T$1,"G","H","A","A","B","A","B","A","A","A","A")</f>
        <v>G</v>
      </c>
      <c r="C1029" s="109">
        <f>VLOOKUP($B1029,$AM$1:$AN$12,2)</f>
        <v>7</v>
      </c>
      <c r="D1029" s="10"/>
      <c r="E1029" s="10"/>
      <c r="F1029" s="8"/>
      <c r="H1029" s="1" t="s">
        <v>164</v>
      </c>
      <c r="J1029" s="12" t="s">
        <v>160</v>
      </c>
      <c r="K1029" s="98" t="str">
        <f>CHOOSE(Draw!$T$1,"K","L","G","L","I","L","C","B","D","E","B")</f>
        <v>K</v>
      </c>
      <c r="L1029" s="109">
        <f>VLOOKUP($K1029,$AM$1:$AN$12,2)</f>
        <v>11</v>
      </c>
      <c r="M1029" s="10"/>
      <c r="N1029" s="10"/>
      <c r="O1029" s="13"/>
      <c r="R1029" s="1"/>
      <c r="S1029" s="11"/>
      <c r="T1029" s="11"/>
      <c r="U1029" s="11"/>
      <c r="V1029" s="11"/>
      <c r="W1029" s="11"/>
    </row>
    <row r="1030" spans="1:32" ht="12.75" customHeight="1" x14ac:dyDescent="0.25">
      <c r="A1030" s="253" t="str">
        <f>IF(VLOOKUP($B1029,Draw!$A$4:$B$27,2)&lt;&gt;0,VLOOKUP($B1029,Draw!$A$4:$B$27,2),"")</f>
        <v/>
      </c>
      <c r="B1030" s="254"/>
      <c r="C1030" s="254"/>
      <c r="D1030" s="254"/>
      <c r="E1030" s="254"/>
      <c r="F1030" s="255"/>
      <c r="G1030" s="273" t="s">
        <v>424</v>
      </c>
      <c r="H1030" s="249"/>
      <c r="I1030" s="274"/>
      <c r="J1030" s="253" t="str">
        <f>IF(VLOOKUP($K1029,Draw!$A$4:$B$27,2)&lt;&gt;0,VLOOKUP($K1029,Draw!$A$4:$B$27,2),"")</f>
        <v/>
      </c>
      <c r="K1030" s="254"/>
      <c r="L1030" s="254"/>
      <c r="M1030" s="254"/>
      <c r="N1030" s="254"/>
      <c r="O1030" s="255"/>
      <c r="P1030"/>
      <c r="R1030" s="1"/>
      <c r="S1030" s="11"/>
      <c r="T1030" s="11"/>
      <c r="U1030" s="11"/>
      <c r="V1030" s="11"/>
      <c r="W1030" s="11"/>
    </row>
    <row r="1031" spans="1:32" ht="12.75" customHeight="1" x14ac:dyDescent="0.25">
      <c r="A1031" s="6"/>
      <c r="B1031"/>
      <c r="C1031"/>
      <c r="D1031"/>
      <c r="E1031"/>
      <c r="F1031" s="6"/>
      <c r="G1031" s="248" t="str">
        <f>"Page "&amp;VALUE(RIGHT($G1030,LEN($G1030)-SEARCH("-",$G1030)))/2</f>
        <v>Page 21</v>
      </c>
      <c r="H1031" s="249"/>
      <c r="I1031" s="249"/>
      <c r="J1031"/>
      <c r="K1031"/>
      <c r="L1031"/>
      <c r="M1031"/>
      <c r="N1031"/>
      <c r="O1031"/>
      <c r="P1031"/>
      <c r="R1031" s="1"/>
      <c r="S1031" s="11"/>
      <c r="T1031" s="11"/>
      <c r="U1031" s="11"/>
      <c r="V1031" s="11"/>
      <c r="W1031" s="11"/>
      <c r="AF1031"/>
    </row>
    <row r="1032" spans="1:32" ht="12.75" customHeight="1" x14ac:dyDescent="0.25">
      <c r="A1032" s="276" t="s">
        <v>177</v>
      </c>
      <c r="B1032" s="276"/>
      <c r="C1032" s="276"/>
      <c r="D1032" s="276"/>
      <c r="E1032" s="276"/>
      <c r="F1032" s="276"/>
      <c r="G1032" s="276"/>
      <c r="H1032" s="276"/>
      <c r="I1032" s="276"/>
      <c r="J1032" s="276"/>
      <c r="K1032" s="276"/>
      <c r="L1032" s="276"/>
      <c r="M1032" s="276"/>
      <c r="N1032" s="276"/>
      <c r="O1032" s="276"/>
      <c r="P1032" s="276"/>
      <c r="Q1032" s="6"/>
      <c r="R1032" s="1"/>
      <c r="S1032" s="11"/>
      <c r="T1032" s="11"/>
      <c r="U1032" s="11"/>
      <c r="V1032" s="11"/>
      <c r="W1032" s="11"/>
      <c r="AF1032" s="14"/>
    </row>
    <row r="1033" spans="1:32" ht="12.75" customHeight="1" x14ac:dyDescent="0.25">
      <c r="A1033" s="15" t="s">
        <v>165</v>
      </c>
      <c r="H1033" s="110" t="str">
        <f>IF($Q1035&lt;&gt;"",IF(AND(AND($H1035&gt;-1,$H1037&gt;-1),OR($H1035&gt;10,$H1037&gt;10),ABS($H1035-$H1037)&gt;1,IF(OR($H1035&gt;11,$H1037&gt;11),ABS($H1035-$H1037)=2,TRUE),$H1035=INT($H1035),$H1037=INT($H1037)),"","Error"),"")</f>
        <v/>
      </c>
      <c r="I1033" s="110" t="str">
        <f>IF($Q1035&lt;&gt;"",IF(AND(AND($I1035&gt;-1,$I1037&gt;-1),OR($I1035&gt;10,$I1037&gt;10),ABS($I1035-$I1037)&gt;1,IF(OR($I1035&gt;11,$I1037&gt;11),ABS($I1035-$I1037)=2,TRUE),$I1035=INT($I1035),$I1037=INT($I1037)),"","Error"),"")</f>
        <v/>
      </c>
      <c r="J1033" s="110" t="str">
        <f>IF($Q1035&lt;&gt;"",IF(AND(AND($J1035&gt;-1,$J1037&gt;-1),OR($J1035&gt;10,$J1037&gt;10),ABS($J1035-$J1037)&gt;1,IF(OR($J1035&gt;11,$J1037&gt;11),ABS($J1035-$J1037)=2,TRUE),$J1035=INT($J1035),$J1037=INT($J1037)),"","Error"),"")</f>
        <v/>
      </c>
      <c r="K1033" s="110" t="str">
        <f>IF($Q1035&lt;&gt;"",IF(AND($K1035&lt;&gt;"",$K1037&lt;&gt;""), IF(AND(AND($K1035&gt;-1,$K1037&gt;-1),OR($K1035&gt;10,$K1037&gt;10),ABS($K1035-$K1037)&gt;1,IF(OR($K1035&gt;11,$K1037&gt;11),ABS($K1035-$K1037)=2,TRUE),$K1035=INT($K1035),$K1037=INT($K1037)),"","Error"),""),"")</f>
        <v/>
      </c>
      <c r="L1033" s="110" t="str">
        <f>IF($Q1035&lt;&gt;"",IF(AND($L1035&lt;&gt;"",$L1037&lt;&gt;""), IF(AND(AND($L1035&gt;-1,$L1037&gt;-1),OR($L1035&gt;10,$L1037&gt;10),ABS($L1035-$L1037)&gt;1,IF(OR($L1035&gt;11,$L1037&gt;11),ABS($L1035-$L1037)=2,TRUE),$L1035=INT($L1035),$L1037=INT($L1037)),"","Error"),""),"")</f>
        <v/>
      </c>
      <c r="R1033" s="1"/>
      <c r="S1033" s="11"/>
      <c r="T1033" s="11"/>
      <c r="U1033" s="11"/>
      <c r="V1033" s="11"/>
      <c r="W1033" s="11"/>
    </row>
    <row r="1034" spans="1:32" ht="12.75" customHeight="1" x14ac:dyDescent="0.25">
      <c r="A1034" s="5" t="s">
        <v>160</v>
      </c>
      <c r="B1034" s="256" t="s">
        <v>58</v>
      </c>
      <c r="C1034" s="257"/>
      <c r="D1034" s="257"/>
      <c r="E1034" s="257"/>
      <c r="F1034" s="257"/>
      <c r="G1034" s="258"/>
      <c r="H1034" s="5">
        <v>1</v>
      </c>
      <c r="I1034" s="5">
        <v>2</v>
      </c>
      <c r="J1034" s="5">
        <v>3</v>
      </c>
      <c r="K1034" s="5">
        <v>4</v>
      </c>
      <c r="L1034" s="5">
        <v>5</v>
      </c>
      <c r="M1034" s="270"/>
      <c r="N1034" s="271"/>
      <c r="O1034" s="271"/>
      <c r="P1034" s="272"/>
      <c r="R1034" s="1"/>
      <c r="S1034" s="11"/>
      <c r="T1034" s="11"/>
      <c r="U1034" s="11"/>
      <c r="V1034" s="11"/>
      <c r="W1034" s="11"/>
    </row>
    <row r="1035" spans="1:32" ht="12.75" customHeight="1" x14ac:dyDescent="0.25">
      <c r="A1035" s="259" t="str">
        <f>B1029</f>
        <v>G</v>
      </c>
      <c r="B1035" s="236" t="str">
        <f ca="1">IF(AND(OFFSET($AO$1,$C1029-1,8,1,1),$A1030&lt;&gt;"",$J1030&lt;&gt;""),CHOOSE($C1029,$AO$1,$AO$2,$AO$3,$AO$4,$AO$5,$AO$6,$AO$7,$AO$8,$AO$9,$AO$10,$AO$11,$AO$12),"")</f>
        <v/>
      </c>
      <c r="C1035" s="237"/>
      <c r="D1035" s="237"/>
      <c r="E1035" s="237"/>
      <c r="F1035" s="237"/>
      <c r="G1035" s="237"/>
      <c r="H1035" s="233"/>
      <c r="I1035" s="233"/>
      <c r="J1035" s="233"/>
      <c r="K1035" s="233"/>
      <c r="L1035" s="233"/>
      <c r="M1035" s="281"/>
      <c r="N1035" s="282"/>
      <c r="O1035" s="282"/>
      <c r="P1035" s="283"/>
      <c r="Q1035" s="40" t="str">
        <f>IF($L1035=$L1037,IF($K1035=$K1037,IF($J1035&lt;&gt;"",IF($J1035&gt;$J1037,"W","L"),""),IF($K1035&gt;$K1037,"W","L")),IF($L1035&gt;$L1037,"W","L"))</f>
        <v/>
      </c>
      <c r="R1035" s="1"/>
      <c r="S1035" s="11"/>
      <c r="T1035" s="11"/>
      <c r="U1035" s="11"/>
      <c r="V1035" s="11"/>
      <c r="W1035" s="11"/>
    </row>
    <row r="1036" spans="1:32" ht="12.75" customHeight="1" x14ac:dyDescent="0.25">
      <c r="A1036" s="260"/>
      <c r="B1036" s="238"/>
      <c r="C1036" s="239"/>
      <c r="D1036" s="239"/>
      <c r="E1036" s="239"/>
      <c r="F1036" s="239"/>
      <c r="G1036" s="239"/>
      <c r="H1036" s="234"/>
      <c r="I1036" s="234"/>
      <c r="J1036" s="234"/>
      <c r="K1036" s="234"/>
      <c r="L1036" s="234"/>
      <c r="M1036" s="281"/>
      <c r="N1036" s="282"/>
      <c r="O1036" s="282"/>
      <c r="P1036" s="283"/>
      <c r="Q1036" s="110" t="str">
        <f>IF($Q1035&lt;&gt;"",IF($Q1035="W",IF(SUM(IF($H1035&gt;$H1037,1,0),IF($I1035&gt;$I1037,1,0),IF($J1035&gt;$J1037,1,0),IF($K1035&gt;$K1037,1,0),IF($L1035&gt;$L1037,1,0))&lt;&gt;3,"Error",""),""),"")</f>
        <v/>
      </c>
      <c r="R1036" s="295" t="str">
        <f>$A1030</f>
        <v/>
      </c>
      <c r="S1036" s="295"/>
      <c r="T1036" s="295"/>
      <c r="U1036" s="295"/>
      <c r="V1036" s="295"/>
      <c r="W1036" s="295"/>
      <c r="X1036" s="219" t="str">
        <f>CONCATENATE("(",$B1029," vs ",$K1029,")")</f>
        <v>(G vs K)</v>
      </c>
      <c r="Y1036" s="219"/>
      <c r="Z1036" s="295" t="str">
        <f>$J1030</f>
        <v/>
      </c>
      <c r="AA1036" s="295"/>
      <c r="AB1036" s="295"/>
      <c r="AC1036" s="295"/>
      <c r="AD1036" s="295"/>
      <c r="AE1036" s="295"/>
      <c r="AF1036"/>
    </row>
    <row r="1037" spans="1:32" ht="12.75" customHeight="1" x14ac:dyDescent="0.25">
      <c r="A1037" s="259" t="str">
        <f>K1029</f>
        <v>K</v>
      </c>
      <c r="B1037" s="236" t="str">
        <f ca="1">IF(AND(OFFSET($AO$1,$L1029-1,8,1,1),$A1030&lt;&gt;"",$J1030&lt;&gt;""),CHOOSE($L1029,$AO$1,$AO$2,$AO$3,$AO$4,$AO$5,$AO$6,$AO$7,$AO$8,$AO$9,$AO$10,$AO$11,$AO$12),"")</f>
        <v/>
      </c>
      <c r="C1037" s="237"/>
      <c r="D1037" s="237"/>
      <c r="E1037" s="237"/>
      <c r="F1037" s="237"/>
      <c r="G1037" s="237"/>
      <c r="H1037" s="233"/>
      <c r="I1037" s="233"/>
      <c r="J1037" s="233"/>
      <c r="K1037" s="233"/>
      <c r="L1037" s="233"/>
      <c r="M1037" s="250" t="s">
        <v>169</v>
      </c>
      <c r="N1037" s="251"/>
      <c r="O1037" s="251"/>
      <c r="P1037" s="252"/>
      <c r="Q1037" s="40" t="str">
        <f>IF($Q1035&lt;&gt;"",IF($Q1035="W","L","W"),"")</f>
        <v/>
      </c>
      <c r="R1037"/>
      <c r="S1037"/>
      <c r="T1037"/>
      <c r="U1037"/>
      <c r="V1037"/>
      <c r="W1037"/>
      <c r="X1037"/>
      <c r="Y1037"/>
      <c r="Z1037"/>
      <c r="AA1037"/>
      <c r="AB1037"/>
      <c r="AC1037"/>
      <c r="AD1037"/>
      <c r="AE1037"/>
      <c r="AF1037"/>
    </row>
    <row r="1038" spans="1:32" ht="12.75" customHeight="1" x14ac:dyDescent="0.25">
      <c r="A1038" s="260"/>
      <c r="B1038" s="238"/>
      <c r="C1038" s="239"/>
      <c r="D1038" s="239"/>
      <c r="E1038" s="239"/>
      <c r="F1038" s="239"/>
      <c r="G1038" s="239"/>
      <c r="H1038" s="234"/>
      <c r="I1038" s="234"/>
      <c r="J1038" s="235"/>
      <c r="K1038" s="235"/>
      <c r="L1038" s="235"/>
      <c r="M1038" s="250"/>
      <c r="N1038" s="251"/>
      <c r="O1038" s="251"/>
      <c r="P1038" s="252"/>
      <c r="Q1038" s="110" t="str">
        <f>IF($Q1037&lt;&gt;"",IF($Q1037="W",IF(SUM(IF($H1037&gt;$H1035,1,0),IF($I1037&gt;$I1035,1,0),IF($J1037&gt;$J1035,1,0),IF($K1037&gt;$K1035,1,0),IF($L1037&gt;$L1035,1,0))&lt;&gt;3,"Error",""),""),"")</f>
        <v/>
      </c>
      <c r="R1038" t="str">
        <f>$A1040</f>
        <v>2nd Singles</v>
      </c>
      <c r="S1038"/>
      <c r="T1038"/>
      <c r="U1038"/>
      <c r="V1038"/>
      <c r="W1038"/>
      <c r="X1038"/>
      <c r="Y1038"/>
      <c r="Z1038"/>
      <c r="AA1038"/>
      <c r="AB1038"/>
      <c r="AC1038"/>
      <c r="AD1038"/>
      <c r="AE1038"/>
      <c r="AF1038"/>
    </row>
    <row r="1039" spans="1:32" ht="12.75" customHeight="1" x14ac:dyDescent="0.25">
      <c r="Q1039" s="6"/>
      <c r="R1039" s="47" t="s">
        <v>160</v>
      </c>
      <c r="S1039" s="304" t="s">
        <v>58</v>
      </c>
      <c r="T1039" s="305"/>
      <c r="U1039" s="305"/>
      <c r="V1039" s="305"/>
      <c r="W1039" s="305"/>
      <c r="X1039" s="306"/>
      <c r="Y1039" s="47">
        <v>1</v>
      </c>
      <c r="Z1039" s="47">
        <v>2</v>
      </c>
      <c r="AA1039" s="47">
        <v>3</v>
      </c>
      <c r="AB1039" s="47">
        <v>4</v>
      </c>
      <c r="AC1039" s="47">
        <v>5</v>
      </c>
      <c r="AD1039" s="286"/>
      <c r="AE1039" s="287"/>
      <c r="AF1039" s="288"/>
    </row>
    <row r="1040" spans="1:32" ht="12.75" customHeight="1" x14ac:dyDescent="0.25">
      <c r="A1040" s="15" t="s">
        <v>166</v>
      </c>
      <c r="H1040" s="110" t="str">
        <f>IF($Q1042&lt;&gt;"",IF(AND(AND($H1042&gt;-1,$H1044&gt;-1),OR($H1042&gt;10,$H1044&gt;10),ABS($H1042-$H1044)&gt;1,IF(OR($H1042&gt;11,$H1044&gt;11),ABS($H1042-$H1044)=2,TRUE),$H1042=INT($H1042),$H1044=INT($H1044)),"","Error"),"")</f>
        <v/>
      </c>
      <c r="I1040" s="110" t="str">
        <f>IF($Q1042&lt;&gt;"",IF(AND(AND($I1042&gt;-1,$I1044&gt;-1),OR($I1042&gt;10,$I1044&gt;10),ABS($I1042-$I1044)&gt;1,IF(OR($I1042&gt;11,$I1044&gt;11),ABS($I1042-$I1044)=2,TRUE),$I1042=INT($I1042),$I1044=INT($I1044)),"","Error"),"")</f>
        <v/>
      </c>
      <c r="J1040" s="110" t="str">
        <f>IF($Q1042&lt;&gt;"",IF(AND(AND($J1042&gt;-1,$J1044&gt;-1),OR($J1042&gt;10,$J1044&gt;10),ABS($J1042-$J1044)&gt;1,IF(OR($J1042&gt;11,$J1044&gt;11),ABS($J1042-$J1044)=2,TRUE),$J1042=INT($J1042),$J1044=INT($J1044)),"","Error"),"")</f>
        <v/>
      </c>
      <c r="K1040" s="110" t="str">
        <f>IF($Q1042&lt;&gt;"",IF(AND($K1042&lt;&gt;"",$K1044&lt;&gt;""), IF(AND(AND($K1042&gt;-1,$K1044&gt;-1),OR($K1042&gt;10,$K1044&gt;10),ABS($K1042-$K1044)&gt;1,IF(OR($K1042&gt;11,$K1044&gt;11),ABS($K1042-$K1044)=2,TRUE),$K1042=INT($K1042),$K1044=INT($K1044)),"","Error"),""),"")</f>
        <v/>
      </c>
      <c r="L1040" s="110" t="str">
        <f>IF($Q1042&lt;&gt;"",IF(AND($L1042&lt;&gt;"",$L1044&lt;&gt;""), IF(AND(AND($L1042&gt;-1,$L1044&gt;-1),OR($L1042&gt;10,$L1044&gt;10),ABS($L1042-$L1044)&gt;1,IF(OR($L1042&gt;11,$L1044&gt;11),ABS($L1042-$L1044)=2,TRUE),$L1042=INT($L1042),$L1044=INT($L1044)),"","Error"),""),"")</f>
        <v/>
      </c>
      <c r="Q1040" s="6"/>
      <c r="R1040" s="259" t="str">
        <f>$B1029</f>
        <v>G</v>
      </c>
      <c r="S1040" s="307" t="str">
        <f ca="1">IF($B1042&lt;&gt;"",$B1042,"")</f>
        <v/>
      </c>
      <c r="T1040" s="308"/>
      <c r="U1040" s="308"/>
      <c r="V1040" s="308"/>
      <c r="W1040" s="308"/>
      <c r="X1040" s="309"/>
      <c r="Y1040" s="284"/>
      <c r="Z1040" s="284"/>
      <c r="AA1040" s="284"/>
      <c r="AB1040" s="284"/>
      <c r="AC1040" s="284"/>
      <c r="AD1040" s="296"/>
      <c r="AE1040" s="290"/>
      <c r="AF1040" s="291"/>
    </row>
    <row r="1041" spans="1:32" ht="12.75" customHeight="1" x14ac:dyDescent="0.25">
      <c r="A1041" s="5" t="s">
        <v>160</v>
      </c>
      <c r="B1041" s="256" t="s">
        <v>58</v>
      </c>
      <c r="C1041" s="257"/>
      <c r="D1041" s="257"/>
      <c r="E1041" s="257"/>
      <c r="F1041" s="257"/>
      <c r="G1041" s="258"/>
      <c r="H1041" s="5">
        <v>1</v>
      </c>
      <c r="I1041" s="5">
        <v>2</v>
      </c>
      <c r="J1041" s="5">
        <v>3</v>
      </c>
      <c r="K1041" s="5">
        <v>4</v>
      </c>
      <c r="L1041" s="5">
        <v>5</v>
      </c>
      <c r="M1041" s="270"/>
      <c r="N1041" s="271"/>
      <c r="O1041" s="271"/>
      <c r="P1041" s="272"/>
      <c r="Q1041" s="6"/>
      <c r="R1041" s="285"/>
      <c r="S1041" s="310"/>
      <c r="T1041" s="311"/>
      <c r="U1041" s="311"/>
      <c r="V1041" s="311"/>
      <c r="W1041" s="311"/>
      <c r="X1041" s="312"/>
      <c r="Y1041" s="285"/>
      <c r="Z1041" s="285"/>
      <c r="AA1041" s="285"/>
      <c r="AB1041" s="285"/>
      <c r="AC1041" s="285"/>
      <c r="AD1041" s="292"/>
      <c r="AE1041" s="293"/>
      <c r="AF1041" s="294"/>
    </row>
    <row r="1042" spans="1:32" ht="12.75" customHeight="1" x14ac:dyDescent="0.25">
      <c r="A1042" s="259" t="str">
        <f>B1029</f>
        <v>G</v>
      </c>
      <c r="B1042" s="236" t="str">
        <f ca="1">IF(AND(OFFSET($AO$1,$C1029-1,8,1,1),$A1030&lt;&gt;"",$J1030&lt;&gt;""),CHOOSE($C1029,$AP$1,$AP$2,$AP$3,$AP$4,$AP$5,$AP$6,$AP$7,$AP$8,$AP$9,$AP$10,$AP$11,$AP$12),"")</f>
        <v/>
      </c>
      <c r="C1042" s="237"/>
      <c r="D1042" s="237"/>
      <c r="E1042" s="237"/>
      <c r="F1042" s="237"/>
      <c r="G1042" s="237"/>
      <c r="H1042" s="233"/>
      <c r="I1042" s="233"/>
      <c r="J1042" s="233"/>
      <c r="K1042" s="233"/>
      <c r="L1042" s="233"/>
      <c r="M1042" s="245" t="str">
        <f ca="1">IF(OR(AND($B1035&lt;&gt;"",$B1042&lt;&gt;"",$C1060&lt;=$B1060),AND($B1037&lt;&gt;"",$B1044&lt;&gt;"",$G1060&lt;=$F1060)),"Invalid Lineup","")</f>
        <v/>
      </c>
      <c r="N1042" s="246"/>
      <c r="O1042" s="246"/>
      <c r="P1042" s="247"/>
      <c r="Q1042" s="40" t="str">
        <f>IF($L1042=$L1044,IF($K1042=$K1044,IF($J1042&lt;&gt;"",IF($J1042&gt;$J1044,"W","L"),""),IF($K1042&gt;$K1044,"W","L")),IF($L1042&gt;$L1044,"W","L"))</f>
        <v/>
      </c>
      <c r="R1042" s="259" t="str">
        <f>$K1029</f>
        <v>K</v>
      </c>
      <c r="S1042" s="307" t="str">
        <f ca="1">IF($B1044&lt;&gt;"",$B1044,"")</f>
        <v/>
      </c>
      <c r="T1042" s="308"/>
      <c r="U1042" s="308"/>
      <c r="V1042" s="308"/>
      <c r="W1042" s="308"/>
      <c r="X1042" s="309"/>
      <c r="Y1042" s="284"/>
      <c r="Z1042" s="284"/>
      <c r="AA1042" s="284"/>
      <c r="AB1042" s="284"/>
      <c r="AC1042" s="297"/>
      <c r="AD1042" s="289" t="s">
        <v>169</v>
      </c>
      <c r="AE1042" s="290"/>
      <c r="AF1042" s="291"/>
    </row>
    <row r="1043" spans="1:32" ht="12.75" customHeight="1" x14ac:dyDescent="0.25">
      <c r="A1043" s="260"/>
      <c r="B1043" s="238"/>
      <c r="C1043" s="239"/>
      <c r="D1043" s="239"/>
      <c r="E1043" s="239"/>
      <c r="F1043" s="239"/>
      <c r="G1043" s="239"/>
      <c r="H1043" s="234"/>
      <c r="I1043" s="234"/>
      <c r="J1043" s="234"/>
      <c r="K1043" s="234"/>
      <c r="L1043" s="234"/>
      <c r="M1043" s="245"/>
      <c r="N1043" s="246"/>
      <c r="O1043" s="246"/>
      <c r="P1043" s="247"/>
      <c r="Q1043" s="110" t="str">
        <f>IF($Q1042&lt;&gt;"",IF($Q1042="W",IF(SUM(IF($H1042&gt;$H1044,1,0),IF($I1042&gt;$I1044,1,0),IF($J1042&gt;$J1044,1,0),IF($K1042&gt;$K1044,1,0),IF($L1042&gt;$L1044,1,0))&lt;&gt;3,"Error",""),""),"")</f>
        <v/>
      </c>
      <c r="R1043" s="285"/>
      <c r="S1043" s="310"/>
      <c r="T1043" s="311"/>
      <c r="U1043" s="311"/>
      <c r="V1043" s="311"/>
      <c r="W1043" s="311"/>
      <c r="X1043" s="312"/>
      <c r="Y1043" s="285"/>
      <c r="Z1043" s="285"/>
      <c r="AA1043" s="285"/>
      <c r="AB1043" s="285"/>
      <c r="AC1043" s="285"/>
      <c r="AD1043" s="292"/>
      <c r="AE1043" s="293"/>
      <c r="AF1043" s="294"/>
    </row>
    <row r="1044" spans="1:32" ht="12.75" customHeight="1" x14ac:dyDescent="0.25">
      <c r="A1044" s="259" t="str">
        <f>K1029</f>
        <v>K</v>
      </c>
      <c r="B1044" s="236" t="str">
        <f ca="1">IF(AND(OFFSET($AO$1,$L1029-1,8,1,1),$A1030&lt;&gt;"",$J1030&lt;&gt;""),CHOOSE($L1029,$AP$1,$AP$2,$AP$3,$AP$4,$AP$5,$AP$6,$AP$7,$AP$8,$AP$9,$AP$10,$AP$11,$AP$12),"")</f>
        <v/>
      </c>
      <c r="C1044" s="237"/>
      <c r="D1044" s="237"/>
      <c r="E1044" s="237"/>
      <c r="F1044" s="237"/>
      <c r="G1044" s="237"/>
      <c r="H1044" s="233"/>
      <c r="I1044" s="233"/>
      <c r="J1044" s="233"/>
      <c r="K1044" s="233"/>
      <c r="L1044" s="233"/>
      <c r="M1044" s="250" t="s">
        <v>169</v>
      </c>
      <c r="N1044" s="251"/>
      <c r="O1044" s="251"/>
      <c r="P1044" s="252"/>
      <c r="Q1044" s="40" t="str">
        <f>IF($Q1042&lt;&gt;"",IF($Q1042="W","L","W"),"")</f>
        <v/>
      </c>
      <c r="R1044" s="14"/>
      <c r="S1044" s="14"/>
      <c r="T1044" s="14"/>
      <c r="U1044" s="14"/>
      <c r="V1044" s="14"/>
      <c r="W1044" s="14"/>
      <c r="X1044" s="7"/>
      <c r="Y1044" s="7"/>
      <c r="Z1044" s="14"/>
      <c r="AA1044" s="14"/>
      <c r="AB1044" s="14"/>
      <c r="AC1044" s="14"/>
      <c r="AD1044" s="14"/>
      <c r="AE1044" s="14"/>
      <c r="AF1044"/>
    </row>
    <row r="1045" spans="1:32" ht="12.75" customHeight="1" x14ac:dyDescent="0.25">
      <c r="A1045" s="260"/>
      <c r="B1045" s="238"/>
      <c r="C1045" s="239"/>
      <c r="D1045" s="239"/>
      <c r="E1045" s="239"/>
      <c r="F1045" s="239"/>
      <c r="G1045" s="239"/>
      <c r="H1045" s="234"/>
      <c r="I1045" s="234"/>
      <c r="J1045" s="235"/>
      <c r="K1045" s="235"/>
      <c r="L1045" s="235"/>
      <c r="M1045" s="250"/>
      <c r="N1045" s="251"/>
      <c r="O1045" s="251"/>
      <c r="P1045" s="252"/>
      <c r="Q1045" s="110" t="str">
        <f>IF($Q1044&lt;&gt;"",IF($Q1044="W",IF(SUM(IF($H1044&gt;$H1042,1,0),IF($I1044&gt;$I1042,1,0),IF($J1044&gt;$J1042,1,0),IF($K1044&gt;$K1042,1,0),IF($L1044&gt;$L1042,1,0))&lt;&gt;3,"Error",""),""),"")</f>
        <v/>
      </c>
      <c r="R1045" s="14"/>
      <c r="S1045" s="14"/>
      <c r="T1045" s="14"/>
      <c r="U1045" s="14"/>
      <c r="V1045" s="14"/>
      <c r="W1045" s="14"/>
      <c r="X1045" s="7"/>
      <c r="Y1045" s="7"/>
      <c r="Z1045" s="14"/>
      <c r="AA1045" s="14"/>
      <c r="AB1045" s="14"/>
      <c r="AC1045" s="14"/>
      <c r="AD1045" s="14"/>
      <c r="AE1045" s="14"/>
      <c r="AF1045"/>
    </row>
    <row r="1046" spans="1:32" ht="12.75" customHeight="1" x14ac:dyDescent="0.25">
      <c r="Q1046" s="6"/>
      <c r="R1046" s="14"/>
      <c r="S1046" s="14"/>
      <c r="T1046" s="14"/>
      <c r="U1046" s="14"/>
      <c r="V1046" s="14"/>
      <c r="W1046" s="14"/>
      <c r="X1046" s="7"/>
      <c r="Y1046" s="7"/>
      <c r="Z1046" s="14"/>
      <c r="AA1046" s="14"/>
      <c r="AB1046" s="14"/>
      <c r="AC1046" s="14"/>
      <c r="AD1046" s="14"/>
      <c r="AE1046" s="14"/>
      <c r="AF1046"/>
    </row>
    <row r="1047" spans="1:32" ht="12.75" customHeight="1" x14ac:dyDescent="0.25">
      <c r="A1047" s="15" t="s">
        <v>167</v>
      </c>
      <c r="H1047" s="110" t="str">
        <f>IF($Q1049&lt;&gt;"",IF(AND(AND($H1049&gt;-1,$H1051&gt;-1),OR($H1049&gt;10,$H1051&gt;10),ABS($H1049-$H1051)&gt;1,IF(OR($H1049&gt;11,$H1051&gt;11),ABS($H1049-$H1051)=2,TRUE),$H1049=INT($H1049),$H1051=INT($H1051)),"","Error"),"")</f>
        <v/>
      </c>
      <c r="I1047" s="110" t="str">
        <f>IF($Q1049&lt;&gt;"",IF(AND(AND($I1049&gt;-1,$I1051&gt;-1),OR($I1049&gt;10,$I1051&gt;10),ABS($I1049-$I1051)&gt;1,IF(OR($I1049&gt;11,$I1051&gt;11),ABS($I1049-$I1051)=2,TRUE),$I1049=INT($I1049),$I1051=INT($I1051)),"","Error"),"")</f>
        <v/>
      </c>
      <c r="J1047" s="110" t="str">
        <f>IF($Q1049&lt;&gt;"",IF(AND(AND($J1049&gt;-1,$J1051&gt;-1),OR($J1049&gt;10,$J1051&gt;10),ABS($J1049-$J1051)&gt;1,IF(OR($J1049&gt;11,$J1051&gt;11),ABS($J1049-$J1051)=2,TRUE),$J1049=INT($J1049),$J1051=INT($J1051)),"","Error"),"")</f>
        <v/>
      </c>
      <c r="K1047" s="110" t="str">
        <f>IF($Q1049&lt;&gt;"",IF(AND($K1049&lt;&gt;"",$K1051&lt;&gt;""), IF(AND(AND($K1049&gt;-1,$K1051&gt;-1),OR($K1049&gt;10,$K1051&gt;10),ABS($K1049-$K1051)&gt;1,IF(OR($K1049&gt;11,$K1051&gt;11),ABS($K1049-$K1051)=2,TRUE),$K1049=INT($K1049),$K1051=INT($K1051)),"","Error"),""),"")</f>
        <v/>
      </c>
      <c r="L1047" s="110" t="str">
        <f>IF($Q1049&lt;&gt;"",IF(AND($L1049&lt;&gt;"",$L1051&lt;&gt;""), IF(AND(AND($L1049&gt;-1,$L1051&gt;-1),OR($L1049&gt;10,$L1051&gt;10),ABS($L1049-$L1051)&gt;1,IF(OR($L1049&gt;11,$L1051&gt;11),ABS($L1049-$L1051)=2,TRUE),$L1049=INT($L1049),$L1051=INT($L1051)),"","Error"),""),"")</f>
        <v/>
      </c>
      <c r="Q1047" s="6"/>
      <c r="R1047" s="14"/>
      <c r="S1047" s="14"/>
      <c r="T1047" s="14"/>
      <c r="U1047" s="14"/>
      <c r="V1047" s="14"/>
      <c r="W1047" s="14"/>
      <c r="X1047" s="7"/>
      <c r="Y1047" s="7"/>
      <c r="Z1047" s="14"/>
      <c r="AA1047" s="14"/>
      <c r="AB1047" s="14"/>
      <c r="AC1047" s="14"/>
      <c r="AD1047" s="14"/>
      <c r="AE1047" s="14"/>
      <c r="AF1047"/>
    </row>
    <row r="1048" spans="1:32" ht="12.75" customHeight="1" x14ac:dyDescent="0.25">
      <c r="A1048" s="5" t="s">
        <v>160</v>
      </c>
      <c r="B1048" s="256" t="s">
        <v>58</v>
      </c>
      <c r="C1048" s="257"/>
      <c r="D1048" s="257"/>
      <c r="E1048" s="257"/>
      <c r="F1048" s="257"/>
      <c r="G1048" s="258"/>
      <c r="H1048" s="5">
        <v>1</v>
      </c>
      <c r="I1048" s="5">
        <v>2</v>
      </c>
      <c r="J1048" s="5">
        <v>3</v>
      </c>
      <c r="K1048" s="5">
        <v>4</v>
      </c>
      <c r="L1048" s="5">
        <v>5</v>
      </c>
      <c r="M1048" s="270"/>
      <c r="N1048" s="271"/>
      <c r="O1048" s="271"/>
      <c r="P1048" s="272"/>
      <c r="Q1048" s="6"/>
      <c r="R1048" s="14"/>
      <c r="S1048" s="14"/>
      <c r="T1048" s="14"/>
      <c r="U1048" s="14"/>
      <c r="V1048" s="14"/>
      <c r="W1048" s="14"/>
      <c r="X1048" s="7"/>
      <c r="Y1048" s="7"/>
      <c r="Z1048" s="14"/>
      <c r="AA1048" s="14"/>
      <c r="AB1048" s="14"/>
      <c r="AC1048" s="14"/>
      <c r="AD1048" s="14"/>
      <c r="AE1048" s="14"/>
      <c r="AF1048"/>
    </row>
    <row r="1049" spans="1:32" ht="12.75" customHeight="1" x14ac:dyDescent="0.25">
      <c r="A1049" s="259" t="str">
        <f>B1029</f>
        <v>G</v>
      </c>
      <c r="B1049" s="236" t="str">
        <f ca="1">IF(AND(OFFSET($AO$1,$C1029-1,8,1,1),$A1030&lt;&gt;"",$J1030&lt;&gt;""),CHOOSE($C1029,$AQ$1,$AQ$2,$AQ$3,$AQ$4,$AQ$5,$AQ$6,$AQ$7,$AQ$8,$AQ$9,$AQ$10,$AQ$11,$AQ$12),"")</f>
        <v/>
      </c>
      <c r="C1049" s="237"/>
      <c r="D1049" s="237"/>
      <c r="E1049" s="237"/>
      <c r="F1049" s="237"/>
      <c r="G1049" s="237"/>
      <c r="H1049" s="233"/>
      <c r="I1049" s="233"/>
      <c r="J1049" s="233"/>
      <c r="K1049" s="233"/>
      <c r="L1049" s="233"/>
      <c r="M1049" s="245" t="str">
        <f ca="1">IF(OR(AND($B1042&lt;&gt;"",$B1049&lt;&gt;"",$D1060&lt;=$C1060),AND($B1044&lt;&gt;"",$B1051&lt;&gt;"",$H1060&lt;=$G1060)),"Invalid Lineup","")</f>
        <v/>
      </c>
      <c r="N1049" s="246"/>
      <c r="O1049" s="246"/>
      <c r="P1049" s="247"/>
      <c r="Q1049" s="40" t="str">
        <f>IF($L1049=$L1051,IF($K1049=$K1051,IF($J1049&lt;&gt;"",IF($J1049&gt;$J1051,"W","L"),""),IF($K1049&gt;$K1051,"W","L")),IF($L1049&gt;$L1051,"W","L"))</f>
        <v/>
      </c>
      <c r="R1049" s="14"/>
      <c r="S1049" s="14"/>
      <c r="T1049" s="14"/>
      <c r="U1049" s="14"/>
      <c r="V1049" s="14"/>
      <c r="W1049" s="14"/>
      <c r="X1049" s="7"/>
      <c r="Y1049" s="7"/>
      <c r="Z1049" s="14"/>
      <c r="AA1049" s="14"/>
      <c r="AB1049" s="14"/>
      <c r="AC1049" s="14"/>
      <c r="AD1049" s="14"/>
      <c r="AE1049" s="14"/>
      <c r="AF1049"/>
    </row>
    <row r="1050" spans="1:32" ht="12.75" customHeight="1" x14ac:dyDescent="0.25">
      <c r="A1050" s="260"/>
      <c r="B1050" s="238"/>
      <c r="C1050" s="239"/>
      <c r="D1050" s="239"/>
      <c r="E1050" s="239"/>
      <c r="F1050" s="239"/>
      <c r="G1050" s="239"/>
      <c r="H1050" s="234"/>
      <c r="I1050" s="234"/>
      <c r="J1050" s="234"/>
      <c r="K1050" s="234"/>
      <c r="L1050" s="234"/>
      <c r="M1050" s="245"/>
      <c r="N1050" s="246"/>
      <c r="O1050" s="246"/>
      <c r="P1050" s="247"/>
      <c r="Q1050" s="110" t="str">
        <f>IF($Q1049&lt;&gt;"",IF($Q1049="W",IF(SUM(IF($H1049&gt;$H1051,1,0),IF($I1049&gt;$I1051,1,0),IF($J1049&gt;$J1051,1,0),IF($K1049&gt;$K1051,1,0),IF($L1049&gt;$L1051,1,0))&lt;&gt;3,"Error",""),""),"")</f>
        <v/>
      </c>
      <c r="R1050" s="295" t="str">
        <f>$A1030</f>
        <v/>
      </c>
      <c r="S1050" s="295"/>
      <c r="T1050" s="295"/>
      <c r="U1050" s="295"/>
      <c r="V1050" s="295"/>
      <c r="W1050" s="295"/>
      <c r="X1050" s="219" t="str">
        <f>CONCATENATE("(",$B1029," vs ",$K1029,")")</f>
        <v>(G vs K)</v>
      </c>
      <c r="Y1050" s="219"/>
      <c r="Z1050" s="295" t="str">
        <f>$J1030</f>
        <v/>
      </c>
      <c r="AA1050" s="295"/>
      <c r="AB1050" s="295"/>
      <c r="AC1050" s="295"/>
      <c r="AD1050" s="295"/>
      <c r="AE1050" s="295"/>
      <c r="AF1050"/>
    </row>
    <row r="1051" spans="1:32" ht="12.75" customHeight="1" x14ac:dyDescent="0.25">
      <c r="A1051" s="259" t="str">
        <f>K1029</f>
        <v>K</v>
      </c>
      <c r="B1051" s="236" t="str">
        <f ca="1">IF(AND(OFFSET($AO$1,$L1029-1,8,1,1),$A1030&lt;&gt;"",$J1030&lt;&gt;""),CHOOSE($L1029,$AQ$1,$AQ$2,$AQ$3,$AQ$4,$AQ$5,$AQ$6,$AQ$7,$AQ$8,$AQ$9,$AQ$10,$AQ$11,$AQ$12),"")</f>
        <v/>
      </c>
      <c r="C1051" s="237"/>
      <c r="D1051" s="237"/>
      <c r="E1051" s="237"/>
      <c r="F1051" s="237"/>
      <c r="G1051" s="237"/>
      <c r="H1051" s="233"/>
      <c r="I1051" s="233"/>
      <c r="J1051" s="233"/>
      <c r="K1051" s="233"/>
      <c r="L1051" s="233"/>
      <c r="M1051" s="250" t="s">
        <v>169</v>
      </c>
      <c r="N1051" s="251"/>
      <c r="O1051" s="251"/>
      <c r="P1051" s="252"/>
      <c r="Q1051" s="40" t="str">
        <f>IF($Q1049&lt;&gt;"",IF($Q1049="W","L","W"),"")</f>
        <v/>
      </c>
      <c r="R1051"/>
      <c r="S1051"/>
      <c r="T1051"/>
      <c r="U1051"/>
      <c r="V1051"/>
      <c r="W1051"/>
      <c r="X1051"/>
      <c r="Y1051"/>
      <c r="Z1051"/>
      <c r="AA1051"/>
      <c r="AB1051"/>
      <c r="AC1051"/>
      <c r="AD1051"/>
      <c r="AE1051"/>
      <c r="AF1051"/>
    </row>
    <row r="1052" spans="1:32" ht="12.75" customHeight="1" x14ac:dyDescent="0.25">
      <c r="A1052" s="260"/>
      <c r="B1052" s="238"/>
      <c r="C1052" s="239"/>
      <c r="D1052" s="239"/>
      <c r="E1052" s="239"/>
      <c r="F1052" s="239"/>
      <c r="G1052" s="239"/>
      <c r="H1052" s="234"/>
      <c r="I1052" s="234"/>
      <c r="J1052" s="235"/>
      <c r="K1052" s="235"/>
      <c r="L1052" s="235"/>
      <c r="M1052" s="250"/>
      <c r="N1052" s="251"/>
      <c r="O1052" s="251"/>
      <c r="P1052" s="252"/>
      <c r="Q1052" s="110" t="str">
        <f>IF($Q1051&lt;&gt;"",IF($Q1051="W",IF(SUM(IF($H1051&gt;$H1049,1,0),IF($I1051&gt;$I1049,1,0),IF($J1051&gt;$J1049,1,0),IF($K1051&gt;$K1049,1,0),IF($L1051&gt;$L1049,1,0))&lt;&gt;3,"Error",""),""),"")</f>
        <v/>
      </c>
      <c r="R1052" t="str">
        <f>$A1047</f>
        <v>3rd Singles</v>
      </c>
      <c r="S1052"/>
      <c r="T1052"/>
      <c r="U1052"/>
      <c r="V1052"/>
      <c r="W1052"/>
      <c r="X1052"/>
      <c r="Y1052"/>
      <c r="Z1052"/>
      <c r="AA1052"/>
      <c r="AB1052"/>
      <c r="AC1052"/>
      <c r="AD1052"/>
      <c r="AE1052"/>
      <c r="AF1052"/>
    </row>
    <row r="1053" spans="1:32" ht="12.75" customHeight="1" x14ac:dyDescent="0.25">
      <c r="Q1053" s="6"/>
      <c r="R1053" s="47" t="s">
        <v>160</v>
      </c>
      <c r="S1053" s="86" t="s">
        <v>58</v>
      </c>
      <c r="T1053" s="87"/>
      <c r="U1053" s="87"/>
      <c r="V1053" s="87"/>
      <c r="W1053" s="87"/>
      <c r="X1053" s="88"/>
      <c r="Y1053" s="47">
        <v>1</v>
      </c>
      <c r="Z1053" s="47">
        <v>2</v>
      </c>
      <c r="AA1053" s="47">
        <v>3</v>
      </c>
      <c r="AB1053" s="47">
        <v>4</v>
      </c>
      <c r="AC1053" s="47">
        <v>5</v>
      </c>
      <c r="AD1053" s="89"/>
      <c r="AE1053" s="90"/>
      <c r="AF1053" s="91"/>
    </row>
    <row r="1054" spans="1:32" ht="12.75" customHeight="1" x14ac:dyDescent="0.25">
      <c r="A1054" s="15" t="s">
        <v>168</v>
      </c>
      <c r="H1054" s="110" t="str">
        <f ca="1">IF($Q1056&lt;&gt;"",IF(AND($B1056&lt;&gt;"Missing Player",$B1058&lt;&gt;"Missing Player"),IF(AND(AND($H1056&gt;-1,$H1058&gt;-1),OR($H1056&gt;10,$H1058&gt;10),ABS($H1056-$H1058)&gt;1,IF(OR($H1056&gt;11,$H1058&gt;11),ABS($H1056-$H1058)=2,TRUE),$H1056=INT($H1056),$H1058=INT($H1058)),"","Error"),""),"")</f>
        <v/>
      </c>
      <c r="I1054" s="110" t="str">
        <f ca="1">IF($Q1056&lt;&gt;"",IF(AND($B1056&lt;&gt;"Missing Player",$B1058&lt;&gt;"Missing Player"),IF(AND(AND($I1056&gt;-1,$I1058&gt;-1),OR($I1056&gt;10,$I1058&gt;10),ABS($I1056-$I1058)&gt;1,IF(OR($I1056&gt;11,$I1058&gt;11),ABS($I1056-$I1058)=2,TRUE),$I1056=INT($I1056),$I1058=INT($I1058)),"","Error"),""),"")</f>
        <v/>
      </c>
      <c r="J1054" s="110" t="str">
        <f ca="1">IF($Q1056&lt;&gt;"",IF(AND($B1056&lt;&gt;"Missing Player",$B1058&lt;&gt;"Missing Player"),IF(AND(AND($J1056&gt;-1,$J1058&gt;-1),OR($J1056&gt;10,$J1058&gt;10),ABS($J1056-$J1058)&gt;1,IF(OR($J1056&gt;11,$J1058&gt;11),ABS($J1056-$J1058)=2,TRUE),$J1056=INT($J1056),$J1058=INT($J1058)),"","Error"),""),"")</f>
        <v/>
      </c>
      <c r="K1054" s="110" t="str">
        <f ca="1">IF($Q1056&lt;&gt;"",IF(AND($K1056&lt;&gt;"",$K1058&lt;&gt;""), IF(AND(AND($K1056&gt;-1,$K1058&gt;-1),OR($K1056&gt;10,$K1058&gt;10),ABS($K1056-$K1058)&gt;1,IF(OR($K1056&gt;11,$K1058&gt;11),ABS($K1056-$K1058)=2,TRUE),$K1056=INT($K1056),$K1058=INT($K1058)),"","Error"),""),"")</f>
        <v/>
      </c>
      <c r="L1054" s="110" t="str">
        <f ca="1">IF($Q1056&lt;&gt;"",IF(AND($L1056&lt;&gt;"",$L1058&lt;&gt;""), IF(AND(AND($L1056&gt;-1,$L1058&gt;-1),OR($L1056&gt;10,$L1058&gt;10),ABS($L1056-$L1058)&gt;1,IF(OR($L1056&gt;11,$L1058&gt;11),ABS($L1056-$L1058)=2,TRUE),$L1056=INT($L1056),$L1058=INT($L1058)),"","Error"),""),"")</f>
        <v/>
      </c>
      <c r="Q1054" s="6"/>
      <c r="R1054" s="259" t="str">
        <f>$B1029</f>
        <v>G</v>
      </c>
      <c r="S1054" s="307" t="str">
        <f ca="1">IF($B1049&lt;&gt;"",$B1049,"")</f>
        <v/>
      </c>
      <c r="T1054" s="308"/>
      <c r="U1054" s="308"/>
      <c r="V1054" s="308"/>
      <c r="W1054" s="308"/>
      <c r="X1054" s="309"/>
      <c r="Y1054" s="284"/>
      <c r="Z1054" s="284"/>
      <c r="AA1054" s="284"/>
      <c r="AB1054" s="284"/>
      <c r="AC1054" s="284"/>
      <c r="AD1054" s="296"/>
      <c r="AE1054" s="290"/>
      <c r="AF1054" s="291"/>
    </row>
    <row r="1055" spans="1:32" ht="12.75" customHeight="1" x14ac:dyDescent="0.25">
      <c r="A1055" s="5" t="s">
        <v>160</v>
      </c>
      <c r="B1055" s="256" t="s">
        <v>58</v>
      </c>
      <c r="C1055" s="257"/>
      <c r="D1055" s="257"/>
      <c r="E1055" s="257"/>
      <c r="F1055" s="257"/>
      <c r="G1055" s="258"/>
      <c r="H1055" s="5">
        <v>1</v>
      </c>
      <c r="I1055" s="5">
        <v>2</v>
      </c>
      <c r="J1055" s="5">
        <v>3</v>
      </c>
      <c r="K1055" s="5">
        <v>4</v>
      </c>
      <c r="L1055" s="5">
        <v>5</v>
      </c>
      <c r="M1055" s="270"/>
      <c r="N1055" s="271"/>
      <c r="O1055" s="271"/>
      <c r="P1055" s="272"/>
      <c r="Q1055" s="6"/>
      <c r="R1055" s="285"/>
      <c r="S1055" s="310"/>
      <c r="T1055" s="311"/>
      <c r="U1055" s="311"/>
      <c r="V1055" s="311"/>
      <c r="W1055" s="311"/>
      <c r="X1055" s="312"/>
      <c r="Y1055" s="285"/>
      <c r="Z1055" s="285"/>
      <c r="AA1055" s="285"/>
      <c r="AB1055" s="285"/>
      <c r="AC1055" s="285"/>
      <c r="AD1055" s="292"/>
      <c r="AE1055" s="293"/>
      <c r="AF1055" s="294"/>
    </row>
    <row r="1056" spans="1:32" ht="12.75" customHeight="1" x14ac:dyDescent="0.25">
      <c r="A1056" s="259" t="str">
        <f>B1029</f>
        <v>G</v>
      </c>
      <c r="B1056" s="236" t="str">
        <f ca="1">IF(AND(OFFSET($AO$1,$C1029-1,8,1,1),$A1030&lt;&gt;"",$J1030&lt;&gt;""),CHOOSE($C1029,$AR$1,$AR$2,$AR$3,$AR$4,$AR$5,$AR$6,$AR$7,$AR$8,$AR$9,$AR$10,$AR$11,$AR$12),"")</f>
        <v/>
      </c>
      <c r="C1056" s="237"/>
      <c r="D1056" s="237"/>
      <c r="E1056" s="237"/>
      <c r="F1056" s="237"/>
      <c r="G1056" s="237"/>
      <c r="H1056" s="233"/>
      <c r="I1056" s="233"/>
      <c r="J1056" s="233"/>
      <c r="K1056" s="233"/>
      <c r="L1056" s="233" t="str">
        <f ca="1">IF(AND($B1056&lt;&gt;"",$Q1035&lt;&gt;""),IF($B1056="Missing Player",0,IF($B1058="Missing Player",11,"")),"")</f>
        <v/>
      </c>
      <c r="M1056" s="245" t="str">
        <f ca="1">IF(OR(AND($B1049&lt;&gt;"",$B1056&lt;&gt;"",$E1060&lt;=$D1060),AND($B1051&lt;&gt;"",$B1058&lt;&gt;"",$I1060&lt;=$H1060)),"Invalid Lineup","")</f>
        <v/>
      </c>
      <c r="N1056" s="246"/>
      <c r="O1056" s="246"/>
      <c r="P1056" s="247"/>
      <c r="Q1056" s="40" t="str">
        <f ca="1">IF($L1056=$L1058,IF($K1056=$K1058,IF($J1056&lt;&gt;"",IF($J1056&gt;$J1058,"W","L"),""),IF($K1056&gt;$K1058,"W","L")),IF($L1056&gt;$L1058,"W","L"))</f>
        <v/>
      </c>
      <c r="R1056" s="259" t="str">
        <f>$K1029</f>
        <v>K</v>
      </c>
      <c r="S1056" s="307" t="str">
        <f ca="1">IF($B1051&lt;&gt;"",$B1051,"")</f>
        <v/>
      </c>
      <c r="T1056" s="308"/>
      <c r="U1056" s="308"/>
      <c r="V1056" s="308"/>
      <c r="W1056" s="308"/>
      <c r="X1056" s="309"/>
      <c r="Y1056" s="284"/>
      <c r="Z1056" s="284"/>
      <c r="AA1056" s="284"/>
      <c r="AB1056" s="284"/>
      <c r="AC1056" s="297"/>
      <c r="AD1056" s="289" t="s">
        <v>169</v>
      </c>
      <c r="AE1056" s="290"/>
      <c r="AF1056" s="291"/>
    </row>
    <row r="1057" spans="1:32" ht="12.75" customHeight="1" x14ac:dyDescent="0.25">
      <c r="A1057" s="260"/>
      <c r="B1057" s="238"/>
      <c r="C1057" s="239"/>
      <c r="D1057" s="239"/>
      <c r="E1057" s="239"/>
      <c r="F1057" s="239"/>
      <c r="G1057" s="239"/>
      <c r="H1057" s="234"/>
      <c r="I1057" s="234"/>
      <c r="J1057" s="234"/>
      <c r="K1057" s="234"/>
      <c r="L1057" s="234"/>
      <c r="M1057" s="245"/>
      <c r="N1057" s="246"/>
      <c r="O1057" s="246"/>
      <c r="P1057" s="247"/>
      <c r="Q1057" s="110" t="str">
        <f ca="1">IF($Q1056&lt;&gt;"",IF($B1058&lt;&gt;"Missing Player",IF($Q1056="W",IF(SUM(IF($H1056&gt;$H1058,1,0),IF($I1056&gt;$I1058,1,0),IF($J1056&gt;$J1058,1,0),IF($K1056&gt;$K1058,1,0),IF($L1056&gt;$L1058,1,0))&lt;&gt;3,"Error",""),""),""),"")</f>
        <v/>
      </c>
      <c r="R1057" s="285"/>
      <c r="S1057" s="310"/>
      <c r="T1057" s="311"/>
      <c r="U1057" s="311"/>
      <c r="V1057" s="311"/>
      <c r="W1057" s="311"/>
      <c r="X1057" s="312"/>
      <c r="Y1057" s="285"/>
      <c r="Z1057" s="285"/>
      <c r="AA1057" s="285"/>
      <c r="AB1057" s="285"/>
      <c r="AC1057" s="285"/>
      <c r="AD1057" s="292"/>
      <c r="AE1057" s="293"/>
      <c r="AF1057" s="294"/>
    </row>
    <row r="1058" spans="1:32" ht="12.75" customHeight="1" x14ac:dyDescent="0.25">
      <c r="A1058" s="259" t="str">
        <f>K1029</f>
        <v>K</v>
      </c>
      <c r="B1058" s="236" t="str">
        <f ca="1">IF(AND(OFFSET($AO$1,$L1029-1,8,1,1),$A1030&lt;&gt;"",$J1030&lt;&gt;""),CHOOSE($L1029,$AR$1,$AR$2,$AR$3,$AR$4,$AR$5,$AR$6,$AR$7,$AR$8,$AR$9,$AR$10,$AR$11,$AR$12),"")</f>
        <v/>
      </c>
      <c r="C1058" s="237"/>
      <c r="D1058" s="237"/>
      <c r="E1058" s="237"/>
      <c r="F1058" s="237"/>
      <c r="G1058" s="237"/>
      <c r="H1058" s="233"/>
      <c r="I1058" s="233"/>
      <c r="J1058" s="233"/>
      <c r="K1058" s="233"/>
      <c r="L1058" s="233" t="str">
        <f ca="1">IF(AND($B1058&lt;&gt;"",$Q1035&lt;&gt;""),IF($B1058="Missing Player",0,IF($B1056="Missing Player",11,"")),"")</f>
        <v/>
      </c>
      <c r="M1058" s="250" t="s">
        <v>169</v>
      </c>
      <c r="N1058" s="251"/>
      <c r="O1058" s="251"/>
      <c r="P1058" s="252"/>
      <c r="Q1058" s="40" t="str">
        <f ca="1">IF($Q1056&lt;&gt;"",IF($Q1056="W","L","W"),"")</f>
        <v/>
      </c>
      <c r="R1058" s="94"/>
      <c r="S1058" s="84"/>
      <c r="T1058" s="84"/>
      <c r="U1058" s="84"/>
      <c r="V1058" s="84"/>
      <c r="W1058" s="84"/>
      <c r="X1058" s="84"/>
      <c r="Y1058" s="93"/>
      <c r="Z1058" s="93"/>
      <c r="AA1058" s="93"/>
      <c r="AB1058" s="93"/>
      <c r="AC1058" s="93"/>
      <c r="AD1058" s="92"/>
      <c r="AE1058" s="93"/>
      <c r="AF1058" s="93"/>
    </row>
    <row r="1059" spans="1:32" ht="12.75" customHeight="1" x14ac:dyDescent="0.25">
      <c r="A1059" s="260"/>
      <c r="B1059" s="238"/>
      <c r="C1059" s="239"/>
      <c r="D1059" s="239"/>
      <c r="E1059" s="239"/>
      <c r="F1059" s="239"/>
      <c r="G1059" s="239"/>
      <c r="H1059" s="234"/>
      <c r="I1059" s="234"/>
      <c r="J1059" s="235"/>
      <c r="K1059" s="235"/>
      <c r="L1059" s="235"/>
      <c r="M1059" s="250"/>
      <c r="N1059" s="251"/>
      <c r="O1059" s="251"/>
      <c r="P1059" s="252"/>
      <c r="Q1059" s="110" t="str">
        <f ca="1">IF($Q1058&lt;&gt;"",IF($B1056&lt;&gt;"Missing Player",IF($Q1058="W",IF(SUM(IF($H1058&gt;$H1056,1,0),IF($I1058&gt;$I1056,1,0),IF($J1058&gt;$J1056,1,0),IF($K1058&gt;$K1056,1,0),IF($L1058&gt;$L1056,1,0))&lt;&gt;3,"Error",""),""),""),"")</f>
        <v/>
      </c>
      <c r="R1059" s="85"/>
      <c r="S1059" s="95"/>
      <c r="T1059" s="95"/>
      <c r="U1059" s="95"/>
      <c r="V1059" s="95"/>
      <c r="W1059" s="95"/>
      <c r="X1059" s="95"/>
      <c r="Y1059" s="85"/>
      <c r="Z1059" s="85"/>
      <c r="AA1059" s="85"/>
      <c r="AB1059" s="85"/>
      <c r="AC1059" s="85"/>
      <c r="AD1059" s="85"/>
      <c r="AE1059" s="85"/>
      <c r="AF1059" s="85"/>
    </row>
    <row r="1060" spans="1:32" ht="12.75" customHeight="1" x14ac:dyDescent="0.25">
      <c r="B1060" s="111" t="str">
        <f ca="1">IF(ISERROR(VLOOKUP($B1035&amp;"("&amp;$B1029&amp;")",Players!$S$4:$T$132,2,FALSE)),"",VLOOKUP($B1035&amp;"("&amp;$B1029&amp;")",Players!$S$4:$T$132,2,FALSE))</f>
        <v>G1</v>
      </c>
      <c r="C1060" s="111" t="str">
        <f ca="1">IF(ISERROR(VLOOKUP($B1042&amp;"("&amp;$B1029&amp;")",Players!$S$4:$T$132,2,FALSE)),"",VLOOKUP($B1042&amp;"("&amp;$B1029&amp;")",Players!$S$4:$T$132,2,FALSE))</f>
        <v>G1</v>
      </c>
      <c r="D1060" s="111" t="str">
        <f ca="1">IF(ISERROR(VLOOKUP($B1049&amp;"("&amp;$B1029&amp;")",Players!$S$4:$T$132,2,FALSE)),"",VLOOKUP($B1049&amp;"("&amp;$B1029&amp;")",Players!$S$4:$T$132,2,FALSE))</f>
        <v>G1</v>
      </c>
      <c r="E1060" s="111" t="str">
        <f ca="1">IF(ISERROR(VLOOKUP($B1056&amp;"("&amp;$B1029&amp;")",Players!$S$4:$T$132,2,FALSE)),"",VLOOKUP($B1056&amp;"("&amp;$B1029&amp;")",Players!$S$4:$T$132,2,FALSE))</f>
        <v>G1</v>
      </c>
      <c r="F1060" s="111" t="str">
        <f ca="1">IF(ISERROR(VLOOKUP($B1037&amp;"("&amp;$K1029&amp;")",Players!$S$4:$T$132,2,FALSE)),"",VLOOKUP($B1037&amp;"("&amp;$K1029&amp;")",Players!$S$4:$T$132,2,FALSE))</f>
        <v>K1</v>
      </c>
      <c r="G1060" s="111" t="str">
        <f ca="1">IF(ISERROR(VLOOKUP($B1044&amp;"("&amp;$K1029&amp;")",Players!$S$4:$T$132,2,FALSE)),"",VLOOKUP($B1044&amp;"("&amp;$K1029&amp;")",Players!$S$4:$T$132,2,FALSE))</f>
        <v>K1</v>
      </c>
      <c r="H1060" s="111" t="str">
        <f ca="1">IF(ISERROR(VLOOKUP($B1051&amp;"("&amp;$K1029&amp;")",Players!$S$4:$T$132,2,FALSE)),"",VLOOKUP($B1051&amp;"("&amp;$K1029&amp;")",Players!$S$4:$T$132,2,FALSE))</f>
        <v>K1</v>
      </c>
      <c r="I1060" s="111" t="str">
        <f ca="1">IF(ISERROR(VLOOKUP($B1058&amp;"("&amp;$K1029&amp;")",Players!$S$4:$T$132,2,FALSE)),"",VLOOKUP($B1058&amp;"("&amp;$K1029&amp;")",Players!$S$4:$T$132,2,FALSE))</f>
        <v>K1</v>
      </c>
      <c r="Q1060" s="6"/>
      <c r="R1060" s="37"/>
      <c r="S1060" s="95"/>
      <c r="T1060" s="95"/>
      <c r="U1060" s="95"/>
      <c r="V1060" s="95"/>
      <c r="W1060" s="95"/>
      <c r="X1060" s="95"/>
      <c r="Y1060" s="85"/>
      <c r="Z1060" s="85"/>
      <c r="AA1060" s="85"/>
      <c r="AB1060" s="85"/>
      <c r="AC1060" s="96"/>
      <c r="AD1060" s="97"/>
      <c r="AE1060" s="85"/>
      <c r="AF1060" s="85"/>
    </row>
    <row r="1061" spans="1:32" ht="12.75" customHeight="1" x14ac:dyDescent="0.25">
      <c r="A1061" s="15" t="s">
        <v>157</v>
      </c>
      <c r="H1061" s="110" t="str">
        <f ca="1">IF($Q1063&lt;&gt;"",IF(AND($B1064&lt;&gt;"Missing Player",$B1066&lt;&gt;"Missing Player"),IF(AND(AND($H1063&gt;-1,$H1065&gt;-1),OR($H1063&gt;10,$H1065&gt;10),ABS($H1063-$H1065)&gt;1,IF(OR($H1063&gt;11,$H1065&gt;11),ABS($H1063-$H1065)=2,TRUE),$H1063=INT($H1063),$H1065=INT($H1065)),"","Error"),""),"")</f>
        <v/>
      </c>
      <c r="I1061" s="110" t="str">
        <f ca="1">IF($Q1063&lt;&gt;"",IF(AND($B1064&lt;&gt;"Missing Player",$B1066&lt;&gt;"Missing Player"),IF(AND(AND($I1063&gt;-1,$I1065&gt;-1),OR($I1063&gt;10,$I1065&gt;10),ABS($I1063-$I1065)&gt;1,IF(OR($I1063&gt;11,$I1065&gt;11),ABS($I1063-$I1065)=2,TRUE),$I1063=INT($I1063),$I1065=INT($I1065)),"","Error"),""),"")</f>
        <v/>
      </c>
      <c r="J1061" s="110" t="str">
        <f ca="1">IF($Q1063&lt;&gt;"",IF(AND($B1064&lt;&gt;"Missing Player",$B1066&lt;&gt;"Missing Player"),IF(AND(AND($J1063&gt;-1,$J1065&gt;-1),OR($J1063&gt;10,$J1065&gt;10),ABS($J1063-$J1065)&gt;1,IF(OR($J1063&gt;11,$J1065&gt;11),ABS($J1063-$J1065)=2,TRUE),$J1063=INT($J1063),$J1065=INT($J1065)),"","Error"),""),"")</f>
        <v/>
      </c>
      <c r="K1061" s="110" t="str">
        <f ca="1">IF($Q1063&lt;&gt;"",IF(AND($K1063&lt;&gt;"",$K1065&lt;&gt;""), IF(AND(AND($K1063&gt;-1,$K1065&gt;-1),OR($K1063&gt;10,$K1065&gt;10),ABS($K1063-$K1065)&gt;1,IF(OR($K1063&gt;11,$K1065&gt;11),ABS($K1063-$K1065)=2,TRUE),$K1063=INT($K1063),$K1065=INT($K1065)),"","Error"),""),"")</f>
        <v/>
      </c>
      <c r="L1061" s="110" t="str">
        <f ca="1">IF($Q1063&lt;&gt;"",IF(AND($L1063&lt;&gt;"",$L1065&lt;&gt;""), IF(AND(AND($L1063&gt;-1,$L1065&gt;-1),OR($L1063&gt;10,$L1065&gt;10),ABS($L1063-$L1065)&gt;1,IF(OR($L1063&gt;11,$L1065&gt;11),ABS($L1063-$L1065)=2,TRUE),$L1063=INT($L1063),$L1065=INT($L1065)),"","Error"),""),"")</f>
        <v/>
      </c>
      <c r="Q1061" s="6"/>
      <c r="R1061" s="85"/>
      <c r="S1061" s="95"/>
      <c r="T1061" s="95"/>
      <c r="U1061" s="95"/>
      <c r="V1061" s="95"/>
      <c r="W1061" s="95"/>
      <c r="X1061" s="95"/>
      <c r="Y1061" s="85"/>
      <c r="Z1061" s="85"/>
      <c r="AA1061" s="85"/>
      <c r="AB1061" s="85"/>
      <c r="AC1061" s="85"/>
      <c r="AD1061" s="85"/>
      <c r="AE1061" s="85"/>
      <c r="AF1061" s="85"/>
    </row>
    <row r="1062" spans="1:32" ht="12.75" customHeight="1" x14ac:dyDescent="0.25">
      <c r="A1062" s="5" t="s">
        <v>160</v>
      </c>
      <c r="B1062" s="256" t="s">
        <v>58</v>
      </c>
      <c r="C1062" s="257"/>
      <c r="D1062" s="257"/>
      <c r="E1062" s="257"/>
      <c r="F1062" s="257"/>
      <c r="G1062" s="258"/>
      <c r="H1062" s="5">
        <v>1</v>
      </c>
      <c r="I1062" s="5">
        <v>2</v>
      </c>
      <c r="J1062" s="5">
        <v>3</v>
      </c>
      <c r="K1062" s="5">
        <v>4</v>
      </c>
      <c r="L1062" s="5">
        <v>5</v>
      </c>
      <c r="M1062" s="270"/>
      <c r="N1062" s="271"/>
      <c r="O1062" s="271"/>
      <c r="P1062" s="272"/>
      <c r="Q1062" s="6"/>
      <c r="T1062" s="7"/>
    </row>
    <row r="1063" spans="1:32" ht="12.75" customHeight="1" x14ac:dyDescent="0.25">
      <c r="A1063" s="259" t="str">
        <f>B1029</f>
        <v>G</v>
      </c>
      <c r="B1063" s="230" t="str">
        <f ca="1">IF($B1035&lt;&gt;"",$B1035,"")</f>
        <v/>
      </c>
      <c r="C1063" s="231"/>
      <c r="D1063" s="231"/>
      <c r="E1063" s="231"/>
      <c r="F1063" s="231"/>
      <c r="G1063" s="232"/>
      <c r="H1063" s="233"/>
      <c r="I1063" s="233"/>
      <c r="J1063" s="233"/>
      <c r="K1063" s="233"/>
      <c r="L1063" s="233" t="str">
        <f ca="1">IF($B1056&lt;&gt;"",IF(AND($B1056="Missing Player",$G1067=2,$J1067=2),0,IF(AND($B1058="Missing Player",$G1067=2,$J1067=2),11,"")),"")</f>
        <v/>
      </c>
      <c r="M1063" s="245" t="str">
        <f ca="1">IF(OR(AND($B1063&lt;&gt;"",$B1064&lt;&gt;"",$B1063=$B1064),AND($B1065&lt;&gt;"",$B1066&lt;&gt;"",$B1065=$B1066)),"Invalid Partner","")</f>
        <v/>
      </c>
      <c r="N1063" s="246"/>
      <c r="O1063" s="246"/>
      <c r="P1063" s="247"/>
      <c r="Q1063" s="37" t="str">
        <f ca="1">IF(L1063=L1065,IF(K1063=K1065,IF(J1063&lt;&gt;"",IF(J1063&gt;J1065,"W","L"),""),IF(K1063&gt;K1065,"W","L")),IF(L1063&gt;L1065,"W","L"))</f>
        <v/>
      </c>
      <c r="T1063" s="7"/>
    </row>
    <row r="1064" spans="1:32" ht="12.75" customHeight="1" x14ac:dyDescent="0.25">
      <c r="A1064" s="260"/>
      <c r="B1064" s="266" t="str">
        <f ca="1">IF($B1056="Missing Player",$B1056,"")</f>
        <v/>
      </c>
      <c r="C1064" s="267"/>
      <c r="D1064" s="267"/>
      <c r="E1064" s="267"/>
      <c r="F1064" s="267"/>
      <c r="G1064" s="268"/>
      <c r="H1064" s="234"/>
      <c r="I1064" s="234"/>
      <c r="J1064" s="234"/>
      <c r="K1064" s="234"/>
      <c r="L1064" s="234"/>
      <c r="M1064" s="245"/>
      <c r="N1064" s="246"/>
      <c r="O1064" s="246"/>
      <c r="P1064" s="247"/>
      <c r="Q1064" s="110" t="str">
        <f ca="1">IF($Q1063&lt;&gt;"",IF($B1066&lt;&gt;"Missing Player",IF($Q1063="W",IF(SUM(IF($H1063&gt;$H1065,1,0),IF($I1063&gt;$I1065,1,0),IF($J1063&gt;$J1065,1,0),IF($K1063&gt;$K1065,1,0),IF($L1063&gt;$L1065,1,0))&lt;&gt;3,"Error",""),""),""),"")</f>
        <v/>
      </c>
      <c r="R1064" s="295" t="str">
        <f>$A1030</f>
        <v/>
      </c>
      <c r="S1064" s="295"/>
      <c r="T1064" s="295"/>
      <c r="U1064" s="295"/>
      <c r="V1064" s="295"/>
      <c r="W1064" s="295"/>
      <c r="X1064" s="219" t="str">
        <f>CONCATENATE("(",$B1029," vs ",$K1029,")")</f>
        <v>(G vs K)</v>
      </c>
      <c r="Y1064" s="219"/>
      <c r="Z1064" s="295" t="str">
        <f>$J1030</f>
        <v/>
      </c>
      <c r="AA1064" s="295"/>
      <c r="AB1064" s="295"/>
      <c r="AC1064" s="295"/>
      <c r="AD1064" s="295"/>
      <c r="AE1064" s="295"/>
      <c r="AF1064"/>
    </row>
    <row r="1065" spans="1:32" ht="12.75" customHeight="1" x14ac:dyDescent="0.25">
      <c r="A1065" s="265" t="str">
        <f>K1029</f>
        <v>K</v>
      </c>
      <c r="B1065" s="230" t="str">
        <f ca="1">IF($B1037&lt;&gt;"",$B1037,"")</f>
        <v/>
      </c>
      <c r="C1065" s="231"/>
      <c r="D1065" s="231"/>
      <c r="E1065" s="231"/>
      <c r="F1065" s="231"/>
      <c r="G1065" s="232"/>
      <c r="H1065" s="233"/>
      <c r="I1065" s="233"/>
      <c r="J1065" s="233"/>
      <c r="K1065" s="233"/>
      <c r="L1065" s="233" t="str">
        <f ca="1">IF($B1058&lt;&gt;"",IF(AND($B1058="Missing Player",$G1067=2,$J1067=2),0,IF(AND($B1056="Missing Player",$G1067=2,$J1067=2),11,"")),"")</f>
        <v/>
      </c>
      <c r="M1065" s="250" t="s">
        <v>169</v>
      </c>
      <c r="N1065" s="251"/>
      <c r="O1065" s="251"/>
      <c r="P1065" s="252"/>
      <c r="Q1065" s="37" t="str">
        <f ca="1">IF(Q1063&lt;&gt;"",IF(Q1063="W","L","W"),"")</f>
        <v/>
      </c>
      <c r="R1065"/>
      <c r="S1065"/>
      <c r="T1065"/>
      <c r="U1065"/>
      <c r="V1065"/>
      <c r="W1065"/>
      <c r="X1065"/>
      <c r="Y1065"/>
      <c r="Z1065"/>
      <c r="AA1065"/>
      <c r="AB1065"/>
      <c r="AC1065"/>
      <c r="AD1065"/>
      <c r="AE1065"/>
      <c r="AF1065"/>
    </row>
    <row r="1066" spans="1:32" ht="12.75" customHeight="1" x14ac:dyDescent="0.25">
      <c r="A1066" s="260"/>
      <c r="B1066" s="266" t="str">
        <f ca="1">IF($B1058="Missing Player",$B1058,"")</f>
        <v/>
      </c>
      <c r="C1066" s="267"/>
      <c r="D1066" s="267"/>
      <c r="E1066" s="267"/>
      <c r="F1066" s="267"/>
      <c r="G1066" s="268"/>
      <c r="H1066" s="234"/>
      <c r="I1066" s="234"/>
      <c r="J1066" s="235"/>
      <c r="K1066" s="235"/>
      <c r="L1066" s="235"/>
      <c r="M1066" s="250"/>
      <c r="N1066" s="251"/>
      <c r="O1066" s="251"/>
      <c r="P1066" s="252"/>
      <c r="Q1066" s="110" t="str">
        <f ca="1">IF($Q1065&lt;&gt;"",IF($B1064&lt;&gt;"Missing Player",IF($Q1065="W",IF(SUM(IF($H1065&gt;$H1063,1,0),IF($I1065&gt;$I1063,1,0),IF($J1065&gt;$J1063,1,0),IF($K1065&gt;$K1063,1,0),IF($L1065&gt;$L1063,1,0))&lt;&gt;3,"Error",""),""),""),"")</f>
        <v/>
      </c>
      <c r="R1066" t="str">
        <f>A1054</f>
        <v>4th Singles</v>
      </c>
      <c r="S1066"/>
      <c r="T1066"/>
      <c r="U1066"/>
      <c r="V1066"/>
      <c r="W1066"/>
      <c r="X1066"/>
      <c r="Y1066"/>
      <c r="Z1066"/>
      <c r="AA1066"/>
      <c r="AB1066"/>
      <c r="AC1066"/>
      <c r="AD1066"/>
      <c r="AE1066"/>
      <c r="AF1066"/>
    </row>
    <row r="1067" spans="1:32" ht="12.75" customHeight="1" x14ac:dyDescent="0.25">
      <c r="G1067" s="53">
        <f ca="1">COUNTIF($Q1035:$Q1035,"W")+COUNTIF($Q1042:$Q1042,"W")+COUNTIF($Q1049:$Q1049,"W")+COUNTIF($Q1056:$Q1056,"W")</f>
        <v>0</v>
      </c>
      <c r="J1067" s="53">
        <f ca="1">COUNTIF($Q1037:$Q1037,"W")+COUNTIF($Q1044:$Q1044,"W")+COUNTIF($Q1051:$Q1051,"W")+COUNTIF($Q1058:$Q1058,"W")</f>
        <v>0</v>
      </c>
      <c r="R1067" s="47" t="s">
        <v>160</v>
      </c>
      <c r="S1067" s="304" t="s">
        <v>58</v>
      </c>
      <c r="T1067" s="305"/>
      <c r="U1067" s="305"/>
      <c r="V1067" s="305"/>
      <c r="W1067" s="305"/>
      <c r="X1067" s="306"/>
      <c r="Y1067" s="47">
        <v>1</v>
      </c>
      <c r="Z1067" s="47">
        <v>2</v>
      </c>
      <c r="AA1067" s="47">
        <v>3</v>
      </c>
      <c r="AB1067" s="47">
        <v>4</v>
      </c>
      <c r="AC1067" s="47">
        <v>5</v>
      </c>
      <c r="AD1067" s="286"/>
      <c r="AE1067" s="287"/>
      <c r="AF1067" s="288"/>
    </row>
    <row r="1068" spans="1:32" ht="12.75" customHeight="1" thickBot="1" x14ac:dyDescent="0.3">
      <c r="F1068" s="212" t="s">
        <v>170</v>
      </c>
      <c r="G1068" s="212"/>
      <c r="H1068" s="212"/>
      <c r="I1068" s="212"/>
      <c r="J1068" s="212"/>
      <c r="K1068" s="212"/>
      <c r="R1068" s="259" t="str">
        <f>B1029</f>
        <v>G</v>
      </c>
      <c r="S1068" s="307" t="str">
        <f ca="1">IF($B1056&lt;&gt;"",$B1056,"")</f>
        <v/>
      </c>
      <c r="T1068" s="308"/>
      <c r="U1068" s="308"/>
      <c r="V1068" s="308"/>
      <c r="W1068" s="308"/>
      <c r="X1068" s="309"/>
      <c r="Y1068" s="284"/>
      <c r="Z1068" s="284"/>
      <c r="AA1068" s="297"/>
      <c r="AB1068" s="297"/>
      <c r="AC1068" s="297"/>
      <c r="AD1068" s="296"/>
      <c r="AE1068" s="298"/>
      <c r="AF1068" s="299"/>
    </row>
    <row r="1069" spans="1:32" ht="12.75" customHeight="1" x14ac:dyDescent="0.25">
      <c r="A1069" s="16"/>
      <c r="B1069" s="16"/>
      <c r="C1069" s="16"/>
      <c r="D1069" s="16"/>
      <c r="E1069" s="16"/>
      <c r="G1069" s="261" t="str">
        <f>B1029</f>
        <v>G</v>
      </c>
      <c r="H1069" s="262"/>
      <c r="I1069" s="263" t="str">
        <f>K1029</f>
        <v>K</v>
      </c>
      <c r="J1069" s="264"/>
      <c r="L1069" s="16"/>
      <c r="M1069" s="16"/>
      <c r="N1069" s="16"/>
      <c r="O1069" s="16"/>
      <c r="P1069" s="16"/>
      <c r="R1069" s="260"/>
      <c r="S1069" s="310"/>
      <c r="T1069" s="311"/>
      <c r="U1069" s="311"/>
      <c r="V1069" s="311"/>
      <c r="W1069" s="311"/>
      <c r="X1069" s="312"/>
      <c r="Y1069" s="285"/>
      <c r="Z1069" s="285"/>
      <c r="AA1069" s="303"/>
      <c r="AB1069" s="303"/>
      <c r="AC1069" s="303"/>
      <c r="AD1069" s="300"/>
      <c r="AE1069" s="301"/>
      <c r="AF1069" s="302"/>
    </row>
    <row r="1070" spans="1:32" ht="12.75" customHeight="1" thickBot="1" x14ac:dyDescent="0.3">
      <c r="A1070" s="2" t="s">
        <v>160</v>
      </c>
      <c r="B1070" s="40" t="str">
        <f>B1029</f>
        <v>G</v>
      </c>
      <c r="C1070" s="3" t="s">
        <v>158</v>
      </c>
      <c r="F1070" s="53" t="str">
        <f>CONCATENATE($B1029,"-",$K1029)</f>
        <v>G-K</v>
      </c>
      <c r="G1070" s="240" t="str">
        <f ca="1">IF(OR(Q1035&lt;&gt;"",Q1042&lt;&gt;"",Q1049&lt;&gt;"",Q1056&lt;&gt;"",Q1063&lt;&gt;""),COUNTIF(Q1035:Q1035,"W")+COUNTIF(Q1042:Q1042,"W")+COUNTIF(Q1049:Q1049,"W")+COUNTIF(Q1056:Q1056,"W")+COUNTIF(Q1063:Q1063,"W"),"")</f>
        <v/>
      </c>
      <c r="H1070" s="241"/>
      <c r="I1070" s="242" t="str">
        <f ca="1">IF(OR(Q1037&lt;&gt;"",Q1044&lt;&gt;"",Q1051&lt;&gt;"",Q1058&lt;&gt;"",Q1065&lt;&gt;""),COUNTIF(Q1037:Q1037,"W")+COUNTIF(Q1044:Q1044,"W")+COUNTIF(Q1051:Q1051,"W")+COUNTIF(Q1058:Q1058,"W")+COUNTIF(Q1065:Q1065,"W"),"")</f>
        <v/>
      </c>
      <c r="J1070" s="243"/>
      <c r="L1070" s="2" t="s">
        <v>160</v>
      </c>
      <c r="M1070" s="40" t="str">
        <f>K1029</f>
        <v>K</v>
      </c>
      <c r="N1070" s="3" t="s">
        <v>158</v>
      </c>
      <c r="R1070" s="259" t="str">
        <f>K1029</f>
        <v>K</v>
      </c>
      <c r="S1070" s="307" t="str">
        <f ca="1">IF($B1058&lt;&gt;"",$B1058,"")</f>
        <v/>
      </c>
      <c r="T1070" s="308"/>
      <c r="U1070" s="308"/>
      <c r="V1070" s="308"/>
      <c r="W1070" s="308"/>
      <c r="X1070" s="309"/>
      <c r="Y1070" s="284"/>
      <c r="Z1070" s="284"/>
      <c r="AA1070" s="297"/>
      <c r="AB1070" s="297"/>
      <c r="AC1070" s="297"/>
      <c r="AD1070" s="289" t="s">
        <v>169</v>
      </c>
      <c r="AE1070" s="290"/>
      <c r="AF1070" s="291"/>
    </row>
    <row r="1071" spans="1:32" ht="12.75" customHeight="1" x14ac:dyDescent="0.35">
      <c r="F1071" s="18" t="s">
        <v>403</v>
      </c>
      <c r="G1071" s="17"/>
      <c r="H1071" s="17"/>
      <c r="I1071" s="17"/>
      <c r="J1071" s="17"/>
      <c r="R1071" s="285"/>
      <c r="S1071" s="310"/>
      <c r="T1071" s="311"/>
      <c r="U1071" s="311"/>
      <c r="V1071" s="311"/>
      <c r="W1071" s="311"/>
      <c r="X1071" s="312"/>
      <c r="Y1071" s="285"/>
      <c r="Z1071" s="285"/>
      <c r="AA1071" s="285"/>
      <c r="AB1071" s="285"/>
      <c r="AC1071" s="285"/>
      <c r="AD1071" s="292"/>
      <c r="AE1071" s="293"/>
      <c r="AF1071" s="294"/>
    </row>
    <row r="1072" spans="1:32" ht="12.75" customHeight="1" x14ac:dyDescent="0.25">
      <c r="R1072" s="1"/>
      <c r="S1072" s="11"/>
      <c r="T1072" s="11"/>
      <c r="U1072" s="11"/>
      <c r="V1072" s="11"/>
      <c r="W1072" s="11"/>
    </row>
    <row r="1073" spans="1:32" ht="12.75" customHeight="1" x14ac:dyDescent="0.25">
      <c r="F1073" s="212"/>
      <c r="G1073" s="212"/>
      <c r="H1073" s="212"/>
      <c r="I1073" s="212"/>
      <c r="R1073" s="1"/>
      <c r="S1073" s="11"/>
      <c r="T1073" s="11"/>
      <c r="U1073" s="11"/>
      <c r="V1073" s="11"/>
      <c r="W1073" s="11"/>
    </row>
    <row r="1074" spans="1:32" ht="12.75" customHeight="1" x14ac:dyDescent="0.25">
      <c r="F1074" s="212"/>
      <c r="G1074" s="212"/>
      <c r="H1074" s="212"/>
      <c r="I1074" s="212"/>
      <c r="R1074" s="1"/>
      <c r="S1074" s="11"/>
      <c r="T1074" s="11"/>
      <c r="U1074" s="11"/>
      <c r="V1074" s="11"/>
      <c r="W1074" s="11"/>
    </row>
    <row r="1075" spans="1:32" ht="12.75" customHeight="1" x14ac:dyDescent="0.25">
      <c r="K1075" s="219" t="s">
        <v>176</v>
      </c>
      <c r="L1075" s="219"/>
      <c r="M1075" s="219"/>
      <c r="N1075" s="219"/>
      <c r="O1075" s="219"/>
      <c r="P1075" s="219"/>
      <c r="R1075" s="1"/>
      <c r="S1075" s="11"/>
      <c r="T1075" s="11"/>
      <c r="U1075" s="11"/>
      <c r="V1075" s="11"/>
      <c r="W1075" s="11"/>
    </row>
    <row r="1076" spans="1:32" ht="12.75" customHeight="1" x14ac:dyDescent="0.25">
      <c r="A1076" s="9" t="s">
        <v>161</v>
      </c>
      <c r="B1076"/>
      <c r="C1076"/>
      <c r="D1076" t="str">
        <f>Draw!$B$1</f>
        <v>Enter Division Name</v>
      </c>
      <c r="E1076"/>
      <c r="F1076" s="6"/>
      <c r="G1076" s="6"/>
      <c r="H1076" s="6"/>
      <c r="I1076"/>
      <c r="J1076"/>
      <c r="K1076"/>
      <c r="L1076"/>
      <c r="M1076" s="219"/>
      <c r="N1076" s="219"/>
      <c r="O1076" s="219"/>
      <c r="P1076" s="219"/>
      <c r="R1076" s="1"/>
      <c r="S1076" s="11"/>
      <c r="T1076" s="11"/>
      <c r="U1076" s="11"/>
      <c r="V1076" s="11"/>
      <c r="W1076" s="11"/>
    </row>
    <row r="1077" spans="1:32" ht="12.75" customHeight="1" x14ac:dyDescent="0.25">
      <c r="A1077" s="2" t="s">
        <v>162</v>
      </c>
      <c r="D1077" t="str">
        <f>Draw!$D$1</f>
        <v>Enter Hosting Location (City, ST)</v>
      </c>
      <c r="J1077" t="str">
        <f ca="1">$J$6</f>
        <v>[NCTTA Teams Template (v3.4).xlsx]</v>
      </c>
      <c r="R1077" s="1"/>
      <c r="S1077" s="11"/>
      <c r="T1077" s="11"/>
      <c r="U1077" s="11"/>
      <c r="V1077" s="11"/>
      <c r="W1077" s="11"/>
    </row>
    <row r="1078" spans="1:32" ht="12.75" customHeight="1" x14ac:dyDescent="0.25">
      <c r="A1078" s="2" t="s">
        <v>163</v>
      </c>
      <c r="D1078" s="275" t="str">
        <f>Draw!$P$1</f>
        <v>Enter Date</v>
      </c>
      <c r="E1078" s="275"/>
      <c r="F1078" s="275"/>
      <c r="G1078" s="275"/>
      <c r="J1078" s="244" t="str">
        <f>CHOOSE(Draw!$T$1,"Round 4, Match 4","Round 3, Match 4","","","","","","Round 6, Match 2","Round 6, Match 2","Round 5, Match 2","Round 5, Match 2")</f>
        <v>Round 4, Match 4</v>
      </c>
      <c r="K1078" s="244"/>
      <c r="L1078" s="244"/>
      <c r="M1078" s="277" t="str">
        <f>IF(AND($J1078&lt;&gt;"",Draw!$AC$10&lt;&gt;"",Draw!$AC$13&lt;&gt;""),Draw!$AC$10+TIME(0,VALUE(MID($J1078,7,FIND(",",$J1078)-FIND(" ",$J1078)-1)-1)*Draw!$AC$13,0),"")</f>
        <v/>
      </c>
      <c r="N1078" s="277"/>
      <c r="O1078" s="125" t="str">
        <f>$F1121</f>
        <v>F-L</v>
      </c>
      <c r="R1078" s="1"/>
      <c r="S1078" s="11"/>
      <c r="T1078" s="11"/>
      <c r="U1078" s="11"/>
      <c r="V1078" s="11"/>
      <c r="W1078" s="11"/>
    </row>
    <row r="1079" spans="1:32" ht="12.75" customHeight="1" x14ac:dyDescent="0.25">
      <c r="A1079" s="6"/>
      <c r="B1079"/>
      <c r="C1079"/>
      <c r="D1079"/>
      <c r="E1079"/>
      <c r="F1079" s="6"/>
      <c r="G1079" s="6"/>
      <c r="H1079" s="11"/>
      <c r="I1079" s="6"/>
      <c r="J1079"/>
      <c r="K1079"/>
      <c r="L1079"/>
      <c r="M1079"/>
      <c r="N1079"/>
      <c r="O1079" s="269" t="str">
        <f>IF(OR(AND(VLOOKUP($B1080,$AM$1:$AX$12,12,FALSE)="C",VLOOKUP($K1080,$AM$1:$AX$12,12,FALSE)="C"),AND(VLOOKUP($B1080,$AM$1:$AX$12,12,FALSE)="W",VLOOKUP($K1080,$AM$1:$AX$12,12,FALSE)="W")),"Official",IF(AND($A1081="",$J1081=""),"","Scrimmage"))</f>
        <v/>
      </c>
      <c r="P1079" s="269"/>
      <c r="R1079" s="1"/>
      <c r="S1079" s="11"/>
      <c r="T1079" s="11"/>
      <c r="U1079" s="11"/>
      <c r="V1079" s="11"/>
      <c r="W1079" s="11"/>
    </row>
    <row r="1080" spans="1:32" ht="12.75" customHeight="1" x14ac:dyDescent="0.25">
      <c r="A1080" s="12" t="s">
        <v>160</v>
      </c>
      <c r="B1080" s="98" t="str">
        <f>CHOOSE(Draw!$T$1,"F","G","A","B","B","B","A","C","C","D","D")</f>
        <v>F</v>
      </c>
      <c r="C1080" s="109">
        <f>VLOOKUP($B1080,$AM$1:$AN$12,2)</f>
        <v>6</v>
      </c>
      <c r="D1080" s="10"/>
      <c r="E1080" s="10"/>
      <c r="F1080" s="8"/>
      <c r="H1080" s="1" t="s">
        <v>164</v>
      </c>
      <c r="J1080" s="12" t="s">
        <v>160</v>
      </c>
      <c r="K1080" s="98" t="str">
        <f>CHOOSE(Draw!$T$1,"L","I","H","D","J","G","H","H","E","F","K")</f>
        <v>L</v>
      </c>
      <c r="L1080" s="109">
        <f>VLOOKUP($K1080,$AM$1:$AN$12,2)</f>
        <v>12</v>
      </c>
      <c r="M1080" s="10"/>
      <c r="N1080" s="10"/>
      <c r="O1080" s="13"/>
      <c r="R1080" s="1"/>
      <c r="S1080" s="11"/>
      <c r="T1080" s="11"/>
      <c r="U1080" s="11"/>
      <c r="V1080" s="11"/>
      <c r="W1080" s="11"/>
    </row>
    <row r="1081" spans="1:32" ht="12.75" customHeight="1" x14ac:dyDescent="0.25">
      <c r="A1081" s="253" t="str">
        <f>IF(VLOOKUP($B1080,Draw!$A$4:$B$27,2)&lt;&gt;0,VLOOKUP($B1080,Draw!$A$4:$B$27,2),"")</f>
        <v/>
      </c>
      <c r="B1081" s="254"/>
      <c r="C1081" s="254"/>
      <c r="D1081" s="254"/>
      <c r="E1081" s="254"/>
      <c r="F1081" s="255"/>
      <c r="G1081" s="273" t="s">
        <v>425</v>
      </c>
      <c r="H1081" s="249"/>
      <c r="I1081" s="274"/>
      <c r="J1081" s="253" t="str">
        <f>IF(VLOOKUP($K1080,Draw!$A$4:$B$27,2)&lt;&gt;0,VLOOKUP($K1080,Draw!$A$4:$B$27,2),"")</f>
        <v/>
      </c>
      <c r="K1081" s="254"/>
      <c r="L1081" s="254"/>
      <c r="M1081" s="254"/>
      <c r="N1081" s="254"/>
      <c r="O1081" s="255"/>
      <c r="P1081"/>
      <c r="R1081" s="1"/>
      <c r="S1081" s="11"/>
      <c r="T1081" s="11"/>
      <c r="U1081" s="11"/>
      <c r="V1081" s="11"/>
      <c r="W1081" s="11"/>
    </row>
    <row r="1082" spans="1:32" ht="12.75" customHeight="1" x14ac:dyDescent="0.25">
      <c r="A1082" s="6"/>
      <c r="B1082"/>
      <c r="C1082"/>
      <c r="D1082"/>
      <c r="E1082"/>
      <c r="F1082" s="6"/>
      <c r="G1082" s="248" t="str">
        <f>"Page "&amp;VALUE(RIGHT($G1081,LEN($G1081)-SEARCH("-",$G1081)))/2</f>
        <v>Page 22</v>
      </c>
      <c r="H1082" s="249"/>
      <c r="I1082" s="249"/>
      <c r="J1082"/>
      <c r="K1082"/>
      <c r="L1082"/>
      <c r="M1082"/>
      <c r="N1082"/>
      <c r="O1082"/>
      <c r="P1082"/>
      <c r="R1082" s="1"/>
      <c r="S1082" s="11"/>
      <c r="T1082" s="11"/>
      <c r="U1082" s="11"/>
      <c r="V1082" s="11"/>
      <c r="W1082" s="11"/>
      <c r="AF1082"/>
    </row>
    <row r="1083" spans="1:32" ht="12.75" customHeight="1" x14ac:dyDescent="0.25">
      <c r="A1083" s="276" t="s">
        <v>177</v>
      </c>
      <c r="B1083" s="276"/>
      <c r="C1083" s="276"/>
      <c r="D1083" s="276"/>
      <c r="E1083" s="276"/>
      <c r="F1083" s="276"/>
      <c r="G1083" s="276"/>
      <c r="H1083" s="276"/>
      <c r="I1083" s="276"/>
      <c r="J1083" s="276"/>
      <c r="K1083" s="276"/>
      <c r="L1083" s="276"/>
      <c r="M1083" s="276"/>
      <c r="N1083" s="276"/>
      <c r="O1083" s="276"/>
      <c r="P1083" s="276"/>
      <c r="Q1083" s="6"/>
      <c r="R1083" s="1"/>
      <c r="S1083" s="11"/>
      <c r="T1083" s="11"/>
      <c r="U1083" s="11"/>
      <c r="V1083" s="11"/>
      <c r="W1083" s="11"/>
      <c r="AF1083" s="14"/>
    </row>
    <row r="1084" spans="1:32" ht="12.75" customHeight="1" x14ac:dyDescent="0.25">
      <c r="A1084" s="15" t="s">
        <v>165</v>
      </c>
      <c r="H1084" s="110" t="str">
        <f>IF($Q1086&lt;&gt;"",IF(AND(AND($H1086&gt;-1,$H1088&gt;-1),OR($H1086&gt;10,$H1088&gt;10),ABS($H1086-$H1088)&gt;1,IF(OR($H1086&gt;11,$H1088&gt;11),ABS($H1086-$H1088)=2,TRUE),$H1086=INT($H1086),$H1088=INT($H1088)),"","Error"),"")</f>
        <v/>
      </c>
      <c r="I1084" s="110" t="str">
        <f>IF($Q1086&lt;&gt;"",IF(AND(AND($I1086&gt;-1,$I1088&gt;-1),OR($I1086&gt;10,$I1088&gt;10),ABS($I1086-$I1088)&gt;1,IF(OR($I1086&gt;11,$I1088&gt;11),ABS($I1086-$I1088)=2,TRUE),$I1086=INT($I1086),$I1088=INT($I1088)),"","Error"),"")</f>
        <v/>
      </c>
      <c r="J1084" s="110" t="str">
        <f>IF($Q1086&lt;&gt;"",IF(AND(AND($J1086&gt;-1,$J1088&gt;-1),OR($J1086&gt;10,$J1088&gt;10),ABS($J1086-$J1088)&gt;1,IF(OR($J1086&gt;11,$J1088&gt;11),ABS($J1086-$J1088)=2,TRUE),$J1086=INT($J1086),$J1088=INT($J1088)),"","Error"),"")</f>
        <v/>
      </c>
      <c r="K1084" s="110" t="str">
        <f>IF($Q1086&lt;&gt;"",IF(AND($K1086&lt;&gt;"",$K1088&lt;&gt;""), IF(AND(AND($K1086&gt;-1,$K1088&gt;-1),OR($K1086&gt;10,$K1088&gt;10),ABS($K1086-$K1088)&gt;1,IF(OR($K1086&gt;11,$K1088&gt;11),ABS($K1086-$K1088)=2,TRUE),$K1086=INT($K1086),$K1088=INT($K1088)),"","Error"),""),"")</f>
        <v/>
      </c>
      <c r="L1084" s="110" t="str">
        <f>IF($Q1086&lt;&gt;"",IF(AND($L1086&lt;&gt;"",$L1088&lt;&gt;""), IF(AND(AND($L1086&gt;-1,$L1088&gt;-1),OR($L1086&gt;10,$L1088&gt;10),ABS($L1086-$L1088)&gt;1,IF(OR($L1086&gt;11,$L1088&gt;11),ABS($L1086-$L1088)=2,TRUE),$L1086=INT($L1086),$L1088=INT($L1088)),"","Error"),""),"")</f>
        <v/>
      </c>
      <c r="R1084" s="1"/>
      <c r="S1084" s="11"/>
      <c r="T1084" s="11"/>
      <c r="U1084" s="11"/>
      <c r="V1084" s="11"/>
      <c r="W1084" s="11"/>
    </row>
    <row r="1085" spans="1:32" ht="12.75" customHeight="1" x14ac:dyDescent="0.25">
      <c r="A1085" s="5" t="s">
        <v>160</v>
      </c>
      <c r="B1085" s="256" t="s">
        <v>58</v>
      </c>
      <c r="C1085" s="257"/>
      <c r="D1085" s="257"/>
      <c r="E1085" s="257"/>
      <c r="F1085" s="257"/>
      <c r="G1085" s="258"/>
      <c r="H1085" s="5">
        <v>1</v>
      </c>
      <c r="I1085" s="5">
        <v>2</v>
      </c>
      <c r="J1085" s="5">
        <v>3</v>
      </c>
      <c r="K1085" s="5">
        <v>4</v>
      </c>
      <c r="L1085" s="5">
        <v>5</v>
      </c>
      <c r="M1085" s="270"/>
      <c r="N1085" s="271"/>
      <c r="O1085" s="271"/>
      <c r="P1085" s="272"/>
      <c r="R1085" s="1"/>
      <c r="S1085" s="11"/>
      <c r="T1085" s="11"/>
      <c r="U1085" s="11"/>
      <c r="V1085" s="11"/>
      <c r="W1085" s="11"/>
    </row>
    <row r="1086" spans="1:32" ht="12.75" customHeight="1" x14ac:dyDescent="0.25">
      <c r="A1086" s="259" t="str">
        <f>B1080</f>
        <v>F</v>
      </c>
      <c r="B1086" s="236" t="str">
        <f ca="1">IF(AND(OFFSET($AO$1,$C1080-1,8,1,1),$A1081&lt;&gt;"",$J1081&lt;&gt;""),CHOOSE($C1080,$AO$1,$AO$2,$AO$3,$AO$4,$AO$5,$AO$6,$AO$7,$AO$8,$AO$9,$AO$10,$AO$11,$AO$12),"")</f>
        <v/>
      </c>
      <c r="C1086" s="237"/>
      <c r="D1086" s="237"/>
      <c r="E1086" s="237"/>
      <c r="F1086" s="237"/>
      <c r="G1086" s="237"/>
      <c r="H1086" s="233"/>
      <c r="I1086" s="233"/>
      <c r="J1086" s="233"/>
      <c r="K1086" s="233"/>
      <c r="L1086" s="233"/>
      <c r="M1086" s="281"/>
      <c r="N1086" s="282"/>
      <c r="O1086" s="282"/>
      <c r="P1086" s="283"/>
      <c r="Q1086" s="40" t="str">
        <f>IF($L1086=$L1088,IF($K1086=$K1088,IF($J1086&lt;&gt;"",IF($J1086&gt;$J1088,"W","L"),""),IF($K1086&gt;$K1088,"W","L")),IF($L1086&gt;$L1088,"W","L"))</f>
        <v/>
      </c>
      <c r="R1086" s="1"/>
      <c r="S1086" s="11"/>
      <c r="T1086" s="11"/>
      <c r="U1086" s="11"/>
      <c r="V1086" s="11"/>
      <c r="W1086" s="11"/>
    </row>
    <row r="1087" spans="1:32" ht="12.75" customHeight="1" x14ac:dyDescent="0.25">
      <c r="A1087" s="260"/>
      <c r="B1087" s="238"/>
      <c r="C1087" s="239"/>
      <c r="D1087" s="239"/>
      <c r="E1087" s="239"/>
      <c r="F1087" s="239"/>
      <c r="G1087" s="239"/>
      <c r="H1087" s="234"/>
      <c r="I1087" s="234"/>
      <c r="J1087" s="234"/>
      <c r="K1087" s="234"/>
      <c r="L1087" s="234"/>
      <c r="M1087" s="281"/>
      <c r="N1087" s="282"/>
      <c r="O1087" s="282"/>
      <c r="P1087" s="283"/>
      <c r="Q1087" s="110" t="str">
        <f>IF($Q1086&lt;&gt;"",IF($Q1086="W",IF(SUM(IF($H1086&gt;$H1088,1,0),IF($I1086&gt;$I1088,1,0),IF($J1086&gt;$J1088,1,0),IF($K1086&gt;$K1088,1,0),IF($L1086&gt;$L1088,1,0))&lt;&gt;3,"Error",""),""),"")</f>
        <v/>
      </c>
      <c r="R1087" s="295" t="str">
        <f>$A1081</f>
        <v/>
      </c>
      <c r="S1087" s="295"/>
      <c r="T1087" s="295"/>
      <c r="U1087" s="295"/>
      <c r="V1087" s="295"/>
      <c r="W1087" s="295"/>
      <c r="X1087" s="219" t="str">
        <f>CONCATENATE("(",$B1080," vs ",$K1080,")")</f>
        <v>(F vs L)</v>
      </c>
      <c r="Y1087" s="219"/>
      <c r="Z1087" s="295" t="str">
        <f>$J1081</f>
        <v/>
      </c>
      <c r="AA1087" s="295"/>
      <c r="AB1087" s="295"/>
      <c r="AC1087" s="295"/>
      <c r="AD1087" s="295"/>
      <c r="AE1087" s="295"/>
      <c r="AF1087"/>
    </row>
    <row r="1088" spans="1:32" ht="12.75" customHeight="1" x14ac:dyDescent="0.25">
      <c r="A1088" s="259" t="str">
        <f>K1080</f>
        <v>L</v>
      </c>
      <c r="B1088" s="236" t="str">
        <f ca="1">IF(AND(OFFSET($AO$1,$L1080-1,8,1,1),$A1081&lt;&gt;"",$J1081&lt;&gt;""),CHOOSE($L1080,$AO$1,$AO$2,$AO$3,$AO$4,$AO$5,$AO$6,$AO$7,$AO$8,$AO$9,$AO$10,$AO$11,$AO$12),"")</f>
        <v/>
      </c>
      <c r="C1088" s="237"/>
      <c r="D1088" s="237"/>
      <c r="E1088" s="237"/>
      <c r="F1088" s="237"/>
      <c r="G1088" s="237"/>
      <c r="H1088" s="233"/>
      <c r="I1088" s="233"/>
      <c r="J1088" s="233"/>
      <c r="K1088" s="233"/>
      <c r="L1088" s="233"/>
      <c r="M1088" s="250" t="s">
        <v>169</v>
      </c>
      <c r="N1088" s="251"/>
      <c r="O1088" s="251"/>
      <c r="P1088" s="252"/>
      <c r="Q1088" s="40" t="str">
        <f>IF($Q1086&lt;&gt;"",IF($Q1086="W","L","W"),"")</f>
        <v/>
      </c>
      <c r="R1088"/>
      <c r="S1088"/>
      <c r="T1088"/>
      <c r="U1088"/>
      <c r="V1088"/>
      <c r="W1088"/>
      <c r="X1088"/>
      <c r="Y1088"/>
      <c r="Z1088"/>
      <c r="AA1088"/>
      <c r="AB1088"/>
      <c r="AC1088"/>
      <c r="AD1088"/>
      <c r="AE1088"/>
      <c r="AF1088"/>
    </row>
    <row r="1089" spans="1:32" ht="12.75" customHeight="1" x14ac:dyDescent="0.25">
      <c r="A1089" s="260"/>
      <c r="B1089" s="238"/>
      <c r="C1089" s="239"/>
      <c r="D1089" s="239"/>
      <c r="E1089" s="239"/>
      <c r="F1089" s="239"/>
      <c r="G1089" s="239"/>
      <c r="H1089" s="234"/>
      <c r="I1089" s="234"/>
      <c r="J1089" s="235"/>
      <c r="K1089" s="235"/>
      <c r="L1089" s="235"/>
      <c r="M1089" s="250"/>
      <c r="N1089" s="251"/>
      <c r="O1089" s="251"/>
      <c r="P1089" s="252"/>
      <c r="Q1089" s="110" t="str">
        <f>IF($Q1088&lt;&gt;"",IF($Q1088="W",IF(SUM(IF($H1088&gt;$H1086,1,0),IF($I1088&gt;$I1086,1,0),IF($J1088&gt;$J1086,1,0),IF($K1088&gt;$K1086,1,0),IF($L1088&gt;$L1086,1,0))&lt;&gt;3,"Error",""),""),"")</f>
        <v/>
      </c>
      <c r="R1089" t="str">
        <f>$A1091</f>
        <v>2nd Singles</v>
      </c>
      <c r="S1089"/>
      <c r="T1089"/>
      <c r="U1089"/>
      <c r="V1089"/>
      <c r="W1089"/>
      <c r="X1089"/>
      <c r="Y1089"/>
      <c r="Z1089"/>
      <c r="AA1089"/>
      <c r="AB1089"/>
      <c r="AC1089"/>
      <c r="AD1089"/>
      <c r="AE1089"/>
      <c r="AF1089"/>
    </row>
    <row r="1090" spans="1:32" ht="12.75" customHeight="1" x14ac:dyDescent="0.25">
      <c r="Q1090" s="6"/>
      <c r="R1090" s="47" t="s">
        <v>160</v>
      </c>
      <c r="S1090" s="304" t="s">
        <v>58</v>
      </c>
      <c r="T1090" s="305"/>
      <c r="U1090" s="305"/>
      <c r="V1090" s="305"/>
      <c r="W1090" s="305"/>
      <c r="X1090" s="306"/>
      <c r="Y1090" s="47">
        <v>1</v>
      </c>
      <c r="Z1090" s="47">
        <v>2</v>
      </c>
      <c r="AA1090" s="47">
        <v>3</v>
      </c>
      <c r="AB1090" s="47">
        <v>4</v>
      </c>
      <c r="AC1090" s="47">
        <v>5</v>
      </c>
      <c r="AD1090" s="286"/>
      <c r="AE1090" s="287"/>
      <c r="AF1090" s="288"/>
    </row>
    <row r="1091" spans="1:32" ht="12.75" customHeight="1" x14ac:dyDescent="0.25">
      <c r="A1091" s="15" t="s">
        <v>166</v>
      </c>
      <c r="H1091" s="110" t="str">
        <f>IF($Q1093&lt;&gt;"",IF(AND(AND($H1093&gt;-1,$H1095&gt;-1),OR($H1093&gt;10,$H1095&gt;10),ABS($H1093-$H1095)&gt;1,IF(OR($H1093&gt;11,$H1095&gt;11),ABS($H1093-$H1095)=2,TRUE),$H1093=INT($H1093),$H1095=INT($H1095)),"","Error"),"")</f>
        <v/>
      </c>
      <c r="I1091" s="110" t="str">
        <f>IF($Q1093&lt;&gt;"",IF(AND(AND($I1093&gt;-1,$I1095&gt;-1),OR($I1093&gt;10,$I1095&gt;10),ABS($I1093-$I1095)&gt;1,IF(OR($I1093&gt;11,$I1095&gt;11),ABS($I1093-$I1095)=2,TRUE),$I1093=INT($I1093),$I1095=INT($I1095)),"","Error"),"")</f>
        <v/>
      </c>
      <c r="J1091" s="110" t="str">
        <f>IF($Q1093&lt;&gt;"",IF(AND(AND($J1093&gt;-1,$J1095&gt;-1),OR($J1093&gt;10,$J1095&gt;10),ABS($J1093-$J1095)&gt;1,IF(OR($J1093&gt;11,$J1095&gt;11),ABS($J1093-$J1095)=2,TRUE),$J1093=INT($J1093),$J1095=INT($J1095)),"","Error"),"")</f>
        <v/>
      </c>
      <c r="K1091" s="110" t="str">
        <f>IF($Q1093&lt;&gt;"",IF(AND($K1093&lt;&gt;"",$K1095&lt;&gt;""), IF(AND(AND($K1093&gt;-1,$K1095&gt;-1),OR($K1093&gt;10,$K1095&gt;10),ABS($K1093-$K1095)&gt;1,IF(OR($K1093&gt;11,$K1095&gt;11),ABS($K1093-$K1095)=2,TRUE),$K1093=INT($K1093),$K1095=INT($K1095)),"","Error"),""),"")</f>
        <v/>
      </c>
      <c r="L1091" s="110" t="str">
        <f>IF($Q1093&lt;&gt;"",IF(AND($L1093&lt;&gt;"",$L1095&lt;&gt;""), IF(AND(AND($L1093&gt;-1,$L1095&gt;-1),OR($L1093&gt;10,$L1095&gt;10),ABS($L1093-$L1095)&gt;1,IF(OR($L1093&gt;11,$L1095&gt;11),ABS($L1093-$L1095)=2,TRUE),$L1093=INT($L1093),$L1095=INT($L1095)),"","Error"),""),"")</f>
        <v/>
      </c>
      <c r="Q1091" s="6"/>
      <c r="R1091" s="259" t="str">
        <f>$B1080</f>
        <v>F</v>
      </c>
      <c r="S1091" s="307" t="str">
        <f ca="1">IF($B1093&lt;&gt;"",$B1093,"")</f>
        <v/>
      </c>
      <c r="T1091" s="308"/>
      <c r="U1091" s="308"/>
      <c r="V1091" s="308"/>
      <c r="W1091" s="308"/>
      <c r="X1091" s="309"/>
      <c r="Y1091" s="284"/>
      <c r="Z1091" s="284"/>
      <c r="AA1091" s="284"/>
      <c r="AB1091" s="284"/>
      <c r="AC1091" s="284"/>
      <c r="AD1091" s="296"/>
      <c r="AE1091" s="290"/>
      <c r="AF1091" s="291"/>
    </row>
    <row r="1092" spans="1:32" ht="12.75" customHeight="1" x14ac:dyDescent="0.25">
      <c r="A1092" s="5" t="s">
        <v>160</v>
      </c>
      <c r="B1092" s="256" t="s">
        <v>58</v>
      </c>
      <c r="C1092" s="257"/>
      <c r="D1092" s="257"/>
      <c r="E1092" s="257"/>
      <c r="F1092" s="257"/>
      <c r="G1092" s="258"/>
      <c r="H1092" s="5">
        <v>1</v>
      </c>
      <c r="I1092" s="5">
        <v>2</v>
      </c>
      <c r="J1092" s="5">
        <v>3</v>
      </c>
      <c r="K1092" s="5">
        <v>4</v>
      </c>
      <c r="L1092" s="5">
        <v>5</v>
      </c>
      <c r="M1092" s="270"/>
      <c r="N1092" s="271"/>
      <c r="O1092" s="271"/>
      <c r="P1092" s="272"/>
      <c r="Q1092" s="6"/>
      <c r="R1092" s="285"/>
      <c r="S1092" s="310"/>
      <c r="T1092" s="311"/>
      <c r="U1092" s="311"/>
      <c r="V1092" s="311"/>
      <c r="W1092" s="311"/>
      <c r="X1092" s="312"/>
      <c r="Y1092" s="285"/>
      <c r="Z1092" s="285"/>
      <c r="AA1092" s="285"/>
      <c r="AB1092" s="285"/>
      <c r="AC1092" s="285"/>
      <c r="AD1092" s="292"/>
      <c r="AE1092" s="293"/>
      <c r="AF1092" s="294"/>
    </row>
    <row r="1093" spans="1:32" ht="12.75" customHeight="1" x14ac:dyDescent="0.25">
      <c r="A1093" s="259" t="str">
        <f>B1080</f>
        <v>F</v>
      </c>
      <c r="B1093" s="236" t="str">
        <f ca="1">IF(AND(OFFSET($AO$1,$C1080-1,8,1,1),$A1081&lt;&gt;"",$J1081&lt;&gt;""),CHOOSE($C1080,$AP$1,$AP$2,$AP$3,$AP$4,$AP$5,$AP$6,$AP$7,$AP$8,$AP$9,$AP$10,$AP$11,$AP$12),"")</f>
        <v/>
      </c>
      <c r="C1093" s="237"/>
      <c r="D1093" s="237"/>
      <c r="E1093" s="237"/>
      <c r="F1093" s="237"/>
      <c r="G1093" s="237"/>
      <c r="H1093" s="233"/>
      <c r="I1093" s="233"/>
      <c r="J1093" s="233"/>
      <c r="K1093" s="233"/>
      <c r="L1093" s="233"/>
      <c r="M1093" s="245" t="str">
        <f ca="1">IF(OR(AND($B1086&lt;&gt;"",$B1093&lt;&gt;"",$C1111&lt;=$B1111),AND($B1088&lt;&gt;"",$B1095&lt;&gt;"",$G1111&lt;=$F1111)),"Invalid Lineup","")</f>
        <v/>
      </c>
      <c r="N1093" s="246"/>
      <c r="O1093" s="246"/>
      <c r="P1093" s="247"/>
      <c r="Q1093" s="40" t="str">
        <f>IF($L1093=$L1095,IF($K1093=$K1095,IF($J1093&lt;&gt;"",IF($J1093&gt;$J1095,"W","L"),""),IF($K1093&gt;$K1095,"W","L")),IF($L1093&gt;$L1095,"W","L"))</f>
        <v/>
      </c>
      <c r="R1093" s="259" t="str">
        <f>$K1080</f>
        <v>L</v>
      </c>
      <c r="S1093" s="307" t="str">
        <f ca="1">IF($B1095&lt;&gt;"",$B1095,"")</f>
        <v/>
      </c>
      <c r="T1093" s="308"/>
      <c r="U1093" s="308"/>
      <c r="V1093" s="308"/>
      <c r="W1093" s="308"/>
      <c r="X1093" s="309"/>
      <c r="Y1093" s="284"/>
      <c r="Z1093" s="284"/>
      <c r="AA1093" s="284"/>
      <c r="AB1093" s="284"/>
      <c r="AC1093" s="297"/>
      <c r="AD1093" s="289" t="s">
        <v>169</v>
      </c>
      <c r="AE1093" s="290"/>
      <c r="AF1093" s="291"/>
    </row>
    <row r="1094" spans="1:32" ht="12.75" customHeight="1" x14ac:dyDescent="0.25">
      <c r="A1094" s="260"/>
      <c r="B1094" s="238"/>
      <c r="C1094" s="239"/>
      <c r="D1094" s="239"/>
      <c r="E1094" s="239"/>
      <c r="F1094" s="239"/>
      <c r="G1094" s="239"/>
      <c r="H1094" s="234"/>
      <c r="I1094" s="234"/>
      <c r="J1094" s="234"/>
      <c r="K1094" s="234"/>
      <c r="L1094" s="234"/>
      <c r="M1094" s="245"/>
      <c r="N1094" s="246"/>
      <c r="O1094" s="246"/>
      <c r="P1094" s="247"/>
      <c r="Q1094" s="110" t="str">
        <f>IF($Q1093&lt;&gt;"",IF($Q1093="W",IF(SUM(IF($H1093&gt;$H1095,1,0),IF($I1093&gt;$I1095,1,0),IF($J1093&gt;$J1095,1,0),IF($K1093&gt;$K1095,1,0),IF($L1093&gt;$L1095,1,0))&lt;&gt;3,"Error",""),""),"")</f>
        <v/>
      </c>
      <c r="R1094" s="285"/>
      <c r="S1094" s="310"/>
      <c r="T1094" s="311"/>
      <c r="U1094" s="311"/>
      <c r="V1094" s="311"/>
      <c r="W1094" s="311"/>
      <c r="X1094" s="312"/>
      <c r="Y1094" s="285"/>
      <c r="Z1094" s="285"/>
      <c r="AA1094" s="285"/>
      <c r="AB1094" s="285"/>
      <c r="AC1094" s="285"/>
      <c r="AD1094" s="292"/>
      <c r="AE1094" s="293"/>
      <c r="AF1094" s="294"/>
    </row>
    <row r="1095" spans="1:32" ht="12.75" customHeight="1" x14ac:dyDescent="0.25">
      <c r="A1095" s="259" t="str">
        <f>K1080</f>
        <v>L</v>
      </c>
      <c r="B1095" s="236" t="str">
        <f ca="1">IF(AND(OFFSET($AO$1,$L1080-1,8,1,1),$A1081&lt;&gt;"",$J1081&lt;&gt;""),CHOOSE($L1080,$AP$1,$AP$2,$AP$3,$AP$4,$AP$5,$AP$6,$AP$7,$AP$8,$AP$9,$AP$10,$AP$11,$AP$12),"")</f>
        <v/>
      </c>
      <c r="C1095" s="237"/>
      <c r="D1095" s="237"/>
      <c r="E1095" s="237"/>
      <c r="F1095" s="237"/>
      <c r="G1095" s="237"/>
      <c r="H1095" s="233"/>
      <c r="I1095" s="233"/>
      <c r="J1095" s="233"/>
      <c r="K1095" s="233"/>
      <c r="L1095" s="233"/>
      <c r="M1095" s="250" t="s">
        <v>169</v>
      </c>
      <c r="N1095" s="251"/>
      <c r="O1095" s="251"/>
      <c r="P1095" s="252"/>
      <c r="Q1095" s="40" t="str">
        <f>IF($Q1093&lt;&gt;"",IF($Q1093="W","L","W"),"")</f>
        <v/>
      </c>
      <c r="R1095" s="14"/>
      <c r="S1095" s="14"/>
      <c r="T1095" s="14"/>
      <c r="U1095" s="14"/>
      <c r="V1095" s="14"/>
      <c r="W1095" s="14"/>
      <c r="X1095" s="7"/>
      <c r="Y1095" s="7"/>
      <c r="Z1095" s="14"/>
      <c r="AA1095" s="14"/>
      <c r="AB1095" s="14"/>
      <c r="AC1095" s="14"/>
      <c r="AD1095" s="14"/>
      <c r="AE1095" s="14"/>
      <c r="AF1095"/>
    </row>
    <row r="1096" spans="1:32" ht="12.75" customHeight="1" x14ac:dyDescent="0.25">
      <c r="A1096" s="260"/>
      <c r="B1096" s="238"/>
      <c r="C1096" s="239"/>
      <c r="D1096" s="239"/>
      <c r="E1096" s="239"/>
      <c r="F1096" s="239"/>
      <c r="G1096" s="239"/>
      <c r="H1096" s="234"/>
      <c r="I1096" s="234"/>
      <c r="J1096" s="235"/>
      <c r="K1096" s="235"/>
      <c r="L1096" s="235"/>
      <c r="M1096" s="250"/>
      <c r="N1096" s="251"/>
      <c r="O1096" s="251"/>
      <c r="P1096" s="252"/>
      <c r="Q1096" s="110" t="str">
        <f>IF($Q1095&lt;&gt;"",IF($Q1095="W",IF(SUM(IF($H1095&gt;$H1093,1,0),IF($I1095&gt;$I1093,1,0),IF($J1095&gt;$J1093,1,0),IF($K1095&gt;$K1093,1,0),IF($L1095&gt;$L1093,1,0))&lt;&gt;3,"Error",""),""),"")</f>
        <v/>
      </c>
      <c r="R1096" s="14"/>
      <c r="S1096" s="14"/>
      <c r="T1096" s="14"/>
      <c r="U1096" s="14"/>
      <c r="V1096" s="14"/>
      <c r="W1096" s="14"/>
      <c r="X1096" s="7"/>
      <c r="Y1096" s="7"/>
      <c r="Z1096" s="14"/>
      <c r="AA1096" s="14"/>
      <c r="AB1096" s="14"/>
      <c r="AC1096" s="14"/>
      <c r="AD1096" s="14"/>
      <c r="AE1096" s="14"/>
      <c r="AF1096"/>
    </row>
    <row r="1097" spans="1:32" ht="12.75" customHeight="1" x14ac:dyDescent="0.25">
      <c r="Q1097" s="6"/>
      <c r="R1097" s="14"/>
      <c r="S1097" s="14"/>
      <c r="T1097" s="14"/>
      <c r="U1097" s="14"/>
      <c r="V1097" s="14"/>
      <c r="W1097" s="14"/>
      <c r="X1097" s="7"/>
      <c r="Y1097" s="7"/>
      <c r="Z1097" s="14"/>
      <c r="AA1097" s="14"/>
      <c r="AB1097" s="14"/>
      <c r="AC1097" s="14"/>
      <c r="AD1097" s="14"/>
      <c r="AE1097" s="14"/>
      <c r="AF1097"/>
    </row>
    <row r="1098" spans="1:32" ht="12.75" customHeight="1" x14ac:dyDescent="0.25">
      <c r="A1098" s="15" t="s">
        <v>167</v>
      </c>
      <c r="H1098" s="110" t="str">
        <f>IF($Q1100&lt;&gt;"",IF(AND(AND($H1100&gt;-1,$H1102&gt;-1),OR($H1100&gt;10,$H1102&gt;10),ABS($H1100-$H1102)&gt;1,IF(OR($H1100&gt;11,$H1102&gt;11),ABS($H1100-$H1102)=2,TRUE),$H1100=INT($H1100),$H1102=INT($H1102)),"","Error"),"")</f>
        <v/>
      </c>
      <c r="I1098" s="110" t="str">
        <f>IF($Q1100&lt;&gt;"",IF(AND(AND($I1100&gt;-1,$I1102&gt;-1),OR($I1100&gt;10,$I1102&gt;10),ABS($I1100-$I1102)&gt;1,IF(OR($I1100&gt;11,$I1102&gt;11),ABS($I1100-$I1102)=2,TRUE),$I1100=INT($I1100),$I1102=INT($I1102)),"","Error"),"")</f>
        <v/>
      </c>
      <c r="J1098" s="110" t="str">
        <f>IF($Q1100&lt;&gt;"",IF(AND(AND($J1100&gt;-1,$J1102&gt;-1),OR($J1100&gt;10,$J1102&gt;10),ABS($J1100-$J1102)&gt;1,IF(OR($J1100&gt;11,$J1102&gt;11),ABS($J1100-$J1102)=2,TRUE),$J1100=INT($J1100),$J1102=INT($J1102)),"","Error"),"")</f>
        <v/>
      </c>
      <c r="K1098" s="110" t="str">
        <f>IF($Q1100&lt;&gt;"",IF(AND($K1100&lt;&gt;"",$K1102&lt;&gt;""), IF(AND(AND($K1100&gt;-1,$K1102&gt;-1),OR($K1100&gt;10,$K1102&gt;10),ABS($K1100-$K1102)&gt;1,IF(OR($K1100&gt;11,$K1102&gt;11),ABS($K1100-$K1102)=2,TRUE),$K1100=INT($K1100),$K1102=INT($K1102)),"","Error"),""),"")</f>
        <v/>
      </c>
      <c r="L1098" s="110" t="str">
        <f>IF($Q1100&lt;&gt;"",IF(AND($L1100&lt;&gt;"",$L1102&lt;&gt;""), IF(AND(AND($L1100&gt;-1,$L1102&gt;-1),OR($L1100&gt;10,$L1102&gt;10),ABS($L1100-$L1102)&gt;1,IF(OR($L1100&gt;11,$L1102&gt;11),ABS($L1100-$L1102)=2,TRUE),$L1100=INT($L1100),$L1102=INT($L1102)),"","Error"),""),"")</f>
        <v/>
      </c>
      <c r="Q1098" s="6"/>
      <c r="R1098" s="14"/>
      <c r="S1098" s="14"/>
      <c r="T1098" s="14"/>
      <c r="U1098" s="14"/>
      <c r="V1098" s="14"/>
      <c r="W1098" s="14"/>
      <c r="X1098" s="7"/>
      <c r="Y1098" s="7"/>
      <c r="Z1098" s="14"/>
      <c r="AA1098" s="14"/>
      <c r="AB1098" s="14"/>
      <c r="AC1098" s="14"/>
      <c r="AD1098" s="14"/>
      <c r="AE1098" s="14"/>
      <c r="AF1098"/>
    </row>
    <row r="1099" spans="1:32" ht="12.75" customHeight="1" x14ac:dyDescent="0.25">
      <c r="A1099" s="5" t="s">
        <v>160</v>
      </c>
      <c r="B1099" s="256" t="s">
        <v>58</v>
      </c>
      <c r="C1099" s="257"/>
      <c r="D1099" s="257"/>
      <c r="E1099" s="257"/>
      <c r="F1099" s="257"/>
      <c r="G1099" s="258"/>
      <c r="H1099" s="5">
        <v>1</v>
      </c>
      <c r="I1099" s="5">
        <v>2</v>
      </c>
      <c r="J1099" s="5">
        <v>3</v>
      </c>
      <c r="K1099" s="5">
        <v>4</v>
      </c>
      <c r="L1099" s="5">
        <v>5</v>
      </c>
      <c r="M1099" s="270"/>
      <c r="N1099" s="271"/>
      <c r="O1099" s="271"/>
      <c r="P1099" s="272"/>
      <c r="Q1099" s="6"/>
      <c r="R1099" s="14"/>
      <c r="S1099" s="14"/>
      <c r="T1099" s="14"/>
      <c r="U1099" s="14"/>
      <c r="V1099" s="14"/>
      <c r="W1099" s="14"/>
      <c r="X1099" s="7"/>
      <c r="Y1099" s="7"/>
      <c r="Z1099" s="14"/>
      <c r="AA1099" s="14"/>
      <c r="AB1099" s="14"/>
      <c r="AC1099" s="14"/>
      <c r="AD1099" s="14"/>
      <c r="AE1099" s="14"/>
      <c r="AF1099"/>
    </row>
    <row r="1100" spans="1:32" ht="12.75" customHeight="1" x14ac:dyDescent="0.25">
      <c r="A1100" s="259" t="str">
        <f>B1080</f>
        <v>F</v>
      </c>
      <c r="B1100" s="236" t="str">
        <f ca="1">IF(AND(OFFSET($AO$1,$C1080-1,8,1,1),$A1081&lt;&gt;"",$J1081&lt;&gt;""),CHOOSE($C1080,$AQ$1,$AQ$2,$AQ$3,$AQ$4,$AQ$5,$AQ$6,$AQ$7,$AQ$8,$AQ$9,$AQ$10,$AQ$11,$AQ$12),"")</f>
        <v/>
      </c>
      <c r="C1100" s="237"/>
      <c r="D1100" s="237"/>
      <c r="E1100" s="237"/>
      <c r="F1100" s="237"/>
      <c r="G1100" s="237"/>
      <c r="H1100" s="233"/>
      <c r="I1100" s="233"/>
      <c r="J1100" s="233"/>
      <c r="K1100" s="233"/>
      <c r="L1100" s="233"/>
      <c r="M1100" s="245" t="str">
        <f ca="1">IF(OR(AND($B1093&lt;&gt;"",$B1100&lt;&gt;"",$D1111&lt;=$C1111),AND($B1095&lt;&gt;"",$B1102&lt;&gt;"",$H1111&lt;=$G1111)),"Invalid Lineup","")</f>
        <v/>
      </c>
      <c r="N1100" s="246"/>
      <c r="O1100" s="246"/>
      <c r="P1100" s="247"/>
      <c r="Q1100" s="40" t="str">
        <f>IF($L1100=$L1102,IF($K1100=$K1102,IF($J1100&lt;&gt;"",IF($J1100&gt;$J1102,"W","L"),""),IF($K1100&gt;$K1102,"W","L")),IF($L1100&gt;$L1102,"W","L"))</f>
        <v/>
      </c>
      <c r="R1100" s="14"/>
      <c r="S1100" s="14"/>
      <c r="T1100" s="14"/>
      <c r="U1100" s="14"/>
      <c r="V1100" s="14"/>
      <c r="W1100" s="14"/>
      <c r="X1100" s="7"/>
      <c r="Y1100" s="7"/>
      <c r="Z1100" s="14"/>
      <c r="AA1100" s="14"/>
      <c r="AB1100" s="14"/>
      <c r="AC1100" s="14"/>
      <c r="AD1100" s="14"/>
      <c r="AE1100" s="14"/>
      <c r="AF1100"/>
    </row>
    <row r="1101" spans="1:32" ht="12.75" customHeight="1" x14ac:dyDescent="0.25">
      <c r="A1101" s="260"/>
      <c r="B1101" s="238"/>
      <c r="C1101" s="239"/>
      <c r="D1101" s="239"/>
      <c r="E1101" s="239"/>
      <c r="F1101" s="239"/>
      <c r="G1101" s="239"/>
      <c r="H1101" s="234"/>
      <c r="I1101" s="234"/>
      <c r="J1101" s="234"/>
      <c r="K1101" s="234"/>
      <c r="L1101" s="234"/>
      <c r="M1101" s="245"/>
      <c r="N1101" s="246"/>
      <c r="O1101" s="246"/>
      <c r="P1101" s="247"/>
      <c r="Q1101" s="110" t="str">
        <f>IF($Q1100&lt;&gt;"",IF($Q1100="W",IF(SUM(IF($H1100&gt;$H1102,1,0),IF($I1100&gt;$I1102,1,0),IF($J1100&gt;$J1102,1,0),IF($K1100&gt;$K1102,1,0),IF($L1100&gt;$L1102,1,0))&lt;&gt;3,"Error",""),""),"")</f>
        <v/>
      </c>
      <c r="R1101" s="295" t="str">
        <f>$A1081</f>
        <v/>
      </c>
      <c r="S1101" s="295"/>
      <c r="T1101" s="295"/>
      <c r="U1101" s="295"/>
      <c r="V1101" s="295"/>
      <c r="W1101" s="295"/>
      <c r="X1101" s="219" t="str">
        <f>CONCATENATE("(",$B1080," vs ",$K1080,")")</f>
        <v>(F vs L)</v>
      </c>
      <c r="Y1101" s="219"/>
      <c r="Z1101" s="295" t="str">
        <f>$J1081</f>
        <v/>
      </c>
      <c r="AA1101" s="295"/>
      <c r="AB1101" s="295"/>
      <c r="AC1101" s="295"/>
      <c r="AD1101" s="295"/>
      <c r="AE1101" s="295"/>
      <c r="AF1101"/>
    </row>
    <row r="1102" spans="1:32" ht="12.75" customHeight="1" x14ac:dyDescent="0.25">
      <c r="A1102" s="259" t="str">
        <f>K1080</f>
        <v>L</v>
      </c>
      <c r="B1102" s="236" t="str">
        <f ca="1">IF(AND(OFFSET($AO$1,$L1080-1,8,1,1),$A1081&lt;&gt;"",$J1081&lt;&gt;""),CHOOSE($L1080,$AQ$1,$AQ$2,$AQ$3,$AQ$4,$AQ$5,$AQ$6,$AQ$7,$AQ$8,$AQ$9,$AQ$10,$AQ$11,$AQ$12),"")</f>
        <v/>
      </c>
      <c r="C1102" s="237"/>
      <c r="D1102" s="237"/>
      <c r="E1102" s="237"/>
      <c r="F1102" s="237"/>
      <c r="G1102" s="237"/>
      <c r="H1102" s="233"/>
      <c r="I1102" s="233"/>
      <c r="J1102" s="233"/>
      <c r="K1102" s="233"/>
      <c r="L1102" s="233"/>
      <c r="M1102" s="250" t="s">
        <v>169</v>
      </c>
      <c r="N1102" s="251"/>
      <c r="O1102" s="251"/>
      <c r="P1102" s="252"/>
      <c r="Q1102" s="40" t="str">
        <f>IF($Q1100&lt;&gt;"",IF($Q1100="W","L","W"),"")</f>
        <v/>
      </c>
      <c r="R1102"/>
      <c r="S1102"/>
      <c r="T1102"/>
      <c r="U1102"/>
      <c r="V1102"/>
      <c r="W1102"/>
      <c r="X1102"/>
      <c r="Y1102"/>
      <c r="Z1102"/>
      <c r="AA1102"/>
      <c r="AB1102"/>
      <c r="AC1102"/>
      <c r="AD1102"/>
      <c r="AE1102"/>
      <c r="AF1102"/>
    </row>
    <row r="1103" spans="1:32" ht="12.75" customHeight="1" x14ac:dyDescent="0.25">
      <c r="A1103" s="260"/>
      <c r="B1103" s="238"/>
      <c r="C1103" s="239"/>
      <c r="D1103" s="239"/>
      <c r="E1103" s="239"/>
      <c r="F1103" s="239"/>
      <c r="G1103" s="239"/>
      <c r="H1103" s="234"/>
      <c r="I1103" s="234"/>
      <c r="J1103" s="235"/>
      <c r="K1103" s="235"/>
      <c r="L1103" s="235"/>
      <c r="M1103" s="250"/>
      <c r="N1103" s="251"/>
      <c r="O1103" s="251"/>
      <c r="P1103" s="252"/>
      <c r="Q1103" s="110" t="str">
        <f>IF($Q1102&lt;&gt;"",IF($Q1102="W",IF(SUM(IF($H1102&gt;$H1100,1,0),IF($I1102&gt;$I1100,1,0),IF($J1102&gt;$J1100,1,0),IF($K1102&gt;$K1100,1,0),IF($L1102&gt;$L1100,1,0))&lt;&gt;3,"Error",""),""),"")</f>
        <v/>
      </c>
      <c r="R1103" t="str">
        <f>$A1098</f>
        <v>3rd Singles</v>
      </c>
      <c r="S1103"/>
      <c r="T1103"/>
      <c r="U1103"/>
      <c r="V1103"/>
      <c r="W1103"/>
      <c r="X1103"/>
      <c r="Y1103"/>
      <c r="Z1103"/>
      <c r="AA1103"/>
      <c r="AB1103"/>
      <c r="AC1103"/>
      <c r="AD1103"/>
      <c r="AE1103"/>
      <c r="AF1103"/>
    </row>
    <row r="1104" spans="1:32" ht="12.75" customHeight="1" x14ac:dyDescent="0.25">
      <c r="Q1104" s="6"/>
      <c r="R1104" s="47" t="s">
        <v>160</v>
      </c>
      <c r="S1104" s="86" t="s">
        <v>58</v>
      </c>
      <c r="T1104" s="87"/>
      <c r="U1104" s="87"/>
      <c r="V1104" s="87"/>
      <c r="W1104" s="87"/>
      <c r="X1104" s="88"/>
      <c r="Y1104" s="47">
        <v>1</v>
      </c>
      <c r="Z1104" s="47">
        <v>2</v>
      </c>
      <c r="AA1104" s="47">
        <v>3</v>
      </c>
      <c r="AB1104" s="47">
        <v>4</v>
      </c>
      <c r="AC1104" s="47">
        <v>5</v>
      </c>
      <c r="AD1104" s="89"/>
      <c r="AE1104" s="90"/>
      <c r="AF1104" s="91"/>
    </row>
    <row r="1105" spans="1:32" ht="12.75" customHeight="1" x14ac:dyDescent="0.25">
      <c r="A1105" s="15" t="s">
        <v>168</v>
      </c>
      <c r="H1105" s="110" t="str">
        <f ca="1">IF($Q1107&lt;&gt;"",IF(AND($B1107&lt;&gt;"Missing Player",$B1109&lt;&gt;"Missing Player"),IF(AND(AND($H1107&gt;-1,$H1109&gt;-1),OR($H1107&gt;10,$H1109&gt;10),ABS($H1107-$H1109)&gt;1,IF(OR($H1107&gt;11,$H1109&gt;11),ABS($H1107-$H1109)=2,TRUE),$H1107=INT($H1107),$H1109=INT($H1109)),"","Error"),""),"")</f>
        <v/>
      </c>
      <c r="I1105" s="110" t="str">
        <f ca="1">IF($Q1107&lt;&gt;"",IF(AND($B1107&lt;&gt;"Missing Player",$B1109&lt;&gt;"Missing Player"),IF(AND(AND($I1107&gt;-1,$I1109&gt;-1),OR($I1107&gt;10,$I1109&gt;10),ABS($I1107-$I1109)&gt;1,IF(OR($I1107&gt;11,$I1109&gt;11),ABS($I1107-$I1109)=2,TRUE),$I1107=INT($I1107),$I1109=INT($I1109)),"","Error"),""),"")</f>
        <v/>
      </c>
      <c r="J1105" s="110" t="str">
        <f ca="1">IF($Q1107&lt;&gt;"",IF(AND($B1107&lt;&gt;"Missing Player",$B1109&lt;&gt;"Missing Player"),IF(AND(AND($J1107&gt;-1,$J1109&gt;-1),OR($J1107&gt;10,$J1109&gt;10),ABS($J1107-$J1109)&gt;1,IF(OR($J1107&gt;11,$J1109&gt;11),ABS($J1107-$J1109)=2,TRUE),$J1107=INT($J1107),$J1109=INT($J1109)),"","Error"),""),"")</f>
        <v/>
      </c>
      <c r="K1105" s="110" t="str">
        <f ca="1">IF($Q1107&lt;&gt;"",IF(AND($K1107&lt;&gt;"",$K1109&lt;&gt;""), IF(AND(AND($K1107&gt;-1,$K1109&gt;-1),OR($K1107&gt;10,$K1109&gt;10),ABS($K1107-$K1109)&gt;1,IF(OR($K1107&gt;11,$K1109&gt;11),ABS($K1107-$K1109)=2,TRUE),$K1107=INT($K1107),$K1109=INT($K1109)),"","Error"),""),"")</f>
        <v/>
      </c>
      <c r="L1105" s="110" t="str">
        <f ca="1">IF($Q1107&lt;&gt;"",IF(AND($L1107&lt;&gt;"",$L1109&lt;&gt;""), IF(AND(AND($L1107&gt;-1,$L1109&gt;-1),OR($L1107&gt;10,$L1109&gt;10),ABS($L1107-$L1109)&gt;1,IF(OR($L1107&gt;11,$L1109&gt;11),ABS($L1107-$L1109)=2,TRUE),$L1107=INT($L1107),$L1109=INT($L1109)),"","Error"),""),"")</f>
        <v/>
      </c>
      <c r="Q1105" s="6"/>
      <c r="R1105" s="259" t="str">
        <f>$B1080</f>
        <v>F</v>
      </c>
      <c r="S1105" s="307" t="str">
        <f ca="1">IF($B1100&lt;&gt;"",$B1100,"")</f>
        <v/>
      </c>
      <c r="T1105" s="308"/>
      <c r="U1105" s="308"/>
      <c r="V1105" s="308"/>
      <c r="W1105" s="308"/>
      <c r="X1105" s="309"/>
      <c r="Y1105" s="284"/>
      <c r="Z1105" s="284"/>
      <c r="AA1105" s="284"/>
      <c r="AB1105" s="284"/>
      <c r="AC1105" s="284"/>
      <c r="AD1105" s="296"/>
      <c r="AE1105" s="290"/>
      <c r="AF1105" s="291"/>
    </row>
    <row r="1106" spans="1:32" ht="12.75" customHeight="1" x14ac:dyDescent="0.25">
      <c r="A1106" s="5" t="s">
        <v>160</v>
      </c>
      <c r="B1106" s="256" t="s">
        <v>58</v>
      </c>
      <c r="C1106" s="257"/>
      <c r="D1106" s="257"/>
      <c r="E1106" s="257"/>
      <c r="F1106" s="257"/>
      <c r="G1106" s="258"/>
      <c r="H1106" s="5">
        <v>1</v>
      </c>
      <c r="I1106" s="5">
        <v>2</v>
      </c>
      <c r="J1106" s="5">
        <v>3</v>
      </c>
      <c r="K1106" s="5">
        <v>4</v>
      </c>
      <c r="L1106" s="5">
        <v>5</v>
      </c>
      <c r="M1106" s="270"/>
      <c r="N1106" s="271"/>
      <c r="O1106" s="271"/>
      <c r="P1106" s="272"/>
      <c r="Q1106" s="6"/>
      <c r="R1106" s="285"/>
      <c r="S1106" s="310"/>
      <c r="T1106" s="311"/>
      <c r="U1106" s="311"/>
      <c r="V1106" s="311"/>
      <c r="W1106" s="311"/>
      <c r="X1106" s="312"/>
      <c r="Y1106" s="285"/>
      <c r="Z1106" s="285"/>
      <c r="AA1106" s="285"/>
      <c r="AB1106" s="285"/>
      <c r="AC1106" s="285"/>
      <c r="AD1106" s="292"/>
      <c r="AE1106" s="293"/>
      <c r="AF1106" s="294"/>
    </row>
    <row r="1107" spans="1:32" ht="12.75" customHeight="1" x14ac:dyDescent="0.25">
      <c r="A1107" s="259" t="str">
        <f>B1080</f>
        <v>F</v>
      </c>
      <c r="B1107" s="236" t="str">
        <f ca="1">IF(AND(OFFSET($AO$1,$C1080-1,8,1,1),$A1081&lt;&gt;"",$J1081&lt;&gt;""),CHOOSE($C1080,$AR$1,$AR$2,$AR$3,$AR$4,$AR$5,$AR$6,$AR$7,$AR$8,$AR$9,$AR$10,$AR$11,$AR$12),"")</f>
        <v/>
      </c>
      <c r="C1107" s="237"/>
      <c r="D1107" s="237"/>
      <c r="E1107" s="237"/>
      <c r="F1107" s="237"/>
      <c r="G1107" s="237"/>
      <c r="H1107" s="233"/>
      <c r="I1107" s="233"/>
      <c r="J1107" s="233"/>
      <c r="K1107" s="233"/>
      <c r="L1107" s="233" t="str">
        <f ca="1">IF(AND($B1107&lt;&gt;"",$Q1086&lt;&gt;""),IF($B1107="Missing Player",0,IF($B1109="Missing Player",11,"")),"")</f>
        <v/>
      </c>
      <c r="M1107" s="245" t="str">
        <f ca="1">IF(OR(AND($B1100&lt;&gt;"",$B1107&lt;&gt;"",$E1111&lt;=$D1111),AND($B1102&lt;&gt;"",$B1109&lt;&gt;"",$I1111&lt;=$H1111)),"Invalid Lineup","")</f>
        <v/>
      </c>
      <c r="N1107" s="246"/>
      <c r="O1107" s="246"/>
      <c r="P1107" s="247"/>
      <c r="Q1107" s="40" t="str">
        <f ca="1">IF($L1107=$L1109,IF($K1107=$K1109,IF($J1107&lt;&gt;"",IF($J1107&gt;$J1109,"W","L"),""),IF($K1107&gt;$K1109,"W","L")),IF($L1107&gt;$L1109,"W","L"))</f>
        <v/>
      </c>
      <c r="R1107" s="259" t="str">
        <f>$K1080</f>
        <v>L</v>
      </c>
      <c r="S1107" s="307" t="str">
        <f ca="1">IF($B1102&lt;&gt;"",$B1102,"")</f>
        <v/>
      </c>
      <c r="T1107" s="308"/>
      <c r="U1107" s="308"/>
      <c r="V1107" s="308"/>
      <c r="W1107" s="308"/>
      <c r="X1107" s="309"/>
      <c r="Y1107" s="284"/>
      <c r="Z1107" s="284"/>
      <c r="AA1107" s="284"/>
      <c r="AB1107" s="284"/>
      <c r="AC1107" s="297"/>
      <c r="AD1107" s="289" t="s">
        <v>169</v>
      </c>
      <c r="AE1107" s="290"/>
      <c r="AF1107" s="291"/>
    </row>
    <row r="1108" spans="1:32" ht="12.75" customHeight="1" x14ac:dyDescent="0.25">
      <c r="A1108" s="260"/>
      <c r="B1108" s="238"/>
      <c r="C1108" s="239"/>
      <c r="D1108" s="239"/>
      <c r="E1108" s="239"/>
      <c r="F1108" s="239"/>
      <c r="G1108" s="239"/>
      <c r="H1108" s="234"/>
      <c r="I1108" s="234"/>
      <c r="J1108" s="234"/>
      <c r="K1108" s="234"/>
      <c r="L1108" s="234"/>
      <c r="M1108" s="245"/>
      <c r="N1108" s="246"/>
      <c r="O1108" s="246"/>
      <c r="P1108" s="247"/>
      <c r="Q1108" s="110" t="str">
        <f ca="1">IF($Q1107&lt;&gt;"",IF($B1109&lt;&gt;"Missing Player",IF($Q1107="W",IF(SUM(IF($H1107&gt;$H1109,1,0),IF($I1107&gt;$I1109,1,0),IF($J1107&gt;$J1109,1,0),IF($K1107&gt;$K1109,1,0),IF($L1107&gt;$L1109,1,0))&lt;&gt;3,"Error",""),""),""),"")</f>
        <v/>
      </c>
      <c r="R1108" s="285"/>
      <c r="S1108" s="310"/>
      <c r="T1108" s="311"/>
      <c r="U1108" s="311"/>
      <c r="V1108" s="311"/>
      <c r="W1108" s="311"/>
      <c r="X1108" s="312"/>
      <c r="Y1108" s="285"/>
      <c r="Z1108" s="285"/>
      <c r="AA1108" s="285"/>
      <c r="AB1108" s="285"/>
      <c r="AC1108" s="285"/>
      <c r="AD1108" s="292"/>
      <c r="AE1108" s="293"/>
      <c r="AF1108" s="294"/>
    </row>
    <row r="1109" spans="1:32" ht="12.75" customHeight="1" x14ac:dyDescent="0.25">
      <c r="A1109" s="259" t="str">
        <f>K1080</f>
        <v>L</v>
      </c>
      <c r="B1109" s="236" t="str">
        <f ca="1">IF(AND(OFFSET($AO$1,$L1080-1,8,1,1),$A1081&lt;&gt;"",$J1081&lt;&gt;""),CHOOSE($L1080,$AR$1,$AR$2,$AR$3,$AR$4,$AR$5,$AR$6,$AR$7,$AR$8,$AR$9,$AR$10,$AR$11,$AR$12),"")</f>
        <v/>
      </c>
      <c r="C1109" s="237"/>
      <c r="D1109" s="237"/>
      <c r="E1109" s="237"/>
      <c r="F1109" s="237"/>
      <c r="G1109" s="237"/>
      <c r="H1109" s="233"/>
      <c r="I1109" s="233"/>
      <c r="J1109" s="233"/>
      <c r="K1109" s="233"/>
      <c r="L1109" s="233" t="str">
        <f ca="1">IF(AND($B1109&lt;&gt;"",$Q1086&lt;&gt;""),IF($B1109="Missing Player",0,IF($B1107="Missing Player",11,"")),"")</f>
        <v/>
      </c>
      <c r="M1109" s="250" t="s">
        <v>169</v>
      </c>
      <c r="N1109" s="251"/>
      <c r="O1109" s="251"/>
      <c r="P1109" s="252"/>
      <c r="Q1109" s="40" t="str">
        <f ca="1">IF($Q1107&lt;&gt;"",IF($Q1107="W","L","W"),"")</f>
        <v/>
      </c>
      <c r="R1109" s="94"/>
      <c r="S1109" s="84"/>
      <c r="T1109" s="84"/>
      <c r="U1109" s="84"/>
      <c r="V1109" s="84"/>
      <c r="W1109" s="84"/>
      <c r="X1109" s="84"/>
      <c r="Y1109" s="93"/>
      <c r="Z1109" s="93"/>
      <c r="AA1109" s="93"/>
      <c r="AB1109" s="93"/>
      <c r="AC1109" s="93"/>
      <c r="AD1109" s="92"/>
      <c r="AE1109" s="93"/>
      <c r="AF1109" s="93"/>
    </row>
    <row r="1110" spans="1:32" ht="12.75" customHeight="1" x14ac:dyDescent="0.25">
      <c r="A1110" s="260"/>
      <c r="B1110" s="238"/>
      <c r="C1110" s="239"/>
      <c r="D1110" s="239"/>
      <c r="E1110" s="239"/>
      <c r="F1110" s="239"/>
      <c r="G1110" s="239"/>
      <c r="H1110" s="234"/>
      <c r="I1110" s="234"/>
      <c r="J1110" s="235"/>
      <c r="K1110" s="235"/>
      <c r="L1110" s="235"/>
      <c r="M1110" s="250"/>
      <c r="N1110" s="251"/>
      <c r="O1110" s="251"/>
      <c r="P1110" s="252"/>
      <c r="Q1110" s="110" t="str">
        <f ca="1">IF($Q1109&lt;&gt;"",IF($B1107&lt;&gt;"Missing Player",IF($Q1109="W",IF(SUM(IF($H1109&gt;$H1107,1,0),IF($I1109&gt;$I1107,1,0),IF($J1109&gt;$J1107,1,0),IF($K1109&gt;$K1107,1,0),IF($L1109&gt;$L1107,1,0))&lt;&gt;3,"Error",""),""),""),"")</f>
        <v/>
      </c>
      <c r="R1110" s="85"/>
      <c r="S1110" s="95"/>
      <c r="T1110" s="95"/>
      <c r="U1110" s="95"/>
      <c r="V1110" s="95"/>
      <c r="W1110" s="95"/>
      <c r="X1110" s="95"/>
      <c r="Y1110" s="85"/>
      <c r="Z1110" s="85"/>
      <c r="AA1110" s="85"/>
      <c r="AB1110" s="85"/>
      <c r="AC1110" s="85"/>
      <c r="AD1110" s="85"/>
      <c r="AE1110" s="85"/>
      <c r="AF1110" s="85"/>
    </row>
    <row r="1111" spans="1:32" ht="12.75" customHeight="1" x14ac:dyDescent="0.25">
      <c r="B1111" s="111" t="str">
        <f ca="1">IF(ISERROR(VLOOKUP($B1086&amp;"("&amp;$B1080&amp;")",Players!$S$4:$T$132,2,FALSE)),"",VLOOKUP($B1086&amp;"("&amp;$B1080&amp;")",Players!$S$4:$T$132,2,FALSE))</f>
        <v>F1</v>
      </c>
      <c r="C1111" s="111" t="str">
        <f ca="1">IF(ISERROR(VLOOKUP($B1093&amp;"("&amp;$B1080&amp;")",Players!$S$4:$T$132,2,FALSE)),"",VLOOKUP($B1093&amp;"("&amp;$B1080&amp;")",Players!$S$4:$T$132,2,FALSE))</f>
        <v>F1</v>
      </c>
      <c r="D1111" s="111" t="str">
        <f ca="1">IF(ISERROR(VLOOKUP($B1100&amp;"("&amp;$B1080&amp;")",Players!$S$4:$T$132,2,FALSE)),"",VLOOKUP($B1100&amp;"("&amp;$B1080&amp;")",Players!$S$4:$T$132,2,FALSE))</f>
        <v>F1</v>
      </c>
      <c r="E1111" s="111" t="str">
        <f ca="1">IF(ISERROR(VLOOKUP($B1107&amp;"("&amp;$B1080&amp;")",Players!$S$4:$T$132,2,FALSE)),"",VLOOKUP($B1107&amp;"("&amp;$B1080&amp;")",Players!$S$4:$T$132,2,FALSE))</f>
        <v>F1</v>
      </c>
      <c r="F1111" s="111" t="str">
        <f ca="1">IF(ISERROR(VLOOKUP($B1088&amp;"("&amp;$K1080&amp;")",Players!$S$4:$T$132,2,FALSE)),"",VLOOKUP($B1088&amp;"("&amp;$K1080&amp;")",Players!$S$4:$T$132,2,FALSE))</f>
        <v>L1</v>
      </c>
      <c r="G1111" s="111" t="str">
        <f ca="1">IF(ISERROR(VLOOKUP($B1095&amp;"("&amp;$K1080&amp;")",Players!$S$4:$T$132,2,FALSE)),"",VLOOKUP($B1095&amp;"("&amp;$K1080&amp;")",Players!$S$4:$T$132,2,FALSE))</f>
        <v>L1</v>
      </c>
      <c r="H1111" s="111" t="str">
        <f ca="1">IF(ISERROR(VLOOKUP($B1102&amp;"("&amp;$K1080&amp;")",Players!$S$4:$T$132,2,FALSE)),"",VLOOKUP($B1102&amp;"("&amp;$K1080&amp;")",Players!$S$4:$T$132,2,FALSE))</f>
        <v>L1</v>
      </c>
      <c r="I1111" s="111" t="str">
        <f ca="1">IF(ISERROR(VLOOKUP($B1109&amp;"("&amp;$K1080&amp;")",Players!$S$4:$T$132,2,FALSE)),"",VLOOKUP($B1109&amp;"("&amp;$K1080&amp;")",Players!$S$4:$T$132,2,FALSE))</f>
        <v>L1</v>
      </c>
      <c r="Q1111" s="6"/>
      <c r="R1111" s="37"/>
      <c r="S1111" s="95"/>
      <c r="T1111" s="95"/>
      <c r="U1111" s="95"/>
      <c r="V1111" s="95"/>
      <c r="W1111" s="95"/>
      <c r="X1111" s="95"/>
      <c r="Y1111" s="85"/>
      <c r="Z1111" s="85"/>
      <c r="AA1111" s="85"/>
      <c r="AB1111" s="85"/>
      <c r="AC1111" s="96"/>
      <c r="AD1111" s="97"/>
      <c r="AE1111" s="85"/>
      <c r="AF1111" s="85"/>
    </row>
    <row r="1112" spans="1:32" ht="12.75" customHeight="1" x14ac:dyDescent="0.25">
      <c r="A1112" s="15" t="s">
        <v>157</v>
      </c>
      <c r="H1112" s="110" t="str">
        <f ca="1">IF($Q1114&lt;&gt;"",IF(AND($B1115&lt;&gt;"Missing Player",$B1117&lt;&gt;"Missing Player"),IF(AND(AND($H1114&gt;-1,$H1116&gt;-1),OR($H1114&gt;10,$H1116&gt;10),ABS($H1114-$H1116)&gt;1,IF(OR($H1114&gt;11,$H1116&gt;11),ABS($H1114-$H1116)=2,TRUE),$H1114=INT($H1114),$H1116=INT($H1116)),"","Error"),""),"")</f>
        <v/>
      </c>
      <c r="I1112" s="110" t="str">
        <f ca="1">IF($Q1114&lt;&gt;"",IF(AND($B1115&lt;&gt;"Missing Player",$B1117&lt;&gt;"Missing Player"),IF(AND(AND($I1114&gt;-1,$I1116&gt;-1),OR($I1114&gt;10,$I1116&gt;10),ABS($I1114-$I1116)&gt;1,IF(OR($I1114&gt;11,$I1116&gt;11),ABS($I1114-$I1116)=2,TRUE),$I1114=INT($I1114),$I1116=INT($I1116)),"","Error"),""),"")</f>
        <v/>
      </c>
      <c r="J1112" s="110" t="str">
        <f ca="1">IF($Q1114&lt;&gt;"",IF(AND($B1115&lt;&gt;"Missing Player",$B1117&lt;&gt;"Missing Player"),IF(AND(AND($J1114&gt;-1,$J1116&gt;-1),OR($J1114&gt;10,$J1116&gt;10),ABS($J1114-$J1116)&gt;1,IF(OR($J1114&gt;11,$J1116&gt;11),ABS($J1114-$J1116)=2,TRUE),$J1114=INT($J1114),$J1116=INT($J1116)),"","Error"),""),"")</f>
        <v/>
      </c>
      <c r="K1112" s="110" t="str">
        <f ca="1">IF($Q1114&lt;&gt;"",IF(AND($K1114&lt;&gt;"",$K1116&lt;&gt;""), IF(AND(AND($K1114&gt;-1,$K1116&gt;-1),OR($K1114&gt;10,$K1116&gt;10),ABS($K1114-$K1116)&gt;1,IF(OR($K1114&gt;11,$K1116&gt;11),ABS($K1114-$K1116)=2,TRUE),$K1114=INT($K1114),$K1116=INT($K1116)),"","Error"),""),"")</f>
        <v/>
      </c>
      <c r="L1112" s="110" t="str">
        <f ca="1">IF($Q1114&lt;&gt;"",IF(AND($L1114&lt;&gt;"",$L1116&lt;&gt;""), IF(AND(AND($L1114&gt;-1,$L1116&gt;-1),OR($L1114&gt;10,$L1116&gt;10),ABS($L1114-$L1116)&gt;1,IF(OR($L1114&gt;11,$L1116&gt;11),ABS($L1114-$L1116)=2,TRUE),$L1114=INT($L1114),$L1116=INT($L1116)),"","Error"),""),"")</f>
        <v/>
      </c>
      <c r="Q1112" s="6"/>
      <c r="R1112" s="85"/>
      <c r="S1112" s="95"/>
      <c r="T1112" s="95"/>
      <c r="U1112" s="95"/>
      <c r="V1112" s="95"/>
      <c r="W1112" s="95"/>
      <c r="X1112" s="95"/>
      <c r="Y1112" s="85"/>
      <c r="Z1112" s="85"/>
      <c r="AA1112" s="85"/>
      <c r="AB1112" s="85"/>
      <c r="AC1112" s="85"/>
      <c r="AD1112" s="85"/>
      <c r="AE1112" s="85"/>
      <c r="AF1112" s="85"/>
    </row>
    <row r="1113" spans="1:32" ht="12.75" customHeight="1" x14ac:dyDescent="0.25">
      <c r="A1113" s="5" t="s">
        <v>160</v>
      </c>
      <c r="B1113" s="256" t="s">
        <v>58</v>
      </c>
      <c r="C1113" s="257"/>
      <c r="D1113" s="257"/>
      <c r="E1113" s="257"/>
      <c r="F1113" s="257"/>
      <c r="G1113" s="258"/>
      <c r="H1113" s="5">
        <v>1</v>
      </c>
      <c r="I1113" s="5">
        <v>2</v>
      </c>
      <c r="J1113" s="5">
        <v>3</v>
      </c>
      <c r="K1113" s="5">
        <v>4</v>
      </c>
      <c r="L1113" s="5">
        <v>5</v>
      </c>
      <c r="M1113" s="270"/>
      <c r="N1113" s="271"/>
      <c r="O1113" s="271"/>
      <c r="P1113" s="272"/>
      <c r="Q1113" s="6"/>
      <c r="T1113" s="7"/>
    </row>
    <row r="1114" spans="1:32" ht="12.75" customHeight="1" x14ac:dyDescent="0.25">
      <c r="A1114" s="259" t="str">
        <f>B1080</f>
        <v>F</v>
      </c>
      <c r="B1114" s="230" t="str">
        <f ca="1">IF($B1086&lt;&gt;"",$B1086,"")</f>
        <v/>
      </c>
      <c r="C1114" s="231"/>
      <c r="D1114" s="231"/>
      <c r="E1114" s="231"/>
      <c r="F1114" s="231"/>
      <c r="G1114" s="232"/>
      <c r="H1114" s="233"/>
      <c r="I1114" s="233"/>
      <c r="J1114" s="233"/>
      <c r="K1114" s="233"/>
      <c r="L1114" s="233" t="str">
        <f ca="1">IF($B1107&lt;&gt;"",IF(AND($B1107="Missing Player",$G1118=2,$J1118=2),0,IF(AND($B1109="Missing Player",$G1118=2,$J1118=2),11,"")),"")</f>
        <v/>
      </c>
      <c r="M1114" s="245" t="str">
        <f ca="1">IF(OR(AND($B1114&lt;&gt;"",$B1115&lt;&gt;"",$B1114=$B1115),AND($B1116&lt;&gt;"",$B1117&lt;&gt;"",$B1116=$B1117)),"Invalid Partner","")</f>
        <v/>
      </c>
      <c r="N1114" s="246"/>
      <c r="O1114" s="246"/>
      <c r="P1114" s="247"/>
      <c r="Q1114" s="37" t="str">
        <f ca="1">IF(L1114=L1116,IF(K1114=K1116,IF(J1114&lt;&gt;"",IF(J1114&gt;J1116,"W","L"),""),IF(K1114&gt;K1116,"W","L")),IF(L1114&gt;L1116,"W","L"))</f>
        <v/>
      </c>
      <c r="T1114" s="7"/>
    </row>
    <row r="1115" spans="1:32" ht="12.75" customHeight="1" x14ac:dyDescent="0.25">
      <c r="A1115" s="260"/>
      <c r="B1115" s="266" t="str">
        <f ca="1">IF($B1107="Missing Player",$B1107,"")</f>
        <v/>
      </c>
      <c r="C1115" s="267"/>
      <c r="D1115" s="267"/>
      <c r="E1115" s="267"/>
      <c r="F1115" s="267"/>
      <c r="G1115" s="268"/>
      <c r="H1115" s="234"/>
      <c r="I1115" s="234"/>
      <c r="J1115" s="234"/>
      <c r="K1115" s="234"/>
      <c r="L1115" s="234"/>
      <c r="M1115" s="245"/>
      <c r="N1115" s="246"/>
      <c r="O1115" s="246"/>
      <c r="P1115" s="247"/>
      <c r="Q1115" s="110" t="str">
        <f ca="1">IF($Q1114&lt;&gt;"",IF($B1117&lt;&gt;"Missing Player",IF($Q1114="W",IF(SUM(IF($H1114&gt;$H1116,1,0),IF($I1114&gt;$I1116,1,0),IF($J1114&gt;$J1116,1,0),IF($K1114&gt;$K1116,1,0),IF($L1114&gt;$L1116,1,0))&lt;&gt;3,"Error",""),""),""),"")</f>
        <v/>
      </c>
      <c r="R1115" s="295" t="str">
        <f>$A1081</f>
        <v/>
      </c>
      <c r="S1115" s="295"/>
      <c r="T1115" s="295"/>
      <c r="U1115" s="295"/>
      <c r="V1115" s="295"/>
      <c r="W1115" s="295"/>
      <c r="X1115" s="219" t="str">
        <f>CONCATENATE("(",$B1080," vs ",$K1080,")")</f>
        <v>(F vs L)</v>
      </c>
      <c r="Y1115" s="219"/>
      <c r="Z1115" s="295" t="str">
        <f>$J1081</f>
        <v/>
      </c>
      <c r="AA1115" s="295"/>
      <c r="AB1115" s="295"/>
      <c r="AC1115" s="295"/>
      <c r="AD1115" s="295"/>
      <c r="AE1115" s="295"/>
      <c r="AF1115"/>
    </row>
    <row r="1116" spans="1:32" ht="12.75" customHeight="1" x14ac:dyDescent="0.25">
      <c r="A1116" s="265" t="str">
        <f>K1080</f>
        <v>L</v>
      </c>
      <c r="B1116" s="230" t="str">
        <f ca="1">IF($B1088&lt;&gt;"",$B1088,"")</f>
        <v/>
      </c>
      <c r="C1116" s="231"/>
      <c r="D1116" s="231"/>
      <c r="E1116" s="231"/>
      <c r="F1116" s="231"/>
      <c r="G1116" s="232"/>
      <c r="H1116" s="233"/>
      <c r="I1116" s="233"/>
      <c r="J1116" s="233"/>
      <c r="K1116" s="233"/>
      <c r="L1116" s="233" t="str">
        <f ca="1">IF($B1109&lt;&gt;"",IF(AND($B1109="Missing Player",$G1118=2,$J1118=2),0,IF(AND($B1107="Missing Player",$G1118=2,$J1118=2),11,"")),"")</f>
        <v/>
      </c>
      <c r="M1116" s="250" t="s">
        <v>169</v>
      </c>
      <c r="N1116" s="251"/>
      <c r="O1116" s="251"/>
      <c r="P1116" s="252"/>
      <c r="Q1116" s="37" t="str">
        <f ca="1">IF(Q1114&lt;&gt;"",IF(Q1114="W","L","W"),"")</f>
        <v/>
      </c>
      <c r="R1116"/>
      <c r="S1116"/>
      <c r="T1116"/>
      <c r="U1116"/>
      <c r="V1116"/>
      <c r="W1116"/>
      <c r="X1116"/>
      <c r="Y1116"/>
      <c r="Z1116"/>
      <c r="AA1116"/>
      <c r="AB1116"/>
      <c r="AC1116"/>
      <c r="AD1116"/>
      <c r="AE1116"/>
      <c r="AF1116"/>
    </row>
    <row r="1117" spans="1:32" ht="12.75" customHeight="1" x14ac:dyDescent="0.25">
      <c r="A1117" s="260"/>
      <c r="B1117" s="266" t="str">
        <f ca="1">IF($B1109="Missing Player",$B1109,"")</f>
        <v/>
      </c>
      <c r="C1117" s="267"/>
      <c r="D1117" s="267"/>
      <c r="E1117" s="267"/>
      <c r="F1117" s="267"/>
      <c r="G1117" s="268"/>
      <c r="H1117" s="234"/>
      <c r="I1117" s="234"/>
      <c r="J1117" s="235"/>
      <c r="K1117" s="235"/>
      <c r="L1117" s="235"/>
      <c r="M1117" s="250"/>
      <c r="N1117" s="251"/>
      <c r="O1117" s="251"/>
      <c r="P1117" s="252"/>
      <c r="Q1117" s="110" t="str">
        <f ca="1">IF($Q1116&lt;&gt;"",IF($B1115&lt;&gt;"Missing Player",IF($Q1116="W",IF(SUM(IF($H1116&gt;$H1114,1,0),IF($I1116&gt;$I1114,1,0),IF($J1116&gt;$J1114,1,0),IF($K1116&gt;$K1114,1,0),IF($L1116&gt;$L1114,1,0))&lt;&gt;3,"Error",""),""),""),"")</f>
        <v/>
      </c>
      <c r="R1117" t="str">
        <f>A1105</f>
        <v>4th Singles</v>
      </c>
      <c r="S1117"/>
      <c r="T1117"/>
      <c r="U1117"/>
      <c r="V1117"/>
      <c r="W1117"/>
      <c r="X1117"/>
      <c r="Y1117"/>
      <c r="Z1117"/>
      <c r="AA1117"/>
      <c r="AB1117"/>
      <c r="AC1117"/>
      <c r="AD1117"/>
      <c r="AE1117"/>
      <c r="AF1117"/>
    </row>
    <row r="1118" spans="1:32" ht="12.75" customHeight="1" x14ac:dyDescent="0.25">
      <c r="G1118" s="53">
        <f ca="1">COUNTIF($Q1086:$Q1086,"W")+COUNTIF($Q1093:$Q1093,"W")+COUNTIF($Q1100:$Q1100,"W")+COUNTIF($Q1107:$Q1107,"W")</f>
        <v>0</v>
      </c>
      <c r="J1118" s="53">
        <f ca="1">COUNTIF($Q1088:$Q1088,"W")+COUNTIF($Q1095:$Q1095,"W")+COUNTIF($Q1102:$Q1102,"W")+COUNTIF($Q1109:$Q1109,"W")</f>
        <v>0</v>
      </c>
      <c r="R1118" s="47" t="s">
        <v>160</v>
      </c>
      <c r="S1118" s="304" t="s">
        <v>58</v>
      </c>
      <c r="T1118" s="305"/>
      <c r="U1118" s="305"/>
      <c r="V1118" s="305"/>
      <c r="W1118" s="305"/>
      <c r="X1118" s="306"/>
      <c r="Y1118" s="47">
        <v>1</v>
      </c>
      <c r="Z1118" s="47">
        <v>2</v>
      </c>
      <c r="AA1118" s="47">
        <v>3</v>
      </c>
      <c r="AB1118" s="47">
        <v>4</v>
      </c>
      <c r="AC1118" s="47">
        <v>5</v>
      </c>
      <c r="AD1118" s="286"/>
      <c r="AE1118" s="287"/>
      <c r="AF1118" s="288"/>
    </row>
    <row r="1119" spans="1:32" ht="12.75" customHeight="1" thickBot="1" x14ac:dyDescent="0.3">
      <c r="F1119" s="212" t="s">
        <v>170</v>
      </c>
      <c r="G1119" s="212"/>
      <c r="H1119" s="212"/>
      <c r="I1119" s="212"/>
      <c r="J1119" s="212"/>
      <c r="K1119" s="212"/>
      <c r="R1119" s="259" t="str">
        <f>B1080</f>
        <v>F</v>
      </c>
      <c r="S1119" s="307" t="str">
        <f ca="1">IF($B1107&lt;&gt;"",$B1107,"")</f>
        <v/>
      </c>
      <c r="T1119" s="308"/>
      <c r="U1119" s="308"/>
      <c r="V1119" s="308"/>
      <c r="W1119" s="308"/>
      <c r="X1119" s="309"/>
      <c r="Y1119" s="284"/>
      <c r="Z1119" s="284"/>
      <c r="AA1119" s="297"/>
      <c r="AB1119" s="297"/>
      <c r="AC1119" s="297"/>
      <c r="AD1119" s="296"/>
      <c r="AE1119" s="298"/>
      <c r="AF1119" s="299"/>
    </row>
    <row r="1120" spans="1:32" ht="12.75" customHeight="1" x14ac:dyDescent="0.25">
      <c r="A1120" s="16"/>
      <c r="B1120" s="16"/>
      <c r="C1120" s="16"/>
      <c r="D1120" s="16"/>
      <c r="E1120" s="16"/>
      <c r="G1120" s="261" t="str">
        <f>B1080</f>
        <v>F</v>
      </c>
      <c r="H1120" s="262"/>
      <c r="I1120" s="263" t="str">
        <f>K1080</f>
        <v>L</v>
      </c>
      <c r="J1120" s="264"/>
      <c r="L1120" s="16"/>
      <c r="M1120" s="16"/>
      <c r="N1120" s="16"/>
      <c r="O1120" s="16"/>
      <c r="P1120" s="16"/>
      <c r="R1120" s="260"/>
      <c r="S1120" s="310"/>
      <c r="T1120" s="311"/>
      <c r="U1120" s="311"/>
      <c r="V1120" s="311"/>
      <c r="W1120" s="311"/>
      <c r="X1120" s="312"/>
      <c r="Y1120" s="285"/>
      <c r="Z1120" s="285"/>
      <c r="AA1120" s="303"/>
      <c r="AB1120" s="303"/>
      <c r="AC1120" s="303"/>
      <c r="AD1120" s="300"/>
      <c r="AE1120" s="301"/>
      <c r="AF1120" s="302"/>
    </row>
    <row r="1121" spans="1:32" ht="12.75" customHeight="1" thickBot="1" x14ac:dyDescent="0.3">
      <c r="A1121" s="2" t="s">
        <v>160</v>
      </c>
      <c r="B1121" s="40" t="str">
        <f>B1080</f>
        <v>F</v>
      </c>
      <c r="C1121" s="3" t="s">
        <v>158</v>
      </c>
      <c r="F1121" s="53" t="str">
        <f>CONCATENATE($B1080,"-",$K1080)</f>
        <v>F-L</v>
      </c>
      <c r="G1121" s="240" t="str">
        <f ca="1">IF(OR(Q1086&lt;&gt;"",Q1093&lt;&gt;"",Q1100&lt;&gt;"",Q1107&lt;&gt;"",Q1114&lt;&gt;""),COUNTIF(Q1086:Q1086,"W")+COUNTIF(Q1093:Q1093,"W")+COUNTIF(Q1100:Q1100,"W")+COUNTIF(Q1107:Q1107,"W")+COUNTIF(Q1114:Q1114,"W"),"")</f>
        <v/>
      </c>
      <c r="H1121" s="241"/>
      <c r="I1121" s="242" t="str">
        <f ca="1">IF(OR(Q1088&lt;&gt;"",Q1095&lt;&gt;"",Q1102&lt;&gt;"",Q1109&lt;&gt;"",Q1116&lt;&gt;""),COUNTIF(Q1088:Q1088,"W")+COUNTIF(Q1095:Q1095,"W")+COUNTIF(Q1102:Q1102,"W")+COUNTIF(Q1109:Q1109,"W")+COUNTIF(Q1116:Q1116,"W"),"")</f>
        <v/>
      </c>
      <c r="J1121" s="243"/>
      <c r="L1121" s="2" t="s">
        <v>160</v>
      </c>
      <c r="M1121" s="40" t="str">
        <f>K1080</f>
        <v>L</v>
      </c>
      <c r="N1121" s="3" t="s">
        <v>158</v>
      </c>
      <c r="R1121" s="259" t="str">
        <f>K1080</f>
        <v>L</v>
      </c>
      <c r="S1121" s="307" t="str">
        <f ca="1">IF($B1109&lt;&gt;"",$B1109,"")</f>
        <v/>
      </c>
      <c r="T1121" s="308"/>
      <c r="U1121" s="308"/>
      <c r="V1121" s="308"/>
      <c r="W1121" s="308"/>
      <c r="X1121" s="309"/>
      <c r="Y1121" s="284"/>
      <c r="Z1121" s="284"/>
      <c r="AA1121" s="297"/>
      <c r="AB1121" s="297"/>
      <c r="AC1121" s="297"/>
      <c r="AD1121" s="289" t="s">
        <v>169</v>
      </c>
      <c r="AE1121" s="290"/>
      <c r="AF1121" s="291"/>
    </row>
    <row r="1122" spans="1:32" ht="12.75" customHeight="1" x14ac:dyDescent="0.35">
      <c r="F1122" s="18" t="s">
        <v>403</v>
      </c>
      <c r="G1122" s="17"/>
      <c r="H1122" s="17"/>
      <c r="I1122" s="17"/>
      <c r="J1122" s="17"/>
      <c r="R1122" s="285"/>
      <c r="S1122" s="310"/>
      <c r="T1122" s="311"/>
      <c r="U1122" s="311"/>
      <c r="V1122" s="311"/>
      <c r="W1122" s="311"/>
      <c r="X1122" s="312"/>
      <c r="Y1122" s="285"/>
      <c r="Z1122" s="285"/>
      <c r="AA1122" s="285"/>
      <c r="AB1122" s="285"/>
      <c r="AC1122" s="285"/>
      <c r="AD1122" s="292"/>
      <c r="AE1122" s="293"/>
      <c r="AF1122" s="294"/>
    </row>
    <row r="1123" spans="1:32" ht="12.75" customHeight="1" x14ac:dyDescent="0.25">
      <c r="R1123" s="1"/>
      <c r="S1123" s="11"/>
      <c r="T1123" s="11"/>
      <c r="U1123" s="11"/>
      <c r="V1123" s="11"/>
      <c r="W1123" s="11"/>
    </row>
    <row r="1124" spans="1:32" ht="12.75" customHeight="1" x14ac:dyDescent="0.25">
      <c r="F1124" s="212"/>
      <c r="G1124" s="212"/>
      <c r="H1124" s="212"/>
      <c r="I1124" s="212"/>
      <c r="R1124" s="1"/>
      <c r="S1124" s="11"/>
      <c r="T1124" s="11"/>
      <c r="U1124" s="11"/>
      <c r="V1124" s="11"/>
      <c r="W1124" s="11"/>
    </row>
    <row r="1125" spans="1:32" ht="12.75" customHeight="1" x14ac:dyDescent="0.25">
      <c r="F1125" s="212"/>
      <c r="G1125" s="212"/>
      <c r="H1125" s="212"/>
      <c r="I1125" s="212"/>
      <c r="R1125" s="1"/>
      <c r="S1125" s="11"/>
      <c r="T1125" s="11"/>
      <c r="U1125" s="11"/>
      <c r="V1125" s="11"/>
      <c r="W1125" s="11"/>
    </row>
    <row r="1126" spans="1:32" ht="12.75" customHeight="1" x14ac:dyDescent="0.25">
      <c r="K1126" s="219" t="s">
        <v>176</v>
      </c>
      <c r="L1126" s="219"/>
      <c r="M1126" s="219"/>
      <c r="N1126" s="219"/>
      <c r="O1126" s="219"/>
      <c r="P1126" s="219"/>
      <c r="R1126" s="1"/>
      <c r="S1126" s="11"/>
      <c r="T1126" s="11"/>
      <c r="U1126" s="11"/>
      <c r="V1126" s="11"/>
      <c r="W1126" s="11"/>
    </row>
    <row r="1127" spans="1:32" ht="12.75" customHeight="1" x14ac:dyDescent="0.25">
      <c r="A1127" s="9" t="s">
        <v>161</v>
      </c>
      <c r="B1127"/>
      <c r="C1127"/>
      <c r="D1127" t="str">
        <f>Draw!$B$1</f>
        <v>Enter Division Name</v>
      </c>
      <c r="E1127"/>
      <c r="F1127" s="6"/>
      <c r="G1127" s="6"/>
      <c r="H1127" s="6"/>
      <c r="I1127"/>
      <c r="J1127"/>
      <c r="K1127"/>
      <c r="L1127"/>
      <c r="M1127" s="219"/>
      <c r="N1127" s="219"/>
      <c r="O1127" s="219"/>
      <c r="P1127" s="219"/>
      <c r="R1127" s="1"/>
      <c r="S1127" s="11"/>
      <c r="T1127" s="11"/>
      <c r="U1127" s="11"/>
      <c r="V1127" s="11"/>
      <c r="W1127" s="11"/>
    </row>
    <row r="1128" spans="1:32" ht="12.75" customHeight="1" x14ac:dyDescent="0.25">
      <c r="A1128" s="2" t="s">
        <v>162</v>
      </c>
      <c r="D1128" t="str">
        <f>Draw!$D$1</f>
        <v>Enter Hosting Location (City, ST)</v>
      </c>
      <c r="J1128" t="str">
        <f ca="1">$J$6</f>
        <v>[NCTTA Teams Template (v3.4).xlsx]</v>
      </c>
      <c r="R1128" s="1"/>
      <c r="S1128" s="11"/>
      <c r="T1128" s="11"/>
      <c r="U1128" s="11"/>
      <c r="V1128" s="11"/>
      <c r="W1128" s="11"/>
    </row>
    <row r="1129" spans="1:32" ht="12.75" customHeight="1" x14ac:dyDescent="0.25">
      <c r="A1129" s="2" t="s">
        <v>163</v>
      </c>
      <c r="D1129" s="275" t="str">
        <f>Draw!$P$1</f>
        <v>Enter Date</v>
      </c>
      <c r="E1129" s="275"/>
      <c r="F1129" s="275"/>
      <c r="G1129" s="275"/>
      <c r="J1129" s="244" t="str">
        <f>CHOOSE(Draw!$T$1,"Round 4, Match 5","Round 3, Match 5","","","","","","Round 6, Match 3","Round 6, Match 3","Round 5, Match 3","Round 5, Match 3")</f>
        <v>Round 4, Match 5</v>
      </c>
      <c r="K1129" s="244"/>
      <c r="L1129" s="244"/>
      <c r="M1129" s="277" t="str">
        <f>IF(AND($J1129&lt;&gt;"",Draw!$AC$10&lt;&gt;"",Draw!$AC$13&lt;&gt;""),Draw!$AC$10+TIME(0,VALUE(MID($J1129,7,FIND(",",$J1129)-FIND(" ",$J1129)-1)-1)*Draw!$AC$13,0),"")</f>
        <v/>
      </c>
      <c r="N1129" s="277"/>
      <c r="O1129" s="125" t="str">
        <f>$F1172</f>
        <v>B-E</v>
      </c>
      <c r="R1129" s="1"/>
      <c r="S1129" s="11"/>
      <c r="T1129" s="11"/>
      <c r="U1129" s="11"/>
      <c r="V1129" s="11"/>
      <c r="W1129" s="11"/>
    </row>
    <row r="1130" spans="1:32" ht="12.75" customHeight="1" x14ac:dyDescent="0.25">
      <c r="A1130" s="6"/>
      <c r="B1130"/>
      <c r="C1130"/>
      <c r="D1130"/>
      <c r="E1130"/>
      <c r="F1130" s="6"/>
      <c r="G1130" s="6"/>
      <c r="H1130" s="11"/>
      <c r="I1130" s="6"/>
      <c r="J1130"/>
      <c r="K1130"/>
      <c r="L1130"/>
      <c r="M1130"/>
      <c r="N1130"/>
      <c r="O1130" s="269" t="str">
        <f>IF(OR(AND(VLOOKUP($B1131,$AM$1:$AX$12,12,FALSE)="C",VLOOKUP($K1131,$AM$1:$AX$12,12,FALSE)="C"),AND(VLOOKUP($B1131,$AM$1:$AX$12,12,FALSE)="W",VLOOKUP($K1131,$AM$1:$AX$12,12,FALSE)="W")),"Official",IF(AND($A1132="",$J1132=""),"","Scrimmage"))</f>
        <v/>
      </c>
      <c r="P1130" s="269"/>
      <c r="R1130" s="1"/>
      <c r="S1130" s="11"/>
      <c r="T1130" s="11"/>
      <c r="U1130" s="11"/>
      <c r="V1130" s="11"/>
      <c r="W1130" s="11"/>
    </row>
    <row r="1131" spans="1:32" ht="12.75" customHeight="1" x14ac:dyDescent="0.25">
      <c r="A1131" s="12" t="s">
        <v>160</v>
      </c>
      <c r="B1131" s="98" t="str">
        <f>CHOOSE(Draw!$T$1,"B","H","A","B","B","B","A","D","B","C","E")</f>
        <v>B</v>
      </c>
      <c r="C1131" s="109">
        <f>VLOOKUP($B1131,$AM$1:$AN$12,2)</f>
        <v>2</v>
      </c>
      <c r="D1131" s="10"/>
      <c r="E1131" s="10"/>
      <c r="F1131" s="8"/>
      <c r="H1131" s="1" t="s">
        <v>164</v>
      </c>
      <c r="J1131" s="12" t="s">
        <v>160</v>
      </c>
      <c r="K1131" s="98" t="str">
        <f>CHOOSE(Draw!$T$1,"E","J","I","E","K","H","I","G","F","G","J")</f>
        <v>E</v>
      </c>
      <c r="L1131" s="109">
        <f>VLOOKUP($K1131,$AM$1:$AN$12,2)</f>
        <v>5</v>
      </c>
      <c r="M1131" s="10"/>
      <c r="N1131" s="10"/>
      <c r="O1131" s="13"/>
      <c r="R1131" s="1"/>
      <c r="S1131" s="11"/>
      <c r="T1131" s="11"/>
      <c r="U1131" s="11"/>
      <c r="V1131" s="11"/>
      <c r="W1131" s="11"/>
    </row>
    <row r="1132" spans="1:32" ht="12.75" customHeight="1" x14ac:dyDescent="0.25">
      <c r="A1132" s="253" t="str">
        <f>IF(VLOOKUP($B1131,Draw!$A$4:$B$27,2)&lt;&gt;0,VLOOKUP($B1131,Draw!$A$4:$B$27,2),"")</f>
        <v/>
      </c>
      <c r="B1132" s="254"/>
      <c r="C1132" s="254"/>
      <c r="D1132" s="254"/>
      <c r="E1132" s="254"/>
      <c r="F1132" s="255"/>
      <c r="G1132" s="273" t="s">
        <v>426</v>
      </c>
      <c r="H1132" s="249"/>
      <c r="I1132" s="274"/>
      <c r="J1132" s="253" t="str">
        <f>IF(VLOOKUP($K1131,Draw!$A$4:$B$27,2)&lt;&gt;0,VLOOKUP($K1131,Draw!$A$4:$B$27,2),"")</f>
        <v/>
      </c>
      <c r="K1132" s="254"/>
      <c r="L1132" s="254"/>
      <c r="M1132" s="254"/>
      <c r="N1132" s="254"/>
      <c r="O1132" s="255"/>
      <c r="P1132"/>
      <c r="R1132" s="1"/>
      <c r="S1132" s="11"/>
      <c r="T1132" s="11"/>
      <c r="U1132" s="11"/>
      <c r="V1132" s="11"/>
      <c r="W1132" s="11"/>
    </row>
    <row r="1133" spans="1:32" ht="12.75" customHeight="1" x14ac:dyDescent="0.25">
      <c r="A1133" s="6"/>
      <c r="B1133"/>
      <c r="C1133"/>
      <c r="D1133"/>
      <c r="E1133"/>
      <c r="F1133" s="6"/>
      <c r="G1133" s="248" t="str">
        <f>"Page "&amp;VALUE(RIGHT($G1132,LEN($G1132)-SEARCH("-",$G1132)))/2</f>
        <v>Page 23</v>
      </c>
      <c r="H1133" s="249"/>
      <c r="I1133" s="249"/>
      <c r="J1133"/>
      <c r="K1133"/>
      <c r="L1133"/>
      <c r="M1133"/>
      <c r="N1133"/>
      <c r="O1133"/>
      <c r="P1133"/>
      <c r="R1133" s="1"/>
      <c r="S1133" s="11"/>
      <c r="T1133" s="11"/>
      <c r="U1133" s="11"/>
      <c r="V1133" s="11"/>
      <c r="W1133" s="11"/>
      <c r="AF1133"/>
    </row>
    <row r="1134" spans="1:32" ht="12.75" customHeight="1" x14ac:dyDescent="0.25">
      <c r="A1134" s="276" t="s">
        <v>177</v>
      </c>
      <c r="B1134" s="276"/>
      <c r="C1134" s="276"/>
      <c r="D1134" s="276"/>
      <c r="E1134" s="276"/>
      <c r="F1134" s="276"/>
      <c r="G1134" s="276"/>
      <c r="H1134" s="276"/>
      <c r="I1134" s="276"/>
      <c r="J1134" s="276"/>
      <c r="K1134" s="276"/>
      <c r="L1134" s="276"/>
      <c r="M1134" s="276"/>
      <c r="N1134" s="276"/>
      <c r="O1134" s="276"/>
      <c r="P1134" s="276"/>
      <c r="Q1134" s="6"/>
      <c r="R1134" s="1"/>
      <c r="S1134" s="11"/>
      <c r="T1134" s="11"/>
      <c r="U1134" s="11"/>
      <c r="V1134" s="11"/>
      <c r="W1134" s="11"/>
      <c r="AF1134" s="14"/>
    </row>
    <row r="1135" spans="1:32" ht="12.75" customHeight="1" x14ac:dyDescent="0.25">
      <c r="A1135" s="15" t="s">
        <v>165</v>
      </c>
      <c r="H1135" s="110" t="str">
        <f>IF($Q1137&lt;&gt;"",IF(AND(AND($H1137&gt;-1,$H1139&gt;-1),OR($H1137&gt;10,$H1139&gt;10),ABS($H1137-$H1139)&gt;1,IF(OR($H1137&gt;11,$H1139&gt;11),ABS($H1137-$H1139)=2,TRUE),$H1137=INT($H1137),$H1139=INT($H1139)),"","Error"),"")</f>
        <v/>
      </c>
      <c r="I1135" s="110" t="str">
        <f>IF($Q1137&lt;&gt;"",IF(AND(AND($I1137&gt;-1,$I1139&gt;-1),OR($I1137&gt;10,$I1139&gt;10),ABS($I1137-$I1139)&gt;1,IF(OR($I1137&gt;11,$I1139&gt;11),ABS($I1137-$I1139)=2,TRUE),$I1137=INT($I1137),$I1139=INT($I1139)),"","Error"),"")</f>
        <v/>
      </c>
      <c r="J1135" s="110" t="str">
        <f>IF($Q1137&lt;&gt;"",IF(AND(AND($J1137&gt;-1,$J1139&gt;-1),OR($J1137&gt;10,$J1139&gt;10),ABS($J1137-$J1139)&gt;1,IF(OR($J1137&gt;11,$J1139&gt;11),ABS($J1137-$J1139)=2,TRUE),$J1137=INT($J1137),$J1139=INT($J1139)),"","Error"),"")</f>
        <v/>
      </c>
      <c r="K1135" s="110" t="str">
        <f>IF($Q1137&lt;&gt;"",IF(AND($K1137&lt;&gt;"",$K1139&lt;&gt;""), IF(AND(AND($K1137&gt;-1,$K1139&gt;-1),OR($K1137&gt;10,$K1139&gt;10),ABS($K1137-$K1139)&gt;1,IF(OR($K1137&gt;11,$K1139&gt;11),ABS($K1137-$K1139)=2,TRUE),$K1137=INT($K1137),$K1139=INT($K1139)),"","Error"),""),"")</f>
        <v/>
      </c>
      <c r="L1135" s="110" t="str">
        <f>IF($Q1137&lt;&gt;"",IF(AND($L1137&lt;&gt;"",$L1139&lt;&gt;""), IF(AND(AND($L1137&gt;-1,$L1139&gt;-1),OR($L1137&gt;10,$L1139&gt;10),ABS($L1137-$L1139)&gt;1,IF(OR($L1137&gt;11,$L1139&gt;11),ABS($L1137-$L1139)=2,TRUE),$L1137=INT($L1137),$L1139=INT($L1139)),"","Error"),""),"")</f>
        <v/>
      </c>
      <c r="R1135" s="1"/>
      <c r="S1135" s="11"/>
      <c r="T1135" s="11"/>
      <c r="U1135" s="11"/>
      <c r="V1135" s="11"/>
      <c r="W1135" s="11"/>
    </row>
    <row r="1136" spans="1:32" ht="12.75" customHeight="1" x14ac:dyDescent="0.25">
      <c r="A1136" s="5" t="s">
        <v>160</v>
      </c>
      <c r="B1136" s="256" t="s">
        <v>58</v>
      </c>
      <c r="C1136" s="257"/>
      <c r="D1136" s="257"/>
      <c r="E1136" s="257"/>
      <c r="F1136" s="257"/>
      <c r="G1136" s="258"/>
      <c r="H1136" s="5">
        <v>1</v>
      </c>
      <c r="I1136" s="5">
        <v>2</v>
      </c>
      <c r="J1136" s="5">
        <v>3</v>
      </c>
      <c r="K1136" s="5">
        <v>4</v>
      </c>
      <c r="L1136" s="5">
        <v>5</v>
      </c>
      <c r="M1136" s="270"/>
      <c r="N1136" s="271"/>
      <c r="O1136" s="271"/>
      <c r="P1136" s="272"/>
      <c r="R1136" s="1"/>
      <c r="S1136" s="11"/>
      <c r="T1136" s="11"/>
      <c r="U1136" s="11"/>
      <c r="V1136" s="11"/>
      <c r="W1136" s="11"/>
    </row>
    <row r="1137" spans="1:32" ht="12.75" customHeight="1" x14ac:dyDescent="0.25">
      <c r="A1137" s="259" t="str">
        <f>B1131</f>
        <v>B</v>
      </c>
      <c r="B1137" s="236" t="str">
        <f ca="1">IF(AND(OFFSET($AO$1,$C1131-1,8,1,1),$A1132&lt;&gt;"",$J1132&lt;&gt;""),CHOOSE($C1131,$AO$1,$AO$2,$AO$3,$AO$4,$AO$5,$AO$6,$AO$7,$AO$8,$AO$9,$AO$10,$AO$11,$AO$12),"")</f>
        <v/>
      </c>
      <c r="C1137" s="237"/>
      <c r="D1137" s="237"/>
      <c r="E1137" s="237"/>
      <c r="F1137" s="237"/>
      <c r="G1137" s="237"/>
      <c r="H1137" s="233"/>
      <c r="I1137" s="233"/>
      <c r="J1137" s="233"/>
      <c r="K1137" s="233"/>
      <c r="L1137" s="233"/>
      <c r="M1137" s="281"/>
      <c r="N1137" s="282"/>
      <c r="O1137" s="282"/>
      <c r="P1137" s="283"/>
      <c r="Q1137" s="40" t="str">
        <f>IF($L1137=$L1139,IF($K1137=$K1139,IF($J1137&lt;&gt;"",IF($J1137&gt;$J1139,"W","L"),""),IF($K1137&gt;$K1139,"W","L")),IF($L1137&gt;$L1139,"W","L"))</f>
        <v/>
      </c>
      <c r="R1137" s="1"/>
      <c r="S1137" s="11"/>
      <c r="T1137" s="11"/>
      <c r="U1137" s="11"/>
      <c r="V1137" s="11"/>
      <c r="W1137" s="11"/>
    </row>
    <row r="1138" spans="1:32" ht="12.75" customHeight="1" x14ac:dyDescent="0.25">
      <c r="A1138" s="260"/>
      <c r="B1138" s="238"/>
      <c r="C1138" s="239"/>
      <c r="D1138" s="239"/>
      <c r="E1138" s="239"/>
      <c r="F1138" s="239"/>
      <c r="G1138" s="239"/>
      <c r="H1138" s="234"/>
      <c r="I1138" s="234"/>
      <c r="J1138" s="234"/>
      <c r="K1138" s="234"/>
      <c r="L1138" s="234"/>
      <c r="M1138" s="281"/>
      <c r="N1138" s="282"/>
      <c r="O1138" s="282"/>
      <c r="P1138" s="283"/>
      <c r="Q1138" s="110" t="str">
        <f>IF($Q1137&lt;&gt;"",IF($Q1137="W",IF(SUM(IF($H1137&gt;$H1139,1,0),IF($I1137&gt;$I1139,1,0),IF($J1137&gt;$J1139,1,0),IF($K1137&gt;$K1139,1,0),IF($L1137&gt;$L1139,1,0))&lt;&gt;3,"Error",""),""),"")</f>
        <v/>
      </c>
      <c r="R1138" s="295" t="str">
        <f>$A1132</f>
        <v/>
      </c>
      <c r="S1138" s="295"/>
      <c r="T1138" s="295"/>
      <c r="U1138" s="295"/>
      <c r="V1138" s="295"/>
      <c r="W1138" s="295"/>
      <c r="X1138" s="219" t="str">
        <f>CONCATENATE("(",$B1131," vs ",$K1131,")")</f>
        <v>(B vs E)</v>
      </c>
      <c r="Y1138" s="219"/>
      <c r="Z1138" s="295" t="str">
        <f>$J1132</f>
        <v/>
      </c>
      <c r="AA1138" s="295"/>
      <c r="AB1138" s="295"/>
      <c r="AC1138" s="295"/>
      <c r="AD1138" s="295"/>
      <c r="AE1138" s="295"/>
      <c r="AF1138"/>
    </row>
    <row r="1139" spans="1:32" ht="12.75" customHeight="1" x14ac:dyDescent="0.25">
      <c r="A1139" s="259" t="str">
        <f>K1131</f>
        <v>E</v>
      </c>
      <c r="B1139" s="236" t="str">
        <f ca="1">IF(AND(OFFSET($AO$1,$L1131-1,8,1,1),$A1132&lt;&gt;"",$J1132&lt;&gt;""),CHOOSE($L1131,$AO$1,$AO$2,$AO$3,$AO$4,$AO$5,$AO$6,$AO$7,$AO$8,$AO$9,$AO$10,$AO$11,$AO$12),"")</f>
        <v/>
      </c>
      <c r="C1139" s="237"/>
      <c r="D1139" s="237"/>
      <c r="E1139" s="237"/>
      <c r="F1139" s="237"/>
      <c r="G1139" s="237"/>
      <c r="H1139" s="233"/>
      <c r="I1139" s="233"/>
      <c r="J1139" s="233"/>
      <c r="K1139" s="233"/>
      <c r="L1139" s="233"/>
      <c r="M1139" s="250" t="s">
        <v>169</v>
      </c>
      <c r="N1139" s="251"/>
      <c r="O1139" s="251"/>
      <c r="P1139" s="252"/>
      <c r="Q1139" s="40" t="str">
        <f>IF($Q1137&lt;&gt;"",IF($Q1137="W","L","W"),"")</f>
        <v/>
      </c>
      <c r="R1139"/>
      <c r="S1139"/>
      <c r="T1139"/>
      <c r="U1139"/>
      <c r="V1139"/>
      <c r="W1139"/>
      <c r="X1139"/>
      <c r="Y1139"/>
      <c r="Z1139"/>
      <c r="AA1139"/>
      <c r="AB1139"/>
      <c r="AC1139"/>
      <c r="AD1139"/>
      <c r="AE1139"/>
      <c r="AF1139"/>
    </row>
    <row r="1140" spans="1:32" ht="12.75" customHeight="1" x14ac:dyDescent="0.25">
      <c r="A1140" s="260"/>
      <c r="B1140" s="238"/>
      <c r="C1140" s="239"/>
      <c r="D1140" s="239"/>
      <c r="E1140" s="239"/>
      <c r="F1140" s="239"/>
      <c r="G1140" s="239"/>
      <c r="H1140" s="234"/>
      <c r="I1140" s="234"/>
      <c r="J1140" s="235"/>
      <c r="K1140" s="235"/>
      <c r="L1140" s="235"/>
      <c r="M1140" s="250"/>
      <c r="N1140" s="251"/>
      <c r="O1140" s="251"/>
      <c r="P1140" s="252"/>
      <c r="Q1140" s="110" t="str">
        <f>IF($Q1139&lt;&gt;"",IF($Q1139="W",IF(SUM(IF($H1139&gt;$H1137,1,0),IF($I1139&gt;$I1137,1,0),IF($J1139&gt;$J1137,1,0),IF($K1139&gt;$K1137,1,0),IF($L1139&gt;$L1137,1,0))&lt;&gt;3,"Error",""),""),"")</f>
        <v/>
      </c>
      <c r="R1140" t="str">
        <f>$A1142</f>
        <v>2nd Singles</v>
      </c>
      <c r="S1140"/>
      <c r="T1140"/>
      <c r="U1140"/>
      <c r="V1140"/>
      <c r="W1140"/>
      <c r="X1140"/>
      <c r="Y1140"/>
      <c r="Z1140"/>
      <c r="AA1140"/>
      <c r="AB1140"/>
      <c r="AC1140"/>
      <c r="AD1140"/>
      <c r="AE1140"/>
      <c r="AF1140"/>
    </row>
    <row r="1141" spans="1:32" ht="12.75" customHeight="1" x14ac:dyDescent="0.25">
      <c r="Q1141" s="6"/>
      <c r="R1141" s="47" t="s">
        <v>160</v>
      </c>
      <c r="S1141" s="304" t="s">
        <v>58</v>
      </c>
      <c r="T1141" s="305"/>
      <c r="U1141" s="305"/>
      <c r="V1141" s="305"/>
      <c r="W1141" s="305"/>
      <c r="X1141" s="306"/>
      <c r="Y1141" s="47">
        <v>1</v>
      </c>
      <c r="Z1141" s="47">
        <v>2</v>
      </c>
      <c r="AA1141" s="47">
        <v>3</v>
      </c>
      <c r="AB1141" s="47">
        <v>4</v>
      </c>
      <c r="AC1141" s="47">
        <v>5</v>
      </c>
      <c r="AD1141" s="286"/>
      <c r="AE1141" s="287"/>
      <c r="AF1141" s="288"/>
    </row>
    <row r="1142" spans="1:32" ht="12.75" customHeight="1" x14ac:dyDescent="0.25">
      <c r="A1142" s="15" t="s">
        <v>166</v>
      </c>
      <c r="H1142" s="110" t="str">
        <f>IF($Q1144&lt;&gt;"",IF(AND(AND($H1144&gt;-1,$H1146&gt;-1),OR($H1144&gt;10,$H1146&gt;10),ABS($H1144-$H1146)&gt;1,IF(OR($H1144&gt;11,$H1146&gt;11),ABS($H1144-$H1146)=2,TRUE),$H1144=INT($H1144),$H1146=INT($H1146)),"","Error"),"")</f>
        <v/>
      </c>
      <c r="I1142" s="110" t="str">
        <f>IF($Q1144&lt;&gt;"",IF(AND(AND($I1144&gt;-1,$I1146&gt;-1),OR($I1144&gt;10,$I1146&gt;10),ABS($I1144-$I1146)&gt;1,IF(OR($I1144&gt;11,$I1146&gt;11),ABS($I1144-$I1146)=2,TRUE),$I1144=INT($I1144),$I1146=INT($I1146)),"","Error"),"")</f>
        <v/>
      </c>
      <c r="J1142" s="110" t="str">
        <f>IF($Q1144&lt;&gt;"",IF(AND(AND($J1144&gt;-1,$J1146&gt;-1),OR($J1144&gt;10,$J1146&gt;10),ABS($J1144-$J1146)&gt;1,IF(OR($J1144&gt;11,$J1146&gt;11),ABS($J1144-$J1146)=2,TRUE),$J1144=INT($J1144),$J1146=INT($J1146)),"","Error"),"")</f>
        <v/>
      </c>
      <c r="K1142" s="110" t="str">
        <f>IF($Q1144&lt;&gt;"",IF(AND($K1144&lt;&gt;"",$K1146&lt;&gt;""), IF(AND(AND($K1144&gt;-1,$K1146&gt;-1),OR($K1144&gt;10,$K1146&gt;10),ABS($K1144-$K1146)&gt;1,IF(OR($K1144&gt;11,$K1146&gt;11),ABS($K1144-$K1146)=2,TRUE),$K1144=INT($K1144),$K1146=INT($K1146)),"","Error"),""),"")</f>
        <v/>
      </c>
      <c r="L1142" s="110" t="str">
        <f>IF($Q1144&lt;&gt;"",IF(AND($L1144&lt;&gt;"",$L1146&lt;&gt;""), IF(AND(AND($L1144&gt;-1,$L1146&gt;-1),OR($L1144&gt;10,$L1146&gt;10),ABS($L1144-$L1146)&gt;1,IF(OR($L1144&gt;11,$L1146&gt;11),ABS($L1144-$L1146)=2,TRUE),$L1144=INT($L1144),$L1146=INT($L1146)),"","Error"),""),"")</f>
        <v/>
      </c>
      <c r="Q1142" s="6"/>
      <c r="R1142" s="259" t="str">
        <f>$B1131</f>
        <v>B</v>
      </c>
      <c r="S1142" s="307" t="str">
        <f ca="1">IF($B1144&lt;&gt;"",$B1144,"")</f>
        <v/>
      </c>
      <c r="T1142" s="308"/>
      <c r="U1142" s="308"/>
      <c r="V1142" s="308"/>
      <c r="W1142" s="308"/>
      <c r="X1142" s="309"/>
      <c r="Y1142" s="284"/>
      <c r="Z1142" s="284"/>
      <c r="AA1142" s="284"/>
      <c r="AB1142" s="284"/>
      <c r="AC1142" s="284"/>
      <c r="AD1142" s="296"/>
      <c r="AE1142" s="290"/>
      <c r="AF1142" s="291"/>
    </row>
    <row r="1143" spans="1:32" ht="12.75" customHeight="1" x14ac:dyDescent="0.25">
      <c r="A1143" s="5" t="s">
        <v>160</v>
      </c>
      <c r="B1143" s="256" t="s">
        <v>58</v>
      </c>
      <c r="C1143" s="257"/>
      <c r="D1143" s="257"/>
      <c r="E1143" s="257"/>
      <c r="F1143" s="257"/>
      <c r="G1143" s="258"/>
      <c r="H1143" s="5">
        <v>1</v>
      </c>
      <c r="I1143" s="5">
        <v>2</v>
      </c>
      <c r="J1143" s="5">
        <v>3</v>
      </c>
      <c r="K1143" s="5">
        <v>4</v>
      </c>
      <c r="L1143" s="5">
        <v>5</v>
      </c>
      <c r="M1143" s="270"/>
      <c r="N1143" s="271"/>
      <c r="O1143" s="271"/>
      <c r="P1143" s="272"/>
      <c r="Q1143" s="6"/>
      <c r="R1143" s="285"/>
      <c r="S1143" s="310"/>
      <c r="T1143" s="311"/>
      <c r="U1143" s="311"/>
      <c r="V1143" s="311"/>
      <c r="W1143" s="311"/>
      <c r="X1143" s="312"/>
      <c r="Y1143" s="285"/>
      <c r="Z1143" s="285"/>
      <c r="AA1143" s="285"/>
      <c r="AB1143" s="285"/>
      <c r="AC1143" s="285"/>
      <c r="AD1143" s="292"/>
      <c r="AE1143" s="293"/>
      <c r="AF1143" s="294"/>
    </row>
    <row r="1144" spans="1:32" ht="12.75" customHeight="1" x14ac:dyDescent="0.25">
      <c r="A1144" s="259" t="str">
        <f>B1131</f>
        <v>B</v>
      </c>
      <c r="B1144" s="236" t="str">
        <f ca="1">IF(AND(OFFSET($AO$1,$C1131-1,8,1,1),$A1132&lt;&gt;"",$J1132&lt;&gt;""),CHOOSE($C1131,$AP$1,$AP$2,$AP$3,$AP$4,$AP$5,$AP$6,$AP$7,$AP$8,$AP$9,$AP$10,$AP$11,$AP$12),"")</f>
        <v/>
      </c>
      <c r="C1144" s="237"/>
      <c r="D1144" s="237"/>
      <c r="E1144" s="237"/>
      <c r="F1144" s="237"/>
      <c r="G1144" s="237"/>
      <c r="H1144" s="233"/>
      <c r="I1144" s="233"/>
      <c r="J1144" s="233"/>
      <c r="K1144" s="233"/>
      <c r="L1144" s="233"/>
      <c r="M1144" s="245" t="str">
        <f ca="1">IF(OR(AND($B1137&lt;&gt;"",$B1144&lt;&gt;"",$C1162&lt;=$B1162),AND($B1139&lt;&gt;"",$B1146&lt;&gt;"",$G1162&lt;=$F1162)),"Invalid Lineup","")</f>
        <v/>
      </c>
      <c r="N1144" s="246"/>
      <c r="O1144" s="246"/>
      <c r="P1144" s="247"/>
      <c r="Q1144" s="40" t="str">
        <f>IF($L1144=$L1146,IF($K1144=$K1146,IF($J1144&lt;&gt;"",IF($J1144&gt;$J1146,"W","L"),""),IF($K1144&gt;$K1146,"W","L")),IF($L1144&gt;$L1146,"W","L"))</f>
        <v/>
      </c>
      <c r="R1144" s="259" t="str">
        <f>$K1131</f>
        <v>E</v>
      </c>
      <c r="S1144" s="307" t="str">
        <f ca="1">IF($B1146&lt;&gt;"",$B1146,"")</f>
        <v/>
      </c>
      <c r="T1144" s="308"/>
      <c r="U1144" s="308"/>
      <c r="V1144" s="308"/>
      <c r="W1144" s="308"/>
      <c r="X1144" s="309"/>
      <c r="Y1144" s="284"/>
      <c r="Z1144" s="284"/>
      <c r="AA1144" s="284"/>
      <c r="AB1144" s="284"/>
      <c r="AC1144" s="297"/>
      <c r="AD1144" s="289" t="s">
        <v>169</v>
      </c>
      <c r="AE1144" s="290"/>
      <c r="AF1144" s="291"/>
    </row>
    <row r="1145" spans="1:32" ht="12.75" customHeight="1" x14ac:dyDescent="0.25">
      <c r="A1145" s="260"/>
      <c r="B1145" s="238"/>
      <c r="C1145" s="239"/>
      <c r="D1145" s="239"/>
      <c r="E1145" s="239"/>
      <c r="F1145" s="239"/>
      <c r="G1145" s="239"/>
      <c r="H1145" s="234"/>
      <c r="I1145" s="234"/>
      <c r="J1145" s="234"/>
      <c r="K1145" s="234"/>
      <c r="L1145" s="234"/>
      <c r="M1145" s="245"/>
      <c r="N1145" s="246"/>
      <c r="O1145" s="246"/>
      <c r="P1145" s="247"/>
      <c r="Q1145" s="110" t="str">
        <f>IF($Q1144&lt;&gt;"",IF($Q1144="W",IF(SUM(IF($H1144&gt;$H1146,1,0),IF($I1144&gt;$I1146,1,0),IF($J1144&gt;$J1146,1,0),IF($K1144&gt;$K1146,1,0),IF($L1144&gt;$L1146,1,0))&lt;&gt;3,"Error",""),""),"")</f>
        <v/>
      </c>
      <c r="R1145" s="285"/>
      <c r="S1145" s="310"/>
      <c r="T1145" s="311"/>
      <c r="U1145" s="311"/>
      <c r="V1145" s="311"/>
      <c r="W1145" s="311"/>
      <c r="X1145" s="312"/>
      <c r="Y1145" s="285"/>
      <c r="Z1145" s="285"/>
      <c r="AA1145" s="285"/>
      <c r="AB1145" s="285"/>
      <c r="AC1145" s="285"/>
      <c r="AD1145" s="292"/>
      <c r="AE1145" s="293"/>
      <c r="AF1145" s="294"/>
    </row>
    <row r="1146" spans="1:32" ht="12.75" customHeight="1" x14ac:dyDescent="0.25">
      <c r="A1146" s="259" t="str">
        <f>K1131</f>
        <v>E</v>
      </c>
      <c r="B1146" s="236" t="str">
        <f ca="1">IF(AND(OFFSET($AO$1,$L1131-1,8,1,1),$A1132&lt;&gt;"",$J1132&lt;&gt;""),CHOOSE($L1131,$AP$1,$AP$2,$AP$3,$AP$4,$AP$5,$AP$6,$AP$7,$AP$8,$AP$9,$AP$10,$AP$11,$AP$12),"")</f>
        <v/>
      </c>
      <c r="C1146" s="237"/>
      <c r="D1146" s="237"/>
      <c r="E1146" s="237"/>
      <c r="F1146" s="237"/>
      <c r="G1146" s="237"/>
      <c r="H1146" s="233"/>
      <c r="I1146" s="233"/>
      <c r="J1146" s="233"/>
      <c r="K1146" s="233"/>
      <c r="L1146" s="233"/>
      <c r="M1146" s="250" t="s">
        <v>169</v>
      </c>
      <c r="N1146" s="251"/>
      <c r="O1146" s="251"/>
      <c r="P1146" s="252"/>
      <c r="Q1146" s="40" t="str">
        <f>IF($Q1144&lt;&gt;"",IF($Q1144="W","L","W"),"")</f>
        <v/>
      </c>
      <c r="R1146" s="14"/>
      <c r="S1146" s="14"/>
      <c r="T1146" s="14"/>
      <c r="U1146" s="14"/>
      <c r="V1146" s="14"/>
      <c r="W1146" s="14"/>
      <c r="X1146" s="7"/>
      <c r="Y1146" s="7"/>
      <c r="Z1146" s="14"/>
      <c r="AA1146" s="14"/>
      <c r="AB1146" s="14"/>
      <c r="AC1146" s="14"/>
      <c r="AD1146" s="14"/>
      <c r="AE1146" s="14"/>
      <c r="AF1146"/>
    </row>
    <row r="1147" spans="1:32" ht="12.75" customHeight="1" x14ac:dyDescent="0.25">
      <c r="A1147" s="260"/>
      <c r="B1147" s="238"/>
      <c r="C1147" s="239"/>
      <c r="D1147" s="239"/>
      <c r="E1147" s="239"/>
      <c r="F1147" s="239"/>
      <c r="G1147" s="239"/>
      <c r="H1147" s="234"/>
      <c r="I1147" s="234"/>
      <c r="J1147" s="235"/>
      <c r="K1147" s="235"/>
      <c r="L1147" s="235"/>
      <c r="M1147" s="250"/>
      <c r="N1147" s="251"/>
      <c r="O1147" s="251"/>
      <c r="P1147" s="252"/>
      <c r="Q1147" s="110" t="str">
        <f>IF($Q1146&lt;&gt;"",IF($Q1146="W",IF(SUM(IF($H1146&gt;$H1144,1,0),IF($I1146&gt;$I1144,1,0),IF($J1146&gt;$J1144,1,0),IF($K1146&gt;$K1144,1,0),IF($L1146&gt;$L1144,1,0))&lt;&gt;3,"Error",""),""),"")</f>
        <v/>
      </c>
      <c r="R1147" s="14"/>
      <c r="S1147" s="14"/>
      <c r="T1147" s="14"/>
      <c r="U1147" s="14"/>
      <c r="V1147" s="14"/>
      <c r="W1147" s="14"/>
      <c r="X1147" s="7"/>
      <c r="Y1147" s="7"/>
      <c r="Z1147" s="14"/>
      <c r="AA1147" s="14"/>
      <c r="AB1147" s="14"/>
      <c r="AC1147" s="14"/>
      <c r="AD1147" s="14"/>
      <c r="AE1147" s="14"/>
      <c r="AF1147"/>
    </row>
    <row r="1148" spans="1:32" ht="12.75" customHeight="1" x14ac:dyDescent="0.25">
      <c r="Q1148" s="6"/>
      <c r="R1148" s="14"/>
      <c r="S1148" s="14"/>
      <c r="T1148" s="14"/>
      <c r="U1148" s="14"/>
      <c r="V1148" s="14"/>
      <c r="W1148" s="14"/>
      <c r="X1148" s="7"/>
      <c r="Y1148" s="7"/>
      <c r="Z1148" s="14"/>
      <c r="AA1148" s="14"/>
      <c r="AB1148" s="14"/>
      <c r="AC1148" s="14"/>
      <c r="AD1148" s="14"/>
      <c r="AE1148" s="14"/>
      <c r="AF1148"/>
    </row>
    <row r="1149" spans="1:32" ht="12.75" customHeight="1" x14ac:dyDescent="0.25">
      <c r="A1149" s="15" t="s">
        <v>167</v>
      </c>
      <c r="H1149" s="110" t="str">
        <f>IF($Q1151&lt;&gt;"",IF(AND(AND($H1151&gt;-1,$H1153&gt;-1),OR($H1151&gt;10,$H1153&gt;10),ABS($H1151-$H1153)&gt;1,IF(OR($H1151&gt;11,$H1153&gt;11),ABS($H1151-$H1153)=2,TRUE),$H1151=INT($H1151),$H1153=INT($H1153)),"","Error"),"")</f>
        <v/>
      </c>
      <c r="I1149" s="110" t="str">
        <f>IF($Q1151&lt;&gt;"",IF(AND(AND($I1151&gt;-1,$I1153&gt;-1),OR($I1151&gt;10,$I1153&gt;10),ABS($I1151-$I1153)&gt;1,IF(OR($I1151&gt;11,$I1153&gt;11),ABS($I1151-$I1153)=2,TRUE),$I1151=INT($I1151),$I1153=INT($I1153)),"","Error"),"")</f>
        <v/>
      </c>
      <c r="J1149" s="110" t="str">
        <f>IF($Q1151&lt;&gt;"",IF(AND(AND($J1151&gt;-1,$J1153&gt;-1),OR($J1151&gt;10,$J1153&gt;10),ABS($J1151-$J1153)&gt;1,IF(OR($J1151&gt;11,$J1153&gt;11),ABS($J1151-$J1153)=2,TRUE),$J1151=INT($J1151),$J1153=INT($J1153)),"","Error"),"")</f>
        <v/>
      </c>
      <c r="K1149" s="110" t="str">
        <f>IF($Q1151&lt;&gt;"",IF(AND($K1151&lt;&gt;"",$K1153&lt;&gt;""), IF(AND(AND($K1151&gt;-1,$K1153&gt;-1),OR($K1151&gt;10,$K1153&gt;10),ABS($K1151-$K1153)&gt;1,IF(OR($K1151&gt;11,$K1153&gt;11),ABS($K1151-$K1153)=2,TRUE),$K1151=INT($K1151),$K1153=INT($K1153)),"","Error"),""),"")</f>
        <v/>
      </c>
      <c r="L1149" s="110" t="str">
        <f>IF($Q1151&lt;&gt;"",IF(AND($L1151&lt;&gt;"",$L1153&lt;&gt;""), IF(AND(AND($L1151&gt;-1,$L1153&gt;-1),OR($L1151&gt;10,$L1153&gt;10),ABS($L1151-$L1153)&gt;1,IF(OR($L1151&gt;11,$L1153&gt;11),ABS($L1151-$L1153)=2,TRUE),$L1151=INT($L1151),$L1153=INT($L1153)),"","Error"),""),"")</f>
        <v/>
      </c>
      <c r="Q1149" s="6"/>
      <c r="R1149" s="14"/>
      <c r="S1149" s="14"/>
      <c r="T1149" s="14"/>
      <c r="U1149" s="14"/>
      <c r="V1149" s="14"/>
      <c r="W1149" s="14"/>
      <c r="X1149" s="7"/>
      <c r="Y1149" s="7"/>
      <c r="Z1149" s="14"/>
      <c r="AA1149" s="14"/>
      <c r="AB1149" s="14"/>
      <c r="AC1149" s="14"/>
      <c r="AD1149" s="14"/>
      <c r="AE1149" s="14"/>
      <c r="AF1149"/>
    </row>
    <row r="1150" spans="1:32" ht="12.75" customHeight="1" x14ac:dyDescent="0.25">
      <c r="A1150" s="5" t="s">
        <v>160</v>
      </c>
      <c r="B1150" s="256" t="s">
        <v>58</v>
      </c>
      <c r="C1150" s="257"/>
      <c r="D1150" s="257"/>
      <c r="E1150" s="257"/>
      <c r="F1150" s="257"/>
      <c r="G1150" s="258"/>
      <c r="H1150" s="5">
        <v>1</v>
      </c>
      <c r="I1150" s="5">
        <v>2</v>
      </c>
      <c r="J1150" s="5">
        <v>3</v>
      </c>
      <c r="K1150" s="5">
        <v>4</v>
      </c>
      <c r="L1150" s="5">
        <v>5</v>
      </c>
      <c r="M1150" s="270"/>
      <c r="N1150" s="271"/>
      <c r="O1150" s="271"/>
      <c r="P1150" s="272"/>
      <c r="Q1150" s="6"/>
      <c r="R1150" s="14"/>
      <c r="S1150" s="14"/>
      <c r="T1150" s="14"/>
      <c r="U1150" s="14"/>
      <c r="V1150" s="14"/>
      <c r="W1150" s="14"/>
      <c r="X1150" s="7"/>
      <c r="Y1150" s="7"/>
      <c r="Z1150" s="14"/>
      <c r="AA1150" s="14"/>
      <c r="AB1150" s="14"/>
      <c r="AC1150" s="14"/>
      <c r="AD1150" s="14"/>
      <c r="AE1150" s="14"/>
      <c r="AF1150"/>
    </row>
    <row r="1151" spans="1:32" ht="12.75" customHeight="1" x14ac:dyDescent="0.25">
      <c r="A1151" s="259" t="str">
        <f>B1131</f>
        <v>B</v>
      </c>
      <c r="B1151" s="236" t="str">
        <f ca="1">IF(AND(OFFSET($AO$1,$C1131-1,8,1,1),$A1132&lt;&gt;"",$J1132&lt;&gt;""),CHOOSE($C1131,$AQ$1,$AQ$2,$AQ$3,$AQ$4,$AQ$5,$AQ$6,$AQ$7,$AQ$8,$AQ$9,$AQ$10,$AQ$11,$AQ$12),"")</f>
        <v/>
      </c>
      <c r="C1151" s="237"/>
      <c r="D1151" s="237"/>
      <c r="E1151" s="237"/>
      <c r="F1151" s="237"/>
      <c r="G1151" s="237"/>
      <c r="H1151" s="233"/>
      <c r="I1151" s="233"/>
      <c r="J1151" s="233"/>
      <c r="K1151" s="233"/>
      <c r="L1151" s="233"/>
      <c r="M1151" s="245" t="str">
        <f ca="1">IF(OR(AND($B1144&lt;&gt;"",$B1151&lt;&gt;"",$D1162&lt;=$C1162),AND($B1146&lt;&gt;"",$B1153&lt;&gt;"",$H1162&lt;=$G1162)),"Invalid Lineup","")</f>
        <v/>
      </c>
      <c r="N1151" s="246"/>
      <c r="O1151" s="246"/>
      <c r="P1151" s="247"/>
      <c r="Q1151" s="40" t="str">
        <f>IF($L1151=$L1153,IF($K1151=$K1153,IF($J1151&lt;&gt;"",IF($J1151&gt;$J1153,"W","L"),""),IF($K1151&gt;$K1153,"W","L")),IF($L1151&gt;$L1153,"W","L"))</f>
        <v/>
      </c>
      <c r="R1151" s="14"/>
      <c r="S1151" s="14"/>
      <c r="T1151" s="14"/>
      <c r="U1151" s="14"/>
      <c r="V1151" s="14"/>
      <c r="W1151" s="14"/>
      <c r="X1151" s="7"/>
      <c r="Y1151" s="7"/>
      <c r="Z1151" s="14"/>
      <c r="AA1151" s="14"/>
      <c r="AB1151" s="14"/>
      <c r="AC1151" s="14"/>
      <c r="AD1151" s="14"/>
      <c r="AE1151" s="14"/>
      <c r="AF1151"/>
    </row>
    <row r="1152" spans="1:32" ht="12.75" customHeight="1" x14ac:dyDescent="0.25">
      <c r="A1152" s="260"/>
      <c r="B1152" s="238"/>
      <c r="C1152" s="239"/>
      <c r="D1152" s="239"/>
      <c r="E1152" s="239"/>
      <c r="F1152" s="239"/>
      <c r="G1152" s="239"/>
      <c r="H1152" s="234"/>
      <c r="I1152" s="234"/>
      <c r="J1152" s="234"/>
      <c r="K1152" s="234"/>
      <c r="L1152" s="234"/>
      <c r="M1152" s="245"/>
      <c r="N1152" s="246"/>
      <c r="O1152" s="246"/>
      <c r="P1152" s="247"/>
      <c r="Q1152" s="110" t="str">
        <f>IF($Q1151&lt;&gt;"",IF($Q1151="W",IF(SUM(IF($H1151&gt;$H1153,1,0),IF($I1151&gt;$I1153,1,0),IF($J1151&gt;$J1153,1,0),IF($K1151&gt;$K1153,1,0),IF($L1151&gt;$L1153,1,0))&lt;&gt;3,"Error",""),""),"")</f>
        <v/>
      </c>
      <c r="R1152" s="295" t="str">
        <f>$A1132</f>
        <v/>
      </c>
      <c r="S1152" s="295"/>
      <c r="T1152" s="295"/>
      <c r="U1152" s="295"/>
      <c r="V1152" s="295"/>
      <c r="W1152" s="295"/>
      <c r="X1152" s="219" t="str">
        <f>CONCATENATE("(",$B1131," vs ",$K1131,")")</f>
        <v>(B vs E)</v>
      </c>
      <c r="Y1152" s="219"/>
      <c r="Z1152" s="295" t="str">
        <f>$J1132</f>
        <v/>
      </c>
      <c r="AA1152" s="295"/>
      <c r="AB1152" s="295"/>
      <c r="AC1152" s="295"/>
      <c r="AD1152" s="295"/>
      <c r="AE1152" s="295"/>
      <c r="AF1152"/>
    </row>
    <row r="1153" spans="1:32" ht="12.75" customHeight="1" x14ac:dyDescent="0.25">
      <c r="A1153" s="259" t="str">
        <f>K1131</f>
        <v>E</v>
      </c>
      <c r="B1153" s="236" t="str">
        <f ca="1">IF(AND(OFFSET($AO$1,$L1131-1,8,1,1),$A1132&lt;&gt;"",$J1132&lt;&gt;""),CHOOSE($L1131,$AQ$1,$AQ$2,$AQ$3,$AQ$4,$AQ$5,$AQ$6,$AQ$7,$AQ$8,$AQ$9,$AQ$10,$AQ$11,$AQ$12),"")</f>
        <v/>
      </c>
      <c r="C1153" s="237"/>
      <c r="D1153" s="237"/>
      <c r="E1153" s="237"/>
      <c r="F1153" s="237"/>
      <c r="G1153" s="237"/>
      <c r="H1153" s="233"/>
      <c r="I1153" s="233"/>
      <c r="J1153" s="233"/>
      <c r="K1153" s="233"/>
      <c r="L1153" s="233"/>
      <c r="M1153" s="250" t="s">
        <v>169</v>
      </c>
      <c r="N1153" s="251"/>
      <c r="O1153" s="251"/>
      <c r="P1153" s="252"/>
      <c r="Q1153" s="40" t="str">
        <f>IF($Q1151&lt;&gt;"",IF($Q1151="W","L","W"),"")</f>
        <v/>
      </c>
      <c r="R1153"/>
      <c r="S1153"/>
      <c r="T1153"/>
      <c r="U1153"/>
      <c r="V1153"/>
      <c r="W1153"/>
      <c r="X1153"/>
      <c r="Y1153"/>
      <c r="Z1153"/>
      <c r="AA1153"/>
      <c r="AB1153"/>
      <c r="AC1153"/>
      <c r="AD1153"/>
      <c r="AE1153"/>
      <c r="AF1153"/>
    </row>
    <row r="1154" spans="1:32" ht="12.75" customHeight="1" x14ac:dyDescent="0.25">
      <c r="A1154" s="260"/>
      <c r="B1154" s="238"/>
      <c r="C1154" s="239"/>
      <c r="D1154" s="239"/>
      <c r="E1154" s="239"/>
      <c r="F1154" s="239"/>
      <c r="G1154" s="239"/>
      <c r="H1154" s="234"/>
      <c r="I1154" s="234"/>
      <c r="J1154" s="235"/>
      <c r="K1154" s="235"/>
      <c r="L1154" s="235"/>
      <c r="M1154" s="250"/>
      <c r="N1154" s="251"/>
      <c r="O1154" s="251"/>
      <c r="P1154" s="252"/>
      <c r="Q1154" s="110" t="str">
        <f>IF($Q1153&lt;&gt;"",IF($Q1153="W",IF(SUM(IF($H1153&gt;$H1151,1,0),IF($I1153&gt;$I1151,1,0),IF($J1153&gt;$J1151,1,0),IF($K1153&gt;$K1151,1,0),IF($L1153&gt;$L1151,1,0))&lt;&gt;3,"Error",""),""),"")</f>
        <v/>
      </c>
      <c r="R1154" t="str">
        <f>$A1149</f>
        <v>3rd Singles</v>
      </c>
      <c r="S1154"/>
      <c r="T1154"/>
      <c r="U1154"/>
      <c r="V1154"/>
      <c r="W1154"/>
      <c r="X1154"/>
      <c r="Y1154"/>
      <c r="Z1154"/>
      <c r="AA1154"/>
      <c r="AB1154"/>
      <c r="AC1154"/>
      <c r="AD1154"/>
      <c r="AE1154"/>
      <c r="AF1154"/>
    </row>
    <row r="1155" spans="1:32" ht="12.75" customHeight="1" x14ac:dyDescent="0.25">
      <c r="Q1155" s="6"/>
      <c r="R1155" s="47" t="s">
        <v>160</v>
      </c>
      <c r="S1155" s="86" t="s">
        <v>58</v>
      </c>
      <c r="T1155" s="87"/>
      <c r="U1155" s="87"/>
      <c r="V1155" s="87"/>
      <c r="W1155" s="87"/>
      <c r="X1155" s="88"/>
      <c r="Y1155" s="47">
        <v>1</v>
      </c>
      <c r="Z1155" s="47">
        <v>2</v>
      </c>
      <c r="AA1155" s="47">
        <v>3</v>
      </c>
      <c r="AB1155" s="47">
        <v>4</v>
      </c>
      <c r="AC1155" s="47">
        <v>5</v>
      </c>
      <c r="AD1155" s="89"/>
      <c r="AE1155" s="90"/>
      <c r="AF1155" s="91"/>
    </row>
    <row r="1156" spans="1:32" ht="12.75" customHeight="1" x14ac:dyDescent="0.25">
      <c r="A1156" s="15" t="s">
        <v>168</v>
      </c>
      <c r="H1156" s="110" t="str">
        <f ca="1">IF($Q1158&lt;&gt;"",IF(AND($B1158&lt;&gt;"Missing Player",$B1160&lt;&gt;"Missing Player"),IF(AND(AND($H1158&gt;-1,$H1160&gt;-1),OR($H1158&gt;10,$H1160&gt;10),ABS($H1158-$H1160)&gt;1,IF(OR($H1158&gt;11,$H1160&gt;11),ABS($H1158-$H1160)=2,TRUE),$H1158=INT($H1158),$H1160=INT($H1160)),"","Error"),""),"")</f>
        <v/>
      </c>
      <c r="I1156" s="110" t="str">
        <f ca="1">IF($Q1158&lt;&gt;"",IF(AND($B1158&lt;&gt;"Missing Player",$B1160&lt;&gt;"Missing Player"),IF(AND(AND($I1158&gt;-1,$I1160&gt;-1),OR($I1158&gt;10,$I1160&gt;10),ABS($I1158-$I1160)&gt;1,IF(OR($I1158&gt;11,$I1160&gt;11),ABS($I1158-$I1160)=2,TRUE),$I1158=INT($I1158),$I1160=INT($I1160)),"","Error"),""),"")</f>
        <v/>
      </c>
      <c r="J1156" s="110" t="str">
        <f ca="1">IF($Q1158&lt;&gt;"",IF(AND($B1158&lt;&gt;"Missing Player",$B1160&lt;&gt;"Missing Player"),IF(AND(AND($J1158&gt;-1,$J1160&gt;-1),OR($J1158&gt;10,$J1160&gt;10),ABS($J1158-$J1160)&gt;1,IF(OR($J1158&gt;11,$J1160&gt;11),ABS($J1158-$J1160)=2,TRUE),$J1158=INT($J1158),$J1160=INT($J1160)),"","Error"),""),"")</f>
        <v/>
      </c>
      <c r="K1156" s="110" t="str">
        <f ca="1">IF($Q1158&lt;&gt;"",IF(AND($K1158&lt;&gt;"",$K1160&lt;&gt;""), IF(AND(AND($K1158&gt;-1,$K1160&gt;-1),OR($K1158&gt;10,$K1160&gt;10),ABS($K1158-$K1160)&gt;1,IF(OR($K1158&gt;11,$K1160&gt;11),ABS($K1158-$K1160)=2,TRUE),$K1158=INT($K1158),$K1160=INT($K1160)),"","Error"),""),"")</f>
        <v/>
      </c>
      <c r="L1156" s="110" t="str">
        <f ca="1">IF($Q1158&lt;&gt;"",IF(AND($L1158&lt;&gt;"",$L1160&lt;&gt;""), IF(AND(AND($L1158&gt;-1,$L1160&gt;-1),OR($L1158&gt;10,$L1160&gt;10),ABS($L1158-$L1160)&gt;1,IF(OR($L1158&gt;11,$L1160&gt;11),ABS($L1158-$L1160)=2,TRUE),$L1158=INT($L1158),$L1160=INT($L1160)),"","Error"),""),"")</f>
        <v/>
      </c>
      <c r="Q1156" s="6"/>
      <c r="R1156" s="259" t="str">
        <f>$B1131</f>
        <v>B</v>
      </c>
      <c r="S1156" s="307" t="str">
        <f ca="1">IF($B1151&lt;&gt;"",$B1151,"")</f>
        <v/>
      </c>
      <c r="T1156" s="308"/>
      <c r="U1156" s="308"/>
      <c r="V1156" s="308"/>
      <c r="W1156" s="308"/>
      <c r="X1156" s="309"/>
      <c r="Y1156" s="284"/>
      <c r="Z1156" s="284"/>
      <c r="AA1156" s="284"/>
      <c r="AB1156" s="284"/>
      <c r="AC1156" s="284"/>
      <c r="AD1156" s="296"/>
      <c r="AE1156" s="290"/>
      <c r="AF1156" s="291"/>
    </row>
    <row r="1157" spans="1:32" ht="12.75" customHeight="1" x14ac:dyDescent="0.25">
      <c r="A1157" s="5" t="s">
        <v>160</v>
      </c>
      <c r="B1157" s="256" t="s">
        <v>58</v>
      </c>
      <c r="C1157" s="257"/>
      <c r="D1157" s="257"/>
      <c r="E1157" s="257"/>
      <c r="F1157" s="257"/>
      <c r="G1157" s="258"/>
      <c r="H1157" s="5">
        <v>1</v>
      </c>
      <c r="I1157" s="5">
        <v>2</v>
      </c>
      <c r="J1157" s="5">
        <v>3</v>
      </c>
      <c r="K1157" s="5">
        <v>4</v>
      </c>
      <c r="L1157" s="5">
        <v>5</v>
      </c>
      <c r="M1157" s="270"/>
      <c r="N1157" s="271"/>
      <c r="O1157" s="271"/>
      <c r="P1157" s="272"/>
      <c r="Q1157" s="6"/>
      <c r="R1157" s="285"/>
      <c r="S1157" s="310"/>
      <c r="T1157" s="311"/>
      <c r="U1157" s="311"/>
      <c r="V1157" s="311"/>
      <c r="W1157" s="311"/>
      <c r="X1157" s="312"/>
      <c r="Y1157" s="285"/>
      <c r="Z1157" s="285"/>
      <c r="AA1157" s="285"/>
      <c r="AB1157" s="285"/>
      <c r="AC1157" s="285"/>
      <c r="AD1157" s="292"/>
      <c r="AE1157" s="293"/>
      <c r="AF1157" s="294"/>
    </row>
    <row r="1158" spans="1:32" ht="12.75" customHeight="1" x14ac:dyDescent="0.25">
      <c r="A1158" s="259" t="str">
        <f>B1131</f>
        <v>B</v>
      </c>
      <c r="B1158" s="236" t="str">
        <f ca="1">IF(AND(OFFSET($AO$1,$C1131-1,8,1,1),$A1132&lt;&gt;"",$J1132&lt;&gt;""),CHOOSE($C1131,$AR$1,$AR$2,$AR$3,$AR$4,$AR$5,$AR$6,$AR$7,$AR$8,$AR$9,$AR$10,$AR$11,$AR$12),"")</f>
        <v/>
      </c>
      <c r="C1158" s="237"/>
      <c r="D1158" s="237"/>
      <c r="E1158" s="237"/>
      <c r="F1158" s="237"/>
      <c r="G1158" s="237"/>
      <c r="H1158" s="233"/>
      <c r="I1158" s="233"/>
      <c r="J1158" s="233"/>
      <c r="K1158" s="233"/>
      <c r="L1158" s="233" t="str">
        <f ca="1">IF(AND($B1158&lt;&gt;"",$Q1137&lt;&gt;""),IF($B1158="Missing Player",0,IF($B1160="Missing Player",11,"")),"")</f>
        <v/>
      </c>
      <c r="M1158" s="245" t="str">
        <f ca="1">IF(OR(AND($B1151&lt;&gt;"",$B1158&lt;&gt;"",$E1162&lt;=$D1162),AND($B1153&lt;&gt;"",$B1160&lt;&gt;"",$I1162&lt;=$H1162)),"Invalid Lineup","")</f>
        <v/>
      </c>
      <c r="N1158" s="246"/>
      <c r="O1158" s="246"/>
      <c r="P1158" s="247"/>
      <c r="Q1158" s="40" t="str">
        <f ca="1">IF($L1158=$L1160,IF($K1158=$K1160,IF($J1158&lt;&gt;"",IF($J1158&gt;$J1160,"W","L"),""),IF($K1158&gt;$K1160,"W","L")),IF($L1158&gt;$L1160,"W","L"))</f>
        <v/>
      </c>
      <c r="R1158" s="259" t="str">
        <f>$K1131</f>
        <v>E</v>
      </c>
      <c r="S1158" s="307" t="str">
        <f ca="1">IF($B1153&lt;&gt;"",$B1153,"")</f>
        <v/>
      </c>
      <c r="T1158" s="308"/>
      <c r="U1158" s="308"/>
      <c r="V1158" s="308"/>
      <c r="W1158" s="308"/>
      <c r="X1158" s="309"/>
      <c r="Y1158" s="284"/>
      <c r="Z1158" s="284"/>
      <c r="AA1158" s="284"/>
      <c r="AB1158" s="284"/>
      <c r="AC1158" s="297"/>
      <c r="AD1158" s="289" t="s">
        <v>169</v>
      </c>
      <c r="AE1158" s="290"/>
      <c r="AF1158" s="291"/>
    </row>
    <row r="1159" spans="1:32" ht="12.75" customHeight="1" x14ac:dyDescent="0.25">
      <c r="A1159" s="260"/>
      <c r="B1159" s="238"/>
      <c r="C1159" s="239"/>
      <c r="D1159" s="239"/>
      <c r="E1159" s="239"/>
      <c r="F1159" s="239"/>
      <c r="G1159" s="239"/>
      <c r="H1159" s="234"/>
      <c r="I1159" s="234"/>
      <c r="J1159" s="234"/>
      <c r="K1159" s="234"/>
      <c r="L1159" s="234"/>
      <c r="M1159" s="245"/>
      <c r="N1159" s="246"/>
      <c r="O1159" s="246"/>
      <c r="P1159" s="247"/>
      <c r="Q1159" s="110" t="str">
        <f ca="1">IF($Q1158&lt;&gt;"",IF($B1160&lt;&gt;"Missing Player",IF($Q1158="W",IF(SUM(IF($H1158&gt;$H1160,1,0),IF($I1158&gt;$I1160,1,0),IF($J1158&gt;$J1160,1,0),IF($K1158&gt;$K1160,1,0),IF($L1158&gt;$L1160,1,0))&lt;&gt;3,"Error",""),""),""),"")</f>
        <v/>
      </c>
      <c r="R1159" s="285"/>
      <c r="S1159" s="310"/>
      <c r="T1159" s="311"/>
      <c r="U1159" s="311"/>
      <c r="V1159" s="311"/>
      <c r="W1159" s="311"/>
      <c r="X1159" s="312"/>
      <c r="Y1159" s="285"/>
      <c r="Z1159" s="285"/>
      <c r="AA1159" s="285"/>
      <c r="AB1159" s="285"/>
      <c r="AC1159" s="285"/>
      <c r="AD1159" s="292"/>
      <c r="AE1159" s="293"/>
      <c r="AF1159" s="294"/>
    </row>
    <row r="1160" spans="1:32" ht="12.75" customHeight="1" x14ac:dyDescent="0.25">
      <c r="A1160" s="259" t="str">
        <f>K1131</f>
        <v>E</v>
      </c>
      <c r="B1160" s="236" t="str">
        <f ca="1">IF(AND(OFFSET($AO$1,$L1131-1,8,1,1),$A1132&lt;&gt;"",$J1132&lt;&gt;""),CHOOSE($L1131,$AR$1,$AR$2,$AR$3,$AR$4,$AR$5,$AR$6,$AR$7,$AR$8,$AR$9,$AR$10,$AR$11,$AR$12),"")</f>
        <v/>
      </c>
      <c r="C1160" s="237"/>
      <c r="D1160" s="237"/>
      <c r="E1160" s="237"/>
      <c r="F1160" s="237"/>
      <c r="G1160" s="237"/>
      <c r="H1160" s="233"/>
      <c r="I1160" s="233"/>
      <c r="J1160" s="233"/>
      <c r="K1160" s="233"/>
      <c r="L1160" s="233" t="str">
        <f ca="1">IF(AND($B1160&lt;&gt;"",$Q1137&lt;&gt;""),IF($B1160="Missing Player",0,IF($B1158="Missing Player",11,"")),"")</f>
        <v/>
      </c>
      <c r="M1160" s="250" t="s">
        <v>169</v>
      </c>
      <c r="N1160" s="251"/>
      <c r="O1160" s="251"/>
      <c r="P1160" s="252"/>
      <c r="Q1160" s="40" t="str">
        <f ca="1">IF($Q1158&lt;&gt;"",IF($Q1158="W","L","W"),"")</f>
        <v/>
      </c>
      <c r="R1160" s="94"/>
      <c r="S1160" s="84"/>
      <c r="T1160" s="84"/>
      <c r="U1160" s="84"/>
      <c r="V1160" s="84"/>
      <c r="W1160" s="84"/>
      <c r="X1160" s="84"/>
      <c r="Y1160" s="93"/>
      <c r="Z1160" s="93"/>
      <c r="AA1160" s="93"/>
      <c r="AB1160" s="93"/>
      <c r="AC1160" s="93"/>
      <c r="AD1160" s="92"/>
      <c r="AE1160" s="93"/>
      <c r="AF1160" s="93"/>
    </row>
    <row r="1161" spans="1:32" ht="12.75" customHeight="1" x14ac:dyDescent="0.25">
      <c r="A1161" s="260"/>
      <c r="B1161" s="238"/>
      <c r="C1161" s="239"/>
      <c r="D1161" s="239"/>
      <c r="E1161" s="239"/>
      <c r="F1161" s="239"/>
      <c r="G1161" s="239"/>
      <c r="H1161" s="234"/>
      <c r="I1161" s="234"/>
      <c r="J1161" s="235"/>
      <c r="K1161" s="235"/>
      <c r="L1161" s="235"/>
      <c r="M1161" s="250"/>
      <c r="N1161" s="251"/>
      <c r="O1161" s="251"/>
      <c r="P1161" s="252"/>
      <c r="Q1161" s="110" t="str">
        <f ca="1">IF($Q1160&lt;&gt;"",IF($B1158&lt;&gt;"Missing Player",IF($Q1160="W",IF(SUM(IF($H1160&gt;$H1158,1,0),IF($I1160&gt;$I1158,1,0),IF($J1160&gt;$J1158,1,0),IF($K1160&gt;$K1158,1,0),IF($L1160&gt;$L1158,1,0))&lt;&gt;3,"Error",""),""),""),"")</f>
        <v/>
      </c>
      <c r="R1161" s="85"/>
      <c r="S1161" s="95"/>
      <c r="T1161" s="95"/>
      <c r="U1161" s="95"/>
      <c r="V1161" s="95"/>
      <c r="W1161" s="95"/>
      <c r="X1161" s="95"/>
      <c r="Y1161" s="85"/>
      <c r="Z1161" s="85"/>
      <c r="AA1161" s="85"/>
      <c r="AB1161" s="85"/>
      <c r="AC1161" s="85"/>
      <c r="AD1161" s="85"/>
      <c r="AE1161" s="85"/>
      <c r="AF1161" s="85"/>
    </row>
    <row r="1162" spans="1:32" ht="12.75" customHeight="1" x14ac:dyDescent="0.25">
      <c r="B1162" s="111" t="str">
        <f ca="1">IF(ISERROR(VLOOKUP($B1137&amp;"("&amp;$B1131&amp;")",Players!$S$4:$T$132,2,FALSE)),"",VLOOKUP($B1137&amp;"("&amp;$B1131&amp;")",Players!$S$4:$T$132,2,FALSE))</f>
        <v>B1</v>
      </c>
      <c r="C1162" s="111" t="str">
        <f ca="1">IF(ISERROR(VLOOKUP($B1144&amp;"("&amp;$B1131&amp;")",Players!$S$4:$T$132,2,FALSE)),"",VLOOKUP($B1144&amp;"("&amp;$B1131&amp;")",Players!$S$4:$T$132,2,FALSE))</f>
        <v>B1</v>
      </c>
      <c r="D1162" s="111" t="str">
        <f ca="1">IF(ISERROR(VLOOKUP($B1151&amp;"("&amp;$B1131&amp;")",Players!$S$4:$T$132,2,FALSE)),"",VLOOKUP($B1151&amp;"("&amp;$B1131&amp;")",Players!$S$4:$T$132,2,FALSE))</f>
        <v>B1</v>
      </c>
      <c r="E1162" s="111" t="str">
        <f ca="1">IF(ISERROR(VLOOKUP($B1158&amp;"("&amp;$B1131&amp;")",Players!$S$4:$T$132,2,FALSE)),"",VLOOKUP($B1158&amp;"("&amp;$B1131&amp;")",Players!$S$4:$T$132,2,FALSE))</f>
        <v>B1</v>
      </c>
      <c r="F1162" s="111" t="str">
        <f ca="1">IF(ISERROR(VLOOKUP($B1139&amp;"("&amp;$K1131&amp;")",Players!$S$4:$T$132,2,FALSE)),"",VLOOKUP($B1139&amp;"("&amp;$K1131&amp;")",Players!$S$4:$T$132,2,FALSE))</f>
        <v>E1</v>
      </c>
      <c r="G1162" s="111" t="str">
        <f ca="1">IF(ISERROR(VLOOKUP($B1146&amp;"("&amp;$K1131&amp;")",Players!$S$4:$T$132,2,FALSE)),"",VLOOKUP($B1146&amp;"("&amp;$K1131&amp;")",Players!$S$4:$T$132,2,FALSE))</f>
        <v>E1</v>
      </c>
      <c r="H1162" s="111" t="str">
        <f ca="1">IF(ISERROR(VLOOKUP($B1153&amp;"("&amp;$K1131&amp;")",Players!$S$4:$T$132,2,FALSE)),"",VLOOKUP($B1153&amp;"("&amp;$K1131&amp;")",Players!$S$4:$T$132,2,FALSE))</f>
        <v>E1</v>
      </c>
      <c r="I1162" s="111" t="str">
        <f ca="1">IF(ISERROR(VLOOKUP($B1160&amp;"("&amp;$K1131&amp;")",Players!$S$4:$T$132,2,FALSE)),"",VLOOKUP($B1160&amp;"("&amp;$K1131&amp;")",Players!$S$4:$T$132,2,FALSE))</f>
        <v>E1</v>
      </c>
      <c r="Q1162" s="6"/>
      <c r="R1162" s="37"/>
      <c r="S1162" s="95"/>
      <c r="T1162" s="95"/>
      <c r="U1162" s="95"/>
      <c r="V1162" s="95"/>
      <c r="W1162" s="95"/>
      <c r="X1162" s="95"/>
      <c r="Y1162" s="85"/>
      <c r="Z1162" s="85"/>
      <c r="AA1162" s="85"/>
      <c r="AB1162" s="85"/>
      <c r="AC1162" s="96"/>
      <c r="AD1162" s="97"/>
      <c r="AE1162" s="85"/>
      <c r="AF1162" s="85"/>
    </row>
    <row r="1163" spans="1:32" ht="12.75" customHeight="1" x14ac:dyDescent="0.25">
      <c r="A1163" s="15" t="s">
        <v>157</v>
      </c>
      <c r="H1163" s="110" t="str">
        <f ca="1">IF($Q1165&lt;&gt;"",IF(AND($B1166&lt;&gt;"Missing Player",$B1168&lt;&gt;"Missing Player"),IF(AND(AND($H1165&gt;-1,$H1167&gt;-1),OR($H1165&gt;10,$H1167&gt;10),ABS($H1165-$H1167)&gt;1,IF(OR($H1165&gt;11,$H1167&gt;11),ABS($H1165-$H1167)=2,TRUE),$H1165=INT($H1165),$H1167=INT($H1167)),"","Error"),""),"")</f>
        <v/>
      </c>
      <c r="I1163" s="110" t="str">
        <f ca="1">IF($Q1165&lt;&gt;"",IF(AND($B1166&lt;&gt;"Missing Player",$B1168&lt;&gt;"Missing Player"),IF(AND(AND($I1165&gt;-1,$I1167&gt;-1),OR($I1165&gt;10,$I1167&gt;10),ABS($I1165-$I1167)&gt;1,IF(OR($I1165&gt;11,$I1167&gt;11),ABS($I1165-$I1167)=2,TRUE),$I1165=INT($I1165),$I1167=INT($I1167)),"","Error"),""),"")</f>
        <v/>
      </c>
      <c r="J1163" s="110" t="str">
        <f ca="1">IF($Q1165&lt;&gt;"",IF(AND($B1166&lt;&gt;"Missing Player",$B1168&lt;&gt;"Missing Player"),IF(AND(AND($J1165&gt;-1,$J1167&gt;-1),OR($J1165&gt;10,$J1167&gt;10),ABS($J1165-$J1167)&gt;1,IF(OR($J1165&gt;11,$J1167&gt;11),ABS($J1165-$J1167)=2,TRUE),$J1165=INT($J1165),$J1167=INT($J1167)),"","Error"),""),"")</f>
        <v/>
      </c>
      <c r="K1163" s="110" t="str">
        <f ca="1">IF($Q1165&lt;&gt;"",IF(AND($K1165&lt;&gt;"",$K1167&lt;&gt;""), IF(AND(AND($K1165&gt;-1,$K1167&gt;-1),OR($K1165&gt;10,$K1167&gt;10),ABS($K1165-$K1167)&gt;1,IF(OR($K1165&gt;11,$K1167&gt;11),ABS($K1165-$K1167)=2,TRUE),$K1165=INT($K1165),$K1167=INT($K1167)),"","Error"),""),"")</f>
        <v/>
      </c>
      <c r="L1163" s="110" t="str">
        <f ca="1">IF($Q1165&lt;&gt;"",IF(AND($L1165&lt;&gt;"",$L1167&lt;&gt;""), IF(AND(AND($L1165&gt;-1,$L1167&gt;-1),OR($L1165&gt;10,$L1167&gt;10),ABS($L1165-$L1167)&gt;1,IF(OR($L1165&gt;11,$L1167&gt;11),ABS($L1165-$L1167)=2,TRUE),$L1165=INT($L1165),$L1167=INT($L1167)),"","Error"),""),"")</f>
        <v/>
      </c>
      <c r="Q1163" s="6"/>
      <c r="R1163" s="85"/>
      <c r="S1163" s="95"/>
      <c r="T1163" s="95"/>
      <c r="U1163" s="95"/>
      <c r="V1163" s="95"/>
      <c r="W1163" s="95"/>
      <c r="X1163" s="95"/>
      <c r="Y1163" s="85"/>
      <c r="Z1163" s="85"/>
      <c r="AA1163" s="85"/>
      <c r="AB1163" s="85"/>
      <c r="AC1163" s="85"/>
      <c r="AD1163" s="85"/>
      <c r="AE1163" s="85"/>
      <c r="AF1163" s="85"/>
    </row>
    <row r="1164" spans="1:32" ht="12.75" customHeight="1" x14ac:dyDescent="0.25">
      <c r="A1164" s="5" t="s">
        <v>160</v>
      </c>
      <c r="B1164" s="256" t="s">
        <v>58</v>
      </c>
      <c r="C1164" s="257"/>
      <c r="D1164" s="257"/>
      <c r="E1164" s="257"/>
      <c r="F1164" s="257"/>
      <c r="G1164" s="258"/>
      <c r="H1164" s="5">
        <v>1</v>
      </c>
      <c r="I1164" s="5">
        <v>2</v>
      </c>
      <c r="J1164" s="5">
        <v>3</v>
      </c>
      <c r="K1164" s="5">
        <v>4</v>
      </c>
      <c r="L1164" s="5">
        <v>5</v>
      </c>
      <c r="M1164" s="270"/>
      <c r="N1164" s="271"/>
      <c r="O1164" s="271"/>
      <c r="P1164" s="272"/>
      <c r="Q1164" s="6"/>
      <c r="T1164" s="7"/>
    </row>
    <row r="1165" spans="1:32" ht="12.75" customHeight="1" x14ac:dyDescent="0.25">
      <c r="A1165" s="259" t="str">
        <f>B1131</f>
        <v>B</v>
      </c>
      <c r="B1165" s="230" t="str">
        <f ca="1">IF($B1137&lt;&gt;"",$B1137,"")</f>
        <v/>
      </c>
      <c r="C1165" s="231"/>
      <c r="D1165" s="231"/>
      <c r="E1165" s="231"/>
      <c r="F1165" s="231"/>
      <c r="G1165" s="232"/>
      <c r="H1165" s="233"/>
      <c r="I1165" s="233"/>
      <c r="J1165" s="233"/>
      <c r="K1165" s="233"/>
      <c r="L1165" s="233" t="str">
        <f ca="1">IF($B1158&lt;&gt;"",IF(AND($B1158="Missing Player",$G1169=2,$J1169=2),0,IF(AND($B1160="Missing Player",$G1169=2,$J1169=2),11,"")),"")</f>
        <v/>
      </c>
      <c r="M1165" s="245" t="str">
        <f ca="1">IF(OR(AND($B1165&lt;&gt;"",$B1166&lt;&gt;"",$B1165=$B1166),AND($B1167&lt;&gt;"",$B1168&lt;&gt;"",$B1167=$B1168)),"Invalid Partner","")</f>
        <v/>
      </c>
      <c r="N1165" s="246"/>
      <c r="O1165" s="246"/>
      <c r="P1165" s="247"/>
      <c r="Q1165" s="37" t="str">
        <f ca="1">IF(L1165=L1167,IF(K1165=K1167,IF(J1165&lt;&gt;"",IF(J1165&gt;J1167,"W","L"),""),IF(K1165&gt;K1167,"W","L")),IF(L1165&gt;L1167,"W","L"))</f>
        <v/>
      </c>
      <c r="T1165" s="7"/>
    </row>
    <row r="1166" spans="1:32" ht="12.75" customHeight="1" x14ac:dyDescent="0.25">
      <c r="A1166" s="260"/>
      <c r="B1166" s="266" t="str">
        <f ca="1">IF($B1158="Missing Player",$B1158,"")</f>
        <v/>
      </c>
      <c r="C1166" s="267"/>
      <c r="D1166" s="267"/>
      <c r="E1166" s="267"/>
      <c r="F1166" s="267"/>
      <c r="G1166" s="268"/>
      <c r="H1166" s="234"/>
      <c r="I1166" s="234"/>
      <c r="J1166" s="234"/>
      <c r="K1166" s="234"/>
      <c r="L1166" s="234"/>
      <c r="M1166" s="245"/>
      <c r="N1166" s="246"/>
      <c r="O1166" s="246"/>
      <c r="P1166" s="247"/>
      <c r="Q1166" s="110" t="str">
        <f ca="1">IF($Q1165&lt;&gt;"",IF($B1168&lt;&gt;"Missing Player",IF($Q1165="W",IF(SUM(IF($H1165&gt;$H1167,1,0),IF($I1165&gt;$I1167,1,0),IF($J1165&gt;$J1167,1,0),IF($K1165&gt;$K1167,1,0),IF($L1165&gt;$L1167,1,0))&lt;&gt;3,"Error",""),""),""),"")</f>
        <v/>
      </c>
      <c r="R1166" s="295" t="str">
        <f>$A1132</f>
        <v/>
      </c>
      <c r="S1166" s="295"/>
      <c r="T1166" s="295"/>
      <c r="U1166" s="295"/>
      <c r="V1166" s="295"/>
      <c r="W1166" s="295"/>
      <c r="X1166" s="219" t="str">
        <f>CONCATENATE("(",$B1131," vs ",$K1131,")")</f>
        <v>(B vs E)</v>
      </c>
      <c r="Y1166" s="219"/>
      <c r="Z1166" s="295" t="str">
        <f>$J1132</f>
        <v/>
      </c>
      <c r="AA1166" s="295"/>
      <c r="AB1166" s="295"/>
      <c r="AC1166" s="295"/>
      <c r="AD1166" s="295"/>
      <c r="AE1166" s="295"/>
      <c r="AF1166"/>
    </row>
    <row r="1167" spans="1:32" ht="12.75" customHeight="1" x14ac:dyDescent="0.25">
      <c r="A1167" s="265" t="str">
        <f>K1131</f>
        <v>E</v>
      </c>
      <c r="B1167" s="230" t="str">
        <f ca="1">IF($B1139&lt;&gt;"",$B1139,"")</f>
        <v/>
      </c>
      <c r="C1167" s="231"/>
      <c r="D1167" s="231"/>
      <c r="E1167" s="231"/>
      <c r="F1167" s="231"/>
      <c r="G1167" s="232"/>
      <c r="H1167" s="233"/>
      <c r="I1167" s="233"/>
      <c r="J1167" s="233"/>
      <c r="K1167" s="233"/>
      <c r="L1167" s="233" t="str">
        <f ca="1">IF($B1160&lt;&gt;"",IF(AND($B1160="Missing Player",$G1169=2,$J1169=2),0,IF(AND($B1158="Missing Player",$G1169=2,$J1169=2),11,"")),"")</f>
        <v/>
      </c>
      <c r="M1167" s="250" t="s">
        <v>169</v>
      </c>
      <c r="N1167" s="251"/>
      <c r="O1167" s="251"/>
      <c r="P1167" s="252"/>
      <c r="Q1167" s="37" t="str">
        <f ca="1">IF(Q1165&lt;&gt;"",IF(Q1165="W","L","W"),"")</f>
        <v/>
      </c>
      <c r="R1167"/>
      <c r="S1167"/>
      <c r="T1167"/>
      <c r="U1167"/>
      <c r="V1167"/>
      <c r="W1167"/>
      <c r="X1167"/>
      <c r="Y1167"/>
      <c r="Z1167"/>
      <c r="AA1167"/>
      <c r="AB1167"/>
      <c r="AC1167"/>
      <c r="AD1167"/>
      <c r="AE1167"/>
      <c r="AF1167"/>
    </row>
    <row r="1168" spans="1:32" ht="12.75" customHeight="1" x14ac:dyDescent="0.25">
      <c r="A1168" s="260"/>
      <c r="B1168" s="266" t="str">
        <f ca="1">IF($B1160="Missing Player",$B1160,"")</f>
        <v/>
      </c>
      <c r="C1168" s="267"/>
      <c r="D1168" s="267"/>
      <c r="E1168" s="267"/>
      <c r="F1168" s="267"/>
      <c r="G1168" s="268"/>
      <c r="H1168" s="234"/>
      <c r="I1168" s="234"/>
      <c r="J1168" s="235"/>
      <c r="K1168" s="235"/>
      <c r="L1168" s="235"/>
      <c r="M1168" s="250"/>
      <c r="N1168" s="251"/>
      <c r="O1168" s="251"/>
      <c r="P1168" s="252"/>
      <c r="Q1168" s="110" t="str">
        <f ca="1">IF($Q1167&lt;&gt;"",IF($B1166&lt;&gt;"Missing Player",IF($Q1167="W",IF(SUM(IF($H1167&gt;$H1165,1,0),IF($I1167&gt;$I1165,1,0),IF($J1167&gt;$J1165,1,0),IF($K1167&gt;$K1165,1,0),IF($L1167&gt;$L1165,1,0))&lt;&gt;3,"Error",""),""),""),"")</f>
        <v/>
      </c>
      <c r="R1168" t="str">
        <f>A1156</f>
        <v>4th Singles</v>
      </c>
      <c r="S1168"/>
      <c r="T1168"/>
      <c r="U1168"/>
      <c r="V1168"/>
      <c r="W1168"/>
      <c r="X1168"/>
      <c r="Y1168"/>
      <c r="Z1168"/>
      <c r="AA1168"/>
      <c r="AB1168"/>
      <c r="AC1168"/>
      <c r="AD1168"/>
      <c r="AE1168"/>
      <c r="AF1168"/>
    </row>
    <row r="1169" spans="1:32" ht="12.75" customHeight="1" x14ac:dyDescent="0.25">
      <c r="G1169" s="53">
        <f ca="1">COUNTIF($Q1137:$Q1137,"W")+COUNTIF($Q1144:$Q1144,"W")+COUNTIF($Q1151:$Q1151,"W")+COUNTIF($Q1158:$Q1158,"W")</f>
        <v>0</v>
      </c>
      <c r="J1169" s="53">
        <f ca="1">COUNTIF($Q1139:$Q1139,"W")+COUNTIF($Q1146:$Q1146,"W")+COUNTIF($Q1153:$Q1153,"W")+COUNTIF($Q1160:$Q1160,"W")</f>
        <v>0</v>
      </c>
      <c r="R1169" s="47" t="s">
        <v>160</v>
      </c>
      <c r="S1169" s="304" t="s">
        <v>58</v>
      </c>
      <c r="T1169" s="305"/>
      <c r="U1169" s="305"/>
      <c r="V1169" s="305"/>
      <c r="W1169" s="305"/>
      <c r="X1169" s="306"/>
      <c r="Y1169" s="47">
        <v>1</v>
      </c>
      <c r="Z1169" s="47">
        <v>2</v>
      </c>
      <c r="AA1169" s="47">
        <v>3</v>
      </c>
      <c r="AB1169" s="47">
        <v>4</v>
      </c>
      <c r="AC1169" s="47">
        <v>5</v>
      </c>
      <c r="AD1169" s="286"/>
      <c r="AE1169" s="287"/>
      <c r="AF1169" s="288"/>
    </row>
    <row r="1170" spans="1:32" ht="12.75" customHeight="1" thickBot="1" x14ac:dyDescent="0.3">
      <c r="F1170" s="212" t="s">
        <v>170</v>
      </c>
      <c r="G1170" s="212"/>
      <c r="H1170" s="212"/>
      <c r="I1170" s="212"/>
      <c r="J1170" s="212"/>
      <c r="K1170" s="212"/>
      <c r="R1170" s="259" t="str">
        <f>B1131</f>
        <v>B</v>
      </c>
      <c r="S1170" s="307" t="str">
        <f ca="1">IF($B1158&lt;&gt;"",$B1158,"")</f>
        <v/>
      </c>
      <c r="T1170" s="308"/>
      <c r="U1170" s="308"/>
      <c r="V1170" s="308"/>
      <c r="W1170" s="308"/>
      <c r="X1170" s="309"/>
      <c r="Y1170" s="284"/>
      <c r="Z1170" s="284"/>
      <c r="AA1170" s="297"/>
      <c r="AB1170" s="297"/>
      <c r="AC1170" s="297"/>
      <c r="AD1170" s="296"/>
      <c r="AE1170" s="298"/>
      <c r="AF1170" s="299"/>
    </row>
    <row r="1171" spans="1:32" ht="12.75" customHeight="1" x14ac:dyDescent="0.25">
      <c r="A1171" s="16"/>
      <c r="B1171" s="16"/>
      <c r="C1171" s="16"/>
      <c r="D1171" s="16"/>
      <c r="E1171" s="16"/>
      <c r="G1171" s="261" t="str">
        <f>B1131</f>
        <v>B</v>
      </c>
      <c r="H1171" s="262"/>
      <c r="I1171" s="263" t="str">
        <f>K1131</f>
        <v>E</v>
      </c>
      <c r="J1171" s="264"/>
      <c r="L1171" s="16"/>
      <c r="M1171" s="16"/>
      <c r="N1171" s="16"/>
      <c r="O1171" s="16"/>
      <c r="P1171" s="16"/>
      <c r="R1171" s="260"/>
      <c r="S1171" s="310"/>
      <c r="T1171" s="311"/>
      <c r="U1171" s="311"/>
      <c r="V1171" s="311"/>
      <c r="W1171" s="311"/>
      <c r="X1171" s="312"/>
      <c r="Y1171" s="285"/>
      <c r="Z1171" s="285"/>
      <c r="AA1171" s="303"/>
      <c r="AB1171" s="303"/>
      <c r="AC1171" s="303"/>
      <c r="AD1171" s="300"/>
      <c r="AE1171" s="301"/>
      <c r="AF1171" s="302"/>
    </row>
    <row r="1172" spans="1:32" ht="12.75" customHeight="1" thickBot="1" x14ac:dyDescent="0.3">
      <c r="A1172" s="2" t="s">
        <v>160</v>
      </c>
      <c r="B1172" s="40" t="str">
        <f>B1131</f>
        <v>B</v>
      </c>
      <c r="C1172" s="3" t="s">
        <v>158</v>
      </c>
      <c r="F1172" s="53" t="str">
        <f>CONCATENATE($B1131,"-",$K1131)</f>
        <v>B-E</v>
      </c>
      <c r="G1172" s="240" t="str">
        <f ca="1">IF(OR(Q1137&lt;&gt;"",Q1144&lt;&gt;"",Q1151&lt;&gt;"",Q1158&lt;&gt;"",Q1165&lt;&gt;""),COUNTIF(Q1137:Q1137,"W")+COUNTIF(Q1144:Q1144,"W")+COUNTIF(Q1151:Q1151,"W")+COUNTIF(Q1158:Q1158,"W")+COUNTIF(Q1165:Q1165,"W"),"")</f>
        <v/>
      </c>
      <c r="H1172" s="241"/>
      <c r="I1172" s="242" t="str">
        <f ca="1">IF(OR(Q1139&lt;&gt;"",Q1146&lt;&gt;"",Q1153&lt;&gt;"",Q1160&lt;&gt;"",Q1167&lt;&gt;""),COUNTIF(Q1139:Q1139,"W")+COUNTIF(Q1146:Q1146,"W")+COUNTIF(Q1153:Q1153,"W")+COUNTIF(Q1160:Q1160,"W")+COUNTIF(Q1167:Q1167,"W"),"")</f>
        <v/>
      </c>
      <c r="J1172" s="243"/>
      <c r="L1172" s="2" t="s">
        <v>160</v>
      </c>
      <c r="M1172" s="40" t="str">
        <f>K1131</f>
        <v>E</v>
      </c>
      <c r="N1172" s="3" t="s">
        <v>158</v>
      </c>
      <c r="R1172" s="259" t="str">
        <f>K1131</f>
        <v>E</v>
      </c>
      <c r="S1172" s="307" t="str">
        <f ca="1">IF($B1160&lt;&gt;"",$B1160,"")</f>
        <v/>
      </c>
      <c r="T1172" s="308"/>
      <c r="U1172" s="308"/>
      <c r="V1172" s="308"/>
      <c r="W1172" s="308"/>
      <c r="X1172" s="309"/>
      <c r="Y1172" s="284"/>
      <c r="Z1172" s="284"/>
      <c r="AA1172" s="297"/>
      <c r="AB1172" s="297"/>
      <c r="AC1172" s="297"/>
      <c r="AD1172" s="289" t="s">
        <v>169</v>
      </c>
      <c r="AE1172" s="290"/>
      <c r="AF1172" s="291"/>
    </row>
    <row r="1173" spans="1:32" ht="12.75" customHeight="1" x14ac:dyDescent="0.35">
      <c r="F1173" s="18" t="s">
        <v>403</v>
      </c>
      <c r="G1173" s="17"/>
      <c r="H1173" s="17"/>
      <c r="I1173" s="17"/>
      <c r="J1173" s="17"/>
      <c r="R1173" s="285"/>
      <c r="S1173" s="310"/>
      <c r="T1173" s="311"/>
      <c r="U1173" s="311"/>
      <c r="V1173" s="311"/>
      <c r="W1173" s="311"/>
      <c r="X1173" s="312"/>
      <c r="Y1173" s="285"/>
      <c r="Z1173" s="285"/>
      <c r="AA1173" s="285"/>
      <c r="AB1173" s="285"/>
      <c r="AC1173" s="285"/>
      <c r="AD1173" s="292"/>
      <c r="AE1173" s="293"/>
      <c r="AF1173" s="294"/>
    </row>
    <row r="1174" spans="1:32" ht="12.75" customHeight="1" x14ac:dyDescent="0.25">
      <c r="R1174" s="1"/>
      <c r="S1174" s="11"/>
      <c r="T1174" s="11"/>
      <c r="U1174" s="11"/>
      <c r="V1174" s="11"/>
      <c r="W1174" s="11"/>
    </row>
    <row r="1175" spans="1:32" ht="12.75" customHeight="1" x14ac:dyDescent="0.25">
      <c r="F1175" s="212"/>
      <c r="G1175" s="212"/>
      <c r="H1175" s="212"/>
      <c r="I1175" s="212"/>
      <c r="R1175" s="1"/>
      <c r="S1175" s="11"/>
      <c r="T1175" s="11"/>
      <c r="U1175" s="11"/>
      <c r="V1175" s="11"/>
      <c r="W1175" s="11"/>
    </row>
    <row r="1176" spans="1:32" ht="12.75" customHeight="1" x14ac:dyDescent="0.25">
      <c r="F1176" s="212"/>
      <c r="G1176" s="212"/>
      <c r="H1176" s="212"/>
      <c r="I1176" s="212"/>
      <c r="R1176" s="1"/>
      <c r="S1176" s="11"/>
      <c r="T1176" s="11"/>
      <c r="U1176" s="11"/>
      <c r="V1176" s="11"/>
      <c r="W1176" s="11"/>
    </row>
    <row r="1177" spans="1:32" ht="12.75" customHeight="1" x14ac:dyDescent="0.25">
      <c r="K1177" s="219" t="s">
        <v>176</v>
      </c>
      <c r="L1177" s="219"/>
      <c r="M1177" s="219"/>
      <c r="N1177" s="219"/>
      <c r="O1177" s="219"/>
      <c r="P1177" s="219"/>
      <c r="R1177" s="1"/>
      <c r="S1177" s="11"/>
      <c r="T1177" s="11"/>
      <c r="U1177" s="11"/>
      <c r="V1177" s="11"/>
      <c r="W1177" s="11"/>
    </row>
    <row r="1178" spans="1:32" ht="12.75" customHeight="1" x14ac:dyDescent="0.25">
      <c r="A1178" s="9" t="s">
        <v>161</v>
      </c>
      <c r="B1178"/>
      <c r="C1178"/>
      <c r="D1178" t="str">
        <f>Draw!$B$1</f>
        <v>Enter Division Name</v>
      </c>
      <c r="E1178"/>
      <c r="F1178" s="6"/>
      <c r="G1178" s="6"/>
      <c r="H1178" s="6"/>
      <c r="I1178"/>
      <c r="J1178"/>
      <c r="K1178"/>
      <c r="L1178"/>
      <c r="M1178" s="219"/>
      <c r="N1178" s="219"/>
      <c r="O1178" s="219"/>
      <c r="P1178" s="219"/>
      <c r="R1178" s="1"/>
      <c r="S1178" s="11"/>
      <c r="T1178" s="11"/>
      <c r="U1178" s="11"/>
      <c r="V1178" s="11"/>
      <c r="W1178" s="11"/>
    </row>
    <row r="1179" spans="1:32" ht="12.75" customHeight="1" x14ac:dyDescent="0.25">
      <c r="A1179" s="2" t="s">
        <v>162</v>
      </c>
      <c r="D1179" t="str">
        <f>Draw!$D$1</f>
        <v>Enter Hosting Location (City, ST)</v>
      </c>
      <c r="J1179" t="str">
        <f ca="1">$J$6</f>
        <v>[NCTTA Teams Template (v3.4).xlsx]</v>
      </c>
      <c r="R1179" s="1"/>
      <c r="S1179" s="11"/>
      <c r="T1179" s="11"/>
      <c r="U1179" s="11"/>
      <c r="V1179" s="11"/>
      <c r="W1179" s="11"/>
    </row>
    <row r="1180" spans="1:32" ht="12.75" customHeight="1" x14ac:dyDescent="0.25">
      <c r="A1180" s="2" t="s">
        <v>163</v>
      </c>
      <c r="D1180" s="275" t="str">
        <f>Draw!$P$1</f>
        <v>Enter Date</v>
      </c>
      <c r="E1180" s="275"/>
      <c r="F1180" s="275"/>
      <c r="G1180" s="275"/>
      <c r="J1180" s="244" t="str">
        <f>CHOOSE(Draw!$T$1,"Round 4, Match 6","Round 3, Match 6","","","","","","Round 6, Match 4","Round 6, Match 4","Round 5, Match 4","Round 5, Match 4")</f>
        <v>Round 4, Match 6</v>
      </c>
      <c r="K1180" s="244"/>
      <c r="L1180" s="244"/>
      <c r="M1180" s="277" t="str">
        <f>IF(AND($J1180&lt;&gt;"",Draw!$AC$10&lt;&gt;"",Draw!$AC$13&lt;&gt;""),Draw!$AC$10+TIME(0,VALUE(MID($J1180,7,FIND(",",$J1180)-FIND(" ",$J1180)-1)-1)*Draw!$AC$13,0),"")</f>
        <v/>
      </c>
      <c r="N1180" s="277"/>
      <c r="O1180" s="125" t="str">
        <f>$F1223</f>
        <v>C-D</v>
      </c>
      <c r="R1180" s="1"/>
      <c r="S1180" s="11"/>
      <c r="T1180" s="11"/>
      <c r="U1180" s="11"/>
      <c r="V1180" s="11"/>
      <c r="W1180" s="11"/>
    </row>
    <row r="1181" spans="1:32" ht="12.75" customHeight="1" x14ac:dyDescent="0.25">
      <c r="A1181" s="6"/>
      <c r="B1181"/>
      <c r="C1181"/>
      <c r="D1181"/>
      <c r="E1181"/>
      <c r="F1181" s="6"/>
      <c r="G1181" s="6"/>
      <c r="H1181" s="11"/>
      <c r="I1181" s="6"/>
      <c r="J1181"/>
      <c r="K1181"/>
      <c r="L1181"/>
      <c r="M1181"/>
      <c r="N1181"/>
      <c r="O1181" s="269" t="str">
        <f>IF(OR(AND(VLOOKUP($B1182,$AM$1:$AX$12,12,FALSE)="C",VLOOKUP($K1182,$AM$1:$AX$12,12,FALSE)="C"),AND(VLOOKUP($B1182,$AM$1:$AX$12,12,FALSE)="W",VLOOKUP($K1182,$AM$1:$AX$12,12,FALSE)="W")),"Official",IF(AND($A1183="",$J1183=""),"","Scrimmage"))</f>
        <v/>
      </c>
      <c r="P1181" s="269"/>
      <c r="R1181" s="1"/>
      <c r="S1181" s="11"/>
      <c r="T1181" s="11"/>
      <c r="U1181" s="11"/>
      <c r="V1181" s="11"/>
      <c r="W1181" s="11"/>
    </row>
    <row r="1182" spans="1:32" ht="12.75" customHeight="1" x14ac:dyDescent="0.25">
      <c r="A1182" s="12" t="s">
        <v>160</v>
      </c>
      <c r="B1182" s="98" t="str">
        <f>CHOOSE(Draw!$T$1,"C","K","A","B","B","B","A","E","H","B","F")</f>
        <v>C</v>
      </c>
      <c r="C1182" s="109">
        <f>VLOOKUP($B1182,$AM$1:$AN$12,2)</f>
        <v>3</v>
      </c>
      <c r="D1182" s="10"/>
      <c r="E1182" s="10"/>
      <c r="F1182" s="8"/>
      <c r="H1182" s="1" t="s">
        <v>164</v>
      </c>
      <c r="J1182" s="12" t="s">
        <v>160</v>
      </c>
      <c r="K1182" s="98" t="str">
        <f>CHOOSE(Draw!$T$1,"D","L","J","F","L","I","J","F","I","H","I")</f>
        <v>D</v>
      </c>
      <c r="L1182" s="109">
        <f>VLOOKUP($K1182,$AM$1:$AN$12,2)</f>
        <v>4</v>
      </c>
      <c r="M1182" s="10"/>
      <c r="N1182" s="10"/>
      <c r="O1182" s="13"/>
      <c r="R1182" s="1"/>
      <c r="S1182" s="11"/>
      <c r="T1182" s="11"/>
      <c r="U1182" s="11"/>
      <c r="V1182" s="11"/>
      <c r="W1182" s="11"/>
    </row>
    <row r="1183" spans="1:32" ht="12.75" customHeight="1" x14ac:dyDescent="0.25">
      <c r="A1183" s="253" t="str">
        <f>IF(VLOOKUP($B1182,Draw!$A$4:$B$27,2)&lt;&gt;0,VLOOKUP($B1182,Draw!$A$4:$B$27,2),"")</f>
        <v/>
      </c>
      <c r="B1183" s="254"/>
      <c r="C1183" s="254"/>
      <c r="D1183" s="254"/>
      <c r="E1183" s="254"/>
      <c r="F1183" s="255"/>
      <c r="G1183" s="273" t="s">
        <v>427</v>
      </c>
      <c r="H1183" s="249"/>
      <c r="I1183" s="274"/>
      <c r="J1183" s="253" t="str">
        <f>IF(VLOOKUP($K1182,Draw!$A$4:$B$27,2)&lt;&gt;0,VLOOKUP($K1182,Draw!$A$4:$B$27,2),"")</f>
        <v/>
      </c>
      <c r="K1183" s="254"/>
      <c r="L1183" s="254"/>
      <c r="M1183" s="254"/>
      <c r="N1183" s="254"/>
      <c r="O1183" s="255"/>
      <c r="P1183"/>
      <c r="R1183" s="1"/>
      <c r="S1183" s="11"/>
      <c r="T1183" s="11"/>
      <c r="U1183" s="11"/>
      <c r="V1183" s="11"/>
      <c r="W1183" s="11"/>
    </row>
    <row r="1184" spans="1:32" ht="12.75" customHeight="1" x14ac:dyDescent="0.25">
      <c r="A1184" s="6"/>
      <c r="B1184"/>
      <c r="C1184"/>
      <c r="D1184"/>
      <c r="E1184"/>
      <c r="F1184" s="6"/>
      <c r="G1184" s="248" t="str">
        <f>"Page "&amp;VALUE(RIGHT($G1183,LEN($G1183)-SEARCH("-",$G1183)))/2</f>
        <v>Page 24</v>
      </c>
      <c r="H1184" s="249"/>
      <c r="I1184" s="249"/>
      <c r="J1184"/>
      <c r="K1184"/>
      <c r="L1184"/>
      <c r="M1184"/>
      <c r="N1184"/>
      <c r="O1184"/>
      <c r="P1184"/>
      <c r="R1184" s="1"/>
      <c r="S1184" s="11"/>
      <c r="T1184" s="11"/>
      <c r="U1184" s="11"/>
      <c r="V1184" s="11"/>
      <c r="W1184" s="11"/>
      <c r="AF1184"/>
    </row>
    <row r="1185" spans="1:32" ht="12.75" customHeight="1" x14ac:dyDescent="0.25">
      <c r="A1185" s="276" t="s">
        <v>177</v>
      </c>
      <c r="B1185" s="276"/>
      <c r="C1185" s="276"/>
      <c r="D1185" s="276"/>
      <c r="E1185" s="276"/>
      <c r="F1185" s="276"/>
      <c r="G1185" s="276"/>
      <c r="H1185" s="276"/>
      <c r="I1185" s="276"/>
      <c r="J1185" s="276"/>
      <c r="K1185" s="276"/>
      <c r="L1185" s="276"/>
      <c r="M1185" s="276"/>
      <c r="N1185" s="276"/>
      <c r="O1185" s="276"/>
      <c r="P1185" s="276"/>
      <c r="Q1185" s="6"/>
      <c r="R1185" s="1"/>
      <c r="S1185" s="11"/>
      <c r="T1185" s="11"/>
      <c r="U1185" s="11"/>
      <c r="V1185" s="11"/>
      <c r="W1185" s="11"/>
      <c r="AF1185" s="14"/>
    </row>
    <row r="1186" spans="1:32" ht="12.75" customHeight="1" x14ac:dyDescent="0.25">
      <c r="A1186" s="15" t="s">
        <v>165</v>
      </c>
      <c r="H1186" s="110" t="str">
        <f>IF($Q1188&lt;&gt;"",IF(AND(AND($H1188&gt;-1,$H1190&gt;-1),OR($H1188&gt;10,$H1190&gt;10),ABS($H1188-$H1190)&gt;1,IF(OR($H1188&gt;11,$H1190&gt;11),ABS($H1188-$H1190)=2,TRUE),$H1188=INT($H1188),$H1190=INT($H1190)),"","Error"),"")</f>
        <v/>
      </c>
      <c r="I1186" s="110" t="str">
        <f>IF($Q1188&lt;&gt;"",IF(AND(AND($I1188&gt;-1,$I1190&gt;-1),OR($I1188&gt;10,$I1190&gt;10),ABS($I1188-$I1190)&gt;1,IF(OR($I1188&gt;11,$I1190&gt;11),ABS($I1188-$I1190)=2,TRUE),$I1188=INT($I1188),$I1190=INT($I1190)),"","Error"),"")</f>
        <v/>
      </c>
      <c r="J1186" s="110" t="str">
        <f>IF($Q1188&lt;&gt;"",IF(AND(AND($J1188&gt;-1,$J1190&gt;-1),OR($J1188&gt;10,$J1190&gt;10),ABS($J1188-$J1190)&gt;1,IF(OR($J1188&gt;11,$J1190&gt;11),ABS($J1188-$J1190)=2,TRUE),$J1188=INT($J1188),$J1190=INT($J1190)),"","Error"),"")</f>
        <v/>
      </c>
      <c r="K1186" s="110" t="str">
        <f>IF($Q1188&lt;&gt;"",IF(AND($K1188&lt;&gt;"",$K1190&lt;&gt;""), IF(AND(AND($K1188&gt;-1,$K1190&gt;-1),OR($K1188&gt;10,$K1190&gt;10),ABS($K1188-$K1190)&gt;1,IF(OR($K1188&gt;11,$K1190&gt;11),ABS($K1188-$K1190)=2,TRUE),$K1188=INT($K1188),$K1190=INT($K1190)),"","Error"),""),"")</f>
        <v/>
      </c>
      <c r="L1186" s="110" t="str">
        <f>IF($Q1188&lt;&gt;"",IF(AND($L1188&lt;&gt;"",$L1190&lt;&gt;""), IF(AND(AND($L1188&gt;-1,$L1190&gt;-1),OR($L1188&gt;10,$L1190&gt;10),ABS($L1188-$L1190)&gt;1,IF(OR($L1188&gt;11,$L1190&gt;11),ABS($L1188-$L1190)=2,TRUE),$L1188=INT($L1188),$L1190=INT($L1190)),"","Error"),""),"")</f>
        <v/>
      </c>
      <c r="R1186" s="1"/>
      <c r="S1186" s="11"/>
      <c r="T1186" s="11"/>
      <c r="U1186" s="11"/>
      <c r="V1186" s="11"/>
      <c r="W1186" s="11"/>
    </row>
    <row r="1187" spans="1:32" ht="12.75" customHeight="1" x14ac:dyDescent="0.25">
      <c r="A1187" s="5" t="s">
        <v>160</v>
      </c>
      <c r="B1187" s="256" t="s">
        <v>58</v>
      </c>
      <c r="C1187" s="257"/>
      <c r="D1187" s="257"/>
      <c r="E1187" s="257"/>
      <c r="F1187" s="257"/>
      <c r="G1187" s="258"/>
      <c r="H1187" s="5">
        <v>1</v>
      </c>
      <c r="I1187" s="5">
        <v>2</v>
      </c>
      <c r="J1187" s="5">
        <v>3</v>
      </c>
      <c r="K1187" s="5">
        <v>4</v>
      </c>
      <c r="L1187" s="5">
        <v>5</v>
      </c>
      <c r="M1187" s="270"/>
      <c r="N1187" s="271"/>
      <c r="O1187" s="271"/>
      <c r="P1187" s="272"/>
      <c r="R1187" s="1"/>
      <c r="S1187" s="11"/>
      <c r="T1187" s="11"/>
      <c r="U1187" s="11"/>
      <c r="V1187" s="11"/>
      <c r="W1187" s="11"/>
    </row>
    <row r="1188" spans="1:32" ht="12.75" customHeight="1" x14ac:dyDescent="0.25">
      <c r="A1188" s="259" t="str">
        <f>B1182</f>
        <v>C</v>
      </c>
      <c r="B1188" s="236" t="str">
        <f ca="1">IF(AND(OFFSET($AO$1,$C1182-1,8,1,1),$A1183&lt;&gt;"",$J1183&lt;&gt;""),CHOOSE($C1182,$AO$1,$AO$2,$AO$3,$AO$4,$AO$5,$AO$6,$AO$7,$AO$8,$AO$9,$AO$10,$AO$11,$AO$12),"")</f>
        <v/>
      </c>
      <c r="C1188" s="237"/>
      <c r="D1188" s="237"/>
      <c r="E1188" s="237"/>
      <c r="F1188" s="237"/>
      <c r="G1188" s="237"/>
      <c r="H1188" s="233"/>
      <c r="I1188" s="233"/>
      <c r="J1188" s="233"/>
      <c r="K1188" s="233"/>
      <c r="L1188" s="233"/>
      <c r="M1188" s="281"/>
      <c r="N1188" s="282"/>
      <c r="O1188" s="282"/>
      <c r="P1188" s="283"/>
      <c r="Q1188" s="40" t="str">
        <f>IF($L1188=$L1190,IF($K1188=$K1190,IF($J1188&lt;&gt;"",IF($J1188&gt;$J1190,"W","L"),""),IF($K1188&gt;$K1190,"W","L")),IF($L1188&gt;$L1190,"W","L"))</f>
        <v/>
      </c>
      <c r="R1188" s="1"/>
      <c r="S1188" s="11"/>
      <c r="T1188" s="11"/>
      <c r="U1188" s="11"/>
      <c r="V1188" s="11"/>
      <c r="W1188" s="11"/>
    </row>
    <row r="1189" spans="1:32" ht="12.75" customHeight="1" x14ac:dyDescent="0.25">
      <c r="A1189" s="260"/>
      <c r="B1189" s="238"/>
      <c r="C1189" s="239"/>
      <c r="D1189" s="239"/>
      <c r="E1189" s="239"/>
      <c r="F1189" s="239"/>
      <c r="G1189" s="239"/>
      <c r="H1189" s="234"/>
      <c r="I1189" s="234"/>
      <c r="J1189" s="234"/>
      <c r="K1189" s="234"/>
      <c r="L1189" s="234"/>
      <c r="M1189" s="281"/>
      <c r="N1189" s="282"/>
      <c r="O1189" s="282"/>
      <c r="P1189" s="283"/>
      <c r="Q1189" s="110" t="str">
        <f>IF($Q1188&lt;&gt;"",IF($Q1188="W",IF(SUM(IF($H1188&gt;$H1190,1,0),IF($I1188&gt;$I1190,1,0),IF($J1188&gt;$J1190,1,0),IF($K1188&gt;$K1190,1,0),IF($L1188&gt;$L1190,1,0))&lt;&gt;3,"Error",""),""),"")</f>
        <v/>
      </c>
      <c r="R1189" s="295" t="str">
        <f>$A1183</f>
        <v/>
      </c>
      <c r="S1189" s="295"/>
      <c r="T1189" s="295"/>
      <c r="U1189" s="295"/>
      <c r="V1189" s="295"/>
      <c r="W1189" s="295"/>
      <c r="X1189" s="219" t="str">
        <f>CONCATENATE("(",$B1182," vs ",$K1182,")")</f>
        <v>(C vs D)</v>
      </c>
      <c r="Y1189" s="219"/>
      <c r="Z1189" s="295" t="str">
        <f>$J1183</f>
        <v/>
      </c>
      <c r="AA1189" s="295"/>
      <c r="AB1189" s="295"/>
      <c r="AC1189" s="295"/>
      <c r="AD1189" s="295"/>
      <c r="AE1189" s="295"/>
      <c r="AF1189"/>
    </row>
    <row r="1190" spans="1:32" ht="12.75" customHeight="1" x14ac:dyDescent="0.25">
      <c r="A1190" s="259" t="str">
        <f>K1182</f>
        <v>D</v>
      </c>
      <c r="B1190" s="236" t="str">
        <f ca="1">IF(AND(OFFSET($AO$1,$L1182-1,8,1,1),$A1183&lt;&gt;"",$J1183&lt;&gt;""),CHOOSE($L1182,$AO$1,$AO$2,$AO$3,$AO$4,$AO$5,$AO$6,$AO$7,$AO$8,$AO$9,$AO$10,$AO$11,$AO$12),"")</f>
        <v/>
      </c>
      <c r="C1190" s="237"/>
      <c r="D1190" s="237"/>
      <c r="E1190" s="237"/>
      <c r="F1190" s="237"/>
      <c r="G1190" s="237"/>
      <c r="H1190" s="233"/>
      <c r="I1190" s="233"/>
      <c r="J1190" s="233"/>
      <c r="K1190" s="233"/>
      <c r="L1190" s="233"/>
      <c r="M1190" s="250" t="s">
        <v>169</v>
      </c>
      <c r="N1190" s="251"/>
      <c r="O1190" s="251"/>
      <c r="P1190" s="252"/>
      <c r="Q1190" s="40" t="str">
        <f>IF($Q1188&lt;&gt;"",IF($Q1188="W","L","W"),"")</f>
        <v/>
      </c>
      <c r="R1190"/>
      <c r="S1190"/>
      <c r="T1190"/>
      <c r="U1190"/>
      <c r="V1190"/>
      <c r="W1190"/>
      <c r="X1190"/>
      <c r="Y1190"/>
      <c r="Z1190"/>
      <c r="AA1190"/>
      <c r="AB1190"/>
      <c r="AC1190"/>
      <c r="AD1190"/>
      <c r="AE1190"/>
      <c r="AF1190"/>
    </row>
    <row r="1191" spans="1:32" ht="12.75" customHeight="1" x14ac:dyDescent="0.25">
      <c r="A1191" s="260"/>
      <c r="B1191" s="238"/>
      <c r="C1191" s="239"/>
      <c r="D1191" s="239"/>
      <c r="E1191" s="239"/>
      <c r="F1191" s="239"/>
      <c r="G1191" s="239"/>
      <c r="H1191" s="234"/>
      <c r="I1191" s="234"/>
      <c r="J1191" s="235"/>
      <c r="K1191" s="235"/>
      <c r="L1191" s="235"/>
      <c r="M1191" s="250"/>
      <c r="N1191" s="251"/>
      <c r="O1191" s="251"/>
      <c r="P1191" s="252"/>
      <c r="Q1191" s="110" t="str">
        <f>IF($Q1190&lt;&gt;"",IF($Q1190="W",IF(SUM(IF($H1190&gt;$H1188,1,0),IF($I1190&gt;$I1188,1,0),IF($J1190&gt;$J1188,1,0),IF($K1190&gt;$K1188,1,0),IF($L1190&gt;$L1188,1,0))&lt;&gt;3,"Error",""),""),"")</f>
        <v/>
      </c>
      <c r="R1191" t="str">
        <f>$A1193</f>
        <v>2nd Singles</v>
      </c>
      <c r="S1191"/>
      <c r="T1191"/>
      <c r="U1191"/>
      <c r="V1191"/>
      <c r="W1191"/>
      <c r="X1191"/>
      <c r="Y1191"/>
      <c r="Z1191"/>
      <c r="AA1191"/>
      <c r="AB1191"/>
      <c r="AC1191"/>
      <c r="AD1191"/>
      <c r="AE1191"/>
      <c r="AF1191"/>
    </row>
    <row r="1192" spans="1:32" ht="12.75" customHeight="1" x14ac:dyDescent="0.25">
      <c r="Q1192" s="6"/>
      <c r="R1192" s="47" t="s">
        <v>160</v>
      </c>
      <c r="S1192" s="304" t="s">
        <v>58</v>
      </c>
      <c r="T1192" s="305"/>
      <c r="U1192" s="305"/>
      <c r="V1192" s="305"/>
      <c r="W1192" s="305"/>
      <c r="X1192" s="306"/>
      <c r="Y1192" s="47">
        <v>1</v>
      </c>
      <c r="Z1192" s="47">
        <v>2</v>
      </c>
      <c r="AA1192" s="47">
        <v>3</v>
      </c>
      <c r="AB1192" s="47">
        <v>4</v>
      </c>
      <c r="AC1192" s="47">
        <v>5</v>
      </c>
      <c r="AD1192" s="286"/>
      <c r="AE1192" s="287"/>
      <c r="AF1192" s="288"/>
    </row>
    <row r="1193" spans="1:32" ht="12.75" customHeight="1" x14ac:dyDescent="0.25">
      <c r="A1193" s="15" t="s">
        <v>166</v>
      </c>
      <c r="H1193" s="110" t="str">
        <f>IF($Q1195&lt;&gt;"",IF(AND(AND($H1195&gt;-1,$H1197&gt;-1),OR($H1195&gt;10,$H1197&gt;10),ABS($H1195-$H1197)&gt;1,IF(OR($H1195&gt;11,$H1197&gt;11),ABS($H1195-$H1197)=2,TRUE),$H1195=INT($H1195),$H1197=INT($H1197)),"","Error"),"")</f>
        <v/>
      </c>
      <c r="I1193" s="110" t="str">
        <f>IF($Q1195&lt;&gt;"",IF(AND(AND($I1195&gt;-1,$I1197&gt;-1),OR($I1195&gt;10,$I1197&gt;10),ABS($I1195-$I1197)&gt;1,IF(OR($I1195&gt;11,$I1197&gt;11),ABS($I1195-$I1197)=2,TRUE),$I1195=INT($I1195),$I1197=INT($I1197)),"","Error"),"")</f>
        <v/>
      </c>
      <c r="J1193" s="110" t="str">
        <f>IF($Q1195&lt;&gt;"",IF(AND(AND($J1195&gt;-1,$J1197&gt;-1),OR($J1195&gt;10,$J1197&gt;10),ABS($J1195-$J1197)&gt;1,IF(OR($J1195&gt;11,$J1197&gt;11),ABS($J1195-$J1197)=2,TRUE),$J1195=INT($J1195),$J1197=INT($J1197)),"","Error"),"")</f>
        <v/>
      </c>
      <c r="K1193" s="110" t="str">
        <f>IF($Q1195&lt;&gt;"",IF(AND($K1195&lt;&gt;"",$K1197&lt;&gt;""), IF(AND(AND($K1195&gt;-1,$K1197&gt;-1),OR($K1195&gt;10,$K1197&gt;10),ABS($K1195-$K1197)&gt;1,IF(OR($K1195&gt;11,$K1197&gt;11),ABS($K1195-$K1197)=2,TRUE),$K1195=INT($K1195),$K1197=INT($K1197)),"","Error"),""),"")</f>
        <v/>
      </c>
      <c r="L1193" s="110" t="str">
        <f>IF($Q1195&lt;&gt;"",IF(AND($L1195&lt;&gt;"",$L1197&lt;&gt;""), IF(AND(AND($L1195&gt;-1,$L1197&gt;-1),OR($L1195&gt;10,$L1197&gt;10),ABS($L1195-$L1197)&gt;1,IF(OR($L1195&gt;11,$L1197&gt;11),ABS($L1195-$L1197)=2,TRUE),$L1195=INT($L1195),$L1197=INT($L1197)),"","Error"),""),"")</f>
        <v/>
      </c>
      <c r="Q1193" s="6"/>
      <c r="R1193" s="259" t="str">
        <f>$B1182</f>
        <v>C</v>
      </c>
      <c r="S1193" s="307" t="str">
        <f ca="1">IF($B1195&lt;&gt;"",$B1195,"")</f>
        <v/>
      </c>
      <c r="T1193" s="308"/>
      <c r="U1193" s="308"/>
      <c r="V1193" s="308"/>
      <c r="W1193" s="308"/>
      <c r="X1193" s="309"/>
      <c r="Y1193" s="284"/>
      <c r="Z1193" s="284"/>
      <c r="AA1193" s="284"/>
      <c r="AB1193" s="284"/>
      <c r="AC1193" s="284"/>
      <c r="AD1193" s="296"/>
      <c r="AE1193" s="290"/>
      <c r="AF1193" s="291"/>
    </row>
    <row r="1194" spans="1:32" ht="12.75" customHeight="1" x14ac:dyDescent="0.25">
      <c r="A1194" s="5" t="s">
        <v>160</v>
      </c>
      <c r="B1194" s="256" t="s">
        <v>58</v>
      </c>
      <c r="C1194" s="257"/>
      <c r="D1194" s="257"/>
      <c r="E1194" s="257"/>
      <c r="F1194" s="257"/>
      <c r="G1194" s="258"/>
      <c r="H1194" s="5">
        <v>1</v>
      </c>
      <c r="I1194" s="5">
        <v>2</v>
      </c>
      <c r="J1194" s="5">
        <v>3</v>
      </c>
      <c r="K1194" s="5">
        <v>4</v>
      </c>
      <c r="L1194" s="5">
        <v>5</v>
      </c>
      <c r="M1194" s="270"/>
      <c r="N1194" s="271"/>
      <c r="O1194" s="271"/>
      <c r="P1194" s="272"/>
      <c r="Q1194" s="6"/>
      <c r="R1194" s="285"/>
      <c r="S1194" s="310"/>
      <c r="T1194" s="311"/>
      <c r="U1194" s="311"/>
      <c r="V1194" s="311"/>
      <c r="W1194" s="311"/>
      <c r="X1194" s="312"/>
      <c r="Y1194" s="285"/>
      <c r="Z1194" s="285"/>
      <c r="AA1194" s="285"/>
      <c r="AB1194" s="285"/>
      <c r="AC1194" s="285"/>
      <c r="AD1194" s="292"/>
      <c r="AE1194" s="293"/>
      <c r="AF1194" s="294"/>
    </row>
    <row r="1195" spans="1:32" ht="12.75" customHeight="1" x14ac:dyDescent="0.25">
      <c r="A1195" s="259" t="str">
        <f>B1182</f>
        <v>C</v>
      </c>
      <c r="B1195" s="236" t="str">
        <f ca="1">IF(AND(OFFSET($AO$1,$C1182-1,8,1,1),$A1183&lt;&gt;"",$J1183&lt;&gt;""),CHOOSE($C1182,$AP$1,$AP$2,$AP$3,$AP$4,$AP$5,$AP$6,$AP$7,$AP$8,$AP$9,$AP$10,$AP$11,$AP$12),"")</f>
        <v/>
      </c>
      <c r="C1195" s="237"/>
      <c r="D1195" s="237"/>
      <c r="E1195" s="237"/>
      <c r="F1195" s="237"/>
      <c r="G1195" s="237"/>
      <c r="H1195" s="233"/>
      <c r="I1195" s="233"/>
      <c r="J1195" s="233"/>
      <c r="K1195" s="233"/>
      <c r="L1195" s="233"/>
      <c r="M1195" s="245" t="str">
        <f ca="1">IF(OR(AND($B1188&lt;&gt;"",$B1195&lt;&gt;"",$C1213&lt;=$B1213),AND($B1190&lt;&gt;"",$B1197&lt;&gt;"",$G1213&lt;=$F1213)),"Invalid Lineup","")</f>
        <v/>
      </c>
      <c r="N1195" s="246"/>
      <c r="O1195" s="246"/>
      <c r="P1195" s="247"/>
      <c r="Q1195" s="40" t="str">
        <f>IF($L1195=$L1197,IF($K1195=$K1197,IF($J1195&lt;&gt;"",IF($J1195&gt;$J1197,"W","L"),""),IF($K1195&gt;$K1197,"W","L")),IF($L1195&gt;$L1197,"W","L"))</f>
        <v/>
      </c>
      <c r="R1195" s="259" t="str">
        <f>$K1182</f>
        <v>D</v>
      </c>
      <c r="S1195" s="307" t="str">
        <f ca="1">IF($B1197&lt;&gt;"",$B1197,"")</f>
        <v/>
      </c>
      <c r="T1195" s="308"/>
      <c r="U1195" s="308"/>
      <c r="V1195" s="308"/>
      <c r="W1195" s="308"/>
      <c r="X1195" s="309"/>
      <c r="Y1195" s="284"/>
      <c r="Z1195" s="284"/>
      <c r="AA1195" s="284"/>
      <c r="AB1195" s="284"/>
      <c r="AC1195" s="297"/>
      <c r="AD1195" s="289" t="s">
        <v>169</v>
      </c>
      <c r="AE1195" s="290"/>
      <c r="AF1195" s="291"/>
    </row>
    <row r="1196" spans="1:32" ht="12.75" customHeight="1" x14ac:dyDescent="0.25">
      <c r="A1196" s="260"/>
      <c r="B1196" s="238"/>
      <c r="C1196" s="239"/>
      <c r="D1196" s="239"/>
      <c r="E1196" s="239"/>
      <c r="F1196" s="239"/>
      <c r="G1196" s="239"/>
      <c r="H1196" s="234"/>
      <c r="I1196" s="234"/>
      <c r="J1196" s="234"/>
      <c r="K1196" s="234"/>
      <c r="L1196" s="234"/>
      <c r="M1196" s="245"/>
      <c r="N1196" s="246"/>
      <c r="O1196" s="246"/>
      <c r="P1196" s="247"/>
      <c r="Q1196" s="110" t="str">
        <f>IF($Q1195&lt;&gt;"",IF($Q1195="W",IF(SUM(IF($H1195&gt;$H1197,1,0),IF($I1195&gt;$I1197,1,0),IF($J1195&gt;$J1197,1,0),IF($K1195&gt;$K1197,1,0),IF($L1195&gt;$L1197,1,0))&lt;&gt;3,"Error",""),""),"")</f>
        <v/>
      </c>
      <c r="R1196" s="285"/>
      <c r="S1196" s="310"/>
      <c r="T1196" s="311"/>
      <c r="U1196" s="311"/>
      <c r="V1196" s="311"/>
      <c r="W1196" s="311"/>
      <c r="X1196" s="312"/>
      <c r="Y1196" s="285"/>
      <c r="Z1196" s="285"/>
      <c r="AA1196" s="285"/>
      <c r="AB1196" s="285"/>
      <c r="AC1196" s="285"/>
      <c r="AD1196" s="292"/>
      <c r="AE1196" s="293"/>
      <c r="AF1196" s="294"/>
    </row>
    <row r="1197" spans="1:32" ht="12.75" customHeight="1" x14ac:dyDescent="0.25">
      <c r="A1197" s="259" t="str">
        <f>K1182</f>
        <v>D</v>
      </c>
      <c r="B1197" s="236" t="str">
        <f ca="1">IF(AND(OFFSET($AO$1,$L1182-1,8,1,1),$A1183&lt;&gt;"",$J1183&lt;&gt;""),CHOOSE($L1182,$AP$1,$AP$2,$AP$3,$AP$4,$AP$5,$AP$6,$AP$7,$AP$8,$AP$9,$AP$10,$AP$11,$AP$12),"")</f>
        <v/>
      </c>
      <c r="C1197" s="237"/>
      <c r="D1197" s="237"/>
      <c r="E1197" s="237"/>
      <c r="F1197" s="237"/>
      <c r="G1197" s="237"/>
      <c r="H1197" s="233"/>
      <c r="I1197" s="233"/>
      <c r="J1197" s="233"/>
      <c r="K1197" s="233"/>
      <c r="L1197" s="233"/>
      <c r="M1197" s="250" t="s">
        <v>169</v>
      </c>
      <c r="N1197" s="251"/>
      <c r="O1197" s="251"/>
      <c r="P1197" s="252"/>
      <c r="Q1197" s="40" t="str">
        <f>IF($Q1195&lt;&gt;"",IF($Q1195="W","L","W"),"")</f>
        <v/>
      </c>
      <c r="R1197" s="14"/>
      <c r="S1197" s="14"/>
      <c r="T1197" s="14"/>
      <c r="U1197" s="14"/>
      <c r="V1197" s="14"/>
      <c r="W1197" s="14"/>
      <c r="X1197" s="7"/>
      <c r="Y1197" s="7"/>
      <c r="Z1197" s="14"/>
      <c r="AA1197" s="14"/>
      <c r="AB1197" s="14"/>
      <c r="AC1197" s="14"/>
      <c r="AD1197" s="14"/>
      <c r="AE1197" s="14"/>
      <c r="AF1197"/>
    </row>
    <row r="1198" spans="1:32" ht="12.75" customHeight="1" x14ac:dyDescent="0.25">
      <c r="A1198" s="260"/>
      <c r="B1198" s="238"/>
      <c r="C1198" s="239"/>
      <c r="D1198" s="239"/>
      <c r="E1198" s="239"/>
      <c r="F1198" s="239"/>
      <c r="G1198" s="239"/>
      <c r="H1198" s="234"/>
      <c r="I1198" s="234"/>
      <c r="J1198" s="235"/>
      <c r="K1198" s="235"/>
      <c r="L1198" s="235"/>
      <c r="M1198" s="250"/>
      <c r="N1198" s="251"/>
      <c r="O1198" s="251"/>
      <c r="P1198" s="252"/>
      <c r="Q1198" s="110" t="str">
        <f>IF($Q1197&lt;&gt;"",IF($Q1197="W",IF(SUM(IF($H1197&gt;$H1195,1,0),IF($I1197&gt;$I1195,1,0),IF($J1197&gt;$J1195,1,0),IF($K1197&gt;$K1195,1,0),IF($L1197&gt;$L1195,1,0))&lt;&gt;3,"Error",""),""),"")</f>
        <v/>
      </c>
      <c r="R1198" s="14"/>
      <c r="S1198" s="14"/>
      <c r="T1198" s="14"/>
      <c r="U1198" s="14"/>
      <c r="V1198" s="14"/>
      <c r="W1198" s="14"/>
      <c r="X1198" s="7"/>
      <c r="Y1198" s="7"/>
      <c r="Z1198" s="14"/>
      <c r="AA1198" s="14"/>
      <c r="AB1198" s="14"/>
      <c r="AC1198" s="14"/>
      <c r="AD1198" s="14"/>
      <c r="AE1198" s="14"/>
      <c r="AF1198"/>
    </row>
    <row r="1199" spans="1:32" ht="12.75" customHeight="1" x14ac:dyDescent="0.25">
      <c r="Q1199" s="6"/>
      <c r="R1199" s="14"/>
      <c r="S1199" s="14"/>
      <c r="T1199" s="14"/>
      <c r="U1199" s="14"/>
      <c r="V1199" s="14"/>
      <c r="W1199" s="14"/>
      <c r="X1199" s="7"/>
      <c r="Y1199" s="7"/>
      <c r="Z1199" s="14"/>
      <c r="AA1199" s="14"/>
      <c r="AB1199" s="14"/>
      <c r="AC1199" s="14"/>
      <c r="AD1199" s="14"/>
      <c r="AE1199" s="14"/>
      <c r="AF1199"/>
    </row>
    <row r="1200" spans="1:32" ht="12.75" customHeight="1" x14ac:dyDescent="0.25">
      <c r="A1200" s="15" t="s">
        <v>167</v>
      </c>
      <c r="H1200" s="110" t="str">
        <f>IF($Q1202&lt;&gt;"",IF(AND(AND($H1202&gt;-1,$H1204&gt;-1),OR($H1202&gt;10,$H1204&gt;10),ABS($H1202-$H1204)&gt;1,IF(OR($H1202&gt;11,$H1204&gt;11),ABS($H1202-$H1204)=2,TRUE),$H1202=INT($H1202),$H1204=INT($H1204)),"","Error"),"")</f>
        <v/>
      </c>
      <c r="I1200" s="110" t="str">
        <f>IF($Q1202&lt;&gt;"",IF(AND(AND($I1202&gt;-1,$I1204&gt;-1),OR($I1202&gt;10,$I1204&gt;10),ABS($I1202-$I1204)&gt;1,IF(OR($I1202&gt;11,$I1204&gt;11),ABS($I1202-$I1204)=2,TRUE),$I1202=INT($I1202),$I1204=INT($I1204)),"","Error"),"")</f>
        <v/>
      </c>
      <c r="J1200" s="110" t="str">
        <f>IF($Q1202&lt;&gt;"",IF(AND(AND($J1202&gt;-1,$J1204&gt;-1),OR($J1202&gt;10,$J1204&gt;10),ABS($J1202-$J1204)&gt;1,IF(OR($J1202&gt;11,$J1204&gt;11),ABS($J1202-$J1204)=2,TRUE),$J1202=INT($J1202),$J1204=INT($J1204)),"","Error"),"")</f>
        <v/>
      </c>
      <c r="K1200" s="110" t="str">
        <f>IF($Q1202&lt;&gt;"",IF(AND($K1202&lt;&gt;"",$K1204&lt;&gt;""), IF(AND(AND($K1202&gt;-1,$K1204&gt;-1),OR($K1202&gt;10,$K1204&gt;10),ABS($K1202-$K1204)&gt;1,IF(OR($K1202&gt;11,$K1204&gt;11),ABS($K1202-$K1204)=2,TRUE),$K1202=INT($K1202),$K1204=INT($K1204)),"","Error"),""),"")</f>
        <v/>
      </c>
      <c r="L1200" s="110" t="str">
        <f>IF($Q1202&lt;&gt;"",IF(AND($L1202&lt;&gt;"",$L1204&lt;&gt;""), IF(AND(AND($L1202&gt;-1,$L1204&gt;-1),OR($L1202&gt;10,$L1204&gt;10),ABS($L1202-$L1204)&gt;1,IF(OR($L1202&gt;11,$L1204&gt;11),ABS($L1202-$L1204)=2,TRUE),$L1202=INT($L1202),$L1204=INT($L1204)),"","Error"),""),"")</f>
        <v/>
      </c>
      <c r="Q1200" s="6"/>
      <c r="R1200" s="14"/>
      <c r="S1200" s="14"/>
      <c r="T1200" s="14"/>
      <c r="U1200" s="14"/>
      <c r="V1200" s="14"/>
      <c r="W1200" s="14"/>
      <c r="X1200" s="7"/>
      <c r="Y1200" s="7"/>
      <c r="Z1200" s="14"/>
      <c r="AA1200" s="14"/>
      <c r="AB1200" s="14"/>
      <c r="AC1200" s="14"/>
      <c r="AD1200" s="14"/>
      <c r="AE1200" s="14"/>
      <c r="AF1200"/>
    </row>
    <row r="1201" spans="1:32" ht="12.75" customHeight="1" x14ac:dyDescent="0.25">
      <c r="A1201" s="5" t="s">
        <v>160</v>
      </c>
      <c r="B1201" s="256" t="s">
        <v>58</v>
      </c>
      <c r="C1201" s="257"/>
      <c r="D1201" s="257"/>
      <c r="E1201" s="257"/>
      <c r="F1201" s="257"/>
      <c r="G1201" s="258"/>
      <c r="H1201" s="5">
        <v>1</v>
      </c>
      <c r="I1201" s="5">
        <v>2</v>
      </c>
      <c r="J1201" s="5">
        <v>3</v>
      </c>
      <c r="K1201" s="5">
        <v>4</v>
      </c>
      <c r="L1201" s="5">
        <v>5</v>
      </c>
      <c r="M1201" s="270"/>
      <c r="N1201" s="271"/>
      <c r="O1201" s="271"/>
      <c r="P1201" s="272"/>
      <c r="Q1201" s="6"/>
      <c r="R1201" s="14"/>
      <c r="S1201" s="14"/>
      <c r="T1201" s="14"/>
      <c r="U1201" s="14"/>
      <c r="V1201" s="14"/>
      <c r="W1201" s="14"/>
      <c r="X1201" s="7"/>
      <c r="Y1201" s="7"/>
      <c r="Z1201" s="14"/>
      <c r="AA1201" s="14"/>
      <c r="AB1201" s="14"/>
      <c r="AC1201" s="14"/>
      <c r="AD1201" s="14"/>
      <c r="AE1201" s="14"/>
      <c r="AF1201"/>
    </row>
    <row r="1202" spans="1:32" ht="12.75" customHeight="1" x14ac:dyDescent="0.25">
      <c r="A1202" s="259" t="str">
        <f>B1182</f>
        <v>C</v>
      </c>
      <c r="B1202" s="236" t="str">
        <f ca="1">IF(AND(OFFSET($AO$1,$C1182-1,8,1,1),$A1183&lt;&gt;"",$J1183&lt;&gt;""),CHOOSE($C1182,$AQ$1,$AQ$2,$AQ$3,$AQ$4,$AQ$5,$AQ$6,$AQ$7,$AQ$8,$AQ$9,$AQ$10,$AQ$11,$AQ$12),"")</f>
        <v/>
      </c>
      <c r="C1202" s="237"/>
      <c r="D1202" s="237"/>
      <c r="E1202" s="237"/>
      <c r="F1202" s="237"/>
      <c r="G1202" s="237"/>
      <c r="H1202" s="233"/>
      <c r="I1202" s="233"/>
      <c r="J1202" s="233"/>
      <c r="K1202" s="233"/>
      <c r="L1202" s="233"/>
      <c r="M1202" s="245" t="str">
        <f ca="1">IF(OR(AND($B1195&lt;&gt;"",$B1202&lt;&gt;"",$D1213&lt;=$C1213),AND($B1197&lt;&gt;"",$B1204&lt;&gt;"",$H1213&lt;=$G1213)),"Invalid Lineup","")</f>
        <v/>
      </c>
      <c r="N1202" s="246"/>
      <c r="O1202" s="246"/>
      <c r="P1202" s="247"/>
      <c r="Q1202" s="40" t="str">
        <f>IF($L1202=$L1204,IF($K1202=$K1204,IF($J1202&lt;&gt;"",IF($J1202&gt;$J1204,"W","L"),""),IF($K1202&gt;$K1204,"W","L")),IF($L1202&gt;$L1204,"W","L"))</f>
        <v/>
      </c>
      <c r="R1202" s="14"/>
      <c r="S1202" s="14"/>
      <c r="T1202" s="14"/>
      <c r="U1202" s="14"/>
      <c r="V1202" s="14"/>
      <c r="W1202" s="14"/>
      <c r="X1202" s="7"/>
      <c r="Y1202" s="7"/>
      <c r="Z1202" s="14"/>
      <c r="AA1202" s="14"/>
      <c r="AB1202" s="14"/>
      <c r="AC1202" s="14"/>
      <c r="AD1202" s="14"/>
      <c r="AE1202" s="14"/>
      <c r="AF1202"/>
    </row>
    <row r="1203" spans="1:32" ht="12.75" customHeight="1" x14ac:dyDescent="0.25">
      <c r="A1203" s="260"/>
      <c r="B1203" s="238"/>
      <c r="C1203" s="239"/>
      <c r="D1203" s="239"/>
      <c r="E1203" s="239"/>
      <c r="F1203" s="239"/>
      <c r="G1203" s="239"/>
      <c r="H1203" s="234"/>
      <c r="I1203" s="234"/>
      <c r="J1203" s="234"/>
      <c r="K1203" s="234"/>
      <c r="L1203" s="234"/>
      <c r="M1203" s="245"/>
      <c r="N1203" s="246"/>
      <c r="O1203" s="246"/>
      <c r="P1203" s="247"/>
      <c r="Q1203" s="110" t="str">
        <f>IF($Q1202&lt;&gt;"",IF($Q1202="W",IF(SUM(IF($H1202&gt;$H1204,1,0),IF($I1202&gt;$I1204,1,0),IF($J1202&gt;$J1204,1,0),IF($K1202&gt;$K1204,1,0),IF($L1202&gt;$L1204,1,0))&lt;&gt;3,"Error",""),""),"")</f>
        <v/>
      </c>
      <c r="R1203" s="295" t="str">
        <f>$A1183</f>
        <v/>
      </c>
      <c r="S1203" s="295"/>
      <c r="T1203" s="295"/>
      <c r="U1203" s="295"/>
      <c r="V1203" s="295"/>
      <c r="W1203" s="295"/>
      <c r="X1203" s="219" t="str">
        <f>CONCATENATE("(",$B1182," vs ",$K1182,")")</f>
        <v>(C vs D)</v>
      </c>
      <c r="Y1203" s="219"/>
      <c r="Z1203" s="295" t="str">
        <f>$J1183</f>
        <v/>
      </c>
      <c r="AA1203" s="295"/>
      <c r="AB1203" s="295"/>
      <c r="AC1203" s="295"/>
      <c r="AD1203" s="295"/>
      <c r="AE1203" s="295"/>
      <c r="AF1203"/>
    </row>
    <row r="1204" spans="1:32" ht="12.75" customHeight="1" x14ac:dyDescent="0.25">
      <c r="A1204" s="259" t="str">
        <f>K1182</f>
        <v>D</v>
      </c>
      <c r="B1204" s="236" t="str">
        <f ca="1">IF(AND(OFFSET($AO$1,$L1182-1,8,1,1),$A1183&lt;&gt;"",$J1183&lt;&gt;""),CHOOSE($L1182,$AQ$1,$AQ$2,$AQ$3,$AQ$4,$AQ$5,$AQ$6,$AQ$7,$AQ$8,$AQ$9,$AQ$10,$AQ$11,$AQ$12),"")</f>
        <v/>
      </c>
      <c r="C1204" s="237"/>
      <c r="D1204" s="237"/>
      <c r="E1204" s="237"/>
      <c r="F1204" s="237"/>
      <c r="G1204" s="237"/>
      <c r="H1204" s="233"/>
      <c r="I1204" s="233"/>
      <c r="J1204" s="233"/>
      <c r="K1204" s="233"/>
      <c r="L1204" s="233"/>
      <c r="M1204" s="250" t="s">
        <v>169</v>
      </c>
      <c r="N1204" s="251"/>
      <c r="O1204" s="251"/>
      <c r="P1204" s="252"/>
      <c r="Q1204" s="40" t="str">
        <f>IF($Q1202&lt;&gt;"",IF($Q1202="W","L","W"),"")</f>
        <v/>
      </c>
      <c r="R1204"/>
      <c r="S1204"/>
      <c r="T1204"/>
      <c r="U1204"/>
      <c r="V1204"/>
      <c r="W1204"/>
      <c r="X1204"/>
      <c r="Y1204"/>
      <c r="Z1204"/>
      <c r="AA1204"/>
      <c r="AB1204"/>
      <c r="AC1204"/>
      <c r="AD1204"/>
      <c r="AE1204"/>
      <c r="AF1204"/>
    </row>
    <row r="1205" spans="1:32" ht="12.75" customHeight="1" x14ac:dyDescent="0.25">
      <c r="A1205" s="260"/>
      <c r="B1205" s="238"/>
      <c r="C1205" s="239"/>
      <c r="D1205" s="239"/>
      <c r="E1205" s="239"/>
      <c r="F1205" s="239"/>
      <c r="G1205" s="239"/>
      <c r="H1205" s="234"/>
      <c r="I1205" s="234"/>
      <c r="J1205" s="235"/>
      <c r="K1205" s="235"/>
      <c r="L1205" s="235"/>
      <c r="M1205" s="250"/>
      <c r="N1205" s="251"/>
      <c r="O1205" s="251"/>
      <c r="P1205" s="252"/>
      <c r="Q1205" s="110" t="str">
        <f>IF($Q1204&lt;&gt;"",IF($Q1204="W",IF(SUM(IF($H1204&gt;$H1202,1,0),IF($I1204&gt;$I1202,1,0),IF($J1204&gt;$J1202,1,0),IF($K1204&gt;$K1202,1,0),IF($L1204&gt;$L1202,1,0))&lt;&gt;3,"Error",""),""),"")</f>
        <v/>
      </c>
      <c r="R1205" t="str">
        <f>$A1200</f>
        <v>3rd Singles</v>
      </c>
      <c r="S1205"/>
      <c r="T1205"/>
      <c r="U1205"/>
      <c r="V1205"/>
      <c r="W1205"/>
      <c r="X1205"/>
      <c r="Y1205"/>
      <c r="Z1205"/>
      <c r="AA1205"/>
      <c r="AB1205"/>
      <c r="AC1205"/>
      <c r="AD1205"/>
      <c r="AE1205"/>
      <c r="AF1205"/>
    </row>
    <row r="1206" spans="1:32" ht="12.75" customHeight="1" x14ac:dyDescent="0.25">
      <c r="Q1206" s="6"/>
      <c r="R1206" s="47" t="s">
        <v>160</v>
      </c>
      <c r="S1206" s="86" t="s">
        <v>58</v>
      </c>
      <c r="T1206" s="87"/>
      <c r="U1206" s="87"/>
      <c r="V1206" s="87"/>
      <c r="W1206" s="87"/>
      <c r="X1206" s="88"/>
      <c r="Y1206" s="47">
        <v>1</v>
      </c>
      <c r="Z1206" s="47">
        <v>2</v>
      </c>
      <c r="AA1206" s="47">
        <v>3</v>
      </c>
      <c r="AB1206" s="47">
        <v>4</v>
      </c>
      <c r="AC1206" s="47">
        <v>5</v>
      </c>
      <c r="AD1206" s="89"/>
      <c r="AE1206" s="90"/>
      <c r="AF1206" s="91"/>
    </row>
    <row r="1207" spans="1:32" ht="12.75" customHeight="1" x14ac:dyDescent="0.25">
      <c r="A1207" s="15" t="s">
        <v>168</v>
      </c>
      <c r="H1207" s="110" t="str">
        <f ca="1">IF($Q1209&lt;&gt;"",IF(AND($B1209&lt;&gt;"Missing Player",$B1211&lt;&gt;"Missing Player"),IF(AND(AND($H1209&gt;-1,$H1211&gt;-1),OR($H1209&gt;10,$H1211&gt;10),ABS($H1209-$H1211)&gt;1,IF(OR($H1209&gt;11,$H1211&gt;11),ABS($H1209-$H1211)=2,TRUE),$H1209=INT($H1209),$H1211=INT($H1211)),"","Error"),""),"")</f>
        <v/>
      </c>
      <c r="I1207" s="110" t="str">
        <f ca="1">IF($Q1209&lt;&gt;"",IF(AND($B1209&lt;&gt;"Missing Player",$B1211&lt;&gt;"Missing Player"),IF(AND(AND($I1209&gt;-1,$I1211&gt;-1),OR($I1209&gt;10,$I1211&gt;10),ABS($I1209-$I1211)&gt;1,IF(OR($I1209&gt;11,$I1211&gt;11),ABS($I1209-$I1211)=2,TRUE),$I1209=INT($I1209),$I1211=INT($I1211)),"","Error"),""),"")</f>
        <v/>
      </c>
      <c r="J1207" s="110" t="str">
        <f ca="1">IF($Q1209&lt;&gt;"",IF(AND($B1209&lt;&gt;"Missing Player",$B1211&lt;&gt;"Missing Player"),IF(AND(AND($J1209&gt;-1,$J1211&gt;-1),OR($J1209&gt;10,$J1211&gt;10),ABS($J1209-$J1211)&gt;1,IF(OR($J1209&gt;11,$J1211&gt;11),ABS($J1209-$J1211)=2,TRUE),$J1209=INT($J1209),$J1211=INT($J1211)),"","Error"),""),"")</f>
        <v/>
      </c>
      <c r="K1207" s="110" t="str">
        <f ca="1">IF($Q1209&lt;&gt;"",IF(AND($K1209&lt;&gt;"",$K1211&lt;&gt;""), IF(AND(AND($K1209&gt;-1,$K1211&gt;-1),OR($K1209&gt;10,$K1211&gt;10),ABS($K1209-$K1211)&gt;1,IF(OR($K1209&gt;11,$K1211&gt;11),ABS($K1209-$K1211)=2,TRUE),$K1209=INT($K1209),$K1211=INT($K1211)),"","Error"),""),"")</f>
        <v/>
      </c>
      <c r="L1207" s="110" t="str">
        <f ca="1">IF($Q1209&lt;&gt;"",IF(AND($L1209&lt;&gt;"",$L1211&lt;&gt;""), IF(AND(AND($L1209&gt;-1,$L1211&gt;-1),OR($L1209&gt;10,$L1211&gt;10),ABS($L1209-$L1211)&gt;1,IF(OR($L1209&gt;11,$L1211&gt;11),ABS($L1209-$L1211)=2,TRUE),$L1209=INT($L1209),$L1211=INT($L1211)),"","Error"),""),"")</f>
        <v/>
      </c>
      <c r="Q1207" s="6"/>
      <c r="R1207" s="259" t="str">
        <f>$B1182</f>
        <v>C</v>
      </c>
      <c r="S1207" s="307" t="str">
        <f ca="1">IF($B1202&lt;&gt;"",$B1202,"")</f>
        <v/>
      </c>
      <c r="T1207" s="308"/>
      <c r="U1207" s="308"/>
      <c r="V1207" s="308"/>
      <c r="W1207" s="308"/>
      <c r="X1207" s="309"/>
      <c r="Y1207" s="284"/>
      <c r="Z1207" s="284"/>
      <c r="AA1207" s="284"/>
      <c r="AB1207" s="284"/>
      <c r="AC1207" s="284"/>
      <c r="AD1207" s="296"/>
      <c r="AE1207" s="290"/>
      <c r="AF1207" s="291"/>
    </row>
    <row r="1208" spans="1:32" ht="12.75" customHeight="1" x14ac:dyDescent="0.25">
      <c r="A1208" s="5" t="s">
        <v>160</v>
      </c>
      <c r="B1208" s="256" t="s">
        <v>58</v>
      </c>
      <c r="C1208" s="257"/>
      <c r="D1208" s="257"/>
      <c r="E1208" s="257"/>
      <c r="F1208" s="257"/>
      <c r="G1208" s="258"/>
      <c r="H1208" s="5">
        <v>1</v>
      </c>
      <c r="I1208" s="5">
        <v>2</v>
      </c>
      <c r="J1208" s="5">
        <v>3</v>
      </c>
      <c r="K1208" s="5">
        <v>4</v>
      </c>
      <c r="L1208" s="5">
        <v>5</v>
      </c>
      <c r="M1208" s="270"/>
      <c r="N1208" s="271"/>
      <c r="O1208" s="271"/>
      <c r="P1208" s="272"/>
      <c r="Q1208" s="6"/>
      <c r="R1208" s="285"/>
      <c r="S1208" s="310"/>
      <c r="T1208" s="311"/>
      <c r="U1208" s="311"/>
      <c r="V1208" s="311"/>
      <c r="W1208" s="311"/>
      <c r="X1208" s="312"/>
      <c r="Y1208" s="285"/>
      <c r="Z1208" s="285"/>
      <c r="AA1208" s="285"/>
      <c r="AB1208" s="285"/>
      <c r="AC1208" s="285"/>
      <c r="AD1208" s="292"/>
      <c r="AE1208" s="293"/>
      <c r="AF1208" s="294"/>
    </row>
    <row r="1209" spans="1:32" ht="12.75" customHeight="1" x14ac:dyDescent="0.25">
      <c r="A1209" s="259" t="str">
        <f>B1182</f>
        <v>C</v>
      </c>
      <c r="B1209" s="236" t="str">
        <f ca="1">IF(AND(OFFSET($AO$1,$C1182-1,8,1,1),$A1183&lt;&gt;"",$J1183&lt;&gt;""),CHOOSE($C1182,$AR$1,$AR$2,$AR$3,$AR$4,$AR$5,$AR$6,$AR$7,$AR$8,$AR$9,$AR$10,$AR$11,$AR$12),"")</f>
        <v/>
      </c>
      <c r="C1209" s="237"/>
      <c r="D1209" s="237"/>
      <c r="E1209" s="237"/>
      <c r="F1209" s="237"/>
      <c r="G1209" s="237"/>
      <c r="H1209" s="233"/>
      <c r="I1209" s="233"/>
      <c r="J1209" s="233"/>
      <c r="K1209" s="233"/>
      <c r="L1209" s="233" t="str">
        <f ca="1">IF(AND($B1209&lt;&gt;"",$Q1188&lt;&gt;""),IF($B1209="Missing Player",0,IF($B1211="Missing Player",11,"")),"")</f>
        <v/>
      </c>
      <c r="M1209" s="245" t="str">
        <f ca="1">IF(OR(AND($B1202&lt;&gt;"",$B1209&lt;&gt;"",$E1213&lt;=$D1213),AND($B1204&lt;&gt;"",$B1211&lt;&gt;"",$I1213&lt;=$H1213)),"Invalid Lineup","")</f>
        <v/>
      </c>
      <c r="N1209" s="246"/>
      <c r="O1209" s="246"/>
      <c r="P1209" s="247"/>
      <c r="Q1209" s="40" t="str">
        <f ca="1">IF($L1209=$L1211,IF($K1209=$K1211,IF($J1209&lt;&gt;"",IF($J1209&gt;$J1211,"W","L"),""),IF($K1209&gt;$K1211,"W","L")),IF($L1209&gt;$L1211,"W","L"))</f>
        <v/>
      </c>
      <c r="R1209" s="259" t="str">
        <f>$K1182</f>
        <v>D</v>
      </c>
      <c r="S1209" s="307" t="str">
        <f ca="1">IF($B1204&lt;&gt;"",$B1204,"")</f>
        <v/>
      </c>
      <c r="T1209" s="308"/>
      <c r="U1209" s="308"/>
      <c r="V1209" s="308"/>
      <c r="W1209" s="308"/>
      <c r="X1209" s="309"/>
      <c r="Y1209" s="284"/>
      <c r="Z1209" s="284"/>
      <c r="AA1209" s="284"/>
      <c r="AB1209" s="284"/>
      <c r="AC1209" s="297"/>
      <c r="AD1209" s="289" t="s">
        <v>169</v>
      </c>
      <c r="AE1209" s="290"/>
      <c r="AF1209" s="291"/>
    </row>
    <row r="1210" spans="1:32" ht="12.75" customHeight="1" x14ac:dyDescent="0.25">
      <c r="A1210" s="260"/>
      <c r="B1210" s="238"/>
      <c r="C1210" s="239"/>
      <c r="D1210" s="239"/>
      <c r="E1210" s="239"/>
      <c r="F1210" s="239"/>
      <c r="G1210" s="239"/>
      <c r="H1210" s="234"/>
      <c r="I1210" s="234"/>
      <c r="J1210" s="234"/>
      <c r="K1210" s="234"/>
      <c r="L1210" s="234"/>
      <c r="M1210" s="245"/>
      <c r="N1210" s="246"/>
      <c r="O1210" s="246"/>
      <c r="P1210" s="247"/>
      <c r="Q1210" s="110" t="str">
        <f ca="1">IF($Q1209&lt;&gt;"",IF($B1211&lt;&gt;"Missing Player",IF($Q1209="W",IF(SUM(IF($H1209&gt;$H1211,1,0),IF($I1209&gt;$I1211,1,0),IF($J1209&gt;$J1211,1,0),IF($K1209&gt;$K1211,1,0),IF($L1209&gt;$L1211,1,0))&lt;&gt;3,"Error",""),""),""),"")</f>
        <v/>
      </c>
      <c r="R1210" s="285"/>
      <c r="S1210" s="310"/>
      <c r="T1210" s="311"/>
      <c r="U1210" s="311"/>
      <c r="V1210" s="311"/>
      <c r="W1210" s="311"/>
      <c r="X1210" s="312"/>
      <c r="Y1210" s="285"/>
      <c r="Z1210" s="285"/>
      <c r="AA1210" s="285"/>
      <c r="AB1210" s="285"/>
      <c r="AC1210" s="285"/>
      <c r="AD1210" s="292"/>
      <c r="AE1210" s="293"/>
      <c r="AF1210" s="294"/>
    </row>
    <row r="1211" spans="1:32" ht="12.75" customHeight="1" x14ac:dyDescent="0.25">
      <c r="A1211" s="259" t="str">
        <f>K1182</f>
        <v>D</v>
      </c>
      <c r="B1211" s="236" t="str">
        <f ca="1">IF(AND(OFFSET($AO$1,$L1182-1,8,1,1),$A1183&lt;&gt;"",$J1183&lt;&gt;""),CHOOSE($L1182,$AR$1,$AR$2,$AR$3,$AR$4,$AR$5,$AR$6,$AR$7,$AR$8,$AR$9,$AR$10,$AR$11,$AR$12),"")</f>
        <v/>
      </c>
      <c r="C1211" s="237"/>
      <c r="D1211" s="237"/>
      <c r="E1211" s="237"/>
      <c r="F1211" s="237"/>
      <c r="G1211" s="237"/>
      <c r="H1211" s="233"/>
      <c r="I1211" s="233"/>
      <c r="J1211" s="233"/>
      <c r="K1211" s="233"/>
      <c r="L1211" s="233" t="str">
        <f ca="1">IF(AND($B1211&lt;&gt;"",$Q1188&lt;&gt;""),IF($B1211="Missing Player",0,IF($B1209="Missing Player",11,"")),"")</f>
        <v/>
      </c>
      <c r="M1211" s="250" t="s">
        <v>169</v>
      </c>
      <c r="N1211" s="251"/>
      <c r="O1211" s="251"/>
      <c r="P1211" s="252"/>
      <c r="Q1211" s="40" t="str">
        <f ca="1">IF($Q1209&lt;&gt;"",IF($Q1209="W","L","W"),"")</f>
        <v/>
      </c>
      <c r="R1211" s="94"/>
      <c r="S1211" s="84"/>
      <c r="T1211" s="84"/>
      <c r="U1211" s="84"/>
      <c r="V1211" s="84"/>
      <c r="W1211" s="84"/>
      <c r="X1211" s="84"/>
      <c r="Y1211" s="93"/>
      <c r="Z1211" s="93"/>
      <c r="AA1211" s="93"/>
      <c r="AB1211" s="93"/>
      <c r="AC1211" s="93"/>
      <c r="AD1211" s="92"/>
      <c r="AE1211" s="93"/>
      <c r="AF1211" s="93"/>
    </row>
    <row r="1212" spans="1:32" ht="12.75" customHeight="1" x14ac:dyDescent="0.25">
      <c r="A1212" s="260"/>
      <c r="B1212" s="238"/>
      <c r="C1212" s="239"/>
      <c r="D1212" s="239"/>
      <c r="E1212" s="239"/>
      <c r="F1212" s="239"/>
      <c r="G1212" s="239"/>
      <c r="H1212" s="234"/>
      <c r="I1212" s="234"/>
      <c r="J1212" s="235"/>
      <c r="K1212" s="235"/>
      <c r="L1212" s="235"/>
      <c r="M1212" s="250"/>
      <c r="N1212" s="251"/>
      <c r="O1212" s="251"/>
      <c r="P1212" s="252"/>
      <c r="Q1212" s="110" t="str">
        <f ca="1">IF($Q1211&lt;&gt;"",IF($B1209&lt;&gt;"Missing Player",IF($Q1211="W",IF(SUM(IF($H1211&gt;$H1209,1,0),IF($I1211&gt;$I1209,1,0),IF($J1211&gt;$J1209,1,0),IF($K1211&gt;$K1209,1,0),IF($L1211&gt;$L1209,1,0))&lt;&gt;3,"Error",""),""),""),"")</f>
        <v/>
      </c>
      <c r="R1212" s="85"/>
      <c r="S1212" s="95"/>
      <c r="T1212" s="95"/>
      <c r="U1212" s="95"/>
      <c r="V1212" s="95"/>
      <c r="W1212" s="95"/>
      <c r="X1212" s="95"/>
      <c r="Y1212" s="85"/>
      <c r="Z1212" s="85"/>
      <c r="AA1212" s="85"/>
      <c r="AB1212" s="85"/>
      <c r="AC1212" s="85"/>
      <c r="AD1212" s="85"/>
      <c r="AE1212" s="85"/>
      <c r="AF1212" s="85"/>
    </row>
    <row r="1213" spans="1:32" ht="12.75" customHeight="1" x14ac:dyDescent="0.25">
      <c r="B1213" s="111" t="str">
        <f ca="1">IF(ISERROR(VLOOKUP($B1188&amp;"("&amp;$B1182&amp;")",Players!$S$4:$T$132,2,FALSE)),"",VLOOKUP($B1188&amp;"("&amp;$B1182&amp;")",Players!$S$4:$T$132,2,FALSE))</f>
        <v>C1</v>
      </c>
      <c r="C1213" s="111" t="str">
        <f ca="1">IF(ISERROR(VLOOKUP($B1195&amp;"("&amp;$B1182&amp;")",Players!$S$4:$T$132,2,FALSE)),"",VLOOKUP($B1195&amp;"("&amp;$B1182&amp;")",Players!$S$4:$T$132,2,FALSE))</f>
        <v>C1</v>
      </c>
      <c r="D1213" s="111" t="str">
        <f ca="1">IF(ISERROR(VLOOKUP($B1202&amp;"("&amp;$B1182&amp;")",Players!$S$4:$T$132,2,FALSE)),"",VLOOKUP($B1202&amp;"("&amp;$B1182&amp;")",Players!$S$4:$T$132,2,FALSE))</f>
        <v>C1</v>
      </c>
      <c r="E1213" s="111" t="str">
        <f ca="1">IF(ISERROR(VLOOKUP($B1209&amp;"("&amp;$B1182&amp;")",Players!$S$4:$T$132,2,FALSE)),"",VLOOKUP($B1209&amp;"("&amp;$B1182&amp;")",Players!$S$4:$T$132,2,FALSE))</f>
        <v>C1</v>
      </c>
      <c r="F1213" s="111" t="str">
        <f ca="1">IF(ISERROR(VLOOKUP($B1190&amp;"("&amp;$K1182&amp;")",Players!$S$4:$T$132,2,FALSE)),"",VLOOKUP($B1190&amp;"("&amp;$K1182&amp;")",Players!$S$4:$T$132,2,FALSE))</f>
        <v>D1</v>
      </c>
      <c r="G1213" s="111" t="str">
        <f ca="1">IF(ISERROR(VLOOKUP($B1197&amp;"("&amp;$K1182&amp;")",Players!$S$4:$T$132,2,FALSE)),"",VLOOKUP($B1197&amp;"("&amp;$K1182&amp;")",Players!$S$4:$T$132,2,FALSE))</f>
        <v>D1</v>
      </c>
      <c r="H1213" s="111" t="str">
        <f ca="1">IF(ISERROR(VLOOKUP($B1204&amp;"("&amp;$K1182&amp;")",Players!$S$4:$T$132,2,FALSE)),"",VLOOKUP($B1204&amp;"("&amp;$K1182&amp;")",Players!$S$4:$T$132,2,FALSE))</f>
        <v>D1</v>
      </c>
      <c r="I1213" s="111" t="str">
        <f ca="1">IF(ISERROR(VLOOKUP($B1211&amp;"("&amp;$K1182&amp;")",Players!$S$4:$T$132,2,FALSE)),"",VLOOKUP($B1211&amp;"("&amp;$K1182&amp;")",Players!$S$4:$T$132,2,FALSE))</f>
        <v>D1</v>
      </c>
      <c r="Q1213" s="6"/>
      <c r="R1213" s="37"/>
      <c r="S1213" s="95"/>
      <c r="T1213" s="95"/>
      <c r="U1213" s="95"/>
      <c r="V1213" s="95"/>
      <c r="W1213" s="95"/>
      <c r="X1213" s="95"/>
      <c r="Y1213" s="85"/>
      <c r="Z1213" s="85"/>
      <c r="AA1213" s="85"/>
      <c r="AB1213" s="85"/>
      <c r="AC1213" s="96"/>
      <c r="AD1213" s="97"/>
      <c r="AE1213" s="85"/>
      <c r="AF1213" s="85"/>
    </row>
    <row r="1214" spans="1:32" ht="12.75" customHeight="1" x14ac:dyDescent="0.25">
      <c r="A1214" s="15" t="s">
        <v>157</v>
      </c>
      <c r="H1214" s="110" t="str">
        <f ca="1">IF($Q1216&lt;&gt;"",IF(AND($B1217&lt;&gt;"Missing Player",$B1219&lt;&gt;"Missing Player"),IF(AND(AND($H1216&gt;-1,$H1218&gt;-1),OR($H1216&gt;10,$H1218&gt;10),ABS($H1216-$H1218)&gt;1,IF(OR($H1216&gt;11,$H1218&gt;11),ABS($H1216-$H1218)=2,TRUE),$H1216=INT($H1216),$H1218=INT($H1218)),"","Error"),""),"")</f>
        <v/>
      </c>
      <c r="I1214" s="110" t="str">
        <f ca="1">IF($Q1216&lt;&gt;"",IF(AND($B1217&lt;&gt;"Missing Player",$B1219&lt;&gt;"Missing Player"),IF(AND(AND($I1216&gt;-1,$I1218&gt;-1),OR($I1216&gt;10,$I1218&gt;10),ABS($I1216-$I1218)&gt;1,IF(OR($I1216&gt;11,$I1218&gt;11),ABS($I1216-$I1218)=2,TRUE),$I1216=INT($I1216),$I1218=INT($I1218)),"","Error"),""),"")</f>
        <v/>
      </c>
      <c r="J1214" s="110" t="str">
        <f ca="1">IF($Q1216&lt;&gt;"",IF(AND($B1217&lt;&gt;"Missing Player",$B1219&lt;&gt;"Missing Player"),IF(AND(AND($J1216&gt;-1,$J1218&gt;-1),OR($J1216&gt;10,$J1218&gt;10),ABS($J1216-$J1218)&gt;1,IF(OR($J1216&gt;11,$J1218&gt;11),ABS($J1216-$J1218)=2,TRUE),$J1216=INT($J1216),$J1218=INT($J1218)),"","Error"),""),"")</f>
        <v/>
      </c>
      <c r="K1214" s="110" t="str">
        <f ca="1">IF($Q1216&lt;&gt;"",IF(AND($K1216&lt;&gt;"",$K1218&lt;&gt;""), IF(AND(AND($K1216&gt;-1,$K1218&gt;-1),OR($K1216&gt;10,$K1218&gt;10),ABS($K1216-$K1218)&gt;1,IF(OR($K1216&gt;11,$K1218&gt;11),ABS($K1216-$K1218)=2,TRUE),$K1216=INT($K1216),$K1218=INT($K1218)),"","Error"),""),"")</f>
        <v/>
      </c>
      <c r="L1214" s="110" t="str">
        <f ca="1">IF($Q1216&lt;&gt;"",IF(AND($L1216&lt;&gt;"",$L1218&lt;&gt;""), IF(AND(AND($L1216&gt;-1,$L1218&gt;-1),OR($L1216&gt;10,$L1218&gt;10),ABS($L1216-$L1218)&gt;1,IF(OR($L1216&gt;11,$L1218&gt;11),ABS($L1216-$L1218)=2,TRUE),$L1216=INT($L1216),$L1218=INT($L1218)),"","Error"),""),"")</f>
        <v/>
      </c>
      <c r="Q1214" s="6"/>
      <c r="R1214" s="85"/>
      <c r="S1214" s="95"/>
      <c r="T1214" s="95"/>
      <c r="U1214" s="95"/>
      <c r="V1214" s="95"/>
      <c r="W1214" s="95"/>
      <c r="X1214" s="95"/>
      <c r="Y1214" s="85"/>
      <c r="Z1214" s="85"/>
      <c r="AA1214" s="85"/>
      <c r="AB1214" s="85"/>
      <c r="AC1214" s="85"/>
      <c r="AD1214" s="85"/>
      <c r="AE1214" s="85"/>
      <c r="AF1214" s="85"/>
    </row>
    <row r="1215" spans="1:32" ht="12.75" customHeight="1" x14ac:dyDescent="0.25">
      <c r="A1215" s="5" t="s">
        <v>160</v>
      </c>
      <c r="B1215" s="256" t="s">
        <v>58</v>
      </c>
      <c r="C1215" s="257"/>
      <c r="D1215" s="257"/>
      <c r="E1215" s="257"/>
      <c r="F1215" s="257"/>
      <c r="G1215" s="258"/>
      <c r="H1215" s="5">
        <v>1</v>
      </c>
      <c r="I1215" s="5">
        <v>2</v>
      </c>
      <c r="J1215" s="5">
        <v>3</v>
      </c>
      <c r="K1215" s="5">
        <v>4</v>
      </c>
      <c r="L1215" s="5">
        <v>5</v>
      </c>
      <c r="M1215" s="270"/>
      <c r="N1215" s="271"/>
      <c r="O1215" s="271"/>
      <c r="P1215" s="272"/>
      <c r="Q1215" s="6"/>
      <c r="T1215" s="7"/>
    </row>
    <row r="1216" spans="1:32" ht="12.75" customHeight="1" x14ac:dyDescent="0.25">
      <c r="A1216" s="259" t="str">
        <f>B1182</f>
        <v>C</v>
      </c>
      <c r="B1216" s="230" t="str">
        <f ca="1">IF($B1188&lt;&gt;"",$B1188,"")</f>
        <v/>
      </c>
      <c r="C1216" s="231"/>
      <c r="D1216" s="231"/>
      <c r="E1216" s="231"/>
      <c r="F1216" s="231"/>
      <c r="G1216" s="232"/>
      <c r="H1216" s="233"/>
      <c r="I1216" s="233"/>
      <c r="J1216" s="233"/>
      <c r="K1216" s="233"/>
      <c r="L1216" s="233" t="str">
        <f ca="1">IF($B1209&lt;&gt;"",IF(AND($B1209="Missing Player",$G1220=2,$J1220=2),0,IF(AND($B1211="Missing Player",$G1220=2,$J1220=2),11,"")),"")</f>
        <v/>
      </c>
      <c r="M1216" s="245" t="str">
        <f ca="1">IF(OR(AND($B1216&lt;&gt;"",$B1217&lt;&gt;"",$B1216=$B1217),AND($B1218&lt;&gt;"",$B1219&lt;&gt;"",$B1218=$B1219)),"Invalid Partner","")</f>
        <v/>
      </c>
      <c r="N1216" s="246"/>
      <c r="O1216" s="246"/>
      <c r="P1216" s="247"/>
      <c r="Q1216" s="37" t="str">
        <f ca="1">IF(L1216=L1218,IF(K1216=K1218,IF(J1216&lt;&gt;"",IF(J1216&gt;J1218,"W","L"),""),IF(K1216&gt;K1218,"W","L")),IF(L1216&gt;L1218,"W","L"))</f>
        <v/>
      </c>
      <c r="T1216" s="7"/>
    </row>
    <row r="1217" spans="1:32" ht="12.75" customHeight="1" x14ac:dyDescent="0.25">
      <c r="A1217" s="260"/>
      <c r="B1217" s="266" t="str">
        <f ca="1">IF($B1209="Missing Player",$B1209,"")</f>
        <v/>
      </c>
      <c r="C1217" s="267"/>
      <c r="D1217" s="267"/>
      <c r="E1217" s="267"/>
      <c r="F1217" s="267"/>
      <c r="G1217" s="268"/>
      <c r="H1217" s="234"/>
      <c r="I1217" s="234"/>
      <c r="J1217" s="234"/>
      <c r="K1217" s="234"/>
      <c r="L1217" s="234"/>
      <c r="M1217" s="245"/>
      <c r="N1217" s="246"/>
      <c r="O1217" s="246"/>
      <c r="P1217" s="247"/>
      <c r="Q1217" s="110" t="str">
        <f ca="1">IF($Q1216&lt;&gt;"",IF($B1219&lt;&gt;"Missing Player",IF($Q1216="W",IF(SUM(IF($H1216&gt;$H1218,1,0),IF($I1216&gt;$I1218,1,0),IF($J1216&gt;$J1218,1,0),IF($K1216&gt;$K1218,1,0),IF($L1216&gt;$L1218,1,0))&lt;&gt;3,"Error",""),""),""),"")</f>
        <v/>
      </c>
      <c r="R1217" s="295" t="str">
        <f>$A1183</f>
        <v/>
      </c>
      <c r="S1217" s="295"/>
      <c r="T1217" s="295"/>
      <c r="U1217" s="295"/>
      <c r="V1217" s="295"/>
      <c r="W1217" s="295"/>
      <c r="X1217" s="219" t="str">
        <f>CONCATENATE("(",$B1182," vs ",$K1182,")")</f>
        <v>(C vs D)</v>
      </c>
      <c r="Y1217" s="219"/>
      <c r="Z1217" s="295" t="str">
        <f>$J1183</f>
        <v/>
      </c>
      <c r="AA1217" s="295"/>
      <c r="AB1217" s="295"/>
      <c r="AC1217" s="295"/>
      <c r="AD1217" s="295"/>
      <c r="AE1217" s="295"/>
      <c r="AF1217"/>
    </row>
    <row r="1218" spans="1:32" ht="12.75" customHeight="1" x14ac:dyDescent="0.25">
      <c r="A1218" s="265" t="str">
        <f>K1182</f>
        <v>D</v>
      </c>
      <c r="B1218" s="230" t="str">
        <f ca="1">IF($B1190&lt;&gt;"",$B1190,"")</f>
        <v/>
      </c>
      <c r="C1218" s="231"/>
      <c r="D1218" s="231"/>
      <c r="E1218" s="231"/>
      <c r="F1218" s="231"/>
      <c r="G1218" s="232"/>
      <c r="H1218" s="233"/>
      <c r="I1218" s="233"/>
      <c r="J1218" s="233"/>
      <c r="K1218" s="233"/>
      <c r="L1218" s="233" t="str">
        <f ca="1">IF($B1211&lt;&gt;"",IF(AND($B1211="Missing Player",$G1220=2,$J1220=2),0,IF(AND($B1209="Missing Player",$G1220=2,$J1220=2),11,"")),"")</f>
        <v/>
      </c>
      <c r="M1218" s="250" t="s">
        <v>169</v>
      </c>
      <c r="N1218" s="251"/>
      <c r="O1218" s="251"/>
      <c r="P1218" s="252"/>
      <c r="Q1218" s="37" t="str">
        <f ca="1">IF(Q1216&lt;&gt;"",IF(Q1216="W","L","W"),"")</f>
        <v/>
      </c>
      <c r="R1218"/>
      <c r="S1218"/>
      <c r="T1218"/>
      <c r="U1218"/>
      <c r="V1218"/>
      <c r="W1218"/>
      <c r="X1218"/>
      <c r="Y1218"/>
      <c r="Z1218"/>
      <c r="AA1218"/>
      <c r="AB1218"/>
      <c r="AC1218"/>
      <c r="AD1218"/>
      <c r="AE1218"/>
      <c r="AF1218"/>
    </row>
    <row r="1219" spans="1:32" ht="12.75" customHeight="1" x14ac:dyDescent="0.25">
      <c r="A1219" s="260"/>
      <c r="B1219" s="266" t="str">
        <f ca="1">IF($B1211="Missing Player",$B1211,"")</f>
        <v/>
      </c>
      <c r="C1219" s="267"/>
      <c r="D1219" s="267"/>
      <c r="E1219" s="267"/>
      <c r="F1219" s="267"/>
      <c r="G1219" s="268"/>
      <c r="H1219" s="234"/>
      <c r="I1219" s="234"/>
      <c r="J1219" s="235"/>
      <c r="K1219" s="235"/>
      <c r="L1219" s="235"/>
      <c r="M1219" s="250"/>
      <c r="N1219" s="251"/>
      <c r="O1219" s="251"/>
      <c r="P1219" s="252"/>
      <c r="Q1219" s="110" t="str">
        <f ca="1">IF($Q1218&lt;&gt;"",IF($B1217&lt;&gt;"Missing Player",IF($Q1218="W",IF(SUM(IF($H1218&gt;$H1216,1,0),IF($I1218&gt;$I1216,1,0),IF($J1218&gt;$J1216,1,0),IF($K1218&gt;$K1216,1,0),IF($L1218&gt;$L1216,1,0))&lt;&gt;3,"Error",""),""),""),"")</f>
        <v/>
      </c>
      <c r="R1219" t="str">
        <f>A1207</f>
        <v>4th Singles</v>
      </c>
      <c r="S1219"/>
      <c r="T1219"/>
      <c r="U1219"/>
      <c r="V1219"/>
      <c r="W1219"/>
      <c r="X1219"/>
      <c r="Y1219"/>
      <c r="Z1219"/>
      <c r="AA1219"/>
      <c r="AB1219"/>
      <c r="AC1219"/>
      <c r="AD1219"/>
      <c r="AE1219"/>
      <c r="AF1219"/>
    </row>
    <row r="1220" spans="1:32" ht="12.75" customHeight="1" x14ac:dyDescent="0.25">
      <c r="G1220" s="53">
        <f ca="1">COUNTIF($Q1188:$Q1188,"W")+COUNTIF($Q1195:$Q1195,"W")+COUNTIF($Q1202:$Q1202,"W")+COUNTIF($Q1209:$Q1209,"W")</f>
        <v>0</v>
      </c>
      <c r="J1220" s="53">
        <f ca="1">COUNTIF($Q1190:$Q1190,"W")+COUNTIF($Q1197:$Q1197,"W")+COUNTIF($Q1204:$Q1204,"W")+COUNTIF($Q1211:$Q1211,"W")</f>
        <v>0</v>
      </c>
      <c r="R1220" s="47" t="s">
        <v>160</v>
      </c>
      <c r="S1220" s="304" t="s">
        <v>58</v>
      </c>
      <c r="T1220" s="305"/>
      <c r="U1220" s="305"/>
      <c r="V1220" s="305"/>
      <c r="W1220" s="305"/>
      <c r="X1220" s="306"/>
      <c r="Y1220" s="47">
        <v>1</v>
      </c>
      <c r="Z1220" s="47">
        <v>2</v>
      </c>
      <c r="AA1220" s="47">
        <v>3</v>
      </c>
      <c r="AB1220" s="47">
        <v>4</v>
      </c>
      <c r="AC1220" s="47">
        <v>5</v>
      </c>
      <c r="AD1220" s="286"/>
      <c r="AE1220" s="287"/>
      <c r="AF1220" s="288"/>
    </row>
    <row r="1221" spans="1:32" ht="12.75" customHeight="1" thickBot="1" x14ac:dyDescent="0.3">
      <c r="F1221" s="212" t="s">
        <v>170</v>
      </c>
      <c r="G1221" s="212"/>
      <c r="H1221" s="212"/>
      <c r="I1221" s="212"/>
      <c r="J1221" s="212"/>
      <c r="K1221" s="212"/>
      <c r="R1221" s="259" t="str">
        <f>B1182</f>
        <v>C</v>
      </c>
      <c r="S1221" s="307" t="str">
        <f ca="1">IF($B1209&lt;&gt;"",$B1209,"")</f>
        <v/>
      </c>
      <c r="T1221" s="308"/>
      <c r="U1221" s="308"/>
      <c r="V1221" s="308"/>
      <c r="W1221" s="308"/>
      <c r="X1221" s="309"/>
      <c r="Y1221" s="284"/>
      <c r="Z1221" s="284"/>
      <c r="AA1221" s="297"/>
      <c r="AB1221" s="297"/>
      <c r="AC1221" s="297"/>
      <c r="AD1221" s="296"/>
      <c r="AE1221" s="298"/>
      <c r="AF1221" s="299"/>
    </row>
    <row r="1222" spans="1:32" ht="12.75" customHeight="1" x14ac:dyDescent="0.25">
      <c r="A1222" s="16"/>
      <c r="B1222" s="16"/>
      <c r="C1222" s="16"/>
      <c r="D1222" s="16"/>
      <c r="E1222" s="16"/>
      <c r="G1222" s="261" t="str">
        <f>B1182</f>
        <v>C</v>
      </c>
      <c r="H1222" s="262"/>
      <c r="I1222" s="263" t="str">
        <f>K1182</f>
        <v>D</v>
      </c>
      <c r="J1222" s="264"/>
      <c r="L1222" s="16"/>
      <c r="M1222" s="16"/>
      <c r="N1222" s="16"/>
      <c r="O1222" s="16"/>
      <c r="P1222" s="16"/>
      <c r="R1222" s="260"/>
      <c r="S1222" s="310"/>
      <c r="T1222" s="311"/>
      <c r="U1222" s="311"/>
      <c r="V1222" s="311"/>
      <c r="W1222" s="311"/>
      <c r="X1222" s="312"/>
      <c r="Y1222" s="285"/>
      <c r="Z1222" s="285"/>
      <c r="AA1222" s="303"/>
      <c r="AB1222" s="303"/>
      <c r="AC1222" s="303"/>
      <c r="AD1222" s="300"/>
      <c r="AE1222" s="301"/>
      <c r="AF1222" s="302"/>
    </row>
    <row r="1223" spans="1:32" ht="12.75" customHeight="1" thickBot="1" x14ac:dyDescent="0.3">
      <c r="A1223" s="2" t="s">
        <v>160</v>
      </c>
      <c r="B1223" s="40" t="str">
        <f>B1182</f>
        <v>C</v>
      </c>
      <c r="C1223" s="3" t="s">
        <v>158</v>
      </c>
      <c r="F1223" s="53" t="str">
        <f>CONCATENATE($B1182,"-",$K1182)</f>
        <v>C-D</v>
      </c>
      <c r="G1223" s="240" t="str">
        <f ca="1">IF(OR(Q1188&lt;&gt;"",Q1195&lt;&gt;"",Q1202&lt;&gt;"",Q1209&lt;&gt;"",Q1216&lt;&gt;""),COUNTIF(Q1188:Q1188,"W")+COUNTIF(Q1195:Q1195,"W")+COUNTIF(Q1202:Q1202,"W")+COUNTIF(Q1209:Q1209,"W")+COUNTIF(Q1216:Q1216,"W"),"")</f>
        <v/>
      </c>
      <c r="H1223" s="241"/>
      <c r="I1223" s="242" t="str">
        <f ca="1">IF(OR(Q1190&lt;&gt;"",Q1197&lt;&gt;"",Q1204&lt;&gt;"",Q1211&lt;&gt;"",Q1218&lt;&gt;""),COUNTIF(Q1190:Q1190,"W")+COUNTIF(Q1197:Q1197,"W")+COUNTIF(Q1204:Q1204,"W")+COUNTIF(Q1211:Q1211,"W")+COUNTIF(Q1218:Q1218,"W"),"")</f>
        <v/>
      </c>
      <c r="J1223" s="243"/>
      <c r="L1223" s="2" t="s">
        <v>160</v>
      </c>
      <c r="M1223" s="40" t="str">
        <f>K1182</f>
        <v>D</v>
      </c>
      <c r="N1223" s="3" t="s">
        <v>158</v>
      </c>
      <c r="R1223" s="259" t="str">
        <f>K1182</f>
        <v>D</v>
      </c>
      <c r="S1223" s="307" t="str">
        <f ca="1">IF($B1211&lt;&gt;"",$B1211,"")</f>
        <v/>
      </c>
      <c r="T1223" s="308"/>
      <c r="U1223" s="308"/>
      <c r="V1223" s="308"/>
      <c r="W1223" s="308"/>
      <c r="X1223" s="309"/>
      <c r="Y1223" s="284"/>
      <c r="Z1223" s="284"/>
      <c r="AA1223" s="297"/>
      <c r="AB1223" s="297"/>
      <c r="AC1223" s="297"/>
      <c r="AD1223" s="289" t="s">
        <v>169</v>
      </c>
      <c r="AE1223" s="290"/>
      <c r="AF1223" s="291"/>
    </row>
    <row r="1224" spans="1:32" ht="12.75" customHeight="1" x14ac:dyDescent="0.35">
      <c r="F1224" s="18" t="s">
        <v>403</v>
      </c>
      <c r="G1224" s="17"/>
      <c r="H1224" s="17"/>
      <c r="I1224" s="17"/>
      <c r="J1224" s="17"/>
      <c r="R1224" s="285"/>
      <c r="S1224" s="310"/>
      <c r="T1224" s="311"/>
      <c r="U1224" s="311"/>
      <c r="V1224" s="311"/>
      <c r="W1224" s="311"/>
      <c r="X1224" s="312"/>
      <c r="Y1224" s="285"/>
      <c r="Z1224" s="285"/>
      <c r="AA1224" s="285"/>
      <c r="AB1224" s="285"/>
      <c r="AC1224" s="285"/>
      <c r="AD1224" s="292"/>
      <c r="AE1224" s="293"/>
      <c r="AF1224" s="294"/>
    </row>
    <row r="1225" spans="1:32" ht="12.75" customHeight="1" x14ac:dyDescent="0.25">
      <c r="R1225" s="1"/>
      <c r="S1225" s="11"/>
      <c r="T1225" s="11"/>
      <c r="U1225" s="11"/>
      <c r="V1225" s="11"/>
      <c r="W1225" s="11"/>
    </row>
    <row r="1226" spans="1:32" ht="12.75" customHeight="1" x14ac:dyDescent="0.25">
      <c r="F1226" s="212"/>
      <c r="G1226" s="212"/>
      <c r="H1226" s="212"/>
      <c r="I1226" s="212"/>
      <c r="R1226" s="1"/>
      <c r="S1226" s="11"/>
      <c r="T1226" s="11"/>
      <c r="U1226" s="11"/>
      <c r="V1226" s="11"/>
      <c r="W1226" s="11"/>
    </row>
    <row r="1227" spans="1:32" ht="12.75" customHeight="1" x14ac:dyDescent="0.25">
      <c r="F1227" s="212"/>
      <c r="G1227" s="212"/>
      <c r="H1227" s="212"/>
      <c r="I1227" s="212"/>
      <c r="R1227" s="1"/>
      <c r="S1227" s="11"/>
      <c r="T1227" s="11"/>
      <c r="U1227" s="11"/>
      <c r="V1227" s="11"/>
      <c r="W1227" s="11"/>
    </row>
    <row r="1228" spans="1:32" ht="12.75" customHeight="1" x14ac:dyDescent="0.25">
      <c r="K1228" s="219" t="s">
        <v>176</v>
      </c>
      <c r="L1228" s="219"/>
      <c r="M1228" s="219"/>
      <c r="N1228" s="219"/>
      <c r="O1228" s="219"/>
      <c r="P1228" s="219"/>
      <c r="R1228" s="1"/>
      <c r="S1228" s="11"/>
      <c r="T1228" s="11"/>
      <c r="U1228" s="11"/>
      <c r="V1228" s="11"/>
      <c r="W1228" s="11"/>
    </row>
    <row r="1229" spans="1:32" ht="12.75" customHeight="1" x14ac:dyDescent="0.25">
      <c r="A1229" s="9" t="s">
        <v>161</v>
      </c>
      <c r="B1229"/>
      <c r="C1229"/>
      <c r="D1229" t="str">
        <f>Draw!$B$1</f>
        <v>Enter Division Name</v>
      </c>
      <c r="E1229"/>
      <c r="F1229" s="6"/>
      <c r="G1229" s="6"/>
      <c r="H1229" s="6"/>
      <c r="I1229"/>
      <c r="J1229"/>
      <c r="K1229"/>
      <c r="L1229"/>
      <c r="M1229" s="219"/>
      <c r="N1229" s="219"/>
      <c r="O1229" s="219"/>
      <c r="P1229" s="219"/>
      <c r="R1229" s="1"/>
      <c r="S1229" s="11"/>
      <c r="T1229" s="11"/>
      <c r="U1229" s="11"/>
      <c r="V1229" s="11"/>
      <c r="W1229" s="11"/>
    </row>
    <row r="1230" spans="1:32" ht="12.75" customHeight="1" x14ac:dyDescent="0.25">
      <c r="A1230" s="2" t="s">
        <v>162</v>
      </c>
      <c r="D1230" t="str">
        <f>Draw!$D$1</f>
        <v>Enter Hosting Location (City, ST)</v>
      </c>
      <c r="J1230" t="str">
        <f ca="1">$J$6</f>
        <v>[NCTTA Teams Template (v3.4).xlsx]</v>
      </c>
      <c r="R1230" s="1"/>
      <c r="S1230" s="11"/>
      <c r="T1230" s="11"/>
      <c r="U1230" s="11"/>
      <c r="V1230" s="11"/>
      <c r="W1230" s="11"/>
    </row>
    <row r="1231" spans="1:32" ht="12.75" customHeight="1" x14ac:dyDescent="0.25">
      <c r="A1231" s="2" t="s">
        <v>163</v>
      </c>
      <c r="D1231" s="275" t="str">
        <f>Draw!$P$1</f>
        <v>Enter Date</v>
      </c>
      <c r="E1231" s="275"/>
      <c r="F1231" s="275"/>
      <c r="G1231" s="275"/>
      <c r="J1231" s="244" t="str">
        <f>CHOOSE(Draw!$T$1,"Round 5, Match 1","Round 4, Match 4","","","","","","Round 7, Match 1","Round 7, Match 1","Round 5, Match 5","Round 5, Match 5")</f>
        <v>Round 5, Match 1</v>
      </c>
      <c r="K1231" s="244"/>
      <c r="L1231" s="244"/>
      <c r="M1231" s="277" t="str">
        <f>IF(AND($J1231&lt;&gt;"",Draw!$AC$10&lt;&gt;"",Draw!$AC$13&lt;&gt;""),Draw!$AC$10+TIME(0,VALUE(MID($J1231,7,FIND(",",$J1231)-FIND(" ",$J1231)-1)-1)*Draw!$AC$13,0),"")</f>
        <v/>
      </c>
      <c r="N1231" s="277"/>
      <c r="O1231" s="125" t="str">
        <f>$F1274</f>
        <v>A-B</v>
      </c>
      <c r="R1231" s="1"/>
      <c r="S1231" s="11"/>
      <c r="T1231" s="11"/>
      <c r="U1231" s="11"/>
      <c r="V1231" s="11"/>
      <c r="W1231" s="11"/>
    </row>
    <row r="1232" spans="1:32" ht="12.75" customHeight="1" x14ac:dyDescent="0.25">
      <c r="A1232" s="6"/>
      <c r="B1232"/>
      <c r="C1232"/>
      <c r="D1232"/>
      <c r="E1232"/>
      <c r="F1232" s="6"/>
      <c r="G1232" s="6"/>
      <c r="H1232" s="11"/>
      <c r="I1232" s="6"/>
      <c r="J1232"/>
      <c r="K1232"/>
      <c r="L1232"/>
      <c r="M1232"/>
      <c r="N1232"/>
      <c r="O1232" s="269" t="str">
        <f>IF(OR(AND(VLOOKUP($B1233,$AM$1:$AX$12,12,FALSE)="C",VLOOKUP($K1233,$AM$1:$AX$12,12,FALSE)="C"),AND(VLOOKUP($B1233,$AM$1:$AX$12,12,FALSE)="W",VLOOKUP($K1233,$AM$1:$AX$12,12,FALSE)="W")),"Official",IF(AND($A1234="",$J1234=""),"","Scrimmage"))</f>
        <v/>
      </c>
      <c r="P1232" s="269"/>
      <c r="R1232" s="1"/>
      <c r="S1232" s="11"/>
      <c r="T1232" s="11"/>
      <c r="U1232" s="11"/>
      <c r="V1232" s="11"/>
      <c r="W1232" s="11"/>
    </row>
    <row r="1233" spans="1:32" ht="12.75" customHeight="1" x14ac:dyDescent="0.25">
      <c r="A1233" s="12" t="s">
        <v>160</v>
      </c>
      <c r="B1233" s="98" t="str">
        <f>CHOOSE(Draw!$T$1,"A","G","A","B","C","B","A","A","A","I","G")</f>
        <v>A</v>
      </c>
      <c r="C1233" s="109">
        <f>VLOOKUP($B1233,$AM$1:$AN$12,2)</f>
        <v>1</v>
      </c>
      <c r="D1233" s="10"/>
      <c r="E1233" s="10"/>
      <c r="F1233" s="8"/>
      <c r="H1233" s="1" t="s">
        <v>164</v>
      </c>
      <c r="J1233" s="12" t="s">
        <v>160</v>
      </c>
      <c r="K1233" s="98" t="str">
        <f>CHOOSE(Draw!$T$1,"B","H","K","G","F","J","K","F","C","J","H")</f>
        <v>B</v>
      </c>
      <c r="L1233" s="109">
        <f>VLOOKUP($K1233,$AM$1:$AN$12,2)</f>
        <v>2</v>
      </c>
      <c r="M1233" s="10"/>
      <c r="N1233" s="10"/>
      <c r="O1233" s="13"/>
      <c r="R1233" s="1"/>
      <c r="S1233" s="11"/>
      <c r="T1233" s="11"/>
      <c r="U1233" s="11"/>
      <c r="V1233" s="11"/>
      <c r="W1233" s="11"/>
    </row>
    <row r="1234" spans="1:32" ht="12.75" customHeight="1" x14ac:dyDescent="0.25">
      <c r="A1234" s="253" t="str">
        <f>IF(VLOOKUP($B1233,Draw!$A$4:$B$27,2)&lt;&gt;0,VLOOKUP($B1233,Draw!$A$4:$B$27,2),"")</f>
        <v/>
      </c>
      <c r="B1234" s="254"/>
      <c r="C1234" s="254"/>
      <c r="D1234" s="254"/>
      <c r="E1234" s="254"/>
      <c r="F1234" s="255"/>
      <c r="G1234" s="273" t="s">
        <v>428</v>
      </c>
      <c r="H1234" s="249"/>
      <c r="I1234" s="274"/>
      <c r="J1234" s="253" t="str">
        <f>IF(VLOOKUP($K1233,Draw!$A$4:$B$27,2)&lt;&gt;0,VLOOKUP($K1233,Draw!$A$4:$B$27,2),"")</f>
        <v/>
      </c>
      <c r="K1234" s="254"/>
      <c r="L1234" s="254"/>
      <c r="M1234" s="254"/>
      <c r="N1234" s="254"/>
      <c r="O1234" s="255"/>
      <c r="P1234"/>
      <c r="R1234" s="1"/>
      <c r="S1234" s="11"/>
      <c r="T1234" s="11"/>
      <c r="U1234" s="11"/>
      <c r="V1234" s="11"/>
      <c r="W1234" s="11"/>
    </row>
    <row r="1235" spans="1:32" ht="12.75" customHeight="1" x14ac:dyDescent="0.25">
      <c r="A1235" s="6"/>
      <c r="B1235"/>
      <c r="C1235"/>
      <c r="D1235"/>
      <c r="E1235"/>
      <c r="F1235" s="6"/>
      <c r="G1235" s="248" t="str">
        <f>"Page "&amp;VALUE(RIGHT($G1234,LEN($G1234)-SEARCH("-",$G1234)))/2</f>
        <v>Page 25</v>
      </c>
      <c r="H1235" s="249"/>
      <c r="I1235" s="249"/>
      <c r="J1235"/>
      <c r="K1235"/>
      <c r="L1235"/>
      <c r="M1235"/>
      <c r="N1235"/>
      <c r="O1235"/>
      <c r="P1235"/>
      <c r="R1235" s="1"/>
      <c r="S1235" s="11"/>
      <c r="T1235" s="11"/>
      <c r="U1235" s="11"/>
      <c r="V1235" s="11"/>
      <c r="W1235" s="11"/>
      <c r="AF1235"/>
    </row>
    <row r="1236" spans="1:32" ht="12.75" customHeight="1" x14ac:dyDescent="0.25">
      <c r="A1236" s="276" t="s">
        <v>177</v>
      </c>
      <c r="B1236" s="276"/>
      <c r="C1236" s="276"/>
      <c r="D1236" s="276"/>
      <c r="E1236" s="276"/>
      <c r="F1236" s="276"/>
      <c r="G1236" s="276"/>
      <c r="H1236" s="276"/>
      <c r="I1236" s="276"/>
      <c r="J1236" s="276"/>
      <c r="K1236" s="276"/>
      <c r="L1236" s="276"/>
      <c r="M1236" s="276"/>
      <c r="N1236" s="276"/>
      <c r="O1236" s="276"/>
      <c r="P1236" s="276"/>
      <c r="Q1236" s="6"/>
      <c r="R1236" s="1"/>
      <c r="S1236" s="11"/>
      <c r="T1236" s="11"/>
      <c r="U1236" s="11"/>
      <c r="V1236" s="11"/>
      <c r="W1236" s="11"/>
      <c r="AF1236" s="14"/>
    </row>
    <row r="1237" spans="1:32" ht="12.75" customHeight="1" x14ac:dyDescent="0.25">
      <c r="A1237" s="15" t="s">
        <v>165</v>
      </c>
      <c r="H1237" s="110" t="str">
        <f>IF($Q1239&lt;&gt;"",IF(AND(AND($H1239&gt;-1,$H1241&gt;-1),OR($H1239&gt;10,$H1241&gt;10),ABS($H1239-$H1241)&gt;1,IF(OR($H1239&gt;11,$H1241&gt;11),ABS($H1239-$H1241)=2,TRUE),$H1239=INT($H1239),$H1241=INT($H1241)),"","Error"),"")</f>
        <v/>
      </c>
      <c r="I1237" s="110" t="str">
        <f>IF($Q1239&lt;&gt;"",IF(AND(AND($I1239&gt;-1,$I1241&gt;-1),OR($I1239&gt;10,$I1241&gt;10),ABS($I1239-$I1241)&gt;1,IF(OR($I1239&gt;11,$I1241&gt;11),ABS($I1239-$I1241)=2,TRUE),$I1239=INT($I1239),$I1241=INT($I1241)),"","Error"),"")</f>
        <v/>
      </c>
      <c r="J1237" s="110" t="str">
        <f>IF($Q1239&lt;&gt;"",IF(AND(AND($J1239&gt;-1,$J1241&gt;-1),OR($J1239&gt;10,$J1241&gt;10),ABS($J1239-$J1241)&gt;1,IF(OR($J1239&gt;11,$J1241&gt;11),ABS($J1239-$J1241)=2,TRUE),$J1239=INT($J1239),$J1241=INT($J1241)),"","Error"),"")</f>
        <v/>
      </c>
      <c r="K1237" s="110" t="str">
        <f>IF($Q1239&lt;&gt;"",IF(AND($K1239&lt;&gt;"",$K1241&lt;&gt;""), IF(AND(AND($K1239&gt;-1,$K1241&gt;-1),OR($K1239&gt;10,$K1241&gt;10),ABS($K1239-$K1241)&gt;1,IF(OR($K1239&gt;11,$K1241&gt;11),ABS($K1239-$K1241)=2,TRUE),$K1239=INT($K1239),$K1241=INT($K1241)),"","Error"),""),"")</f>
        <v/>
      </c>
      <c r="L1237" s="110" t="str">
        <f>IF($Q1239&lt;&gt;"",IF(AND($L1239&lt;&gt;"",$L1241&lt;&gt;""), IF(AND(AND($L1239&gt;-1,$L1241&gt;-1),OR($L1239&gt;10,$L1241&gt;10),ABS($L1239-$L1241)&gt;1,IF(OR($L1239&gt;11,$L1241&gt;11),ABS($L1239-$L1241)=2,TRUE),$L1239=INT($L1239),$L1241=INT($L1241)),"","Error"),""),"")</f>
        <v/>
      </c>
      <c r="R1237" s="1"/>
      <c r="S1237" s="11"/>
      <c r="T1237" s="11"/>
      <c r="U1237" s="11"/>
      <c r="V1237" s="11"/>
      <c r="W1237" s="11"/>
    </row>
    <row r="1238" spans="1:32" ht="12.75" customHeight="1" x14ac:dyDescent="0.25">
      <c r="A1238" s="5" t="s">
        <v>160</v>
      </c>
      <c r="B1238" s="256" t="s">
        <v>58</v>
      </c>
      <c r="C1238" s="257"/>
      <c r="D1238" s="257"/>
      <c r="E1238" s="257"/>
      <c r="F1238" s="257"/>
      <c r="G1238" s="258"/>
      <c r="H1238" s="5">
        <v>1</v>
      </c>
      <c r="I1238" s="5">
        <v>2</v>
      </c>
      <c r="J1238" s="5">
        <v>3</v>
      </c>
      <c r="K1238" s="5">
        <v>4</v>
      </c>
      <c r="L1238" s="5">
        <v>5</v>
      </c>
      <c r="M1238" s="270"/>
      <c r="N1238" s="271"/>
      <c r="O1238" s="271"/>
      <c r="P1238" s="272"/>
      <c r="R1238" s="1"/>
      <c r="S1238" s="11"/>
      <c r="T1238" s="11"/>
      <c r="U1238" s="11"/>
      <c r="V1238" s="11"/>
      <c r="W1238" s="11"/>
    </row>
    <row r="1239" spans="1:32" ht="12.75" customHeight="1" x14ac:dyDescent="0.25">
      <c r="A1239" s="259" t="str">
        <f>B1233</f>
        <v>A</v>
      </c>
      <c r="B1239" s="236" t="str">
        <f ca="1">IF(AND(OFFSET($AO$1,$C1233-1,8,1,1),$A1234&lt;&gt;"",$J1234&lt;&gt;""),CHOOSE($C1233,$AO$1,$AO$2,$AO$3,$AO$4,$AO$5,$AO$6,$AO$7,$AO$8,$AO$9,$AO$10,$AO$11,$AO$12),"")</f>
        <v/>
      </c>
      <c r="C1239" s="237"/>
      <c r="D1239" s="237"/>
      <c r="E1239" s="237"/>
      <c r="F1239" s="237"/>
      <c r="G1239" s="237"/>
      <c r="H1239" s="233"/>
      <c r="I1239" s="233"/>
      <c r="J1239" s="233"/>
      <c r="K1239" s="233"/>
      <c r="L1239" s="233"/>
      <c r="M1239" s="281"/>
      <c r="N1239" s="282"/>
      <c r="O1239" s="282"/>
      <c r="P1239" s="283"/>
      <c r="Q1239" s="40" t="str">
        <f>IF($L1239=$L1241,IF($K1239=$K1241,IF($J1239&lt;&gt;"",IF($J1239&gt;$J1241,"W","L"),""),IF($K1239&gt;$K1241,"W","L")),IF($L1239&gt;$L1241,"W","L"))</f>
        <v/>
      </c>
      <c r="R1239" s="1"/>
      <c r="S1239" s="11"/>
      <c r="T1239" s="11"/>
      <c r="U1239" s="11"/>
      <c r="V1239" s="11"/>
      <c r="W1239" s="11"/>
    </row>
    <row r="1240" spans="1:32" ht="12.75" customHeight="1" x14ac:dyDescent="0.25">
      <c r="A1240" s="260"/>
      <c r="B1240" s="238"/>
      <c r="C1240" s="239"/>
      <c r="D1240" s="239"/>
      <c r="E1240" s="239"/>
      <c r="F1240" s="239"/>
      <c r="G1240" s="239"/>
      <c r="H1240" s="234"/>
      <c r="I1240" s="234"/>
      <c r="J1240" s="234"/>
      <c r="K1240" s="234"/>
      <c r="L1240" s="234"/>
      <c r="M1240" s="281"/>
      <c r="N1240" s="282"/>
      <c r="O1240" s="282"/>
      <c r="P1240" s="283"/>
      <c r="Q1240" s="110" t="str">
        <f>IF($Q1239&lt;&gt;"",IF($Q1239="W",IF(SUM(IF($H1239&gt;$H1241,1,0),IF($I1239&gt;$I1241,1,0),IF($J1239&gt;$J1241,1,0),IF($K1239&gt;$K1241,1,0),IF($L1239&gt;$L1241,1,0))&lt;&gt;3,"Error",""),""),"")</f>
        <v/>
      </c>
      <c r="R1240" s="295" t="str">
        <f>$A1234</f>
        <v/>
      </c>
      <c r="S1240" s="295"/>
      <c r="T1240" s="295"/>
      <c r="U1240" s="295"/>
      <c r="V1240" s="295"/>
      <c r="W1240" s="295"/>
      <c r="X1240" s="219" t="str">
        <f>CONCATENATE("(",$B1233," vs ",$K1233,")")</f>
        <v>(A vs B)</v>
      </c>
      <c r="Y1240" s="219"/>
      <c r="Z1240" s="295" t="str">
        <f>$J1234</f>
        <v/>
      </c>
      <c r="AA1240" s="295"/>
      <c r="AB1240" s="295"/>
      <c r="AC1240" s="295"/>
      <c r="AD1240" s="295"/>
      <c r="AE1240" s="295"/>
      <c r="AF1240"/>
    </row>
    <row r="1241" spans="1:32" ht="12.75" customHeight="1" x14ac:dyDescent="0.25">
      <c r="A1241" s="259" t="str">
        <f>K1233</f>
        <v>B</v>
      </c>
      <c r="B1241" s="236" t="str">
        <f ca="1">IF(AND(OFFSET($AO$1,$L1233-1,8,1,1),$A1234&lt;&gt;"",$J1234&lt;&gt;""),CHOOSE($L1233,$AO$1,$AO$2,$AO$3,$AO$4,$AO$5,$AO$6,$AO$7,$AO$8,$AO$9,$AO$10,$AO$11,$AO$12),"")</f>
        <v/>
      </c>
      <c r="C1241" s="237"/>
      <c r="D1241" s="237"/>
      <c r="E1241" s="237"/>
      <c r="F1241" s="237"/>
      <c r="G1241" s="237"/>
      <c r="H1241" s="233"/>
      <c r="I1241" s="233"/>
      <c r="J1241" s="233"/>
      <c r="K1241" s="233"/>
      <c r="L1241" s="233"/>
      <c r="M1241" s="250" t="s">
        <v>169</v>
      </c>
      <c r="N1241" s="251"/>
      <c r="O1241" s="251"/>
      <c r="P1241" s="252"/>
      <c r="Q1241" s="40" t="str">
        <f>IF($Q1239&lt;&gt;"",IF($Q1239="W","L","W"),"")</f>
        <v/>
      </c>
      <c r="R1241"/>
      <c r="S1241"/>
      <c r="T1241"/>
      <c r="U1241"/>
      <c r="V1241"/>
      <c r="W1241"/>
      <c r="X1241"/>
      <c r="Y1241"/>
      <c r="Z1241"/>
      <c r="AA1241"/>
      <c r="AB1241"/>
      <c r="AC1241"/>
      <c r="AD1241"/>
      <c r="AE1241"/>
      <c r="AF1241"/>
    </row>
    <row r="1242" spans="1:32" ht="12.75" customHeight="1" x14ac:dyDescent="0.25">
      <c r="A1242" s="260"/>
      <c r="B1242" s="238"/>
      <c r="C1242" s="239"/>
      <c r="D1242" s="239"/>
      <c r="E1242" s="239"/>
      <c r="F1242" s="239"/>
      <c r="G1242" s="239"/>
      <c r="H1242" s="234"/>
      <c r="I1242" s="234"/>
      <c r="J1242" s="235"/>
      <c r="K1242" s="235"/>
      <c r="L1242" s="235"/>
      <c r="M1242" s="250"/>
      <c r="N1242" s="251"/>
      <c r="O1242" s="251"/>
      <c r="P1242" s="252"/>
      <c r="Q1242" s="110" t="str">
        <f>IF($Q1241&lt;&gt;"",IF($Q1241="W",IF(SUM(IF($H1241&gt;$H1239,1,0),IF($I1241&gt;$I1239,1,0),IF($J1241&gt;$J1239,1,0),IF($K1241&gt;$K1239,1,0),IF($L1241&gt;$L1239,1,0))&lt;&gt;3,"Error",""),""),"")</f>
        <v/>
      </c>
      <c r="R1242" t="str">
        <f>$A1244</f>
        <v>2nd Singles</v>
      </c>
      <c r="S1242"/>
      <c r="T1242"/>
      <c r="U1242"/>
      <c r="V1242"/>
      <c r="W1242"/>
      <c r="X1242"/>
      <c r="Y1242"/>
      <c r="Z1242"/>
      <c r="AA1242"/>
      <c r="AB1242"/>
      <c r="AC1242"/>
      <c r="AD1242"/>
      <c r="AE1242"/>
      <c r="AF1242"/>
    </row>
    <row r="1243" spans="1:32" ht="12.75" customHeight="1" x14ac:dyDescent="0.25">
      <c r="Q1243" s="6"/>
      <c r="R1243" s="47" t="s">
        <v>160</v>
      </c>
      <c r="S1243" s="304" t="s">
        <v>58</v>
      </c>
      <c r="T1243" s="305"/>
      <c r="U1243" s="305"/>
      <c r="V1243" s="305"/>
      <c r="W1243" s="305"/>
      <c r="X1243" s="306"/>
      <c r="Y1243" s="47">
        <v>1</v>
      </c>
      <c r="Z1243" s="47">
        <v>2</v>
      </c>
      <c r="AA1243" s="47">
        <v>3</v>
      </c>
      <c r="AB1243" s="47">
        <v>4</v>
      </c>
      <c r="AC1243" s="47">
        <v>5</v>
      </c>
      <c r="AD1243" s="286"/>
      <c r="AE1243" s="287"/>
      <c r="AF1243" s="288"/>
    </row>
    <row r="1244" spans="1:32" ht="12.75" customHeight="1" x14ac:dyDescent="0.25">
      <c r="A1244" s="15" t="s">
        <v>166</v>
      </c>
      <c r="H1244" s="110" t="str">
        <f>IF($Q1246&lt;&gt;"",IF(AND(AND($H1246&gt;-1,$H1248&gt;-1),OR($H1246&gt;10,$H1248&gt;10),ABS($H1246-$H1248)&gt;1,IF(OR($H1246&gt;11,$H1248&gt;11),ABS($H1246-$H1248)=2,TRUE),$H1246=INT($H1246),$H1248=INT($H1248)),"","Error"),"")</f>
        <v/>
      </c>
      <c r="I1244" s="110" t="str">
        <f>IF($Q1246&lt;&gt;"",IF(AND(AND($I1246&gt;-1,$I1248&gt;-1),OR($I1246&gt;10,$I1248&gt;10),ABS($I1246-$I1248)&gt;1,IF(OR($I1246&gt;11,$I1248&gt;11),ABS($I1246-$I1248)=2,TRUE),$I1246=INT($I1246),$I1248=INT($I1248)),"","Error"),"")</f>
        <v/>
      </c>
      <c r="J1244" s="110" t="str">
        <f>IF($Q1246&lt;&gt;"",IF(AND(AND($J1246&gt;-1,$J1248&gt;-1),OR($J1246&gt;10,$J1248&gt;10),ABS($J1246-$J1248)&gt;1,IF(OR($J1246&gt;11,$J1248&gt;11),ABS($J1246-$J1248)=2,TRUE),$J1246=INT($J1246),$J1248=INT($J1248)),"","Error"),"")</f>
        <v/>
      </c>
      <c r="K1244" s="110" t="str">
        <f>IF($Q1246&lt;&gt;"",IF(AND($K1246&lt;&gt;"",$K1248&lt;&gt;""), IF(AND(AND($K1246&gt;-1,$K1248&gt;-1),OR($K1246&gt;10,$K1248&gt;10),ABS($K1246-$K1248)&gt;1,IF(OR($K1246&gt;11,$K1248&gt;11),ABS($K1246-$K1248)=2,TRUE),$K1246=INT($K1246),$K1248=INT($K1248)),"","Error"),""),"")</f>
        <v/>
      </c>
      <c r="L1244" s="110" t="str">
        <f>IF($Q1246&lt;&gt;"",IF(AND($L1246&lt;&gt;"",$L1248&lt;&gt;""), IF(AND(AND($L1246&gt;-1,$L1248&gt;-1),OR($L1246&gt;10,$L1248&gt;10),ABS($L1246-$L1248)&gt;1,IF(OR($L1246&gt;11,$L1248&gt;11),ABS($L1246-$L1248)=2,TRUE),$L1246=INT($L1246),$L1248=INT($L1248)),"","Error"),""),"")</f>
        <v/>
      </c>
      <c r="Q1244" s="6"/>
      <c r="R1244" s="259" t="str">
        <f>$B1233</f>
        <v>A</v>
      </c>
      <c r="S1244" s="307" t="str">
        <f ca="1">IF($B1246&lt;&gt;"",$B1246,"")</f>
        <v/>
      </c>
      <c r="T1244" s="308"/>
      <c r="U1244" s="308"/>
      <c r="V1244" s="308"/>
      <c r="W1244" s="308"/>
      <c r="X1244" s="309"/>
      <c r="Y1244" s="284"/>
      <c r="Z1244" s="284"/>
      <c r="AA1244" s="284"/>
      <c r="AB1244" s="284"/>
      <c r="AC1244" s="284"/>
      <c r="AD1244" s="296"/>
      <c r="AE1244" s="290"/>
      <c r="AF1244" s="291"/>
    </row>
    <row r="1245" spans="1:32" ht="12.75" customHeight="1" x14ac:dyDescent="0.25">
      <c r="A1245" s="5" t="s">
        <v>160</v>
      </c>
      <c r="B1245" s="256" t="s">
        <v>58</v>
      </c>
      <c r="C1245" s="257"/>
      <c r="D1245" s="257"/>
      <c r="E1245" s="257"/>
      <c r="F1245" s="257"/>
      <c r="G1245" s="258"/>
      <c r="H1245" s="5">
        <v>1</v>
      </c>
      <c r="I1245" s="5">
        <v>2</v>
      </c>
      <c r="J1245" s="5">
        <v>3</v>
      </c>
      <c r="K1245" s="5">
        <v>4</v>
      </c>
      <c r="L1245" s="5">
        <v>5</v>
      </c>
      <c r="M1245" s="270"/>
      <c r="N1245" s="271"/>
      <c r="O1245" s="271"/>
      <c r="P1245" s="272"/>
      <c r="Q1245" s="6"/>
      <c r="R1245" s="285"/>
      <c r="S1245" s="310"/>
      <c r="T1245" s="311"/>
      <c r="U1245" s="311"/>
      <c r="V1245" s="311"/>
      <c r="W1245" s="311"/>
      <c r="X1245" s="312"/>
      <c r="Y1245" s="285"/>
      <c r="Z1245" s="285"/>
      <c r="AA1245" s="285"/>
      <c r="AB1245" s="285"/>
      <c r="AC1245" s="285"/>
      <c r="AD1245" s="292"/>
      <c r="AE1245" s="293"/>
      <c r="AF1245" s="294"/>
    </row>
    <row r="1246" spans="1:32" ht="12.75" customHeight="1" x14ac:dyDescent="0.25">
      <c r="A1246" s="259" t="str">
        <f>B1233</f>
        <v>A</v>
      </c>
      <c r="B1246" s="236" t="str">
        <f ca="1">IF(AND(OFFSET($AO$1,$C1233-1,8,1,1),$A1234&lt;&gt;"",$J1234&lt;&gt;""),CHOOSE($C1233,$AP$1,$AP$2,$AP$3,$AP$4,$AP$5,$AP$6,$AP$7,$AP$8,$AP$9,$AP$10,$AP$11,$AP$12),"")</f>
        <v/>
      </c>
      <c r="C1246" s="237"/>
      <c r="D1246" s="237"/>
      <c r="E1246" s="237"/>
      <c r="F1246" s="237"/>
      <c r="G1246" s="237"/>
      <c r="H1246" s="233"/>
      <c r="I1246" s="233"/>
      <c r="J1246" s="233"/>
      <c r="K1246" s="233"/>
      <c r="L1246" s="233"/>
      <c r="M1246" s="245" t="str">
        <f ca="1">IF(OR(AND($B1239&lt;&gt;"",$B1246&lt;&gt;"",$C1264&lt;=$B1264),AND($B1241&lt;&gt;"",$B1248&lt;&gt;"",$G1264&lt;=$F1264)),"Invalid Lineup","")</f>
        <v/>
      </c>
      <c r="N1246" s="246"/>
      <c r="O1246" s="246"/>
      <c r="P1246" s="247"/>
      <c r="Q1246" s="40" t="str">
        <f>IF($L1246=$L1248,IF($K1246=$K1248,IF($J1246&lt;&gt;"",IF($J1246&gt;$J1248,"W","L"),""),IF($K1246&gt;$K1248,"W","L")),IF($L1246&gt;$L1248,"W","L"))</f>
        <v/>
      </c>
      <c r="R1246" s="259" t="str">
        <f>$K1233</f>
        <v>B</v>
      </c>
      <c r="S1246" s="307" t="str">
        <f ca="1">IF($B1248&lt;&gt;"",$B1248,"")</f>
        <v/>
      </c>
      <c r="T1246" s="308"/>
      <c r="U1246" s="308"/>
      <c r="V1246" s="308"/>
      <c r="W1246" s="308"/>
      <c r="X1246" s="309"/>
      <c r="Y1246" s="284"/>
      <c r="Z1246" s="284"/>
      <c r="AA1246" s="284"/>
      <c r="AB1246" s="284"/>
      <c r="AC1246" s="297"/>
      <c r="AD1246" s="289" t="s">
        <v>169</v>
      </c>
      <c r="AE1246" s="290"/>
      <c r="AF1246" s="291"/>
    </row>
    <row r="1247" spans="1:32" ht="12.75" customHeight="1" x14ac:dyDescent="0.25">
      <c r="A1247" s="260"/>
      <c r="B1247" s="238"/>
      <c r="C1247" s="239"/>
      <c r="D1247" s="239"/>
      <c r="E1247" s="239"/>
      <c r="F1247" s="239"/>
      <c r="G1247" s="239"/>
      <c r="H1247" s="234"/>
      <c r="I1247" s="234"/>
      <c r="J1247" s="234"/>
      <c r="K1247" s="234"/>
      <c r="L1247" s="234"/>
      <c r="M1247" s="245"/>
      <c r="N1247" s="246"/>
      <c r="O1247" s="246"/>
      <c r="P1247" s="247"/>
      <c r="Q1247" s="110" t="str">
        <f>IF($Q1246&lt;&gt;"",IF($Q1246="W",IF(SUM(IF($H1246&gt;$H1248,1,0),IF($I1246&gt;$I1248,1,0),IF($J1246&gt;$J1248,1,0),IF($K1246&gt;$K1248,1,0),IF($L1246&gt;$L1248,1,0))&lt;&gt;3,"Error",""),""),"")</f>
        <v/>
      </c>
      <c r="R1247" s="285"/>
      <c r="S1247" s="310"/>
      <c r="T1247" s="311"/>
      <c r="U1247" s="311"/>
      <c r="V1247" s="311"/>
      <c r="W1247" s="311"/>
      <c r="X1247" s="312"/>
      <c r="Y1247" s="285"/>
      <c r="Z1247" s="285"/>
      <c r="AA1247" s="285"/>
      <c r="AB1247" s="285"/>
      <c r="AC1247" s="285"/>
      <c r="AD1247" s="292"/>
      <c r="AE1247" s="293"/>
      <c r="AF1247" s="294"/>
    </row>
    <row r="1248" spans="1:32" ht="12.75" customHeight="1" x14ac:dyDescent="0.25">
      <c r="A1248" s="259" t="str">
        <f>K1233</f>
        <v>B</v>
      </c>
      <c r="B1248" s="236" t="str">
        <f ca="1">IF(AND(OFFSET($AO$1,$L1233-1,8,1,1),$A1234&lt;&gt;"",$J1234&lt;&gt;""),CHOOSE($L1233,$AP$1,$AP$2,$AP$3,$AP$4,$AP$5,$AP$6,$AP$7,$AP$8,$AP$9,$AP$10,$AP$11,$AP$12),"")</f>
        <v/>
      </c>
      <c r="C1248" s="237"/>
      <c r="D1248" s="237"/>
      <c r="E1248" s="237"/>
      <c r="F1248" s="237"/>
      <c r="G1248" s="237"/>
      <c r="H1248" s="233"/>
      <c r="I1248" s="233"/>
      <c r="J1248" s="233"/>
      <c r="K1248" s="233"/>
      <c r="L1248" s="233"/>
      <c r="M1248" s="250" t="s">
        <v>169</v>
      </c>
      <c r="N1248" s="251"/>
      <c r="O1248" s="251"/>
      <c r="P1248" s="252"/>
      <c r="Q1248" s="40" t="str">
        <f>IF($Q1246&lt;&gt;"",IF($Q1246="W","L","W"),"")</f>
        <v/>
      </c>
      <c r="R1248" s="14"/>
      <c r="S1248" s="14"/>
      <c r="T1248" s="14"/>
      <c r="U1248" s="14"/>
      <c r="V1248" s="14"/>
      <c r="W1248" s="14"/>
      <c r="X1248" s="7"/>
      <c r="Y1248" s="7"/>
      <c r="Z1248" s="14"/>
      <c r="AA1248" s="14"/>
      <c r="AB1248" s="14"/>
      <c r="AC1248" s="14"/>
      <c r="AD1248" s="14"/>
      <c r="AE1248" s="14"/>
      <c r="AF1248"/>
    </row>
    <row r="1249" spans="1:32" ht="12.75" customHeight="1" x14ac:dyDescent="0.25">
      <c r="A1249" s="260"/>
      <c r="B1249" s="238"/>
      <c r="C1249" s="239"/>
      <c r="D1249" s="239"/>
      <c r="E1249" s="239"/>
      <c r="F1249" s="239"/>
      <c r="G1249" s="239"/>
      <c r="H1249" s="234"/>
      <c r="I1249" s="234"/>
      <c r="J1249" s="235"/>
      <c r="K1249" s="235"/>
      <c r="L1249" s="235"/>
      <c r="M1249" s="250"/>
      <c r="N1249" s="251"/>
      <c r="O1249" s="251"/>
      <c r="P1249" s="252"/>
      <c r="Q1249" s="110" t="str">
        <f>IF($Q1248&lt;&gt;"",IF($Q1248="W",IF(SUM(IF($H1248&gt;$H1246,1,0),IF($I1248&gt;$I1246,1,0),IF($J1248&gt;$J1246,1,0),IF($K1248&gt;$K1246,1,0),IF($L1248&gt;$L1246,1,0))&lt;&gt;3,"Error",""),""),"")</f>
        <v/>
      </c>
      <c r="R1249" s="14"/>
      <c r="S1249" s="14"/>
      <c r="T1249" s="14"/>
      <c r="U1249" s="14"/>
      <c r="V1249" s="14"/>
      <c r="W1249" s="14"/>
      <c r="X1249" s="7"/>
      <c r="Y1249" s="7"/>
      <c r="Z1249" s="14"/>
      <c r="AA1249" s="14"/>
      <c r="AB1249" s="14"/>
      <c r="AC1249" s="14"/>
      <c r="AD1249" s="14"/>
      <c r="AE1249" s="14"/>
      <c r="AF1249"/>
    </row>
    <row r="1250" spans="1:32" ht="12.75" customHeight="1" x14ac:dyDescent="0.25">
      <c r="Q1250" s="6"/>
      <c r="R1250" s="14"/>
      <c r="S1250" s="14"/>
      <c r="T1250" s="14"/>
      <c r="U1250" s="14"/>
      <c r="V1250" s="14"/>
      <c r="W1250" s="14"/>
      <c r="X1250" s="7"/>
      <c r="Y1250" s="7"/>
      <c r="Z1250" s="14"/>
      <c r="AA1250" s="14"/>
      <c r="AB1250" s="14"/>
      <c r="AC1250" s="14"/>
      <c r="AD1250" s="14"/>
      <c r="AE1250" s="14"/>
      <c r="AF1250"/>
    </row>
    <row r="1251" spans="1:32" ht="12.75" customHeight="1" x14ac:dyDescent="0.25">
      <c r="A1251" s="15" t="s">
        <v>167</v>
      </c>
      <c r="H1251" s="110" t="str">
        <f>IF($Q1253&lt;&gt;"",IF(AND(AND($H1253&gt;-1,$H1255&gt;-1),OR($H1253&gt;10,$H1255&gt;10),ABS($H1253-$H1255)&gt;1,IF(OR($H1253&gt;11,$H1255&gt;11),ABS($H1253-$H1255)=2,TRUE),$H1253=INT($H1253),$H1255=INT($H1255)),"","Error"),"")</f>
        <v/>
      </c>
      <c r="I1251" s="110" t="str">
        <f>IF($Q1253&lt;&gt;"",IF(AND(AND($I1253&gt;-1,$I1255&gt;-1),OR($I1253&gt;10,$I1255&gt;10),ABS($I1253-$I1255)&gt;1,IF(OR($I1253&gt;11,$I1255&gt;11),ABS($I1253-$I1255)=2,TRUE),$I1253=INT($I1253),$I1255=INT($I1255)),"","Error"),"")</f>
        <v/>
      </c>
      <c r="J1251" s="110" t="str">
        <f>IF($Q1253&lt;&gt;"",IF(AND(AND($J1253&gt;-1,$J1255&gt;-1),OR($J1253&gt;10,$J1255&gt;10),ABS($J1253-$J1255)&gt;1,IF(OR($J1253&gt;11,$J1255&gt;11),ABS($J1253-$J1255)=2,TRUE),$J1253=INT($J1253),$J1255=INT($J1255)),"","Error"),"")</f>
        <v/>
      </c>
      <c r="K1251" s="110" t="str">
        <f>IF($Q1253&lt;&gt;"",IF(AND($K1253&lt;&gt;"",$K1255&lt;&gt;""), IF(AND(AND($K1253&gt;-1,$K1255&gt;-1),OR($K1253&gt;10,$K1255&gt;10),ABS($K1253-$K1255)&gt;1,IF(OR($K1253&gt;11,$K1255&gt;11),ABS($K1253-$K1255)=2,TRUE),$K1253=INT($K1253),$K1255=INT($K1255)),"","Error"),""),"")</f>
        <v/>
      </c>
      <c r="L1251" s="110" t="str">
        <f>IF($Q1253&lt;&gt;"",IF(AND($L1253&lt;&gt;"",$L1255&lt;&gt;""), IF(AND(AND($L1253&gt;-1,$L1255&gt;-1),OR($L1253&gt;10,$L1255&gt;10),ABS($L1253-$L1255)&gt;1,IF(OR($L1253&gt;11,$L1255&gt;11),ABS($L1253-$L1255)=2,TRUE),$L1253=INT($L1253),$L1255=INT($L1255)),"","Error"),""),"")</f>
        <v/>
      </c>
      <c r="Q1251" s="6"/>
      <c r="R1251" s="14"/>
      <c r="S1251" s="14"/>
      <c r="T1251" s="14"/>
      <c r="U1251" s="14"/>
      <c r="V1251" s="14"/>
      <c r="W1251" s="14"/>
      <c r="X1251" s="7"/>
      <c r="Y1251" s="7"/>
      <c r="Z1251" s="14"/>
      <c r="AA1251" s="14"/>
      <c r="AB1251" s="14"/>
      <c r="AC1251" s="14"/>
      <c r="AD1251" s="14"/>
      <c r="AE1251" s="14"/>
      <c r="AF1251"/>
    </row>
    <row r="1252" spans="1:32" ht="12.75" customHeight="1" x14ac:dyDescent="0.25">
      <c r="A1252" s="5" t="s">
        <v>160</v>
      </c>
      <c r="B1252" s="256" t="s">
        <v>58</v>
      </c>
      <c r="C1252" s="257"/>
      <c r="D1252" s="257"/>
      <c r="E1252" s="257"/>
      <c r="F1252" s="257"/>
      <c r="G1252" s="258"/>
      <c r="H1252" s="5">
        <v>1</v>
      </c>
      <c r="I1252" s="5">
        <v>2</v>
      </c>
      <c r="J1252" s="5">
        <v>3</v>
      </c>
      <c r="K1252" s="5">
        <v>4</v>
      </c>
      <c r="L1252" s="5">
        <v>5</v>
      </c>
      <c r="M1252" s="270"/>
      <c r="N1252" s="271"/>
      <c r="O1252" s="271"/>
      <c r="P1252" s="272"/>
      <c r="Q1252" s="6"/>
      <c r="R1252" s="14"/>
      <c r="S1252" s="14"/>
      <c r="T1252" s="14"/>
      <c r="U1252" s="14"/>
      <c r="V1252" s="14"/>
      <c r="W1252" s="14"/>
      <c r="X1252" s="7"/>
      <c r="Y1252" s="7"/>
      <c r="Z1252" s="14"/>
      <c r="AA1252" s="14"/>
      <c r="AB1252" s="14"/>
      <c r="AC1252" s="14"/>
      <c r="AD1252" s="14"/>
      <c r="AE1252" s="14"/>
      <c r="AF1252"/>
    </row>
    <row r="1253" spans="1:32" ht="12.75" customHeight="1" x14ac:dyDescent="0.25">
      <c r="A1253" s="259" t="str">
        <f>B1233</f>
        <v>A</v>
      </c>
      <c r="B1253" s="236" t="str">
        <f ca="1">IF(AND(OFFSET($AO$1,$C1233-1,8,1,1),$A1234&lt;&gt;"",$J1234&lt;&gt;""),CHOOSE($C1233,$AQ$1,$AQ$2,$AQ$3,$AQ$4,$AQ$5,$AQ$6,$AQ$7,$AQ$8,$AQ$9,$AQ$10,$AQ$11,$AQ$12),"")</f>
        <v/>
      </c>
      <c r="C1253" s="237"/>
      <c r="D1253" s="237"/>
      <c r="E1253" s="237"/>
      <c r="F1253" s="237"/>
      <c r="G1253" s="237"/>
      <c r="H1253" s="233"/>
      <c r="I1253" s="233"/>
      <c r="J1253" s="233"/>
      <c r="K1253" s="233"/>
      <c r="L1253" s="233"/>
      <c r="M1253" s="245" t="str">
        <f ca="1">IF(OR(AND($B1246&lt;&gt;"",$B1253&lt;&gt;"",$D1264&lt;=$C1264),AND($B1248&lt;&gt;"",$B1255&lt;&gt;"",$H1264&lt;=$G1264)),"Invalid Lineup","")</f>
        <v/>
      </c>
      <c r="N1253" s="246"/>
      <c r="O1253" s="246"/>
      <c r="P1253" s="247"/>
      <c r="Q1253" s="40" t="str">
        <f>IF($L1253=$L1255,IF($K1253=$K1255,IF($J1253&lt;&gt;"",IF($J1253&gt;$J1255,"W","L"),""),IF($K1253&gt;$K1255,"W","L")),IF($L1253&gt;$L1255,"W","L"))</f>
        <v/>
      </c>
      <c r="R1253" s="14"/>
      <c r="S1253" s="14"/>
      <c r="T1253" s="14"/>
      <c r="U1253" s="14"/>
      <c r="V1253" s="14"/>
      <c r="W1253" s="14"/>
      <c r="X1253" s="7"/>
      <c r="Y1253" s="7"/>
      <c r="Z1253" s="14"/>
      <c r="AA1253" s="14"/>
      <c r="AB1253" s="14"/>
      <c r="AC1253" s="14"/>
      <c r="AD1253" s="14"/>
      <c r="AE1253" s="14"/>
      <c r="AF1253"/>
    </row>
    <row r="1254" spans="1:32" ht="12.75" customHeight="1" x14ac:dyDescent="0.25">
      <c r="A1254" s="260"/>
      <c r="B1254" s="238"/>
      <c r="C1254" s="239"/>
      <c r="D1254" s="239"/>
      <c r="E1254" s="239"/>
      <c r="F1254" s="239"/>
      <c r="G1254" s="239"/>
      <c r="H1254" s="234"/>
      <c r="I1254" s="234"/>
      <c r="J1254" s="234"/>
      <c r="K1254" s="234"/>
      <c r="L1254" s="234"/>
      <c r="M1254" s="245"/>
      <c r="N1254" s="246"/>
      <c r="O1254" s="246"/>
      <c r="P1254" s="247"/>
      <c r="Q1254" s="110" t="str">
        <f>IF($Q1253&lt;&gt;"",IF($Q1253="W",IF(SUM(IF($H1253&gt;$H1255,1,0),IF($I1253&gt;$I1255,1,0),IF($J1253&gt;$J1255,1,0),IF($K1253&gt;$K1255,1,0),IF($L1253&gt;$L1255,1,0))&lt;&gt;3,"Error",""),""),"")</f>
        <v/>
      </c>
      <c r="R1254" s="295" t="str">
        <f>$A1234</f>
        <v/>
      </c>
      <c r="S1254" s="295"/>
      <c r="T1254" s="295"/>
      <c r="U1254" s="295"/>
      <c r="V1254" s="295"/>
      <c r="W1254" s="295"/>
      <c r="X1254" s="219" t="str">
        <f>CONCATENATE("(",$B1233," vs ",$K1233,")")</f>
        <v>(A vs B)</v>
      </c>
      <c r="Y1254" s="219"/>
      <c r="Z1254" s="295" t="str">
        <f>$J1234</f>
        <v/>
      </c>
      <c r="AA1254" s="295"/>
      <c r="AB1254" s="295"/>
      <c r="AC1254" s="295"/>
      <c r="AD1254" s="295"/>
      <c r="AE1254" s="295"/>
      <c r="AF1254"/>
    </row>
    <row r="1255" spans="1:32" ht="12.75" customHeight="1" x14ac:dyDescent="0.25">
      <c r="A1255" s="259" t="str">
        <f>K1233</f>
        <v>B</v>
      </c>
      <c r="B1255" s="236" t="str">
        <f ca="1">IF(AND(OFFSET($AO$1,$L1233-1,8,1,1),$A1234&lt;&gt;"",$J1234&lt;&gt;""),CHOOSE($L1233,$AQ$1,$AQ$2,$AQ$3,$AQ$4,$AQ$5,$AQ$6,$AQ$7,$AQ$8,$AQ$9,$AQ$10,$AQ$11,$AQ$12),"")</f>
        <v/>
      </c>
      <c r="C1255" s="237"/>
      <c r="D1255" s="237"/>
      <c r="E1255" s="237"/>
      <c r="F1255" s="237"/>
      <c r="G1255" s="237"/>
      <c r="H1255" s="233"/>
      <c r="I1255" s="233"/>
      <c r="J1255" s="233"/>
      <c r="K1255" s="233"/>
      <c r="L1255" s="233"/>
      <c r="M1255" s="250" t="s">
        <v>169</v>
      </c>
      <c r="N1255" s="251"/>
      <c r="O1255" s="251"/>
      <c r="P1255" s="252"/>
      <c r="Q1255" s="40" t="str">
        <f>IF($Q1253&lt;&gt;"",IF($Q1253="W","L","W"),"")</f>
        <v/>
      </c>
      <c r="R1255"/>
      <c r="S1255"/>
      <c r="T1255"/>
      <c r="U1255"/>
      <c r="V1255"/>
      <c r="W1255"/>
      <c r="X1255"/>
      <c r="Y1255"/>
      <c r="Z1255"/>
      <c r="AA1255"/>
      <c r="AB1255"/>
      <c r="AC1255"/>
      <c r="AD1255"/>
      <c r="AE1255"/>
      <c r="AF1255"/>
    </row>
    <row r="1256" spans="1:32" ht="12.75" customHeight="1" x14ac:dyDescent="0.25">
      <c r="A1256" s="260"/>
      <c r="B1256" s="238"/>
      <c r="C1256" s="239"/>
      <c r="D1256" s="239"/>
      <c r="E1256" s="239"/>
      <c r="F1256" s="239"/>
      <c r="G1256" s="239"/>
      <c r="H1256" s="234"/>
      <c r="I1256" s="234"/>
      <c r="J1256" s="235"/>
      <c r="K1256" s="235"/>
      <c r="L1256" s="235"/>
      <c r="M1256" s="250"/>
      <c r="N1256" s="251"/>
      <c r="O1256" s="251"/>
      <c r="P1256" s="252"/>
      <c r="Q1256" s="110" t="str">
        <f>IF($Q1255&lt;&gt;"",IF($Q1255="W",IF(SUM(IF($H1255&gt;$H1253,1,0),IF($I1255&gt;$I1253,1,0),IF($J1255&gt;$J1253,1,0),IF($K1255&gt;$K1253,1,0),IF($L1255&gt;$L1253,1,0))&lt;&gt;3,"Error",""),""),"")</f>
        <v/>
      </c>
      <c r="R1256" t="str">
        <f>$A1251</f>
        <v>3rd Singles</v>
      </c>
      <c r="S1256"/>
      <c r="T1256"/>
      <c r="U1256"/>
      <c r="V1256"/>
      <c r="W1256"/>
      <c r="X1256"/>
      <c r="Y1256"/>
      <c r="Z1256"/>
      <c r="AA1256"/>
      <c r="AB1256"/>
      <c r="AC1256"/>
      <c r="AD1256"/>
      <c r="AE1256"/>
      <c r="AF1256"/>
    </row>
    <row r="1257" spans="1:32" ht="12.75" customHeight="1" x14ac:dyDescent="0.25">
      <c r="Q1257" s="6"/>
      <c r="R1257" s="47" t="s">
        <v>160</v>
      </c>
      <c r="S1257" s="86" t="s">
        <v>58</v>
      </c>
      <c r="T1257" s="87"/>
      <c r="U1257" s="87"/>
      <c r="V1257" s="87"/>
      <c r="W1257" s="87"/>
      <c r="X1257" s="88"/>
      <c r="Y1257" s="47">
        <v>1</v>
      </c>
      <c r="Z1257" s="47">
        <v>2</v>
      </c>
      <c r="AA1257" s="47">
        <v>3</v>
      </c>
      <c r="AB1257" s="47">
        <v>4</v>
      </c>
      <c r="AC1257" s="47">
        <v>5</v>
      </c>
      <c r="AD1257" s="89"/>
      <c r="AE1257" s="90"/>
      <c r="AF1257" s="91"/>
    </row>
    <row r="1258" spans="1:32" ht="12.75" customHeight="1" x14ac:dyDescent="0.25">
      <c r="A1258" s="15" t="s">
        <v>168</v>
      </c>
      <c r="H1258" s="110" t="str">
        <f ca="1">IF($Q1260&lt;&gt;"",IF(AND($B1260&lt;&gt;"Missing Player",$B1262&lt;&gt;"Missing Player"),IF(AND(AND($H1260&gt;-1,$H1262&gt;-1),OR($H1260&gt;10,$H1262&gt;10),ABS($H1260-$H1262)&gt;1,IF(OR($H1260&gt;11,$H1262&gt;11),ABS($H1260-$H1262)=2,TRUE),$H1260=INT($H1260),$H1262=INT($H1262)),"","Error"),""),"")</f>
        <v/>
      </c>
      <c r="I1258" s="110" t="str">
        <f ca="1">IF($Q1260&lt;&gt;"",IF(AND($B1260&lt;&gt;"Missing Player",$B1262&lt;&gt;"Missing Player"),IF(AND(AND($I1260&gt;-1,$I1262&gt;-1),OR($I1260&gt;10,$I1262&gt;10),ABS($I1260-$I1262)&gt;1,IF(OR($I1260&gt;11,$I1262&gt;11),ABS($I1260-$I1262)=2,TRUE),$I1260=INT($I1260),$I1262=INT($I1262)),"","Error"),""),"")</f>
        <v/>
      </c>
      <c r="J1258" s="110" t="str">
        <f ca="1">IF($Q1260&lt;&gt;"",IF(AND($B1260&lt;&gt;"Missing Player",$B1262&lt;&gt;"Missing Player"),IF(AND(AND($J1260&gt;-1,$J1262&gt;-1),OR($J1260&gt;10,$J1262&gt;10),ABS($J1260-$J1262)&gt;1,IF(OR($J1260&gt;11,$J1262&gt;11),ABS($J1260-$J1262)=2,TRUE),$J1260=INT($J1260),$J1262=INT($J1262)),"","Error"),""),"")</f>
        <v/>
      </c>
      <c r="K1258" s="110" t="str">
        <f ca="1">IF($Q1260&lt;&gt;"",IF(AND($K1260&lt;&gt;"",$K1262&lt;&gt;""), IF(AND(AND($K1260&gt;-1,$K1262&gt;-1),OR($K1260&gt;10,$K1262&gt;10),ABS($K1260-$K1262)&gt;1,IF(OR($K1260&gt;11,$K1262&gt;11),ABS($K1260-$K1262)=2,TRUE),$K1260=INT($K1260),$K1262=INT($K1262)),"","Error"),""),"")</f>
        <v/>
      </c>
      <c r="L1258" s="110" t="str">
        <f ca="1">IF($Q1260&lt;&gt;"",IF(AND($L1260&lt;&gt;"",$L1262&lt;&gt;""), IF(AND(AND($L1260&gt;-1,$L1262&gt;-1),OR($L1260&gt;10,$L1262&gt;10),ABS($L1260-$L1262)&gt;1,IF(OR($L1260&gt;11,$L1262&gt;11),ABS($L1260-$L1262)=2,TRUE),$L1260=INT($L1260),$L1262=INT($L1262)),"","Error"),""),"")</f>
        <v/>
      </c>
      <c r="Q1258" s="6"/>
      <c r="R1258" s="259" t="str">
        <f>$B1233</f>
        <v>A</v>
      </c>
      <c r="S1258" s="307" t="str">
        <f ca="1">IF($B1253&lt;&gt;"",$B1253,"")</f>
        <v/>
      </c>
      <c r="T1258" s="308"/>
      <c r="U1258" s="308"/>
      <c r="V1258" s="308"/>
      <c r="W1258" s="308"/>
      <c r="X1258" s="309"/>
      <c r="Y1258" s="284"/>
      <c r="Z1258" s="284"/>
      <c r="AA1258" s="284"/>
      <c r="AB1258" s="284"/>
      <c r="AC1258" s="284"/>
      <c r="AD1258" s="296"/>
      <c r="AE1258" s="290"/>
      <c r="AF1258" s="291"/>
    </row>
    <row r="1259" spans="1:32" ht="12.75" customHeight="1" x14ac:dyDescent="0.25">
      <c r="A1259" s="5" t="s">
        <v>160</v>
      </c>
      <c r="B1259" s="256" t="s">
        <v>58</v>
      </c>
      <c r="C1259" s="257"/>
      <c r="D1259" s="257"/>
      <c r="E1259" s="257"/>
      <c r="F1259" s="257"/>
      <c r="G1259" s="258"/>
      <c r="H1259" s="5">
        <v>1</v>
      </c>
      <c r="I1259" s="5">
        <v>2</v>
      </c>
      <c r="J1259" s="5">
        <v>3</v>
      </c>
      <c r="K1259" s="5">
        <v>4</v>
      </c>
      <c r="L1259" s="5">
        <v>5</v>
      </c>
      <c r="M1259" s="270"/>
      <c r="N1259" s="271"/>
      <c r="O1259" s="271"/>
      <c r="P1259" s="272"/>
      <c r="Q1259" s="6"/>
      <c r="R1259" s="285"/>
      <c r="S1259" s="310"/>
      <c r="T1259" s="311"/>
      <c r="U1259" s="311"/>
      <c r="V1259" s="311"/>
      <c r="W1259" s="311"/>
      <c r="X1259" s="312"/>
      <c r="Y1259" s="285"/>
      <c r="Z1259" s="285"/>
      <c r="AA1259" s="285"/>
      <c r="AB1259" s="285"/>
      <c r="AC1259" s="285"/>
      <c r="AD1259" s="292"/>
      <c r="AE1259" s="293"/>
      <c r="AF1259" s="294"/>
    </row>
    <row r="1260" spans="1:32" ht="12.75" customHeight="1" x14ac:dyDescent="0.25">
      <c r="A1260" s="259" t="str">
        <f>B1233</f>
        <v>A</v>
      </c>
      <c r="B1260" s="236" t="str">
        <f ca="1">IF(AND(OFFSET($AO$1,$C1233-1,8,1,1),$A1234&lt;&gt;"",$J1234&lt;&gt;""),CHOOSE($C1233,$AR$1,$AR$2,$AR$3,$AR$4,$AR$5,$AR$6,$AR$7,$AR$8,$AR$9,$AR$10,$AR$11,$AR$12),"")</f>
        <v/>
      </c>
      <c r="C1260" s="237"/>
      <c r="D1260" s="237"/>
      <c r="E1260" s="237"/>
      <c r="F1260" s="237"/>
      <c r="G1260" s="237"/>
      <c r="H1260" s="233"/>
      <c r="I1260" s="233"/>
      <c r="J1260" s="233"/>
      <c r="K1260" s="233"/>
      <c r="L1260" s="233" t="str">
        <f ca="1">IF(AND($B1260&lt;&gt;"",$Q1239&lt;&gt;""),IF($B1260="Missing Player",0,IF($B1262="Missing Player",11,"")),"")</f>
        <v/>
      </c>
      <c r="M1260" s="245" t="str">
        <f ca="1">IF(OR(AND($B1253&lt;&gt;"",$B1260&lt;&gt;"",$E1264&lt;=$D1264),AND($B1255&lt;&gt;"",$B1262&lt;&gt;"",$I1264&lt;=$H1264)),"Invalid Lineup","")</f>
        <v/>
      </c>
      <c r="N1260" s="246"/>
      <c r="O1260" s="246"/>
      <c r="P1260" s="247"/>
      <c r="Q1260" s="40" t="str">
        <f ca="1">IF($L1260=$L1262,IF($K1260=$K1262,IF($J1260&lt;&gt;"",IF($J1260&gt;$J1262,"W","L"),""),IF($K1260&gt;$K1262,"W","L")),IF($L1260&gt;$L1262,"W","L"))</f>
        <v/>
      </c>
      <c r="R1260" s="259" t="str">
        <f>$K1233</f>
        <v>B</v>
      </c>
      <c r="S1260" s="307" t="str">
        <f ca="1">IF($B1255&lt;&gt;"",$B1255,"")</f>
        <v/>
      </c>
      <c r="T1260" s="308"/>
      <c r="U1260" s="308"/>
      <c r="V1260" s="308"/>
      <c r="W1260" s="308"/>
      <c r="X1260" s="309"/>
      <c r="Y1260" s="284"/>
      <c r="Z1260" s="284"/>
      <c r="AA1260" s="284"/>
      <c r="AB1260" s="284"/>
      <c r="AC1260" s="297"/>
      <c r="AD1260" s="289" t="s">
        <v>169</v>
      </c>
      <c r="AE1260" s="290"/>
      <c r="AF1260" s="291"/>
    </row>
    <row r="1261" spans="1:32" ht="12.75" customHeight="1" x14ac:dyDescent="0.25">
      <c r="A1261" s="260"/>
      <c r="B1261" s="238"/>
      <c r="C1261" s="239"/>
      <c r="D1261" s="239"/>
      <c r="E1261" s="239"/>
      <c r="F1261" s="239"/>
      <c r="G1261" s="239"/>
      <c r="H1261" s="234"/>
      <c r="I1261" s="234"/>
      <c r="J1261" s="234"/>
      <c r="K1261" s="234"/>
      <c r="L1261" s="234"/>
      <c r="M1261" s="245"/>
      <c r="N1261" s="246"/>
      <c r="O1261" s="246"/>
      <c r="P1261" s="247"/>
      <c r="Q1261" s="110" t="str">
        <f ca="1">IF($Q1260&lt;&gt;"",IF($B1262&lt;&gt;"Missing Player",IF($Q1260="W",IF(SUM(IF($H1260&gt;$H1262,1,0),IF($I1260&gt;$I1262,1,0),IF($J1260&gt;$J1262,1,0),IF($K1260&gt;$K1262,1,0),IF($L1260&gt;$L1262,1,0))&lt;&gt;3,"Error",""),""),""),"")</f>
        <v/>
      </c>
      <c r="R1261" s="285"/>
      <c r="S1261" s="310"/>
      <c r="T1261" s="311"/>
      <c r="U1261" s="311"/>
      <c r="V1261" s="311"/>
      <c r="W1261" s="311"/>
      <c r="X1261" s="312"/>
      <c r="Y1261" s="285"/>
      <c r="Z1261" s="285"/>
      <c r="AA1261" s="285"/>
      <c r="AB1261" s="285"/>
      <c r="AC1261" s="285"/>
      <c r="AD1261" s="292"/>
      <c r="AE1261" s="293"/>
      <c r="AF1261" s="294"/>
    </row>
    <row r="1262" spans="1:32" ht="12.75" customHeight="1" x14ac:dyDescent="0.25">
      <c r="A1262" s="259" t="str">
        <f>K1233</f>
        <v>B</v>
      </c>
      <c r="B1262" s="236" t="str">
        <f ca="1">IF(AND(OFFSET($AO$1,$L1233-1,8,1,1),$A1234&lt;&gt;"",$J1234&lt;&gt;""),CHOOSE($L1233,$AR$1,$AR$2,$AR$3,$AR$4,$AR$5,$AR$6,$AR$7,$AR$8,$AR$9,$AR$10,$AR$11,$AR$12),"")</f>
        <v/>
      </c>
      <c r="C1262" s="237"/>
      <c r="D1262" s="237"/>
      <c r="E1262" s="237"/>
      <c r="F1262" s="237"/>
      <c r="G1262" s="237"/>
      <c r="H1262" s="233"/>
      <c r="I1262" s="233"/>
      <c r="J1262" s="233"/>
      <c r="K1262" s="233"/>
      <c r="L1262" s="233" t="str">
        <f ca="1">IF(AND($B1262&lt;&gt;"",$Q1239&lt;&gt;""),IF($B1262="Missing Player",0,IF($B1260="Missing Player",11,"")),"")</f>
        <v/>
      </c>
      <c r="M1262" s="250" t="s">
        <v>169</v>
      </c>
      <c r="N1262" s="251"/>
      <c r="O1262" s="251"/>
      <c r="P1262" s="252"/>
      <c r="Q1262" s="40" t="str">
        <f ca="1">IF($Q1260&lt;&gt;"",IF($Q1260="W","L","W"),"")</f>
        <v/>
      </c>
      <c r="R1262" s="94"/>
      <c r="S1262" s="84"/>
      <c r="T1262" s="84"/>
      <c r="U1262" s="84"/>
      <c r="V1262" s="84"/>
      <c r="W1262" s="84"/>
      <c r="X1262" s="84"/>
      <c r="Y1262" s="93"/>
      <c r="Z1262" s="93"/>
      <c r="AA1262" s="93"/>
      <c r="AB1262" s="93"/>
      <c r="AC1262" s="93"/>
      <c r="AD1262" s="92"/>
      <c r="AE1262" s="93"/>
      <c r="AF1262" s="93"/>
    </row>
    <row r="1263" spans="1:32" ht="12.75" customHeight="1" x14ac:dyDescent="0.25">
      <c r="A1263" s="260"/>
      <c r="B1263" s="238"/>
      <c r="C1263" s="239"/>
      <c r="D1263" s="239"/>
      <c r="E1263" s="239"/>
      <c r="F1263" s="239"/>
      <c r="G1263" s="239"/>
      <c r="H1263" s="234"/>
      <c r="I1263" s="234"/>
      <c r="J1263" s="235"/>
      <c r="K1263" s="235"/>
      <c r="L1263" s="235"/>
      <c r="M1263" s="250"/>
      <c r="N1263" s="251"/>
      <c r="O1263" s="251"/>
      <c r="P1263" s="252"/>
      <c r="Q1263" s="110" t="str">
        <f ca="1">IF($Q1262&lt;&gt;"",IF($B1260&lt;&gt;"Missing Player",IF($Q1262="W",IF(SUM(IF($H1262&gt;$H1260,1,0),IF($I1262&gt;$I1260,1,0),IF($J1262&gt;$J1260,1,0),IF($K1262&gt;$K1260,1,0),IF($L1262&gt;$L1260,1,0))&lt;&gt;3,"Error",""),""),""),"")</f>
        <v/>
      </c>
      <c r="R1263" s="85"/>
      <c r="S1263" s="95"/>
      <c r="T1263" s="95"/>
      <c r="U1263" s="95"/>
      <c r="V1263" s="95"/>
      <c r="W1263" s="95"/>
      <c r="X1263" s="95"/>
      <c r="Y1263" s="85"/>
      <c r="Z1263" s="85"/>
      <c r="AA1263" s="85"/>
      <c r="AB1263" s="85"/>
      <c r="AC1263" s="85"/>
      <c r="AD1263" s="85"/>
      <c r="AE1263" s="85"/>
      <c r="AF1263" s="85"/>
    </row>
    <row r="1264" spans="1:32" ht="12.75" customHeight="1" x14ac:dyDescent="0.25">
      <c r="B1264" s="111" t="str">
        <f ca="1">IF(ISERROR(VLOOKUP($B1239&amp;"("&amp;$B1233&amp;")",Players!$S$4:$T$132,2,FALSE)),"",VLOOKUP($B1239&amp;"("&amp;$B1233&amp;")",Players!$S$4:$T$132,2,FALSE))</f>
        <v>A1</v>
      </c>
      <c r="C1264" s="111" t="str">
        <f ca="1">IF(ISERROR(VLOOKUP($B1246&amp;"("&amp;$B1233&amp;")",Players!$S$4:$T$132,2,FALSE)),"",VLOOKUP($B1246&amp;"("&amp;$B1233&amp;")",Players!$S$4:$T$132,2,FALSE))</f>
        <v>A1</v>
      </c>
      <c r="D1264" s="111" t="str">
        <f ca="1">IF(ISERROR(VLOOKUP($B1253&amp;"("&amp;$B1233&amp;")",Players!$S$4:$T$132,2,FALSE)),"",VLOOKUP($B1253&amp;"("&amp;$B1233&amp;")",Players!$S$4:$T$132,2,FALSE))</f>
        <v>A1</v>
      </c>
      <c r="E1264" s="111" t="str">
        <f ca="1">IF(ISERROR(VLOOKUP($B1260&amp;"("&amp;$B1233&amp;")",Players!$S$4:$T$132,2,FALSE)),"",VLOOKUP($B1260&amp;"("&amp;$B1233&amp;")",Players!$S$4:$T$132,2,FALSE))</f>
        <v>A1</v>
      </c>
      <c r="F1264" s="111" t="str">
        <f ca="1">IF(ISERROR(VLOOKUP($B1241&amp;"("&amp;$K1233&amp;")",Players!$S$4:$T$132,2,FALSE)),"",VLOOKUP($B1241&amp;"("&amp;$K1233&amp;")",Players!$S$4:$T$132,2,FALSE))</f>
        <v>B1</v>
      </c>
      <c r="G1264" s="111" t="str">
        <f ca="1">IF(ISERROR(VLOOKUP($B1248&amp;"("&amp;$K1233&amp;")",Players!$S$4:$T$132,2,FALSE)),"",VLOOKUP($B1248&amp;"("&amp;$K1233&amp;")",Players!$S$4:$T$132,2,FALSE))</f>
        <v>B1</v>
      </c>
      <c r="H1264" s="111" t="str">
        <f ca="1">IF(ISERROR(VLOOKUP($B1255&amp;"("&amp;$K1233&amp;")",Players!$S$4:$T$132,2,FALSE)),"",VLOOKUP($B1255&amp;"("&amp;$K1233&amp;")",Players!$S$4:$T$132,2,FALSE))</f>
        <v>B1</v>
      </c>
      <c r="I1264" s="111" t="str">
        <f ca="1">IF(ISERROR(VLOOKUP($B1262&amp;"("&amp;$K1233&amp;")",Players!$S$4:$T$132,2,FALSE)),"",VLOOKUP($B1262&amp;"("&amp;$K1233&amp;")",Players!$S$4:$T$132,2,FALSE))</f>
        <v>B1</v>
      </c>
      <c r="Q1264" s="6"/>
      <c r="R1264" s="37"/>
      <c r="S1264" s="95"/>
      <c r="T1264" s="95"/>
      <c r="U1264" s="95"/>
      <c r="V1264" s="95"/>
      <c r="W1264" s="95"/>
      <c r="X1264" s="95"/>
      <c r="Y1264" s="85"/>
      <c r="Z1264" s="85"/>
      <c r="AA1264" s="85"/>
      <c r="AB1264" s="85"/>
      <c r="AC1264" s="96"/>
      <c r="AD1264" s="97"/>
      <c r="AE1264" s="85"/>
      <c r="AF1264" s="85"/>
    </row>
    <row r="1265" spans="1:32" ht="12.75" customHeight="1" x14ac:dyDescent="0.25">
      <c r="A1265" s="15" t="s">
        <v>157</v>
      </c>
      <c r="H1265" s="110" t="str">
        <f ca="1">IF($Q1267&lt;&gt;"",IF(AND($B1268&lt;&gt;"Missing Player",$B1270&lt;&gt;"Missing Player"),IF(AND(AND($H1267&gt;-1,$H1269&gt;-1),OR($H1267&gt;10,$H1269&gt;10),ABS($H1267-$H1269)&gt;1,IF(OR($H1267&gt;11,$H1269&gt;11),ABS($H1267-$H1269)=2,TRUE),$H1267=INT($H1267),$H1269=INT($H1269)),"","Error"),""),"")</f>
        <v/>
      </c>
      <c r="I1265" s="110" t="str">
        <f ca="1">IF($Q1267&lt;&gt;"",IF(AND($B1268&lt;&gt;"Missing Player",$B1270&lt;&gt;"Missing Player"),IF(AND(AND($I1267&gt;-1,$I1269&gt;-1),OR($I1267&gt;10,$I1269&gt;10),ABS($I1267-$I1269)&gt;1,IF(OR($I1267&gt;11,$I1269&gt;11),ABS($I1267-$I1269)=2,TRUE),$I1267=INT($I1267),$I1269=INT($I1269)),"","Error"),""),"")</f>
        <v/>
      </c>
      <c r="J1265" s="110" t="str">
        <f ca="1">IF($Q1267&lt;&gt;"",IF(AND($B1268&lt;&gt;"Missing Player",$B1270&lt;&gt;"Missing Player"),IF(AND(AND($J1267&gt;-1,$J1269&gt;-1),OR($J1267&gt;10,$J1269&gt;10),ABS($J1267-$J1269)&gt;1,IF(OR($J1267&gt;11,$J1269&gt;11),ABS($J1267-$J1269)=2,TRUE),$J1267=INT($J1267),$J1269=INT($J1269)),"","Error"),""),"")</f>
        <v/>
      </c>
      <c r="K1265" s="110" t="str">
        <f ca="1">IF($Q1267&lt;&gt;"",IF(AND($K1267&lt;&gt;"",$K1269&lt;&gt;""), IF(AND(AND($K1267&gt;-1,$K1269&gt;-1),OR($K1267&gt;10,$K1269&gt;10),ABS($K1267-$K1269)&gt;1,IF(OR($K1267&gt;11,$K1269&gt;11),ABS($K1267-$K1269)=2,TRUE),$K1267=INT($K1267),$K1269=INT($K1269)),"","Error"),""),"")</f>
        <v/>
      </c>
      <c r="L1265" s="110" t="str">
        <f ca="1">IF($Q1267&lt;&gt;"",IF(AND($L1267&lt;&gt;"",$L1269&lt;&gt;""), IF(AND(AND($L1267&gt;-1,$L1269&gt;-1),OR($L1267&gt;10,$L1269&gt;10),ABS($L1267-$L1269)&gt;1,IF(OR($L1267&gt;11,$L1269&gt;11),ABS($L1267-$L1269)=2,TRUE),$L1267=INT($L1267),$L1269=INT($L1269)),"","Error"),""),"")</f>
        <v/>
      </c>
      <c r="Q1265" s="6"/>
      <c r="R1265" s="85"/>
      <c r="S1265" s="95"/>
      <c r="T1265" s="95"/>
      <c r="U1265" s="95"/>
      <c r="V1265" s="95"/>
      <c r="W1265" s="95"/>
      <c r="X1265" s="95"/>
      <c r="Y1265" s="85"/>
      <c r="Z1265" s="85"/>
      <c r="AA1265" s="85"/>
      <c r="AB1265" s="85"/>
      <c r="AC1265" s="85"/>
      <c r="AD1265" s="85"/>
      <c r="AE1265" s="85"/>
      <c r="AF1265" s="85"/>
    </row>
    <row r="1266" spans="1:32" ht="12.75" customHeight="1" x14ac:dyDescent="0.25">
      <c r="A1266" s="5" t="s">
        <v>160</v>
      </c>
      <c r="B1266" s="256" t="s">
        <v>58</v>
      </c>
      <c r="C1266" s="257"/>
      <c r="D1266" s="257"/>
      <c r="E1266" s="257"/>
      <c r="F1266" s="257"/>
      <c r="G1266" s="258"/>
      <c r="H1266" s="5">
        <v>1</v>
      </c>
      <c r="I1266" s="5">
        <v>2</v>
      </c>
      <c r="J1266" s="5">
        <v>3</v>
      </c>
      <c r="K1266" s="5">
        <v>4</v>
      </c>
      <c r="L1266" s="5">
        <v>5</v>
      </c>
      <c r="M1266" s="270"/>
      <c r="N1266" s="271"/>
      <c r="O1266" s="271"/>
      <c r="P1266" s="272"/>
      <c r="Q1266" s="6"/>
      <c r="T1266" s="7"/>
    </row>
    <row r="1267" spans="1:32" ht="12.75" customHeight="1" x14ac:dyDescent="0.25">
      <c r="A1267" s="259" t="str">
        <f>B1233</f>
        <v>A</v>
      </c>
      <c r="B1267" s="230" t="str">
        <f ca="1">IF($B1239&lt;&gt;"",$B1239,"")</f>
        <v/>
      </c>
      <c r="C1267" s="231"/>
      <c r="D1267" s="231"/>
      <c r="E1267" s="231"/>
      <c r="F1267" s="231"/>
      <c r="G1267" s="232"/>
      <c r="H1267" s="233"/>
      <c r="I1267" s="233"/>
      <c r="J1267" s="233"/>
      <c r="K1267" s="233"/>
      <c r="L1267" s="233" t="str">
        <f ca="1">IF($B1260&lt;&gt;"",IF(AND($B1260="Missing Player",$G1271=2,$J1271=2),0,IF(AND($B1262="Missing Player",$G1271=2,$J1271=2),11,"")),"")</f>
        <v/>
      </c>
      <c r="M1267" s="245" t="str">
        <f ca="1">IF(OR(AND($B1267&lt;&gt;"",$B1268&lt;&gt;"",$B1267=$B1268),AND($B1269&lt;&gt;"",$B1270&lt;&gt;"",$B1269=$B1270)),"Invalid Partner","")</f>
        <v/>
      </c>
      <c r="N1267" s="246"/>
      <c r="O1267" s="246"/>
      <c r="P1267" s="247"/>
      <c r="Q1267" s="37" t="str">
        <f ca="1">IF(L1267=L1269,IF(K1267=K1269,IF(J1267&lt;&gt;"",IF(J1267&gt;J1269,"W","L"),""),IF(K1267&gt;K1269,"W","L")),IF(L1267&gt;L1269,"W","L"))</f>
        <v/>
      </c>
      <c r="T1267" s="7"/>
    </row>
    <row r="1268" spans="1:32" ht="12.75" customHeight="1" x14ac:dyDescent="0.25">
      <c r="A1268" s="260"/>
      <c r="B1268" s="266" t="str">
        <f ca="1">IF($B1260="Missing Player",$B1260,"")</f>
        <v/>
      </c>
      <c r="C1268" s="267"/>
      <c r="D1268" s="267"/>
      <c r="E1268" s="267"/>
      <c r="F1268" s="267"/>
      <c r="G1268" s="268"/>
      <c r="H1268" s="234"/>
      <c r="I1268" s="234"/>
      <c r="J1268" s="234"/>
      <c r="K1268" s="234"/>
      <c r="L1268" s="234"/>
      <c r="M1268" s="245"/>
      <c r="N1268" s="246"/>
      <c r="O1268" s="246"/>
      <c r="P1268" s="247"/>
      <c r="Q1268" s="110" t="str">
        <f ca="1">IF($Q1267&lt;&gt;"",IF($B1270&lt;&gt;"Missing Player",IF($Q1267="W",IF(SUM(IF($H1267&gt;$H1269,1,0),IF($I1267&gt;$I1269,1,0),IF($J1267&gt;$J1269,1,0),IF($K1267&gt;$K1269,1,0),IF($L1267&gt;$L1269,1,0))&lt;&gt;3,"Error",""),""),""),"")</f>
        <v/>
      </c>
      <c r="R1268" s="295" t="str">
        <f>$A1234</f>
        <v/>
      </c>
      <c r="S1268" s="295"/>
      <c r="T1268" s="295"/>
      <c r="U1268" s="295"/>
      <c r="V1268" s="295"/>
      <c r="W1268" s="295"/>
      <c r="X1268" s="219" t="str">
        <f>CONCATENATE("(",$B1233," vs ",$K1233,")")</f>
        <v>(A vs B)</v>
      </c>
      <c r="Y1268" s="219"/>
      <c r="Z1268" s="295" t="str">
        <f>$J1234</f>
        <v/>
      </c>
      <c r="AA1268" s="295"/>
      <c r="AB1268" s="295"/>
      <c r="AC1268" s="295"/>
      <c r="AD1268" s="295"/>
      <c r="AE1268" s="295"/>
      <c r="AF1268"/>
    </row>
    <row r="1269" spans="1:32" ht="12.75" customHeight="1" x14ac:dyDescent="0.25">
      <c r="A1269" s="265" t="str">
        <f>K1233</f>
        <v>B</v>
      </c>
      <c r="B1269" s="230" t="str">
        <f ca="1">IF($B1241&lt;&gt;"",$B1241,"")</f>
        <v/>
      </c>
      <c r="C1269" s="231"/>
      <c r="D1269" s="231"/>
      <c r="E1269" s="231"/>
      <c r="F1269" s="231"/>
      <c r="G1269" s="232"/>
      <c r="H1269" s="233"/>
      <c r="I1269" s="233"/>
      <c r="J1269" s="233"/>
      <c r="K1269" s="233"/>
      <c r="L1269" s="233" t="str">
        <f ca="1">IF($B1262&lt;&gt;"",IF(AND($B1262="Missing Player",$G1271=2,$J1271=2),0,IF(AND($B1260="Missing Player",$G1271=2,$J1271=2),11,"")),"")</f>
        <v/>
      </c>
      <c r="M1269" s="250" t="s">
        <v>169</v>
      </c>
      <c r="N1269" s="251"/>
      <c r="O1269" s="251"/>
      <c r="P1269" s="252"/>
      <c r="Q1269" s="37" t="str">
        <f ca="1">IF(Q1267&lt;&gt;"",IF(Q1267="W","L","W"),"")</f>
        <v/>
      </c>
      <c r="R1269"/>
      <c r="S1269"/>
      <c r="T1269"/>
      <c r="U1269"/>
      <c r="V1269"/>
      <c r="W1269"/>
      <c r="X1269"/>
      <c r="Y1269"/>
      <c r="Z1269"/>
      <c r="AA1269"/>
      <c r="AB1269"/>
      <c r="AC1269"/>
      <c r="AD1269"/>
      <c r="AE1269"/>
      <c r="AF1269"/>
    </row>
    <row r="1270" spans="1:32" ht="12.75" customHeight="1" x14ac:dyDescent="0.25">
      <c r="A1270" s="260"/>
      <c r="B1270" s="266" t="str">
        <f ca="1">IF($B1262="Missing Player",$B1262,"")</f>
        <v/>
      </c>
      <c r="C1270" s="267"/>
      <c r="D1270" s="267"/>
      <c r="E1270" s="267"/>
      <c r="F1270" s="267"/>
      <c r="G1270" s="268"/>
      <c r="H1270" s="234"/>
      <c r="I1270" s="234"/>
      <c r="J1270" s="235"/>
      <c r="K1270" s="235"/>
      <c r="L1270" s="235"/>
      <c r="M1270" s="250"/>
      <c r="N1270" s="251"/>
      <c r="O1270" s="251"/>
      <c r="P1270" s="252"/>
      <c r="Q1270" s="110" t="str">
        <f ca="1">IF($Q1269&lt;&gt;"",IF($B1268&lt;&gt;"Missing Player",IF($Q1269="W",IF(SUM(IF($H1269&gt;$H1267,1,0),IF($I1269&gt;$I1267,1,0),IF($J1269&gt;$J1267,1,0),IF($K1269&gt;$K1267,1,0),IF($L1269&gt;$L1267,1,0))&lt;&gt;3,"Error",""),""),""),"")</f>
        <v/>
      </c>
      <c r="R1270" t="str">
        <f>A1258</f>
        <v>4th Singles</v>
      </c>
      <c r="S1270"/>
      <c r="T1270"/>
      <c r="U1270"/>
      <c r="V1270"/>
      <c r="W1270"/>
      <c r="X1270"/>
      <c r="Y1270"/>
      <c r="Z1270"/>
      <c r="AA1270"/>
      <c r="AB1270"/>
      <c r="AC1270"/>
      <c r="AD1270"/>
      <c r="AE1270"/>
      <c r="AF1270"/>
    </row>
    <row r="1271" spans="1:32" ht="12.75" customHeight="1" x14ac:dyDescent="0.25">
      <c r="G1271" s="53">
        <f ca="1">COUNTIF($Q1239:$Q1239,"W")+COUNTIF($Q1246:$Q1246,"W")+COUNTIF($Q1253:$Q1253,"W")+COUNTIF($Q1260:$Q1260,"W")</f>
        <v>0</v>
      </c>
      <c r="J1271" s="53">
        <f ca="1">COUNTIF($Q1241:$Q1241,"W")+COUNTIF($Q1248:$Q1248,"W")+COUNTIF($Q1255:$Q1255,"W")+COUNTIF($Q1262:$Q1262,"W")</f>
        <v>0</v>
      </c>
      <c r="R1271" s="47" t="s">
        <v>160</v>
      </c>
      <c r="S1271" s="304" t="s">
        <v>58</v>
      </c>
      <c r="T1271" s="305"/>
      <c r="U1271" s="305"/>
      <c r="V1271" s="305"/>
      <c r="W1271" s="305"/>
      <c r="X1271" s="306"/>
      <c r="Y1271" s="47">
        <v>1</v>
      </c>
      <c r="Z1271" s="47">
        <v>2</v>
      </c>
      <c r="AA1271" s="47">
        <v>3</v>
      </c>
      <c r="AB1271" s="47">
        <v>4</v>
      </c>
      <c r="AC1271" s="47">
        <v>5</v>
      </c>
      <c r="AD1271" s="286"/>
      <c r="AE1271" s="287"/>
      <c r="AF1271" s="288"/>
    </row>
    <row r="1272" spans="1:32" ht="12.75" customHeight="1" thickBot="1" x14ac:dyDescent="0.3">
      <c r="F1272" s="212" t="s">
        <v>170</v>
      </c>
      <c r="G1272" s="212"/>
      <c r="H1272" s="212"/>
      <c r="I1272" s="212"/>
      <c r="J1272" s="212"/>
      <c r="K1272" s="212"/>
      <c r="R1272" s="259" t="str">
        <f>B1233</f>
        <v>A</v>
      </c>
      <c r="S1272" s="307" t="str">
        <f ca="1">IF($B1260&lt;&gt;"",$B1260,"")</f>
        <v/>
      </c>
      <c r="T1272" s="308"/>
      <c r="U1272" s="308"/>
      <c r="V1272" s="308"/>
      <c r="W1272" s="308"/>
      <c r="X1272" s="309"/>
      <c r="Y1272" s="284"/>
      <c r="Z1272" s="284"/>
      <c r="AA1272" s="297"/>
      <c r="AB1272" s="297"/>
      <c r="AC1272" s="297"/>
      <c r="AD1272" s="296"/>
      <c r="AE1272" s="298"/>
      <c r="AF1272" s="299"/>
    </row>
    <row r="1273" spans="1:32" ht="12.75" customHeight="1" x14ac:dyDescent="0.25">
      <c r="A1273" s="16"/>
      <c r="B1273" s="16"/>
      <c r="C1273" s="16"/>
      <c r="D1273" s="16"/>
      <c r="E1273" s="16"/>
      <c r="G1273" s="261" t="str">
        <f>B1233</f>
        <v>A</v>
      </c>
      <c r="H1273" s="262"/>
      <c r="I1273" s="263" t="str">
        <f>K1233</f>
        <v>B</v>
      </c>
      <c r="J1273" s="264"/>
      <c r="L1273" s="16"/>
      <c r="M1273" s="16"/>
      <c r="N1273" s="16"/>
      <c r="O1273" s="16"/>
      <c r="P1273" s="16"/>
      <c r="R1273" s="260"/>
      <c r="S1273" s="310"/>
      <c r="T1273" s="311"/>
      <c r="U1273" s="311"/>
      <c r="V1273" s="311"/>
      <c r="W1273" s="311"/>
      <c r="X1273" s="312"/>
      <c r="Y1273" s="285"/>
      <c r="Z1273" s="285"/>
      <c r="AA1273" s="303"/>
      <c r="AB1273" s="303"/>
      <c r="AC1273" s="303"/>
      <c r="AD1273" s="300"/>
      <c r="AE1273" s="301"/>
      <c r="AF1273" s="302"/>
    </row>
    <row r="1274" spans="1:32" ht="12.75" customHeight="1" thickBot="1" x14ac:dyDescent="0.3">
      <c r="A1274" s="2" t="s">
        <v>160</v>
      </c>
      <c r="B1274" s="40" t="str">
        <f>B1233</f>
        <v>A</v>
      </c>
      <c r="C1274" s="3" t="s">
        <v>158</v>
      </c>
      <c r="F1274" s="53" t="str">
        <f>CONCATENATE($B1233,"-",$K1233)</f>
        <v>A-B</v>
      </c>
      <c r="G1274" s="240" t="str">
        <f ca="1">IF(OR(Q1239&lt;&gt;"",Q1246&lt;&gt;"",Q1253&lt;&gt;"",Q1260&lt;&gt;"",Q1267&lt;&gt;""),COUNTIF(Q1239:Q1239,"W")+COUNTIF(Q1246:Q1246,"W")+COUNTIF(Q1253:Q1253,"W")+COUNTIF(Q1260:Q1260,"W")+COUNTIF(Q1267:Q1267,"W"),"")</f>
        <v/>
      </c>
      <c r="H1274" s="241"/>
      <c r="I1274" s="242" t="str">
        <f ca="1">IF(OR(Q1241&lt;&gt;"",Q1248&lt;&gt;"",Q1255&lt;&gt;"",Q1262&lt;&gt;"",Q1269&lt;&gt;""),COUNTIF(Q1241:Q1241,"W")+COUNTIF(Q1248:Q1248,"W")+COUNTIF(Q1255:Q1255,"W")+COUNTIF(Q1262:Q1262,"W")+COUNTIF(Q1269:Q1269,"W"),"")</f>
        <v/>
      </c>
      <c r="J1274" s="243"/>
      <c r="L1274" s="2" t="s">
        <v>160</v>
      </c>
      <c r="M1274" s="40" t="str">
        <f>K1233</f>
        <v>B</v>
      </c>
      <c r="N1274" s="3" t="s">
        <v>158</v>
      </c>
      <c r="R1274" s="259" t="str">
        <f>K1233</f>
        <v>B</v>
      </c>
      <c r="S1274" s="307" t="str">
        <f ca="1">IF($B1262&lt;&gt;"",$B1262,"")</f>
        <v/>
      </c>
      <c r="T1274" s="308"/>
      <c r="U1274" s="308"/>
      <c r="V1274" s="308"/>
      <c r="W1274" s="308"/>
      <c r="X1274" s="309"/>
      <c r="Y1274" s="284"/>
      <c r="Z1274" s="284"/>
      <c r="AA1274" s="297"/>
      <c r="AB1274" s="297"/>
      <c r="AC1274" s="297"/>
      <c r="AD1274" s="289" t="s">
        <v>169</v>
      </c>
      <c r="AE1274" s="290"/>
      <c r="AF1274" s="291"/>
    </row>
    <row r="1275" spans="1:32" ht="12.75" customHeight="1" x14ac:dyDescent="0.35">
      <c r="F1275" s="18" t="s">
        <v>403</v>
      </c>
      <c r="G1275" s="17"/>
      <c r="H1275" s="17"/>
      <c r="I1275" s="17"/>
      <c r="J1275" s="17"/>
      <c r="R1275" s="285"/>
      <c r="S1275" s="310"/>
      <c r="T1275" s="311"/>
      <c r="U1275" s="311"/>
      <c r="V1275" s="311"/>
      <c r="W1275" s="311"/>
      <c r="X1275" s="312"/>
      <c r="Y1275" s="285"/>
      <c r="Z1275" s="285"/>
      <c r="AA1275" s="285"/>
      <c r="AB1275" s="285"/>
      <c r="AC1275" s="285"/>
      <c r="AD1275" s="292"/>
      <c r="AE1275" s="293"/>
      <c r="AF1275" s="294"/>
    </row>
    <row r="1276" spans="1:32" ht="12.75" customHeight="1" x14ac:dyDescent="0.25">
      <c r="R1276" s="1"/>
      <c r="S1276" s="11"/>
      <c r="T1276" s="11"/>
      <c r="U1276" s="11"/>
      <c r="V1276" s="11"/>
      <c r="W1276" s="11"/>
    </row>
    <row r="1277" spans="1:32" ht="12.75" customHeight="1" x14ac:dyDescent="0.25">
      <c r="F1277" s="212"/>
      <c r="G1277" s="212"/>
      <c r="H1277" s="212"/>
      <c r="I1277" s="212"/>
      <c r="R1277" s="1"/>
      <c r="S1277" s="11"/>
      <c r="T1277" s="11"/>
      <c r="U1277" s="11"/>
      <c r="V1277" s="11"/>
      <c r="W1277" s="11"/>
    </row>
    <row r="1278" spans="1:32" ht="12.75" customHeight="1" x14ac:dyDescent="0.25">
      <c r="F1278" s="212"/>
      <c r="G1278" s="212"/>
      <c r="H1278" s="212"/>
      <c r="I1278" s="212"/>
      <c r="R1278" s="1"/>
      <c r="S1278" s="11"/>
      <c r="T1278" s="11"/>
      <c r="U1278" s="11"/>
      <c r="V1278" s="11"/>
      <c r="W1278" s="11"/>
    </row>
    <row r="1279" spans="1:32" ht="12.75" customHeight="1" x14ac:dyDescent="0.25">
      <c r="K1279" s="219" t="s">
        <v>176</v>
      </c>
      <c r="L1279" s="219"/>
      <c r="M1279" s="219"/>
      <c r="N1279" s="219"/>
      <c r="O1279" s="219"/>
      <c r="P1279" s="219"/>
      <c r="R1279" s="1"/>
      <c r="S1279" s="11"/>
      <c r="T1279" s="11"/>
      <c r="U1279" s="11"/>
      <c r="V1279" s="11"/>
      <c r="W1279" s="11"/>
    </row>
    <row r="1280" spans="1:32" ht="12.75" customHeight="1" x14ac:dyDescent="0.25">
      <c r="A1280" s="9" t="s">
        <v>161</v>
      </c>
      <c r="B1280"/>
      <c r="C1280"/>
      <c r="D1280" t="str">
        <f>Draw!$B$1</f>
        <v>Enter Division Name</v>
      </c>
      <c r="E1280"/>
      <c r="F1280" s="6"/>
      <c r="G1280" s="6"/>
      <c r="H1280" s="6"/>
      <c r="I1280"/>
      <c r="J1280"/>
      <c r="K1280"/>
      <c r="L1280"/>
      <c r="M1280" s="219"/>
      <c r="N1280" s="219"/>
      <c r="O1280" s="219"/>
      <c r="P1280" s="219"/>
      <c r="R1280" s="1"/>
      <c r="S1280" s="11"/>
      <c r="T1280" s="11"/>
      <c r="U1280" s="11"/>
      <c r="V1280" s="11"/>
      <c r="W1280" s="11"/>
    </row>
    <row r="1281" spans="1:32" ht="12.75" customHeight="1" x14ac:dyDescent="0.25">
      <c r="A1281" s="2" t="s">
        <v>162</v>
      </c>
      <c r="D1281" t="str">
        <f>Draw!$D$1</f>
        <v>Enter Hosting Location (City, ST)</v>
      </c>
      <c r="J1281" t="str">
        <f ca="1">$J$6</f>
        <v>[NCTTA Teams Template (v3.4).xlsx]</v>
      </c>
      <c r="R1281" s="1"/>
      <c r="S1281" s="11"/>
      <c r="T1281" s="11"/>
      <c r="U1281" s="11"/>
      <c r="V1281" s="11"/>
      <c r="W1281" s="11"/>
    </row>
    <row r="1282" spans="1:32" ht="12.75" customHeight="1" x14ac:dyDescent="0.25">
      <c r="A1282" s="2" t="s">
        <v>163</v>
      </c>
      <c r="D1282" s="275" t="str">
        <f>Draw!$P$1</f>
        <v>Enter Date</v>
      </c>
      <c r="E1282" s="275"/>
      <c r="F1282" s="275"/>
      <c r="G1282" s="275"/>
      <c r="J1282" s="244" t="str">
        <f>CHOOSE(Draw!$T$1,"Round 5, Match 2","Round 4, Match 5","","","","","","Round 7, Match 2","Round 7, Match 2","Round 6, Match 1","Round 6, Match 1")</f>
        <v>Round 5, Match 2</v>
      </c>
      <c r="K1282" s="244"/>
      <c r="L1282" s="244"/>
      <c r="M1282" s="277" t="str">
        <f>IF(AND($J1282&lt;&gt;"",Draw!$AC$10&lt;&gt;"",Draw!$AC$13&lt;&gt;""),Draw!$AC$10+TIME(0,VALUE(MID($J1282,7,FIND(",",$J1282)-FIND(" ",$J1282)-1)-1)*Draw!$AC$13,0),"")</f>
        <v/>
      </c>
      <c r="N1282" s="277"/>
      <c r="O1282" s="125" t="str">
        <f>$F1325</f>
        <v>C-L</v>
      </c>
      <c r="R1282" s="1"/>
      <c r="S1282" s="11"/>
      <c r="T1282" s="11"/>
      <c r="U1282" s="11"/>
      <c r="V1282" s="11"/>
      <c r="W1282" s="11"/>
    </row>
    <row r="1283" spans="1:32" ht="12.75" customHeight="1" x14ac:dyDescent="0.25">
      <c r="A1283" s="6"/>
      <c r="B1283"/>
      <c r="C1283"/>
      <c r="D1283"/>
      <c r="E1283"/>
      <c r="F1283" s="6"/>
      <c r="G1283" s="6"/>
      <c r="H1283" s="11"/>
      <c r="I1283" s="6"/>
      <c r="J1283"/>
      <c r="K1283"/>
      <c r="L1283"/>
      <c r="M1283"/>
      <c r="N1283"/>
      <c r="O1283" s="269" t="str">
        <f>IF(OR(AND(VLOOKUP($B1284,$AM$1:$AX$12,12,FALSE)="C",VLOOKUP($K1284,$AM$1:$AX$12,12,FALSE)="C"),AND(VLOOKUP($B1284,$AM$1:$AX$12,12,FALSE)="W",VLOOKUP($K1284,$AM$1:$AX$12,12,FALSE)="W")),"Official",IF(AND($A1285="",$J1285=""),"","Scrimmage"))</f>
        <v/>
      </c>
      <c r="P1283" s="269"/>
      <c r="R1283" s="1"/>
      <c r="S1283" s="11"/>
      <c r="T1283" s="11"/>
      <c r="U1283" s="11"/>
      <c r="V1283" s="11"/>
      <c r="W1283" s="11"/>
    </row>
    <row r="1284" spans="1:32" ht="12.75" customHeight="1" x14ac:dyDescent="0.25">
      <c r="A1284" s="12" t="s">
        <v>160</v>
      </c>
      <c r="B1284" s="98" t="str">
        <f>CHOOSE(Draw!$T$1,"C","I","A","B","C","B","A","E","B","A","A")</f>
        <v>C</v>
      </c>
      <c r="C1284" s="109">
        <f>VLOOKUP($B1284,$AM$1:$AN$12,2)</f>
        <v>3</v>
      </c>
      <c r="D1284" s="10"/>
      <c r="E1284" s="10"/>
      <c r="F1284" s="8"/>
      <c r="H1284" s="1" t="s">
        <v>164</v>
      </c>
      <c r="J1284" s="12" t="s">
        <v>160</v>
      </c>
      <c r="K1284" s="98" t="str">
        <f>CHOOSE(Draw!$T$1,"L","L","L","H","G","K","L","G","D","D","G")</f>
        <v>L</v>
      </c>
      <c r="L1284" s="109">
        <f>VLOOKUP($K1284,$AM$1:$AN$12,2)</f>
        <v>12</v>
      </c>
      <c r="M1284" s="10"/>
      <c r="N1284" s="10"/>
      <c r="O1284" s="13"/>
      <c r="R1284" s="1"/>
      <c r="S1284" s="11"/>
      <c r="T1284" s="11"/>
      <c r="U1284" s="11"/>
      <c r="V1284" s="11"/>
      <c r="W1284" s="11"/>
    </row>
    <row r="1285" spans="1:32" ht="12.75" customHeight="1" x14ac:dyDescent="0.25">
      <c r="A1285" s="253" t="str">
        <f>IF(VLOOKUP($B1284,Draw!$A$4:$B$27,2)&lt;&gt;0,VLOOKUP($B1284,Draw!$A$4:$B$27,2),"")</f>
        <v/>
      </c>
      <c r="B1285" s="254"/>
      <c r="C1285" s="254"/>
      <c r="D1285" s="254"/>
      <c r="E1285" s="254"/>
      <c r="F1285" s="255"/>
      <c r="G1285" s="273" t="s">
        <v>429</v>
      </c>
      <c r="H1285" s="249"/>
      <c r="I1285" s="274"/>
      <c r="J1285" s="253" t="str">
        <f>IF(VLOOKUP($K1284,Draw!$A$4:$B$27,2)&lt;&gt;0,VLOOKUP($K1284,Draw!$A$4:$B$27,2),"")</f>
        <v/>
      </c>
      <c r="K1285" s="254"/>
      <c r="L1285" s="254"/>
      <c r="M1285" s="254"/>
      <c r="N1285" s="254"/>
      <c r="O1285" s="255"/>
      <c r="P1285"/>
      <c r="R1285" s="1"/>
      <c r="S1285" s="11"/>
      <c r="T1285" s="11"/>
      <c r="U1285" s="11"/>
      <c r="V1285" s="11"/>
      <c r="W1285" s="11"/>
    </row>
    <row r="1286" spans="1:32" ht="12.75" customHeight="1" x14ac:dyDescent="0.25">
      <c r="A1286" s="6"/>
      <c r="B1286"/>
      <c r="C1286"/>
      <c r="D1286"/>
      <c r="E1286"/>
      <c r="F1286" s="6"/>
      <c r="G1286" s="248" t="str">
        <f>"Page "&amp;VALUE(RIGHT($G1285,LEN($G1285)-SEARCH("-",$G1285)))/2</f>
        <v>Page 26</v>
      </c>
      <c r="H1286" s="249"/>
      <c r="I1286" s="249"/>
      <c r="J1286"/>
      <c r="K1286"/>
      <c r="L1286"/>
      <c r="M1286"/>
      <c r="N1286"/>
      <c r="O1286"/>
      <c r="P1286"/>
      <c r="R1286" s="1"/>
      <c r="S1286" s="11"/>
      <c r="T1286" s="11"/>
      <c r="U1286" s="11"/>
      <c r="V1286" s="11"/>
      <c r="W1286" s="11"/>
      <c r="AF1286"/>
    </row>
    <row r="1287" spans="1:32" ht="12.75" customHeight="1" x14ac:dyDescent="0.25">
      <c r="A1287" s="276" t="s">
        <v>177</v>
      </c>
      <c r="B1287" s="276"/>
      <c r="C1287" s="276"/>
      <c r="D1287" s="276"/>
      <c r="E1287" s="276"/>
      <c r="F1287" s="276"/>
      <c r="G1287" s="276"/>
      <c r="H1287" s="276"/>
      <c r="I1287" s="276"/>
      <c r="J1287" s="276"/>
      <c r="K1287" s="276"/>
      <c r="L1287" s="276"/>
      <c r="M1287" s="276"/>
      <c r="N1287" s="276"/>
      <c r="O1287" s="276"/>
      <c r="P1287" s="276"/>
      <c r="Q1287" s="6"/>
      <c r="R1287" s="1"/>
      <c r="S1287" s="11"/>
      <c r="T1287" s="11"/>
      <c r="U1287" s="11"/>
      <c r="V1287" s="11"/>
      <c r="W1287" s="11"/>
      <c r="AF1287" s="14"/>
    </row>
    <row r="1288" spans="1:32" ht="12.75" customHeight="1" x14ac:dyDescent="0.25">
      <c r="A1288" s="15" t="s">
        <v>165</v>
      </c>
      <c r="H1288" s="110" t="str">
        <f>IF($Q1290&lt;&gt;"",IF(AND(AND($H1290&gt;-1,$H1292&gt;-1),OR($H1290&gt;10,$H1292&gt;10),ABS($H1290-$H1292)&gt;1,IF(OR($H1290&gt;11,$H1292&gt;11),ABS($H1290-$H1292)=2,TRUE),$H1290=INT($H1290),$H1292=INT($H1292)),"","Error"),"")</f>
        <v/>
      </c>
      <c r="I1288" s="110" t="str">
        <f>IF($Q1290&lt;&gt;"",IF(AND(AND($I1290&gt;-1,$I1292&gt;-1),OR($I1290&gt;10,$I1292&gt;10),ABS($I1290-$I1292)&gt;1,IF(OR($I1290&gt;11,$I1292&gt;11),ABS($I1290-$I1292)=2,TRUE),$I1290=INT($I1290),$I1292=INT($I1292)),"","Error"),"")</f>
        <v/>
      </c>
      <c r="J1288" s="110" t="str">
        <f>IF($Q1290&lt;&gt;"",IF(AND(AND($J1290&gt;-1,$J1292&gt;-1),OR($J1290&gt;10,$J1292&gt;10),ABS($J1290-$J1292)&gt;1,IF(OR($J1290&gt;11,$J1292&gt;11),ABS($J1290-$J1292)=2,TRUE),$J1290=INT($J1290),$J1292=INT($J1292)),"","Error"),"")</f>
        <v/>
      </c>
      <c r="K1288" s="110" t="str">
        <f>IF($Q1290&lt;&gt;"",IF(AND($K1290&lt;&gt;"",$K1292&lt;&gt;""), IF(AND(AND($K1290&gt;-1,$K1292&gt;-1),OR($K1290&gt;10,$K1292&gt;10),ABS($K1290-$K1292)&gt;1,IF(OR($K1290&gt;11,$K1292&gt;11),ABS($K1290-$K1292)=2,TRUE),$K1290=INT($K1290),$K1292=INT($K1292)),"","Error"),""),"")</f>
        <v/>
      </c>
      <c r="L1288" s="110" t="str">
        <f>IF($Q1290&lt;&gt;"",IF(AND($L1290&lt;&gt;"",$L1292&lt;&gt;""), IF(AND(AND($L1290&gt;-1,$L1292&gt;-1),OR($L1290&gt;10,$L1292&gt;10),ABS($L1290-$L1292)&gt;1,IF(OR($L1290&gt;11,$L1292&gt;11),ABS($L1290-$L1292)=2,TRUE),$L1290=INT($L1290),$L1292=INT($L1292)),"","Error"),""),"")</f>
        <v/>
      </c>
      <c r="R1288" s="1"/>
      <c r="S1288" s="11"/>
      <c r="T1288" s="11"/>
      <c r="U1288" s="11"/>
      <c r="V1288" s="11"/>
      <c r="W1288" s="11"/>
    </row>
    <row r="1289" spans="1:32" ht="12.75" customHeight="1" x14ac:dyDescent="0.25">
      <c r="A1289" s="5" t="s">
        <v>160</v>
      </c>
      <c r="B1289" s="256" t="s">
        <v>58</v>
      </c>
      <c r="C1289" s="257"/>
      <c r="D1289" s="257"/>
      <c r="E1289" s="257"/>
      <c r="F1289" s="257"/>
      <c r="G1289" s="258"/>
      <c r="H1289" s="5">
        <v>1</v>
      </c>
      <c r="I1289" s="5">
        <v>2</v>
      </c>
      <c r="J1289" s="5">
        <v>3</v>
      </c>
      <c r="K1289" s="5">
        <v>4</v>
      </c>
      <c r="L1289" s="5">
        <v>5</v>
      </c>
      <c r="M1289" s="270"/>
      <c r="N1289" s="271"/>
      <c r="O1289" s="271"/>
      <c r="P1289" s="272"/>
      <c r="R1289" s="1"/>
      <c r="S1289" s="11"/>
      <c r="T1289" s="11"/>
      <c r="U1289" s="11"/>
      <c r="V1289" s="11"/>
      <c r="W1289" s="11"/>
    </row>
    <row r="1290" spans="1:32" ht="12.75" customHeight="1" x14ac:dyDescent="0.25">
      <c r="A1290" s="259" t="str">
        <f>B1284</f>
        <v>C</v>
      </c>
      <c r="B1290" s="236" t="str">
        <f ca="1">IF(AND(OFFSET($AO$1,$C1284-1,8,1,1),$A1285&lt;&gt;"",$J1285&lt;&gt;""),CHOOSE($C1284,$AO$1,$AO$2,$AO$3,$AO$4,$AO$5,$AO$6,$AO$7,$AO$8,$AO$9,$AO$10,$AO$11,$AO$12),"")</f>
        <v/>
      </c>
      <c r="C1290" s="237"/>
      <c r="D1290" s="237"/>
      <c r="E1290" s="237"/>
      <c r="F1290" s="237"/>
      <c r="G1290" s="237"/>
      <c r="H1290" s="233"/>
      <c r="I1290" s="233"/>
      <c r="J1290" s="233"/>
      <c r="K1290" s="233"/>
      <c r="L1290" s="233"/>
      <c r="M1290" s="281"/>
      <c r="N1290" s="282"/>
      <c r="O1290" s="282"/>
      <c r="P1290" s="283"/>
      <c r="Q1290" s="40" t="str">
        <f>IF($L1290=$L1292,IF($K1290=$K1292,IF($J1290&lt;&gt;"",IF($J1290&gt;$J1292,"W","L"),""),IF($K1290&gt;$K1292,"W","L")),IF($L1290&gt;$L1292,"W","L"))</f>
        <v/>
      </c>
      <c r="R1290" s="1"/>
      <c r="S1290" s="11"/>
      <c r="T1290" s="11"/>
      <c r="U1290" s="11"/>
      <c r="V1290" s="11"/>
      <c r="W1290" s="11"/>
    </row>
    <row r="1291" spans="1:32" ht="12.75" customHeight="1" x14ac:dyDescent="0.25">
      <c r="A1291" s="260"/>
      <c r="B1291" s="238"/>
      <c r="C1291" s="239"/>
      <c r="D1291" s="239"/>
      <c r="E1291" s="239"/>
      <c r="F1291" s="239"/>
      <c r="G1291" s="239"/>
      <c r="H1291" s="234"/>
      <c r="I1291" s="234"/>
      <c r="J1291" s="234"/>
      <c r="K1291" s="234"/>
      <c r="L1291" s="234"/>
      <c r="M1291" s="281"/>
      <c r="N1291" s="282"/>
      <c r="O1291" s="282"/>
      <c r="P1291" s="283"/>
      <c r="Q1291" s="110" t="str">
        <f>IF($Q1290&lt;&gt;"",IF($Q1290="W",IF(SUM(IF($H1290&gt;$H1292,1,0),IF($I1290&gt;$I1292,1,0),IF($J1290&gt;$J1292,1,0),IF($K1290&gt;$K1292,1,0),IF($L1290&gt;$L1292,1,0))&lt;&gt;3,"Error",""),""),"")</f>
        <v/>
      </c>
      <c r="R1291" s="295" t="str">
        <f>$A1285</f>
        <v/>
      </c>
      <c r="S1291" s="295"/>
      <c r="T1291" s="295"/>
      <c r="U1291" s="295"/>
      <c r="V1291" s="295"/>
      <c r="W1291" s="295"/>
      <c r="X1291" s="219" t="str">
        <f>CONCATENATE("(",$B1284," vs ",$K1284,")")</f>
        <v>(C vs L)</v>
      </c>
      <c r="Y1291" s="219"/>
      <c r="Z1291" s="295" t="str">
        <f>$J1285</f>
        <v/>
      </c>
      <c r="AA1291" s="295"/>
      <c r="AB1291" s="295"/>
      <c r="AC1291" s="295"/>
      <c r="AD1291" s="295"/>
      <c r="AE1291" s="295"/>
      <c r="AF1291"/>
    </row>
    <row r="1292" spans="1:32" ht="12.75" customHeight="1" x14ac:dyDescent="0.25">
      <c r="A1292" s="259" t="str">
        <f>K1284</f>
        <v>L</v>
      </c>
      <c r="B1292" s="236" t="str">
        <f ca="1">IF(AND(OFFSET($AO$1,$L1284-1,8,1,1),$A1285&lt;&gt;"",$J1285&lt;&gt;""),CHOOSE($L1284,$AO$1,$AO$2,$AO$3,$AO$4,$AO$5,$AO$6,$AO$7,$AO$8,$AO$9,$AO$10,$AO$11,$AO$12),"")</f>
        <v/>
      </c>
      <c r="C1292" s="237"/>
      <c r="D1292" s="237"/>
      <c r="E1292" s="237"/>
      <c r="F1292" s="237"/>
      <c r="G1292" s="237"/>
      <c r="H1292" s="233"/>
      <c r="I1292" s="233"/>
      <c r="J1292" s="233"/>
      <c r="K1292" s="233"/>
      <c r="L1292" s="233"/>
      <c r="M1292" s="250" t="s">
        <v>169</v>
      </c>
      <c r="N1292" s="251"/>
      <c r="O1292" s="251"/>
      <c r="P1292" s="252"/>
      <c r="Q1292" s="40" t="str">
        <f>IF($Q1290&lt;&gt;"",IF($Q1290="W","L","W"),"")</f>
        <v/>
      </c>
      <c r="R1292"/>
      <c r="S1292"/>
      <c r="T1292"/>
      <c r="U1292"/>
      <c r="V1292"/>
      <c r="W1292"/>
      <c r="X1292"/>
      <c r="Y1292"/>
      <c r="Z1292"/>
      <c r="AA1292"/>
      <c r="AB1292"/>
      <c r="AC1292"/>
      <c r="AD1292"/>
      <c r="AE1292"/>
      <c r="AF1292"/>
    </row>
    <row r="1293" spans="1:32" ht="12.75" customHeight="1" x14ac:dyDescent="0.25">
      <c r="A1293" s="260"/>
      <c r="B1293" s="238"/>
      <c r="C1293" s="239"/>
      <c r="D1293" s="239"/>
      <c r="E1293" s="239"/>
      <c r="F1293" s="239"/>
      <c r="G1293" s="239"/>
      <c r="H1293" s="234"/>
      <c r="I1293" s="234"/>
      <c r="J1293" s="235"/>
      <c r="K1293" s="235"/>
      <c r="L1293" s="235"/>
      <c r="M1293" s="250"/>
      <c r="N1293" s="251"/>
      <c r="O1293" s="251"/>
      <c r="P1293" s="252"/>
      <c r="Q1293" s="110" t="str">
        <f>IF($Q1292&lt;&gt;"",IF($Q1292="W",IF(SUM(IF($H1292&gt;$H1290,1,0),IF($I1292&gt;$I1290,1,0),IF($J1292&gt;$J1290,1,0),IF($K1292&gt;$K1290,1,0),IF($L1292&gt;$L1290,1,0))&lt;&gt;3,"Error",""),""),"")</f>
        <v/>
      </c>
      <c r="R1293" t="str">
        <f>$A1295</f>
        <v>2nd Singles</v>
      </c>
      <c r="S1293"/>
      <c r="T1293"/>
      <c r="U1293"/>
      <c r="V1293"/>
      <c r="W1293"/>
      <c r="X1293"/>
      <c r="Y1293"/>
      <c r="Z1293"/>
      <c r="AA1293"/>
      <c r="AB1293"/>
      <c r="AC1293"/>
      <c r="AD1293"/>
      <c r="AE1293"/>
      <c r="AF1293"/>
    </row>
    <row r="1294" spans="1:32" ht="12.75" customHeight="1" x14ac:dyDescent="0.25">
      <c r="Q1294" s="6"/>
      <c r="R1294" s="47" t="s">
        <v>160</v>
      </c>
      <c r="S1294" s="304" t="s">
        <v>58</v>
      </c>
      <c r="T1294" s="305"/>
      <c r="U1294" s="305"/>
      <c r="V1294" s="305"/>
      <c r="W1294" s="305"/>
      <c r="X1294" s="306"/>
      <c r="Y1294" s="47">
        <v>1</v>
      </c>
      <c r="Z1294" s="47">
        <v>2</v>
      </c>
      <c r="AA1294" s="47">
        <v>3</v>
      </c>
      <c r="AB1294" s="47">
        <v>4</v>
      </c>
      <c r="AC1294" s="47">
        <v>5</v>
      </c>
      <c r="AD1294" s="286"/>
      <c r="AE1294" s="287"/>
      <c r="AF1294" s="288"/>
    </row>
    <row r="1295" spans="1:32" ht="12.75" customHeight="1" x14ac:dyDescent="0.25">
      <c r="A1295" s="15" t="s">
        <v>166</v>
      </c>
      <c r="H1295" s="110" t="str">
        <f>IF($Q1297&lt;&gt;"",IF(AND(AND($H1297&gt;-1,$H1299&gt;-1),OR($H1297&gt;10,$H1299&gt;10),ABS($H1297-$H1299)&gt;1,IF(OR($H1297&gt;11,$H1299&gt;11),ABS($H1297-$H1299)=2,TRUE),$H1297=INT($H1297),$H1299=INT($H1299)),"","Error"),"")</f>
        <v/>
      </c>
      <c r="I1295" s="110" t="str">
        <f>IF($Q1297&lt;&gt;"",IF(AND(AND($I1297&gt;-1,$I1299&gt;-1),OR($I1297&gt;10,$I1299&gt;10),ABS($I1297-$I1299)&gt;1,IF(OR($I1297&gt;11,$I1299&gt;11),ABS($I1297-$I1299)=2,TRUE),$I1297=INT($I1297),$I1299=INT($I1299)),"","Error"),"")</f>
        <v/>
      </c>
      <c r="J1295" s="110" t="str">
        <f>IF($Q1297&lt;&gt;"",IF(AND(AND($J1297&gt;-1,$J1299&gt;-1),OR($J1297&gt;10,$J1299&gt;10),ABS($J1297-$J1299)&gt;1,IF(OR($J1297&gt;11,$J1299&gt;11),ABS($J1297-$J1299)=2,TRUE),$J1297=INT($J1297),$J1299=INT($J1299)),"","Error"),"")</f>
        <v/>
      </c>
      <c r="K1295" s="110" t="str">
        <f>IF($Q1297&lt;&gt;"",IF(AND($K1297&lt;&gt;"",$K1299&lt;&gt;""), IF(AND(AND($K1297&gt;-1,$K1299&gt;-1),OR($K1297&gt;10,$K1299&gt;10),ABS($K1297-$K1299)&gt;1,IF(OR($K1297&gt;11,$K1299&gt;11),ABS($K1297-$K1299)=2,TRUE),$K1297=INT($K1297),$K1299=INT($K1299)),"","Error"),""),"")</f>
        <v/>
      </c>
      <c r="L1295" s="110" t="str">
        <f>IF($Q1297&lt;&gt;"",IF(AND($L1297&lt;&gt;"",$L1299&lt;&gt;""), IF(AND(AND($L1297&gt;-1,$L1299&gt;-1),OR($L1297&gt;10,$L1299&gt;10),ABS($L1297-$L1299)&gt;1,IF(OR($L1297&gt;11,$L1299&gt;11),ABS($L1297-$L1299)=2,TRUE),$L1297=INT($L1297),$L1299=INT($L1299)),"","Error"),""),"")</f>
        <v/>
      </c>
      <c r="Q1295" s="6"/>
      <c r="R1295" s="259" t="str">
        <f>$B1284</f>
        <v>C</v>
      </c>
      <c r="S1295" s="307" t="str">
        <f ca="1">IF($B1297&lt;&gt;"",$B1297,"")</f>
        <v/>
      </c>
      <c r="T1295" s="308"/>
      <c r="U1295" s="308"/>
      <c r="V1295" s="308"/>
      <c r="W1295" s="308"/>
      <c r="X1295" s="309"/>
      <c r="Y1295" s="284"/>
      <c r="Z1295" s="284"/>
      <c r="AA1295" s="284"/>
      <c r="AB1295" s="284"/>
      <c r="AC1295" s="284"/>
      <c r="AD1295" s="296"/>
      <c r="AE1295" s="290"/>
      <c r="AF1295" s="291"/>
    </row>
    <row r="1296" spans="1:32" ht="12.75" customHeight="1" x14ac:dyDescent="0.25">
      <c r="A1296" s="5" t="s">
        <v>160</v>
      </c>
      <c r="B1296" s="256" t="s">
        <v>58</v>
      </c>
      <c r="C1296" s="257"/>
      <c r="D1296" s="257"/>
      <c r="E1296" s="257"/>
      <c r="F1296" s="257"/>
      <c r="G1296" s="258"/>
      <c r="H1296" s="5">
        <v>1</v>
      </c>
      <c r="I1296" s="5">
        <v>2</v>
      </c>
      <c r="J1296" s="5">
        <v>3</v>
      </c>
      <c r="K1296" s="5">
        <v>4</v>
      </c>
      <c r="L1296" s="5">
        <v>5</v>
      </c>
      <c r="M1296" s="270"/>
      <c r="N1296" s="271"/>
      <c r="O1296" s="271"/>
      <c r="P1296" s="272"/>
      <c r="Q1296" s="6"/>
      <c r="R1296" s="285"/>
      <c r="S1296" s="310"/>
      <c r="T1296" s="311"/>
      <c r="U1296" s="311"/>
      <c r="V1296" s="311"/>
      <c r="W1296" s="311"/>
      <c r="X1296" s="312"/>
      <c r="Y1296" s="285"/>
      <c r="Z1296" s="285"/>
      <c r="AA1296" s="285"/>
      <c r="AB1296" s="285"/>
      <c r="AC1296" s="285"/>
      <c r="AD1296" s="292"/>
      <c r="AE1296" s="293"/>
      <c r="AF1296" s="294"/>
    </row>
    <row r="1297" spans="1:32" ht="12.75" customHeight="1" x14ac:dyDescent="0.25">
      <c r="A1297" s="259" t="str">
        <f>B1284</f>
        <v>C</v>
      </c>
      <c r="B1297" s="236" t="str">
        <f ca="1">IF(AND(OFFSET($AO$1,$C1284-1,8,1,1),$A1285&lt;&gt;"",$J1285&lt;&gt;""),CHOOSE($C1284,$AP$1,$AP$2,$AP$3,$AP$4,$AP$5,$AP$6,$AP$7,$AP$8,$AP$9,$AP$10,$AP$11,$AP$12),"")</f>
        <v/>
      </c>
      <c r="C1297" s="237"/>
      <c r="D1297" s="237"/>
      <c r="E1297" s="237"/>
      <c r="F1297" s="237"/>
      <c r="G1297" s="237"/>
      <c r="H1297" s="233"/>
      <c r="I1297" s="233"/>
      <c r="J1297" s="233"/>
      <c r="K1297" s="233"/>
      <c r="L1297" s="233"/>
      <c r="M1297" s="245" t="str">
        <f ca="1">IF(OR(AND($B1290&lt;&gt;"",$B1297&lt;&gt;"",$C1315&lt;=$B1315),AND($B1292&lt;&gt;"",$B1299&lt;&gt;"",$G1315&lt;=$F1315)),"Invalid Lineup","")</f>
        <v/>
      </c>
      <c r="N1297" s="246"/>
      <c r="O1297" s="246"/>
      <c r="P1297" s="247"/>
      <c r="Q1297" s="40" t="str">
        <f>IF($L1297=$L1299,IF($K1297=$K1299,IF($J1297&lt;&gt;"",IF($J1297&gt;$J1299,"W","L"),""),IF($K1297&gt;$K1299,"W","L")),IF($L1297&gt;$L1299,"W","L"))</f>
        <v/>
      </c>
      <c r="R1297" s="259" t="str">
        <f>$K1284</f>
        <v>L</v>
      </c>
      <c r="S1297" s="307" t="str">
        <f ca="1">IF($B1299&lt;&gt;"",$B1299,"")</f>
        <v/>
      </c>
      <c r="T1297" s="308"/>
      <c r="U1297" s="308"/>
      <c r="V1297" s="308"/>
      <c r="W1297" s="308"/>
      <c r="X1297" s="309"/>
      <c r="Y1297" s="284"/>
      <c r="Z1297" s="284"/>
      <c r="AA1297" s="284"/>
      <c r="AB1297" s="284"/>
      <c r="AC1297" s="297"/>
      <c r="AD1297" s="289" t="s">
        <v>169</v>
      </c>
      <c r="AE1297" s="290"/>
      <c r="AF1297" s="291"/>
    </row>
    <row r="1298" spans="1:32" ht="12.75" customHeight="1" x14ac:dyDescent="0.25">
      <c r="A1298" s="260"/>
      <c r="B1298" s="238"/>
      <c r="C1298" s="239"/>
      <c r="D1298" s="239"/>
      <c r="E1298" s="239"/>
      <c r="F1298" s="239"/>
      <c r="G1298" s="239"/>
      <c r="H1298" s="234"/>
      <c r="I1298" s="234"/>
      <c r="J1298" s="234"/>
      <c r="K1298" s="234"/>
      <c r="L1298" s="234"/>
      <c r="M1298" s="245"/>
      <c r="N1298" s="246"/>
      <c r="O1298" s="246"/>
      <c r="P1298" s="247"/>
      <c r="Q1298" s="110" t="str">
        <f>IF($Q1297&lt;&gt;"",IF($Q1297="W",IF(SUM(IF($H1297&gt;$H1299,1,0),IF($I1297&gt;$I1299,1,0),IF($J1297&gt;$J1299,1,0),IF($K1297&gt;$K1299,1,0),IF($L1297&gt;$L1299,1,0))&lt;&gt;3,"Error",""),""),"")</f>
        <v/>
      </c>
      <c r="R1298" s="285"/>
      <c r="S1298" s="310"/>
      <c r="T1298" s="311"/>
      <c r="U1298" s="311"/>
      <c r="V1298" s="311"/>
      <c r="W1298" s="311"/>
      <c r="X1298" s="312"/>
      <c r="Y1298" s="285"/>
      <c r="Z1298" s="285"/>
      <c r="AA1298" s="285"/>
      <c r="AB1298" s="285"/>
      <c r="AC1298" s="285"/>
      <c r="AD1298" s="292"/>
      <c r="AE1298" s="293"/>
      <c r="AF1298" s="294"/>
    </row>
    <row r="1299" spans="1:32" ht="12.75" customHeight="1" x14ac:dyDescent="0.25">
      <c r="A1299" s="259" t="str">
        <f>K1284</f>
        <v>L</v>
      </c>
      <c r="B1299" s="236" t="str">
        <f ca="1">IF(AND(OFFSET($AO$1,$L1284-1,8,1,1),$A1285&lt;&gt;"",$J1285&lt;&gt;""),CHOOSE($L1284,$AP$1,$AP$2,$AP$3,$AP$4,$AP$5,$AP$6,$AP$7,$AP$8,$AP$9,$AP$10,$AP$11,$AP$12),"")</f>
        <v/>
      </c>
      <c r="C1299" s="237"/>
      <c r="D1299" s="237"/>
      <c r="E1299" s="237"/>
      <c r="F1299" s="237"/>
      <c r="G1299" s="237"/>
      <c r="H1299" s="233"/>
      <c r="I1299" s="233"/>
      <c r="J1299" s="233"/>
      <c r="K1299" s="233"/>
      <c r="L1299" s="233"/>
      <c r="M1299" s="250" t="s">
        <v>169</v>
      </c>
      <c r="N1299" s="251"/>
      <c r="O1299" s="251"/>
      <c r="P1299" s="252"/>
      <c r="Q1299" s="40" t="str">
        <f>IF($Q1297&lt;&gt;"",IF($Q1297="W","L","W"),"")</f>
        <v/>
      </c>
      <c r="R1299" s="14"/>
      <c r="S1299" s="14"/>
      <c r="T1299" s="14"/>
      <c r="U1299" s="14"/>
      <c r="V1299" s="14"/>
      <c r="W1299" s="14"/>
      <c r="X1299" s="7"/>
      <c r="Y1299" s="7"/>
      <c r="Z1299" s="14"/>
      <c r="AA1299" s="14"/>
      <c r="AB1299" s="14"/>
      <c r="AC1299" s="14"/>
      <c r="AD1299" s="14"/>
      <c r="AE1299" s="14"/>
      <c r="AF1299"/>
    </row>
    <row r="1300" spans="1:32" ht="12.75" customHeight="1" x14ac:dyDescent="0.25">
      <c r="A1300" s="260"/>
      <c r="B1300" s="238"/>
      <c r="C1300" s="239"/>
      <c r="D1300" s="239"/>
      <c r="E1300" s="239"/>
      <c r="F1300" s="239"/>
      <c r="G1300" s="239"/>
      <c r="H1300" s="234"/>
      <c r="I1300" s="234"/>
      <c r="J1300" s="235"/>
      <c r="K1300" s="235"/>
      <c r="L1300" s="235"/>
      <c r="M1300" s="250"/>
      <c r="N1300" s="251"/>
      <c r="O1300" s="251"/>
      <c r="P1300" s="252"/>
      <c r="Q1300" s="110" t="str">
        <f>IF($Q1299&lt;&gt;"",IF($Q1299="W",IF(SUM(IF($H1299&gt;$H1297,1,0),IF($I1299&gt;$I1297,1,0),IF($J1299&gt;$J1297,1,0),IF($K1299&gt;$K1297,1,0),IF($L1299&gt;$L1297,1,0))&lt;&gt;3,"Error",""),""),"")</f>
        <v/>
      </c>
      <c r="R1300" s="14"/>
      <c r="S1300" s="14"/>
      <c r="T1300" s="14"/>
      <c r="U1300" s="14"/>
      <c r="V1300" s="14"/>
      <c r="W1300" s="14"/>
      <c r="X1300" s="7"/>
      <c r="Y1300" s="7"/>
      <c r="Z1300" s="14"/>
      <c r="AA1300" s="14"/>
      <c r="AB1300" s="14"/>
      <c r="AC1300" s="14"/>
      <c r="AD1300" s="14"/>
      <c r="AE1300" s="14"/>
      <c r="AF1300"/>
    </row>
    <row r="1301" spans="1:32" ht="12.75" customHeight="1" x14ac:dyDescent="0.25">
      <c r="Q1301" s="6"/>
      <c r="R1301" s="14"/>
      <c r="S1301" s="14"/>
      <c r="T1301" s="14"/>
      <c r="U1301" s="14"/>
      <c r="V1301" s="14"/>
      <c r="W1301" s="14"/>
      <c r="X1301" s="7"/>
      <c r="Y1301" s="7"/>
      <c r="Z1301" s="14"/>
      <c r="AA1301" s="14"/>
      <c r="AB1301" s="14"/>
      <c r="AC1301" s="14"/>
      <c r="AD1301" s="14"/>
      <c r="AE1301" s="14"/>
      <c r="AF1301"/>
    </row>
    <row r="1302" spans="1:32" ht="12.75" customHeight="1" x14ac:dyDescent="0.25">
      <c r="A1302" s="15" t="s">
        <v>167</v>
      </c>
      <c r="H1302" s="110" t="str">
        <f>IF($Q1304&lt;&gt;"",IF(AND(AND($H1304&gt;-1,$H1306&gt;-1),OR($H1304&gt;10,$H1306&gt;10),ABS($H1304-$H1306)&gt;1,IF(OR($H1304&gt;11,$H1306&gt;11),ABS($H1304-$H1306)=2,TRUE),$H1304=INT($H1304),$H1306=INT($H1306)),"","Error"),"")</f>
        <v/>
      </c>
      <c r="I1302" s="110" t="str">
        <f>IF($Q1304&lt;&gt;"",IF(AND(AND($I1304&gt;-1,$I1306&gt;-1),OR($I1304&gt;10,$I1306&gt;10),ABS($I1304-$I1306)&gt;1,IF(OR($I1304&gt;11,$I1306&gt;11),ABS($I1304-$I1306)=2,TRUE),$I1304=INT($I1304),$I1306=INT($I1306)),"","Error"),"")</f>
        <v/>
      </c>
      <c r="J1302" s="110" t="str">
        <f>IF($Q1304&lt;&gt;"",IF(AND(AND($J1304&gt;-1,$J1306&gt;-1),OR($J1304&gt;10,$J1306&gt;10),ABS($J1304-$J1306)&gt;1,IF(OR($J1304&gt;11,$J1306&gt;11),ABS($J1304-$J1306)=2,TRUE),$J1304=INT($J1304),$J1306=INT($J1306)),"","Error"),"")</f>
        <v/>
      </c>
      <c r="K1302" s="110" t="str">
        <f>IF($Q1304&lt;&gt;"",IF(AND($K1304&lt;&gt;"",$K1306&lt;&gt;""), IF(AND(AND($K1304&gt;-1,$K1306&gt;-1),OR($K1304&gt;10,$K1306&gt;10),ABS($K1304-$K1306)&gt;1,IF(OR($K1304&gt;11,$K1306&gt;11),ABS($K1304-$K1306)=2,TRUE),$K1304=INT($K1304),$K1306=INT($K1306)),"","Error"),""),"")</f>
        <v/>
      </c>
      <c r="L1302" s="110" t="str">
        <f>IF($Q1304&lt;&gt;"",IF(AND($L1304&lt;&gt;"",$L1306&lt;&gt;""), IF(AND(AND($L1304&gt;-1,$L1306&gt;-1),OR($L1304&gt;10,$L1306&gt;10),ABS($L1304-$L1306)&gt;1,IF(OR($L1304&gt;11,$L1306&gt;11),ABS($L1304-$L1306)=2,TRUE),$L1304=INT($L1304),$L1306=INT($L1306)),"","Error"),""),"")</f>
        <v/>
      </c>
      <c r="Q1302" s="6"/>
      <c r="R1302" s="14"/>
      <c r="S1302" s="14"/>
      <c r="T1302" s="14"/>
      <c r="U1302" s="14"/>
      <c r="V1302" s="14"/>
      <c r="W1302" s="14"/>
      <c r="X1302" s="7"/>
      <c r="Y1302" s="7"/>
      <c r="Z1302" s="14"/>
      <c r="AA1302" s="14"/>
      <c r="AB1302" s="14"/>
      <c r="AC1302" s="14"/>
      <c r="AD1302" s="14"/>
      <c r="AE1302" s="14"/>
      <c r="AF1302"/>
    </row>
    <row r="1303" spans="1:32" ht="12.75" customHeight="1" x14ac:dyDescent="0.25">
      <c r="A1303" s="5" t="s">
        <v>160</v>
      </c>
      <c r="B1303" s="256" t="s">
        <v>58</v>
      </c>
      <c r="C1303" s="257"/>
      <c r="D1303" s="257"/>
      <c r="E1303" s="257"/>
      <c r="F1303" s="257"/>
      <c r="G1303" s="258"/>
      <c r="H1303" s="5">
        <v>1</v>
      </c>
      <c r="I1303" s="5">
        <v>2</v>
      </c>
      <c r="J1303" s="5">
        <v>3</v>
      </c>
      <c r="K1303" s="5">
        <v>4</v>
      </c>
      <c r="L1303" s="5">
        <v>5</v>
      </c>
      <c r="M1303" s="270"/>
      <c r="N1303" s="271"/>
      <c r="O1303" s="271"/>
      <c r="P1303" s="272"/>
      <c r="Q1303" s="6"/>
      <c r="R1303" s="14"/>
      <c r="S1303" s="14"/>
      <c r="T1303" s="14"/>
      <c r="U1303" s="14"/>
      <c r="V1303" s="14"/>
      <c r="W1303" s="14"/>
      <c r="X1303" s="7"/>
      <c r="Y1303" s="7"/>
      <c r="Z1303" s="14"/>
      <c r="AA1303" s="14"/>
      <c r="AB1303" s="14"/>
      <c r="AC1303" s="14"/>
      <c r="AD1303" s="14"/>
      <c r="AE1303" s="14"/>
      <c r="AF1303"/>
    </row>
    <row r="1304" spans="1:32" ht="12.75" customHeight="1" x14ac:dyDescent="0.25">
      <c r="A1304" s="259" t="str">
        <f>B1284</f>
        <v>C</v>
      </c>
      <c r="B1304" s="236" t="str">
        <f ca="1">IF(AND(OFFSET($AO$1,$C1284-1,8,1,1),$A1285&lt;&gt;"",$J1285&lt;&gt;""),CHOOSE($C1284,$AQ$1,$AQ$2,$AQ$3,$AQ$4,$AQ$5,$AQ$6,$AQ$7,$AQ$8,$AQ$9,$AQ$10,$AQ$11,$AQ$12),"")</f>
        <v/>
      </c>
      <c r="C1304" s="237"/>
      <c r="D1304" s="237"/>
      <c r="E1304" s="237"/>
      <c r="F1304" s="237"/>
      <c r="G1304" s="237"/>
      <c r="H1304" s="233"/>
      <c r="I1304" s="233"/>
      <c r="J1304" s="233"/>
      <c r="K1304" s="233"/>
      <c r="L1304" s="233"/>
      <c r="M1304" s="245" t="str">
        <f ca="1">IF(OR(AND($B1297&lt;&gt;"",$B1304&lt;&gt;"",$D1315&lt;=$C1315),AND($B1299&lt;&gt;"",$B1306&lt;&gt;"",$H1315&lt;=$G1315)),"Invalid Lineup","")</f>
        <v/>
      </c>
      <c r="N1304" s="246"/>
      <c r="O1304" s="246"/>
      <c r="P1304" s="247"/>
      <c r="Q1304" s="40" t="str">
        <f>IF($L1304=$L1306,IF($K1304=$K1306,IF($J1304&lt;&gt;"",IF($J1304&gt;$J1306,"W","L"),""),IF($K1304&gt;$K1306,"W","L")),IF($L1304&gt;$L1306,"W","L"))</f>
        <v/>
      </c>
      <c r="R1304" s="14"/>
      <c r="S1304" s="14"/>
      <c r="T1304" s="14"/>
      <c r="U1304" s="14"/>
      <c r="V1304" s="14"/>
      <c r="W1304" s="14"/>
      <c r="X1304" s="7"/>
      <c r="Y1304" s="7"/>
      <c r="Z1304" s="14"/>
      <c r="AA1304" s="14"/>
      <c r="AB1304" s="14"/>
      <c r="AC1304" s="14"/>
      <c r="AD1304" s="14"/>
      <c r="AE1304" s="14"/>
      <c r="AF1304"/>
    </row>
    <row r="1305" spans="1:32" ht="12.75" customHeight="1" x14ac:dyDescent="0.25">
      <c r="A1305" s="260"/>
      <c r="B1305" s="238"/>
      <c r="C1305" s="239"/>
      <c r="D1305" s="239"/>
      <c r="E1305" s="239"/>
      <c r="F1305" s="239"/>
      <c r="G1305" s="239"/>
      <c r="H1305" s="234"/>
      <c r="I1305" s="234"/>
      <c r="J1305" s="234"/>
      <c r="K1305" s="234"/>
      <c r="L1305" s="234"/>
      <c r="M1305" s="245"/>
      <c r="N1305" s="246"/>
      <c r="O1305" s="246"/>
      <c r="P1305" s="247"/>
      <c r="Q1305" s="110" t="str">
        <f>IF($Q1304&lt;&gt;"",IF($Q1304="W",IF(SUM(IF($H1304&gt;$H1306,1,0),IF($I1304&gt;$I1306,1,0),IF($J1304&gt;$J1306,1,0),IF($K1304&gt;$K1306,1,0),IF($L1304&gt;$L1306,1,0))&lt;&gt;3,"Error",""),""),"")</f>
        <v/>
      </c>
      <c r="R1305" s="295" t="str">
        <f>$A1285</f>
        <v/>
      </c>
      <c r="S1305" s="295"/>
      <c r="T1305" s="295"/>
      <c r="U1305" s="295"/>
      <c r="V1305" s="295"/>
      <c r="W1305" s="295"/>
      <c r="X1305" s="219" t="str">
        <f>CONCATENATE("(",$B1284," vs ",$K1284,")")</f>
        <v>(C vs L)</v>
      </c>
      <c r="Y1305" s="219"/>
      <c r="Z1305" s="295" t="str">
        <f>$J1285</f>
        <v/>
      </c>
      <c r="AA1305" s="295"/>
      <c r="AB1305" s="295"/>
      <c r="AC1305" s="295"/>
      <c r="AD1305" s="295"/>
      <c r="AE1305" s="295"/>
      <c r="AF1305"/>
    </row>
    <row r="1306" spans="1:32" ht="12.75" customHeight="1" x14ac:dyDescent="0.25">
      <c r="A1306" s="259" t="str">
        <f>K1284</f>
        <v>L</v>
      </c>
      <c r="B1306" s="236" t="str">
        <f ca="1">IF(AND(OFFSET($AO$1,$L1284-1,8,1,1),$A1285&lt;&gt;"",$J1285&lt;&gt;""),CHOOSE($L1284,$AQ$1,$AQ$2,$AQ$3,$AQ$4,$AQ$5,$AQ$6,$AQ$7,$AQ$8,$AQ$9,$AQ$10,$AQ$11,$AQ$12),"")</f>
        <v/>
      </c>
      <c r="C1306" s="237"/>
      <c r="D1306" s="237"/>
      <c r="E1306" s="237"/>
      <c r="F1306" s="237"/>
      <c r="G1306" s="237"/>
      <c r="H1306" s="233"/>
      <c r="I1306" s="233"/>
      <c r="J1306" s="233"/>
      <c r="K1306" s="233"/>
      <c r="L1306" s="233"/>
      <c r="M1306" s="250" t="s">
        <v>169</v>
      </c>
      <c r="N1306" s="251"/>
      <c r="O1306" s="251"/>
      <c r="P1306" s="252"/>
      <c r="Q1306" s="40" t="str">
        <f>IF($Q1304&lt;&gt;"",IF($Q1304="W","L","W"),"")</f>
        <v/>
      </c>
      <c r="R1306"/>
      <c r="S1306"/>
      <c r="T1306"/>
      <c r="U1306"/>
      <c r="V1306"/>
      <c r="W1306"/>
      <c r="X1306"/>
      <c r="Y1306"/>
      <c r="Z1306"/>
      <c r="AA1306"/>
      <c r="AB1306"/>
      <c r="AC1306"/>
      <c r="AD1306"/>
      <c r="AE1306"/>
      <c r="AF1306"/>
    </row>
    <row r="1307" spans="1:32" ht="12.75" customHeight="1" x14ac:dyDescent="0.25">
      <c r="A1307" s="260"/>
      <c r="B1307" s="238"/>
      <c r="C1307" s="239"/>
      <c r="D1307" s="239"/>
      <c r="E1307" s="239"/>
      <c r="F1307" s="239"/>
      <c r="G1307" s="239"/>
      <c r="H1307" s="234"/>
      <c r="I1307" s="234"/>
      <c r="J1307" s="235"/>
      <c r="K1307" s="235"/>
      <c r="L1307" s="235"/>
      <c r="M1307" s="250"/>
      <c r="N1307" s="251"/>
      <c r="O1307" s="251"/>
      <c r="P1307" s="252"/>
      <c r="Q1307" s="110" t="str">
        <f>IF($Q1306&lt;&gt;"",IF($Q1306="W",IF(SUM(IF($H1306&gt;$H1304,1,0),IF($I1306&gt;$I1304,1,0),IF($J1306&gt;$J1304,1,0),IF($K1306&gt;$K1304,1,0),IF($L1306&gt;$L1304,1,0))&lt;&gt;3,"Error",""),""),"")</f>
        <v/>
      </c>
      <c r="R1307" t="str">
        <f>$A1302</f>
        <v>3rd Singles</v>
      </c>
      <c r="S1307"/>
      <c r="T1307"/>
      <c r="U1307"/>
      <c r="V1307"/>
      <c r="W1307"/>
      <c r="X1307"/>
      <c r="Y1307"/>
      <c r="Z1307"/>
      <c r="AA1307"/>
      <c r="AB1307"/>
      <c r="AC1307"/>
      <c r="AD1307"/>
      <c r="AE1307"/>
      <c r="AF1307"/>
    </row>
    <row r="1308" spans="1:32" ht="12.75" customHeight="1" x14ac:dyDescent="0.25">
      <c r="Q1308" s="6"/>
      <c r="R1308" s="47" t="s">
        <v>160</v>
      </c>
      <c r="S1308" s="86" t="s">
        <v>58</v>
      </c>
      <c r="T1308" s="87"/>
      <c r="U1308" s="87"/>
      <c r="V1308" s="87"/>
      <c r="W1308" s="87"/>
      <c r="X1308" s="88"/>
      <c r="Y1308" s="47">
        <v>1</v>
      </c>
      <c r="Z1308" s="47">
        <v>2</v>
      </c>
      <c r="AA1308" s="47">
        <v>3</v>
      </c>
      <c r="AB1308" s="47">
        <v>4</v>
      </c>
      <c r="AC1308" s="47">
        <v>5</v>
      </c>
      <c r="AD1308" s="89"/>
      <c r="AE1308" s="90"/>
      <c r="AF1308" s="91"/>
    </row>
    <row r="1309" spans="1:32" ht="12.75" customHeight="1" x14ac:dyDescent="0.25">
      <c r="A1309" s="15" t="s">
        <v>168</v>
      </c>
      <c r="H1309" s="110" t="str">
        <f ca="1">IF($Q1311&lt;&gt;"",IF(AND($B1311&lt;&gt;"Missing Player",$B1313&lt;&gt;"Missing Player"),IF(AND(AND($H1311&gt;-1,$H1313&gt;-1),OR($H1311&gt;10,$H1313&gt;10),ABS($H1311-$H1313)&gt;1,IF(OR($H1311&gt;11,$H1313&gt;11),ABS($H1311-$H1313)=2,TRUE),$H1311=INT($H1311),$H1313=INT($H1313)),"","Error"),""),"")</f>
        <v/>
      </c>
      <c r="I1309" s="110" t="str">
        <f ca="1">IF($Q1311&lt;&gt;"",IF(AND($B1311&lt;&gt;"Missing Player",$B1313&lt;&gt;"Missing Player"),IF(AND(AND($I1311&gt;-1,$I1313&gt;-1),OR($I1311&gt;10,$I1313&gt;10),ABS($I1311-$I1313)&gt;1,IF(OR($I1311&gt;11,$I1313&gt;11),ABS($I1311-$I1313)=2,TRUE),$I1311=INT($I1311),$I1313=INT($I1313)),"","Error"),""),"")</f>
        <v/>
      </c>
      <c r="J1309" s="110" t="str">
        <f ca="1">IF($Q1311&lt;&gt;"",IF(AND($B1311&lt;&gt;"Missing Player",$B1313&lt;&gt;"Missing Player"),IF(AND(AND($J1311&gt;-1,$J1313&gt;-1),OR($J1311&gt;10,$J1313&gt;10),ABS($J1311-$J1313)&gt;1,IF(OR($J1311&gt;11,$J1313&gt;11),ABS($J1311-$J1313)=2,TRUE),$J1311=INT($J1311),$J1313=INT($J1313)),"","Error"),""),"")</f>
        <v/>
      </c>
      <c r="K1309" s="110" t="str">
        <f ca="1">IF($Q1311&lt;&gt;"",IF(AND($K1311&lt;&gt;"",$K1313&lt;&gt;""), IF(AND(AND($K1311&gt;-1,$K1313&gt;-1),OR($K1311&gt;10,$K1313&gt;10),ABS($K1311-$K1313)&gt;1,IF(OR($K1311&gt;11,$K1313&gt;11),ABS($K1311-$K1313)=2,TRUE),$K1311=INT($K1311),$K1313=INT($K1313)),"","Error"),""),"")</f>
        <v/>
      </c>
      <c r="L1309" s="110" t="str">
        <f ca="1">IF($Q1311&lt;&gt;"",IF(AND($L1311&lt;&gt;"",$L1313&lt;&gt;""), IF(AND(AND($L1311&gt;-1,$L1313&gt;-1),OR($L1311&gt;10,$L1313&gt;10),ABS($L1311-$L1313)&gt;1,IF(OR($L1311&gt;11,$L1313&gt;11),ABS($L1311-$L1313)=2,TRUE),$L1311=INT($L1311),$L1313=INT($L1313)),"","Error"),""),"")</f>
        <v/>
      </c>
      <c r="Q1309" s="6"/>
      <c r="R1309" s="259" t="str">
        <f>$B1284</f>
        <v>C</v>
      </c>
      <c r="S1309" s="307" t="str">
        <f ca="1">IF($B1304&lt;&gt;"",$B1304,"")</f>
        <v/>
      </c>
      <c r="T1309" s="308"/>
      <c r="U1309" s="308"/>
      <c r="V1309" s="308"/>
      <c r="W1309" s="308"/>
      <c r="X1309" s="309"/>
      <c r="Y1309" s="284"/>
      <c r="Z1309" s="284"/>
      <c r="AA1309" s="284"/>
      <c r="AB1309" s="284"/>
      <c r="AC1309" s="284"/>
      <c r="AD1309" s="296"/>
      <c r="AE1309" s="290"/>
      <c r="AF1309" s="291"/>
    </row>
    <row r="1310" spans="1:32" ht="12.75" customHeight="1" x14ac:dyDescent="0.25">
      <c r="A1310" s="5" t="s">
        <v>160</v>
      </c>
      <c r="B1310" s="256" t="s">
        <v>58</v>
      </c>
      <c r="C1310" s="257"/>
      <c r="D1310" s="257"/>
      <c r="E1310" s="257"/>
      <c r="F1310" s="257"/>
      <c r="G1310" s="258"/>
      <c r="H1310" s="5">
        <v>1</v>
      </c>
      <c r="I1310" s="5">
        <v>2</v>
      </c>
      <c r="J1310" s="5">
        <v>3</v>
      </c>
      <c r="K1310" s="5">
        <v>4</v>
      </c>
      <c r="L1310" s="5">
        <v>5</v>
      </c>
      <c r="M1310" s="270"/>
      <c r="N1310" s="271"/>
      <c r="O1310" s="271"/>
      <c r="P1310" s="272"/>
      <c r="Q1310" s="6"/>
      <c r="R1310" s="285"/>
      <c r="S1310" s="310"/>
      <c r="T1310" s="311"/>
      <c r="U1310" s="311"/>
      <c r="V1310" s="311"/>
      <c r="W1310" s="311"/>
      <c r="X1310" s="312"/>
      <c r="Y1310" s="285"/>
      <c r="Z1310" s="285"/>
      <c r="AA1310" s="285"/>
      <c r="AB1310" s="285"/>
      <c r="AC1310" s="285"/>
      <c r="AD1310" s="292"/>
      <c r="AE1310" s="293"/>
      <c r="AF1310" s="294"/>
    </row>
    <row r="1311" spans="1:32" ht="12.75" customHeight="1" x14ac:dyDescent="0.25">
      <c r="A1311" s="259" t="str">
        <f>B1284</f>
        <v>C</v>
      </c>
      <c r="B1311" s="236" t="str">
        <f ca="1">IF(AND(OFFSET($AO$1,$C1284-1,8,1,1),$A1285&lt;&gt;"",$J1285&lt;&gt;""),CHOOSE($C1284,$AR$1,$AR$2,$AR$3,$AR$4,$AR$5,$AR$6,$AR$7,$AR$8,$AR$9,$AR$10,$AR$11,$AR$12),"")</f>
        <v/>
      </c>
      <c r="C1311" s="237"/>
      <c r="D1311" s="237"/>
      <c r="E1311" s="237"/>
      <c r="F1311" s="237"/>
      <c r="G1311" s="237"/>
      <c r="H1311" s="233"/>
      <c r="I1311" s="233"/>
      <c r="J1311" s="233"/>
      <c r="K1311" s="233"/>
      <c r="L1311" s="233" t="str">
        <f ca="1">IF(AND($B1311&lt;&gt;"",$Q1290&lt;&gt;""),IF($B1311="Missing Player",0,IF($B1313="Missing Player",11,"")),"")</f>
        <v/>
      </c>
      <c r="M1311" s="245" t="str">
        <f ca="1">IF(OR(AND($B1304&lt;&gt;"",$B1311&lt;&gt;"",$E1315&lt;=$D1315),AND($B1306&lt;&gt;"",$B1313&lt;&gt;"",$I1315&lt;=$H1315)),"Invalid Lineup","")</f>
        <v/>
      </c>
      <c r="N1311" s="246"/>
      <c r="O1311" s="246"/>
      <c r="P1311" s="247"/>
      <c r="Q1311" s="40" t="str">
        <f ca="1">IF($L1311=$L1313,IF($K1311=$K1313,IF($J1311&lt;&gt;"",IF($J1311&gt;$J1313,"W","L"),""),IF($K1311&gt;$K1313,"W","L")),IF($L1311&gt;$L1313,"W","L"))</f>
        <v/>
      </c>
      <c r="R1311" s="259" t="str">
        <f>$K1284</f>
        <v>L</v>
      </c>
      <c r="S1311" s="307" t="str">
        <f ca="1">IF($B1306&lt;&gt;"",$B1306,"")</f>
        <v/>
      </c>
      <c r="T1311" s="308"/>
      <c r="U1311" s="308"/>
      <c r="V1311" s="308"/>
      <c r="W1311" s="308"/>
      <c r="X1311" s="309"/>
      <c r="Y1311" s="284"/>
      <c r="Z1311" s="284"/>
      <c r="AA1311" s="284"/>
      <c r="AB1311" s="284"/>
      <c r="AC1311" s="297"/>
      <c r="AD1311" s="289" t="s">
        <v>169</v>
      </c>
      <c r="AE1311" s="290"/>
      <c r="AF1311" s="291"/>
    </row>
    <row r="1312" spans="1:32" ht="12.75" customHeight="1" x14ac:dyDescent="0.25">
      <c r="A1312" s="260"/>
      <c r="B1312" s="238"/>
      <c r="C1312" s="239"/>
      <c r="D1312" s="239"/>
      <c r="E1312" s="239"/>
      <c r="F1312" s="239"/>
      <c r="G1312" s="239"/>
      <c r="H1312" s="234"/>
      <c r="I1312" s="234"/>
      <c r="J1312" s="234"/>
      <c r="K1312" s="234"/>
      <c r="L1312" s="234"/>
      <c r="M1312" s="245"/>
      <c r="N1312" s="246"/>
      <c r="O1312" s="246"/>
      <c r="P1312" s="247"/>
      <c r="Q1312" s="110" t="str">
        <f ca="1">IF($Q1311&lt;&gt;"",IF($B1313&lt;&gt;"Missing Player",IF($Q1311="W",IF(SUM(IF($H1311&gt;$H1313,1,0),IF($I1311&gt;$I1313,1,0),IF($J1311&gt;$J1313,1,0),IF($K1311&gt;$K1313,1,0),IF($L1311&gt;$L1313,1,0))&lt;&gt;3,"Error",""),""),""),"")</f>
        <v/>
      </c>
      <c r="R1312" s="285"/>
      <c r="S1312" s="310"/>
      <c r="T1312" s="311"/>
      <c r="U1312" s="311"/>
      <c r="V1312" s="311"/>
      <c r="W1312" s="311"/>
      <c r="X1312" s="312"/>
      <c r="Y1312" s="285"/>
      <c r="Z1312" s="285"/>
      <c r="AA1312" s="285"/>
      <c r="AB1312" s="285"/>
      <c r="AC1312" s="285"/>
      <c r="AD1312" s="292"/>
      <c r="AE1312" s="293"/>
      <c r="AF1312" s="294"/>
    </row>
    <row r="1313" spans="1:32" ht="12.75" customHeight="1" x14ac:dyDescent="0.25">
      <c r="A1313" s="259" t="str">
        <f>K1284</f>
        <v>L</v>
      </c>
      <c r="B1313" s="236" t="str">
        <f ca="1">IF(AND(OFFSET($AO$1,$L1284-1,8,1,1),$A1285&lt;&gt;"",$J1285&lt;&gt;""),CHOOSE($L1284,$AR$1,$AR$2,$AR$3,$AR$4,$AR$5,$AR$6,$AR$7,$AR$8,$AR$9,$AR$10,$AR$11,$AR$12),"")</f>
        <v/>
      </c>
      <c r="C1313" s="237"/>
      <c r="D1313" s="237"/>
      <c r="E1313" s="237"/>
      <c r="F1313" s="237"/>
      <c r="G1313" s="237"/>
      <c r="H1313" s="233"/>
      <c r="I1313" s="233"/>
      <c r="J1313" s="233"/>
      <c r="K1313" s="233"/>
      <c r="L1313" s="233" t="str">
        <f ca="1">IF(AND($B1313&lt;&gt;"",$Q1290&lt;&gt;""),IF($B1313="Missing Player",0,IF($B1311="Missing Player",11,"")),"")</f>
        <v/>
      </c>
      <c r="M1313" s="250" t="s">
        <v>169</v>
      </c>
      <c r="N1313" s="251"/>
      <c r="O1313" s="251"/>
      <c r="P1313" s="252"/>
      <c r="Q1313" s="40" t="str">
        <f ca="1">IF($Q1311&lt;&gt;"",IF($Q1311="W","L","W"),"")</f>
        <v/>
      </c>
      <c r="R1313" s="94"/>
      <c r="S1313" s="84"/>
      <c r="T1313" s="84"/>
      <c r="U1313" s="84"/>
      <c r="V1313" s="84"/>
      <c r="W1313" s="84"/>
      <c r="X1313" s="84"/>
      <c r="Y1313" s="93"/>
      <c r="Z1313" s="93"/>
      <c r="AA1313" s="93"/>
      <c r="AB1313" s="93"/>
      <c r="AC1313" s="93"/>
      <c r="AD1313" s="92"/>
      <c r="AE1313" s="93"/>
      <c r="AF1313" s="93"/>
    </row>
    <row r="1314" spans="1:32" ht="12.75" customHeight="1" x14ac:dyDescent="0.25">
      <c r="A1314" s="260"/>
      <c r="B1314" s="238"/>
      <c r="C1314" s="239"/>
      <c r="D1314" s="239"/>
      <c r="E1314" s="239"/>
      <c r="F1314" s="239"/>
      <c r="G1314" s="239"/>
      <c r="H1314" s="234"/>
      <c r="I1314" s="234"/>
      <c r="J1314" s="235"/>
      <c r="K1314" s="235"/>
      <c r="L1314" s="235"/>
      <c r="M1314" s="250"/>
      <c r="N1314" s="251"/>
      <c r="O1314" s="251"/>
      <c r="P1314" s="252"/>
      <c r="Q1314" s="110" t="str">
        <f ca="1">IF($Q1313&lt;&gt;"",IF($B1311&lt;&gt;"Missing Player",IF($Q1313="W",IF(SUM(IF($H1313&gt;$H1311,1,0),IF($I1313&gt;$I1311,1,0),IF($J1313&gt;$J1311,1,0),IF($K1313&gt;$K1311,1,0),IF($L1313&gt;$L1311,1,0))&lt;&gt;3,"Error",""),""),""),"")</f>
        <v/>
      </c>
      <c r="R1314" s="85"/>
      <c r="S1314" s="95"/>
      <c r="T1314" s="95"/>
      <c r="U1314" s="95"/>
      <c r="V1314" s="95"/>
      <c r="W1314" s="95"/>
      <c r="X1314" s="95"/>
      <c r="Y1314" s="85"/>
      <c r="Z1314" s="85"/>
      <c r="AA1314" s="85"/>
      <c r="AB1314" s="85"/>
      <c r="AC1314" s="85"/>
      <c r="AD1314" s="85"/>
      <c r="AE1314" s="85"/>
      <c r="AF1314" s="85"/>
    </row>
    <row r="1315" spans="1:32" ht="12.75" customHeight="1" x14ac:dyDescent="0.25">
      <c r="B1315" s="111" t="str">
        <f ca="1">IF(ISERROR(VLOOKUP($B1290&amp;"("&amp;$B1284&amp;")",Players!$S$4:$T$132,2,FALSE)),"",VLOOKUP($B1290&amp;"("&amp;$B1284&amp;")",Players!$S$4:$T$132,2,FALSE))</f>
        <v>C1</v>
      </c>
      <c r="C1315" s="111" t="str">
        <f ca="1">IF(ISERROR(VLOOKUP($B1297&amp;"("&amp;$B1284&amp;")",Players!$S$4:$T$132,2,FALSE)),"",VLOOKUP($B1297&amp;"("&amp;$B1284&amp;")",Players!$S$4:$T$132,2,FALSE))</f>
        <v>C1</v>
      </c>
      <c r="D1315" s="111" t="str">
        <f ca="1">IF(ISERROR(VLOOKUP($B1304&amp;"("&amp;$B1284&amp;")",Players!$S$4:$T$132,2,FALSE)),"",VLOOKUP($B1304&amp;"("&amp;$B1284&amp;")",Players!$S$4:$T$132,2,FALSE))</f>
        <v>C1</v>
      </c>
      <c r="E1315" s="111" t="str">
        <f ca="1">IF(ISERROR(VLOOKUP($B1311&amp;"("&amp;$B1284&amp;")",Players!$S$4:$T$132,2,FALSE)),"",VLOOKUP($B1311&amp;"("&amp;$B1284&amp;")",Players!$S$4:$T$132,2,FALSE))</f>
        <v>C1</v>
      </c>
      <c r="F1315" s="111" t="str">
        <f ca="1">IF(ISERROR(VLOOKUP($B1292&amp;"("&amp;$K1284&amp;")",Players!$S$4:$T$132,2,FALSE)),"",VLOOKUP($B1292&amp;"("&amp;$K1284&amp;")",Players!$S$4:$T$132,2,FALSE))</f>
        <v>L1</v>
      </c>
      <c r="G1315" s="111" t="str">
        <f ca="1">IF(ISERROR(VLOOKUP($B1299&amp;"("&amp;$K1284&amp;")",Players!$S$4:$T$132,2,FALSE)),"",VLOOKUP($B1299&amp;"("&amp;$K1284&amp;")",Players!$S$4:$T$132,2,FALSE))</f>
        <v>L1</v>
      </c>
      <c r="H1315" s="111" t="str">
        <f ca="1">IF(ISERROR(VLOOKUP($B1306&amp;"("&amp;$K1284&amp;")",Players!$S$4:$T$132,2,FALSE)),"",VLOOKUP($B1306&amp;"("&amp;$K1284&amp;")",Players!$S$4:$T$132,2,FALSE))</f>
        <v>L1</v>
      </c>
      <c r="I1315" s="111" t="str">
        <f ca="1">IF(ISERROR(VLOOKUP($B1313&amp;"("&amp;$K1284&amp;")",Players!$S$4:$T$132,2,FALSE)),"",VLOOKUP($B1313&amp;"("&amp;$K1284&amp;")",Players!$S$4:$T$132,2,FALSE))</f>
        <v>L1</v>
      </c>
      <c r="Q1315" s="6"/>
      <c r="R1315" s="37"/>
      <c r="S1315" s="95"/>
      <c r="T1315" s="95"/>
      <c r="U1315" s="95"/>
      <c r="V1315" s="95"/>
      <c r="W1315" s="95"/>
      <c r="X1315" s="95"/>
      <c r="Y1315" s="85"/>
      <c r="Z1315" s="85"/>
      <c r="AA1315" s="85"/>
      <c r="AB1315" s="85"/>
      <c r="AC1315" s="96"/>
      <c r="AD1315" s="97"/>
      <c r="AE1315" s="85"/>
      <c r="AF1315" s="85"/>
    </row>
    <row r="1316" spans="1:32" ht="12.75" customHeight="1" x14ac:dyDescent="0.25">
      <c r="A1316" s="15" t="s">
        <v>157</v>
      </c>
      <c r="H1316" s="110" t="str">
        <f ca="1">IF($Q1318&lt;&gt;"",IF(AND($B1319&lt;&gt;"Missing Player",$B1321&lt;&gt;"Missing Player"),IF(AND(AND($H1318&gt;-1,$H1320&gt;-1),OR($H1318&gt;10,$H1320&gt;10),ABS($H1318-$H1320)&gt;1,IF(OR($H1318&gt;11,$H1320&gt;11),ABS($H1318-$H1320)=2,TRUE),$H1318=INT($H1318),$H1320=INT($H1320)),"","Error"),""),"")</f>
        <v/>
      </c>
      <c r="I1316" s="110" t="str">
        <f ca="1">IF($Q1318&lt;&gt;"",IF(AND($B1319&lt;&gt;"Missing Player",$B1321&lt;&gt;"Missing Player"),IF(AND(AND($I1318&gt;-1,$I1320&gt;-1),OR($I1318&gt;10,$I1320&gt;10),ABS($I1318-$I1320)&gt;1,IF(OR($I1318&gt;11,$I1320&gt;11),ABS($I1318-$I1320)=2,TRUE),$I1318=INT($I1318),$I1320=INT($I1320)),"","Error"),""),"")</f>
        <v/>
      </c>
      <c r="J1316" s="110" t="str">
        <f ca="1">IF($Q1318&lt;&gt;"",IF(AND($B1319&lt;&gt;"Missing Player",$B1321&lt;&gt;"Missing Player"),IF(AND(AND($J1318&gt;-1,$J1320&gt;-1),OR($J1318&gt;10,$J1320&gt;10),ABS($J1318-$J1320)&gt;1,IF(OR($J1318&gt;11,$J1320&gt;11),ABS($J1318-$J1320)=2,TRUE),$J1318=INT($J1318),$J1320=INT($J1320)),"","Error"),""),"")</f>
        <v/>
      </c>
      <c r="K1316" s="110" t="str">
        <f ca="1">IF($Q1318&lt;&gt;"",IF(AND($K1318&lt;&gt;"",$K1320&lt;&gt;""), IF(AND(AND($K1318&gt;-1,$K1320&gt;-1),OR($K1318&gt;10,$K1320&gt;10),ABS($K1318-$K1320)&gt;1,IF(OR($K1318&gt;11,$K1320&gt;11),ABS($K1318-$K1320)=2,TRUE),$K1318=INT($K1318),$K1320=INT($K1320)),"","Error"),""),"")</f>
        <v/>
      </c>
      <c r="L1316" s="110" t="str">
        <f ca="1">IF($Q1318&lt;&gt;"",IF(AND($L1318&lt;&gt;"",$L1320&lt;&gt;""), IF(AND(AND($L1318&gt;-1,$L1320&gt;-1),OR($L1318&gt;10,$L1320&gt;10),ABS($L1318-$L1320)&gt;1,IF(OR($L1318&gt;11,$L1320&gt;11),ABS($L1318-$L1320)=2,TRUE),$L1318=INT($L1318),$L1320=INT($L1320)),"","Error"),""),"")</f>
        <v/>
      </c>
      <c r="Q1316" s="6"/>
      <c r="R1316" s="85"/>
      <c r="S1316" s="95"/>
      <c r="T1316" s="95"/>
      <c r="U1316" s="95"/>
      <c r="V1316" s="95"/>
      <c r="W1316" s="95"/>
      <c r="X1316" s="95"/>
      <c r="Y1316" s="85"/>
      <c r="Z1316" s="85"/>
      <c r="AA1316" s="85"/>
      <c r="AB1316" s="85"/>
      <c r="AC1316" s="85"/>
      <c r="AD1316" s="85"/>
      <c r="AE1316" s="85"/>
      <c r="AF1316" s="85"/>
    </row>
    <row r="1317" spans="1:32" ht="12.75" customHeight="1" x14ac:dyDescent="0.25">
      <c r="A1317" s="5" t="s">
        <v>160</v>
      </c>
      <c r="B1317" s="256" t="s">
        <v>58</v>
      </c>
      <c r="C1317" s="257"/>
      <c r="D1317" s="257"/>
      <c r="E1317" s="257"/>
      <c r="F1317" s="257"/>
      <c r="G1317" s="258"/>
      <c r="H1317" s="5">
        <v>1</v>
      </c>
      <c r="I1317" s="5">
        <v>2</v>
      </c>
      <c r="J1317" s="5">
        <v>3</v>
      </c>
      <c r="K1317" s="5">
        <v>4</v>
      </c>
      <c r="L1317" s="5">
        <v>5</v>
      </c>
      <c r="M1317" s="270"/>
      <c r="N1317" s="271"/>
      <c r="O1317" s="271"/>
      <c r="P1317" s="272"/>
      <c r="Q1317" s="6"/>
      <c r="T1317" s="7"/>
    </row>
    <row r="1318" spans="1:32" ht="12.75" customHeight="1" x14ac:dyDescent="0.25">
      <c r="A1318" s="259" t="str">
        <f>B1284</f>
        <v>C</v>
      </c>
      <c r="B1318" s="230" t="str">
        <f ca="1">IF($B1290&lt;&gt;"",$B1290,"")</f>
        <v/>
      </c>
      <c r="C1318" s="231"/>
      <c r="D1318" s="231"/>
      <c r="E1318" s="231"/>
      <c r="F1318" s="231"/>
      <c r="G1318" s="232"/>
      <c r="H1318" s="233"/>
      <c r="I1318" s="233"/>
      <c r="J1318" s="233"/>
      <c r="K1318" s="233"/>
      <c r="L1318" s="233" t="str">
        <f ca="1">IF($B1311&lt;&gt;"",IF(AND($B1311="Missing Player",$G1322=2,$J1322=2),0,IF(AND($B1313="Missing Player",$G1322=2,$J1322=2),11,"")),"")</f>
        <v/>
      </c>
      <c r="M1318" s="245" t="str">
        <f ca="1">IF(OR(AND($B1318&lt;&gt;"",$B1319&lt;&gt;"",$B1318=$B1319),AND($B1320&lt;&gt;"",$B1321&lt;&gt;"",$B1320=$B1321)),"Invalid Partner","")</f>
        <v/>
      </c>
      <c r="N1318" s="246"/>
      <c r="O1318" s="246"/>
      <c r="P1318" s="247"/>
      <c r="Q1318" s="37" t="str">
        <f ca="1">IF(L1318=L1320,IF(K1318=K1320,IF(J1318&lt;&gt;"",IF(J1318&gt;J1320,"W","L"),""),IF(K1318&gt;K1320,"W","L")),IF(L1318&gt;L1320,"W","L"))</f>
        <v/>
      </c>
      <c r="T1318" s="7"/>
    </row>
    <row r="1319" spans="1:32" ht="12.75" customHeight="1" x14ac:dyDescent="0.25">
      <c r="A1319" s="260"/>
      <c r="B1319" s="266" t="str">
        <f ca="1">IF($B1311="Missing Player",$B1311,"")</f>
        <v/>
      </c>
      <c r="C1319" s="267"/>
      <c r="D1319" s="267"/>
      <c r="E1319" s="267"/>
      <c r="F1319" s="267"/>
      <c r="G1319" s="268"/>
      <c r="H1319" s="234"/>
      <c r="I1319" s="234"/>
      <c r="J1319" s="234"/>
      <c r="K1319" s="234"/>
      <c r="L1319" s="234"/>
      <c r="M1319" s="245"/>
      <c r="N1319" s="246"/>
      <c r="O1319" s="246"/>
      <c r="P1319" s="247"/>
      <c r="Q1319" s="110" t="str">
        <f ca="1">IF($Q1318&lt;&gt;"",IF($B1321&lt;&gt;"Missing Player",IF($Q1318="W",IF(SUM(IF($H1318&gt;$H1320,1,0),IF($I1318&gt;$I1320,1,0),IF($J1318&gt;$J1320,1,0),IF($K1318&gt;$K1320,1,0),IF($L1318&gt;$L1320,1,0))&lt;&gt;3,"Error",""),""),""),"")</f>
        <v/>
      </c>
      <c r="R1319" s="295" t="str">
        <f>$A1285</f>
        <v/>
      </c>
      <c r="S1319" s="295"/>
      <c r="T1319" s="295"/>
      <c r="U1319" s="295"/>
      <c r="V1319" s="295"/>
      <c r="W1319" s="295"/>
      <c r="X1319" s="219" t="str">
        <f>CONCATENATE("(",$B1284," vs ",$K1284,")")</f>
        <v>(C vs L)</v>
      </c>
      <c r="Y1319" s="219"/>
      <c r="Z1319" s="295" t="str">
        <f>$J1285</f>
        <v/>
      </c>
      <c r="AA1319" s="295"/>
      <c r="AB1319" s="295"/>
      <c r="AC1319" s="295"/>
      <c r="AD1319" s="295"/>
      <c r="AE1319" s="295"/>
      <c r="AF1319"/>
    </row>
    <row r="1320" spans="1:32" ht="12.75" customHeight="1" x14ac:dyDescent="0.25">
      <c r="A1320" s="265" t="str">
        <f>K1284</f>
        <v>L</v>
      </c>
      <c r="B1320" s="230" t="str">
        <f ca="1">IF($B1292&lt;&gt;"",$B1292,"")</f>
        <v/>
      </c>
      <c r="C1320" s="231"/>
      <c r="D1320" s="231"/>
      <c r="E1320" s="231"/>
      <c r="F1320" s="231"/>
      <c r="G1320" s="232"/>
      <c r="H1320" s="233"/>
      <c r="I1320" s="233"/>
      <c r="J1320" s="233"/>
      <c r="K1320" s="233"/>
      <c r="L1320" s="233" t="str">
        <f ca="1">IF($B1313&lt;&gt;"",IF(AND($B1313="Missing Player",$G1322=2,$J1322=2),0,IF(AND($B1311="Missing Player",$G1322=2,$J1322=2),11,"")),"")</f>
        <v/>
      </c>
      <c r="M1320" s="250" t="s">
        <v>169</v>
      </c>
      <c r="N1320" s="251"/>
      <c r="O1320" s="251"/>
      <c r="P1320" s="252"/>
      <c r="Q1320" s="37" t="str">
        <f ca="1">IF(Q1318&lt;&gt;"",IF(Q1318="W","L","W"),"")</f>
        <v/>
      </c>
      <c r="R1320"/>
      <c r="S1320"/>
      <c r="T1320"/>
      <c r="U1320"/>
      <c r="V1320"/>
      <c r="W1320"/>
      <c r="X1320"/>
      <c r="Y1320"/>
      <c r="Z1320"/>
      <c r="AA1320"/>
      <c r="AB1320"/>
      <c r="AC1320"/>
      <c r="AD1320"/>
      <c r="AE1320"/>
      <c r="AF1320"/>
    </row>
    <row r="1321" spans="1:32" ht="12.75" customHeight="1" x14ac:dyDescent="0.25">
      <c r="A1321" s="260"/>
      <c r="B1321" s="266" t="str">
        <f ca="1">IF($B1313="Missing Player",$B1313,"")</f>
        <v/>
      </c>
      <c r="C1321" s="267"/>
      <c r="D1321" s="267"/>
      <c r="E1321" s="267"/>
      <c r="F1321" s="267"/>
      <c r="G1321" s="268"/>
      <c r="H1321" s="234"/>
      <c r="I1321" s="234"/>
      <c r="J1321" s="235"/>
      <c r="K1321" s="235"/>
      <c r="L1321" s="235"/>
      <c r="M1321" s="250"/>
      <c r="N1321" s="251"/>
      <c r="O1321" s="251"/>
      <c r="P1321" s="252"/>
      <c r="Q1321" s="110" t="str">
        <f ca="1">IF($Q1320&lt;&gt;"",IF($B1319&lt;&gt;"Missing Player",IF($Q1320="W",IF(SUM(IF($H1320&gt;$H1318,1,0),IF($I1320&gt;$I1318,1,0),IF($J1320&gt;$J1318,1,0),IF($K1320&gt;$K1318,1,0),IF($L1320&gt;$L1318,1,0))&lt;&gt;3,"Error",""),""),""),"")</f>
        <v/>
      </c>
      <c r="R1321" t="str">
        <f>A1309</f>
        <v>4th Singles</v>
      </c>
      <c r="S1321"/>
      <c r="T1321"/>
      <c r="U1321"/>
      <c r="V1321"/>
      <c r="W1321"/>
      <c r="X1321"/>
      <c r="Y1321"/>
      <c r="Z1321"/>
      <c r="AA1321"/>
      <c r="AB1321"/>
      <c r="AC1321"/>
      <c r="AD1321"/>
      <c r="AE1321"/>
      <c r="AF1321"/>
    </row>
    <row r="1322" spans="1:32" ht="12.75" customHeight="1" x14ac:dyDescent="0.25">
      <c r="G1322" s="53">
        <f ca="1">COUNTIF($Q1290:$Q1290,"W")+COUNTIF($Q1297:$Q1297,"W")+COUNTIF($Q1304:$Q1304,"W")+COUNTIF($Q1311:$Q1311,"W")</f>
        <v>0</v>
      </c>
      <c r="J1322" s="53">
        <f ca="1">COUNTIF($Q1292:$Q1292,"W")+COUNTIF($Q1299:$Q1299,"W")+COUNTIF($Q1306:$Q1306,"W")+COUNTIF($Q1313:$Q1313,"W")</f>
        <v>0</v>
      </c>
      <c r="R1322" s="47" t="s">
        <v>160</v>
      </c>
      <c r="S1322" s="304" t="s">
        <v>58</v>
      </c>
      <c r="T1322" s="305"/>
      <c r="U1322" s="305"/>
      <c r="V1322" s="305"/>
      <c r="W1322" s="305"/>
      <c r="X1322" s="306"/>
      <c r="Y1322" s="47">
        <v>1</v>
      </c>
      <c r="Z1322" s="47">
        <v>2</v>
      </c>
      <c r="AA1322" s="47">
        <v>3</v>
      </c>
      <c r="AB1322" s="47">
        <v>4</v>
      </c>
      <c r="AC1322" s="47">
        <v>5</v>
      </c>
      <c r="AD1322" s="286"/>
      <c r="AE1322" s="287"/>
      <c r="AF1322" s="288"/>
    </row>
    <row r="1323" spans="1:32" ht="12.75" customHeight="1" thickBot="1" x14ac:dyDescent="0.3">
      <c r="F1323" s="212" t="s">
        <v>170</v>
      </c>
      <c r="G1323" s="212"/>
      <c r="H1323" s="212"/>
      <c r="I1323" s="212"/>
      <c r="J1323" s="212"/>
      <c r="K1323" s="212"/>
      <c r="R1323" s="259" t="str">
        <f>B1284</f>
        <v>C</v>
      </c>
      <c r="S1323" s="307" t="str">
        <f ca="1">IF($B1311&lt;&gt;"",$B1311,"")</f>
        <v/>
      </c>
      <c r="T1323" s="308"/>
      <c r="U1323" s="308"/>
      <c r="V1323" s="308"/>
      <c r="W1323" s="308"/>
      <c r="X1323" s="309"/>
      <c r="Y1323" s="284"/>
      <c r="Z1323" s="284"/>
      <c r="AA1323" s="297"/>
      <c r="AB1323" s="297"/>
      <c r="AC1323" s="297"/>
      <c r="AD1323" s="296"/>
      <c r="AE1323" s="298"/>
      <c r="AF1323" s="299"/>
    </row>
    <row r="1324" spans="1:32" ht="12.75" customHeight="1" x14ac:dyDescent="0.25">
      <c r="A1324" s="16"/>
      <c r="B1324" s="16"/>
      <c r="C1324" s="16"/>
      <c r="D1324" s="16"/>
      <c r="E1324" s="16"/>
      <c r="G1324" s="261" t="str">
        <f>B1284</f>
        <v>C</v>
      </c>
      <c r="H1324" s="262"/>
      <c r="I1324" s="263" t="str">
        <f>K1284</f>
        <v>L</v>
      </c>
      <c r="J1324" s="264"/>
      <c r="L1324" s="16"/>
      <c r="M1324" s="16"/>
      <c r="N1324" s="16"/>
      <c r="O1324" s="16"/>
      <c r="P1324" s="16"/>
      <c r="R1324" s="260"/>
      <c r="S1324" s="310"/>
      <c r="T1324" s="311"/>
      <c r="U1324" s="311"/>
      <c r="V1324" s="311"/>
      <c r="W1324" s="311"/>
      <c r="X1324" s="312"/>
      <c r="Y1324" s="285"/>
      <c r="Z1324" s="285"/>
      <c r="AA1324" s="303"/>
      <c r="AB1324" s="303"/>
      <c r="AC1324" s="303"/>
      <c r="AD1324" s="300"/>
      <c r="AE1324" s="301"/>
      <c r="AF1324" s="302"/>
    </row>
    <row r="1325" spans="1:32" ht="12.75" customHeight="1" thickBot="1" x14ac:dyDescent="0.3">
      <c r="A1325" s="2" t="s">
        <v>160</v>
      </c>
      <c r="B1325" s="40" t="str">
        <f>B1284</f>
        <v>C</v>
      </c>
      <c r="C1325" s="3" t="s">
        <v>158</v>
      </c>
      <c r="F1325" s="53" t="str">
        <f>CONCATENATE($B1284,"-",$K1284)</f>
        <v>C-L</v>
      </c>
      <c r="G1325" s="240" t="str">
        <f ca="1">IF(OR(Q1290&lt;&gt;"",Q1297&lt;&gt;"",Q1304&lt;&gt;"",Q1311&lt;&gt;"",Q1318&lt;&gt;""),COUNTIF(Q1290:Q1290,"W")+COUNTIF(Q1297:Q1297,"W")+COUNTIF(Q1304:Q1304,"W")+COUNTIF(Q1311:Q1311,"W")+COUNTIF(Q1318:Q1318,"W"),"")</f>
        <v/>
      </c>
      <c r="H1325" s="241"/>
      <c r="I1325" s="242" t="str">
        <f ca="1">IF(OR(Q1292&lt;&gt;"",Q1299&lt;&gt;"",Q1306&lt;&gt;"",Q1313&lt;&gt;"",Q1320&lt;&gt;""),COUNTIF(Q1292:Q1292,"W")+COUNTIF(Q1299:Q1299,"W")+COUNTIF(Q1306:Q1306,"W")+COUNTIF(Q1313:Q1313,"W")+COUNTIF(Q1320:Q1320,"W"),"")</f>
        <v/>
      </c>
      <c r="J1325" s="243"/>
      <c r="L1325" s="2" t="s">
        <v>160</v>
      </c>
      <c r="M1325" s="40" t="str">
        <f>K1284</f>
        <v>L</v>
      </c>
      <c r="N1325" s="3" t="s">
        <v>158</v>
      </c>
      <c r="R1325" s="259" t="str">
        <f>K1284</f>
        <v>L</v>
      </c>
      <c r="S1325" s="307" t="str">
        <f ca="1">IF($B1313&lt;&gt;"",$B1313,"")</f>
        <v/>
      </c>
      <c r="T1325" s="308"/>
      <c r="U1325" s="308"/>
      <c r="V1325" s="308"/>
      <c r="W1325" s="308"/>
      <c r="X1325" s="309"/>
      <c r="Y1325" s="284"/>
      <c r="Z1325" s="284"/>
      <c r="AA1325" s="297"/>
      <c r="AB1325" s="297"/>
      <c r="AC1325" s="297"/>
      <c r="AD1325" s="289" t="s">
        <v>169</v>
      </c>
      <c r="AE1325" s="290"/>
      <c r="AF1325" s="291"/>
    </row>
    <row r="1326" spans="1:32" ht="12.75" customHeight="1" x14ac:dyDescent="0.35">
      <c r="F1326" s="18" t="s">
        <v>403</v>
      </c>
      <c r="G1326" s="17"/>
      <c r="H1326" s="17"/>
      <c r="I1326" s="17"/>
      <c r="J1326" s="17"/>
      <c r="R1326" s="285"/>
      <c r="S1326" s="310"/>
      <c r="T1326" s="311"/>
      <c r="U1326" s="311"/>
      <c r="V1326" s="311"/>
      <c r="W1326" s="311"/>
      <c r="X1326" s="312"/>
      <c r="Y1326" s="285"/>
      <c r="Z1326" s="285"/>
      <c r="AA1326" s="285"/>
      <c r="AB1326" s="285"/>
      <c r="AC1326" s="285"/>
      <c r="AD1326" s="292"/>
      <c r="AE1326" s="293"/>
      <c r="AF1326" s="294"/>
    </row>
    <row r="1327" spans="1:32" ht="12.75" customHeight="1" x14ac:dyDescent="0.25">
      <c r="R1327" s="1"/>
      <c r="S1327" s="11"/>
      <c r="T1327" s="11"/>
      <c r="U1327" s="11"/>
      <c r="V1327" s="11"/>
      <c r="W1327" s="11"/>
    </row>
    <row r="1328" spans="1:32" ht="12.75" customHeight="1" x14ac:dyDescent="0.25">
      <c r="F1328" s="212"/>
      <c r="G1328" s="212"/>
      <c r="H1328" s="212"/>
      <c r="I1328" s="212"/>
      <c r="R1328" s="1"/>
      <c r="S1328" s="11"/>
      <c r="T1328" s="11"/>
      <c r="U1328" s="11"/>
      <c r="V1328" s="11"/>
      <c r="W1328" s="11"/>
    </row>
    <row r="1329" spans="1:32" ht="12.75" customHeight="1" x14ac:dyDescent="0.25">
      <c r="F1329" s="212"/>
      <c r="G1329" s="212"/>
      <c r="H1329" s="212"/>
      <c r="I1329" s="212"/>
      <c r="R1329" s="1"/>
      <c r="S1329" s="11"/>
      <c r="T1329" s="11"/>
      <c r="U1329" s="11"/>
      <c r="V1329" s="11"/>
      <c r="W1329" s="11"/>
    </row>
    <row r="1330" spans="1:32" ht="12.75" customHeight="1" x14ac:dyDescent="0.25">
      <c r="K1330" s="219" t="s">
        <v>176</v>
      </c>
      <c r="L1330" s="219"/>
      <c r="M1330" s="219"/>
      <c r="N1330" s="219"/>
      <c r="O1330" s="219"/>
      <c r="P1330" s="219"/>
      <c r="R1330" s="1"/>
      <c r="S1330" s="11"/>
      <c r="T1330" s="11"/>
      <c r="U1330" s="11"/>
      <c r="V1330" s="11"/>
      <c r="W1330" s="11"/>
    </row>
    <row r="1331" spans="1:32" ht="12.75" customHeight="1" x14ac:dyDescent="0.25">
      <c r="A1331" s="9" t="s">
        <v>161</v>
      </c>
      <c r="B1331"/>
      <c r="C1331"/>
      <c r="D1331" t="str">
        <f>Draw!$B$1</f>
        <v>Enter Division Name</v>
      </c>
      <c r="E1331"/>
      <c r="F1331" s="6"/>
      <c r="G1331" s="6"/>
      <c r="H1331" s="6"/>
      <c r="I1331"/>
      <c r="J1331"/>
      <c r="K1331"/>
      <c r="L1331"/>
      <c r="M1331" s="219"/>
      <c r="N1331" s="219"/>
      <c r="O1331" s="219"/>
      <c r="P1331" s="219"/>
      <c r="R1331" s="1"/>
      <c r="S1331" s="11"/>
      <c r="T1331" s="11"/>
      <c r="U1331" s="11"/>
      <c r="V1331" s="11"/>
      <c r="W1331" s="11"/>
    </row>
    <row r="1332" spans="1:32" ht="12.75" customHeight="1" x14ac:dyDescent="0.25">
      <c r="A1332" s="2" t="s">
        <v>162</v>
      </c>
      <c r="D1332" t="str">
        <f>Draw!$D$1</f>
        <v>Enter Hosting Location (City, ST)</v>
      </c>
      <c r="J1332" t="str">
        <f ca="1">$J$6</f>
        <v>[NCTTA Teams Template (v3.4).xlsx]</v>
      </c>
      <c r="R1332" s="1"/>
      <c r="S1332" s="11"/>
      <c r="T1332" s="11"/>
      <c r="U1332" s="11"/>
      <c r="V1332" s="11"/>
      <c r="W1332" s="11"/>
    </row>
    <row r="1333" spans="1:32" ht="12.75" customHeight="1" x14ac:dyDescent="0.25">
      <c r="A1333" s="2" t="s">
        <v>163</v>
      </c>
      <c r="D1333" s="275" t="str">
        <f>Draw!$P$1</f>
        <v>Enter Date</v>
      </c>
      <c r="E1333" s="275"/>
      <c r="F1333" s="275"/>
      <c r="G1333" s="275"/>
      <c r="J1333" s="244" t="str">
        <f>CHOOSE(Draw!$T$1,"Round 5, Match 3","Round 4, Match 6","","","","","","Round 7, Match 3","Round 7, Match 3","Round 6, Match 2","Round 6, Match 2")</f>
        <v>Round 5, Match 3</v>
      </c>
      <c r="K1333" s="244"/>
      <c r="L1333" s="244"/>
      <c r="M1333" s="277" t="str">
        <f>IF(AND($J1333&lt;&gt;"",Draw!$AC$10&lt;&gt;"",Draw!$AC$13&lt;&gt;""),Draw!$AC$10+TIME(0,VALUE(MID($J1333,7,FIND(",",$J1333)-FIND(" ",$J1333)-1)-1)*Draw!$AC$13,0),"")</f>
        <v/>
      </c>
      <c r="N1333" s="277"/>
      <c r="O1333" s="125" t="str">
        <f>$F1376</f>
        <v>D-K</v>
      </c>
      <c r="R1333" s="1"/>
      <c r="S1333" s="11"/>
      <c r="T1333" s="11"/>
      <c r="U1333" s="11"/>
      <c r="V1333" s="11"/>
      <c r="W1333" s="11"/>
    </row>
    <row r="1334" spans="1:32" ht="12.75" customHeight="1" x14ac:dyDescent="0.25">
      <c r="A1334" s="6"/>
      <c r="B1334"/>
      <c r="C1334"/>
      <c r="D1334"/>
      <c r="E1334"/>
      <c r="F1334" s="6"/>
      <c r="G1334" s="6"/>
      <c r="H1334" s="11"/>
      <c r="I1334" s="6"/>
      <c r="J1334"/>
      <c r="K1334"/>
      <c r="L1334"/>
      <c r="M1334"/>
      <c r="N1334"/>
      <c r="O1334" s="269" t="str">
        <f>IF(OR(AND(VLOOKUP($B1335,$AM$1:$AX$12,12,FALSE)="C",VLOOKUP($K1335,$AM$1:$AX$12,12,FALSE)="C"),AND(VLOOKUP($B1335,$AM$1:$AX$12,12,FALSE)="W",VLOOKUP($K1335,$AM$1:$AX$12,12,FALSE)="W")),"Official",IF(AND($A1336="",$J1336=""),"","Scrimmage"))</f>
        <v/>
      </c>
      <c r="P1334" s="269"/>
      <c r="R1334" s="1"/>
      <c r="S1334" s="11"/>
      <c r="T1334" s="11"/>
      <c r="U1334" s="11"/>
      <c r="V1334" s="11"/>
      <c r="W1334" s="11"/>
    </row>
    <row r="1335" spans="1:32" ht="12.75" customHeight="1" x14ac:dyDescent="0.25">
      <c r="A1335" s="12" t="s">
        <v>160</v>
      </c>
      <c r="B1335" s="98" t="str">
        <f>CHOOSE(Draw!$T$1,"D","J","B","B","C","B","B","D","F","C","F")</f>
        <v>D</v>
      </c>
      <c r="C1335" s="109">
        <f>VLOOKUP($B1335,$AM$1:$AN$12,2)</f>
        <v>4</v>
      </c>
      <c r="D1335" s="10"/>
      <c r="E1335" s="10"/>
      <c r="F1335" s="8"/>
      <c r="H1335" s="1" t="s">
        <v>164</v>
      </c>
      <c r="J1335" s="12" t="s">
        <v>160</v>
      </c>
      <c r="K1335" s="98" t="str">
        <f>CHOOSE(Draw!$T$1,"K","K","E","I","H","L","H","H","I","E","H")</f>
        <v>K</v>
      </c>
      <c r="L1335" s="109">
        <f>VLOOKUP($K1335,$AM$1:$AN$12,2)</f>
        <v>11</v>
      </c>
      <c r="M1335" s="10"/>
      <c r="N1335" s="10"/>
      <c r="O1335" s="13"/>
      <c r="R1335" s="1"/>
      <c r="S1335" s="11"/>
      <c r="T1335" s="11"/>
      <c r="U1335" s="11"/>
      <c r="V1335" s="11"/>
      <c r="W1335" s="11"/>
    </row>
    <row r="1336" spans="1:32" ht="12.75" customHeight="1" x14ac:dyDescent="0.25">
      <c r="A1336" s="253" t="str">
        <f>IF(VLOOKUP($B1335,Draw!$A$4:$B$27,2)&lt;&gt;0,VLOOKUP($B1335,Draw!$A$4:$B$27,2),"")</f>
        <v/>
      </c>
      <c r="B1336" s="254"/>
      <c r="C1336" s="254"/>
      <c r="D1336" s="254"/>
      <c r="E1336" s="254"/>
      <c r="F1336" s="255"/>
      <c r="G1336" s="273" t="s">
        <v>430</v>
      </c>
      <c r="H1336" s="249"/>
      <c r="I1336" s="274"/>
      <c r="J1336" s="253" t="str">
        <f>IF(VLOOKUP($K1335,Draw!$A$4:$B$27,2)&lt;&gt;0,VLOOKUP($K1335,Draw!$A$4:$B$27,2),"")</f>
        <v/>
      </c>
      <c r="K1336" s="254"/>
      <c r="L1336" s="254"/>
      <c r="M1336" s="254"/>
      <c r="N1336" s="254"/>
      <c r="O1336" s="255"/>
      <c r="P1336"/>
      <c r="R1336" s="1"/>
      <c r="S1336" s="11"/>
      <c r="T1336" s="11"/>
      <c r="U1336" s="11"/>
      <c r="V1336" s="11"/>
      <c r="W1336" s="11"/>
    </row>
    <row r="1337" spans="1:32" ht="12.75" customHeight="1" x14ac:dyDescent="0.25">
      <c r="A1337" s="6"/>
      <c r="B1337"/>
      <c r="C1337"/>
      <c r="D1337"/>
      <c r="E1337"/>
      <c r="F1337" s="6"/>
      <c r="G1337" s="248" t="str">
        <f>"Page "&amp;VALUE(RIGHT($G1336,LEN($G1336)-SEARCH("-",$G1336)))/2</f>
        <v>Page 27</v>
      </c>
      <c r="H1337" s="249"/>
      <c r="I1337" s="249"/>
      <c r="J1337"/>
      <c r="K1337"/>
      <c r="L1337"/>
      <c r="M1337"/>
      <c r="N1337"/>
      <c r="O1337"/>
      <c r="P1337"/>
      <c r="R1337" s="1"/>
      <c r="S1337" s="11"/>
      <c r="T1337" s="11"/>
      <c r="U1337" s="11"/>
      <c r="V1337" s="11"/>
      <c r="W1337" s="11"/>
      <c r="AF1337"/>
    </row>
    <row r="1338" spans="1:32" ht="12.75" customHeight="1" x14ac:dyDescent="0.25">
      <c r="A1338" s="276" t="s">
        <v>177</v>
      </c>
      <c r="B1338" s="276"/>
      <c r="C1338" s="276"/>
      <c r="D1338" s="276"/>
      <c r="E1338" s="276"/>
      <c r="F1338" s="276"/>
      <c r="G1338" s="276"/>
      <c r="H1338" s="276"/>
      <c r="I1338" s="276"/>
      <c r="J1338" s="276"/>
      <c r="K1338" s="276"/>
      <c r="L1338" s="276"/>
      <c r="M1338" s="276"/>
      <c r="N1338" s="276"/>
      <c r="O1338" s="276"/>
      <c r="P1338" s="276"/>
      <c r="Q1338" s="6"/>
      <c r="R1338" s="1"/>
      <c r="S1338" s="11"/>
      <c r="T1338" s="11"/>
      <c r="U1338" s="11"/>
      <c r="V1338" s="11"/>
      <c r="W1338" s="11"/>
      <c r="AF1338" s="14"/>
    </row>
    <row r="1339" spans="1:32" ht="12.75" customHeight="1" x14ac:dyDescent="0.25">
      <c r="A1339" s="15" t="s">
        <v>165</v>
      </c>
      <c r="H1339" s="110" t="str">
        <f>IF($Q1341&lt;&gt;"",IF(AND(AND($H1341&gt;-1,$H1343&gt;-1),OR($H1341&gt;10,$H1343&gt;10),ABS($H1341-$H1343)&gt;1,IF(OR($H1341&gt;11,$H1343&gt;11),ABS($H1341-$H1343)=2,TRUE),$H1341=INT($H1341),$H1343=INT($H1343)),"","Error"),"")</f>
        <v/>
      </c>
      <c r="I1339" s="110" t="str">
        <f>IF($Q1341&lt;&gt;"",IF(AND(AND($I1341&gt;-1,$I1343&gt;-1),OR($I1341&gt;10,$I1343&gt;10),ABS($I1341-$I1343)&gt;1,IF(OR($I1341&gt;11,$I1343&gt;11),ABS($I1341-$I1343)=2,TRUE),$I1341=INT($I1341),$I1343=INT($I1343)),"","Error"),"")</f>
        <v/>
      </c>
      <c r="J1339" s="110" t="str">
        <f>IF($Q1341&lt;&gt;"",IF(AND(AND($J1341&gt;-1,$J1343&gt;-1),OR($J1341&gt;10,$J1343&gt;10),ABS($J1341-$J1343)&gt;1,IF(OR($J1341&gt;11,$J1343&gt;11),ABS($J1341-$J1343)=2,TRUE),$J1341=INT($J1341),$J1343=INT($J1343)),"","Error"),"")</f>
        <v/>
      </c>
      <c r="K1339" s="110" t="str">
        <f>IF($Q1341&lt;&gt;"",IF(AND($K1341&lt;&gt;"",$K1343&lt;&gt;""), IF(AND(AND($K1341&gt;-1,$K1343&gt;-1),OR($K1341&gt;10,$K1343&gt;10),ABS($K1341-$K1343)&gt;1,IF(OR($K1341&gt;11,$K1343&gt;11),ABS($K1341-$K1343)=2,TRUE),$K1341=INT($K1341),$K1343=INT($K1343)),"","Error"),""),"")</f>
        <v/>
      </c>
      <c r="L1339" s="110" t="str">
        <f>IF($Q1341&lt;&gt;"",IF(AND($L1341&lt;&gt;"",$L1343&lt;&gt;""), IF(AND(AND($L1341&gt;-1,$L1343&gt;-1),OR($L1341&gt;10,$L1343&gt;10),ABS($L1341-$L1343)&gt;1,IF(OR($L1341&gt;11,$L1343&gt;11),ABS($L1341-$L1343)=2,TRUE),$L1341=INT($L1341),$L1343=INT($L1343)),"","Error"),""),"")</f>
        <v/>
      </c>
      <c r="R1339" s="1"/>
      <c r="S1339" s="11"/>
      <c r="T1339" s="11"/>
      <c r="U1339" s="11"/>
      <c r="V1339" s="11"/>
      <c r="W1339" s="11"/>
    </row>
    <row r="1340" spans="1:32" ht="12.75" customHeight="1" x14ac:dyDescent="0.25">
      <c r="A1340" s="5" t="s">
        <v>160</v>
      </c>
      <c r="B1340" s="256" t="s">
        <v>58</v>
      </c>
      <c r="C1340" s="257"/>
      <c r="D1340" s="257"/>
      <c r="E1340" s="257"/>
      <c r="F1340" s="257"/>
      <c r="G1340" s="258"/>
      <c r="H1340" s="5">
        <v>1</v>
      </c>
      <c r="I1340" s="5">
        <v>2</v>
      </c>
      <c r="J1340" s="5">
        <v>3</v>
      </c>
      <c r="K1340" s="5">
        <v>4</v>
      </c>
      <c r="L1340" s="5">
        <v>5</v>
      </c>
      <c r="M1340" s="270"/>
      <c r="N1340" s="271"/>
      <c r="O1340" s="271"/>
      <c r="P1340" s="272"/>
      <c r="R1340" s="1"/>
      <c r="S1340" s="11"/>
      <c r="T1340" s="11"/>
      <c r="U1340" s="11"/>
      <c r="V1340" s="11"/>
      <c r="W1340" s="11"/>
    </row>
    <row r="1341" spans="1:32" ht="12.75" customHeight="1" x14ac:dyDescent="0.25">
      <c r="A1341" s="259" t="str">
        <f>B1335</f>
        <v>D</v>
      </c>
      <c r="B1341" s="236" t="str">
        <f ca="1">IF(AND(OFFSET($AO$1,$C1335-1,8,1,1),$A1336&lt;&gt;"",$J1336&lt;&gt;""),CHOOSE($C1335,$AO$1,$AO$2,$AO$3,$AO$4,$AO$5,$AO$6,$AO$7,$AO$8,$AO$9,$AO$10,$AO$11,$AO$12),"")</f>
        <v/>
      </c>
      <c r="C1341" s="237"/>
      <c r="D1341" s="237"/>
      <c r="E1341" s="237"/>
      <c r="F1341" s="237"/>
      <c r="G1341" s="237"/>
      <c r="H1341" s="233"/>
      <c r="I1341" s="233"/>
      <c r="J1341" s="233"/>
      <c r="K1341" s="233"/>
      <c r="L1341" s="233"/>
      <c r="M1341" s="281"/>
      <c r="N1341" s="282"/>
      <c r="O1341" s="282"/>
      <c r="P1341" s="283"/>
      <c r="Q1341" s="40" t="str">
        <f>IF($L1341=$L1343,IF($K1341=$K1343,IF($J1341&lt;&gt;"",IF($J1341&gt;$J1343,"W","L"),""),IF($K1341&gt;$K1343,"W","L")),IF($L1341&gt;$L1343,"W","L"))</f>
        <v/>
      </c>
      <c r="R1341" s="1"/>
      <c r="S1341" s="11"/>
      <c r="T1341" s="11"/>
      <c r="U1341" s="11"/>
      <c r="V1341" s="11"/>
      <c r="W1341" s="11"/>
    </row>
    <row r="1342" spans="1:32" ht="12.75" customHeight="1" x14ac:dyDescent="0.25">
      <c r="A1342" s="260"/>
      <c r="B1342" s="238"/>
      <c r="C1342" s="239"/>
      <c r="D1342" s="239"/>
      <c r="E1342" s="239"/>
      <c r="F1342" s="239"/>
      <c r="G1342" s="239"/>
      <c r="H1342" s="234"/>
      <c r="I1342" s="234"/>
      <c r="J1342" s="234"/>
      <c r="K1342" s="234"/>
      <c r="L1342" s="234"/>
      <c r="M1342" s="281"/>
      <c r="N1342" s="282"/>
      <c r="O1342" s="282"/>
      <c r="P1342" s="283"/>
      <c r="Q1342" s="110" t="str">
        <f>IF($Q1341&lt;&gt;"",IF($Q1341="W",IF(SUM(IF($H1341&gt;$H1343,1,0),IF($I1341&gt;$I1343,1,0),IF($J1341&gt;$J1343,1,0),IF($K1341&gt;$K1343,1,0),IF($L1341&gt;$L1343,1,0))&lt;&gt;3,"Error",""),""),"")</f>
        <v/>
      </c>
      <c r="R1342" s="295" t="str">
        <f>$A1336</f>
        <v/>
      </c>
      <c r="S1342" s="295"/>
      <c r="T1342" s="295"/>
      <c r="U1342" s="295"/>
      <c r="V1342" s="295"/>
      <c r="W1342" s="295"/>
      <c r="X1342" s="219" t="str">
        <f>CONCATENATE("(",$B1335," vs ",$K1335,")")</f>
        <v>(D vs K)</v>
      </c>
      <c r="Y1342" s="219"/>
      <c r="Z1342" s="295" t="str">
        <f>$J1336</f>
        <v/>
      </c>
      <c r="AA1342" s="295"/>
      <c r="AB1342" s="295"/>
      <c r="AC1342" s="295"/>
      <c r="AD1342" s="295"/>
      <c r="AE1342" s="295"/>
      <c r="AF1342"/>
    </row>
    <row r="1343" spans="1:32" ht="12.75" customHeight="1" x14ac:dyDescent="0.25">
      <c r="A1343" s="259" t="str">
        <f>K1335</f>
        <v>K</v>
      </c>
      <c r="B1343" s="236" t="str">
        <f ca="1">IF(AND(OFFSET($AO$1,$L1335-1,8,1,1),$A1336&lt;&gt;"",$J1336&lt;&gt;""),CHOOSE($L1335,$AO$1,$AO$2,$AO$3,$AO$4,$AO$5,$AO$6,$AO$7,$AO$8,$AO$9,$AO$10,$AO$11,$AO$12),"")</f>
        <v/>
      </c>
      <c r="C1343" s="237"/>
      <c r="D1343" s="237"/>
      <c r="E1343" s="237"/>
      <c r="F1343" s="237"/>
      <c r="G1343" s="237"/>
      <c r="H1343" s="233"/>
      <c r="I1343" s="233"/>
      <c r="J1343" s="233"/>
      <c r="K1343" s="233"/>
      <c r="L1343" s="233"/>
      <c r="M1343" s="250" t="s">
        <v>169</v>
      </c>
      <c r="N1343" s="251"/>
      <c r="O1343" s="251"/>
      <c r="P1343" s="252"/>
      <c r="Q1343" s="40" t="str">
        <f>IF($Q1341&lt;&gt;"",IF($Q1341="W","L","W"),"")</f>
        <v/>
      </c>
      <c r="R1343"/>
      <c r="S1343"/>
      <c r="T1343"/>
      <c r="U1343"/>
      <c r="V1343"/>
      <c r="W1343"/>
      <c r="X1343"/>
      <c r="Y1343"/>
      <c r="Z1343"/>
      <c r="AA1343"/>
      <c r="AB1343"/>
      <c r="AC1343"/>
      <c r="AD1343"/>
      <c r="AE1343"/>
      <c r="AF1343"/>
    </row>
    <row r="1344" spans="1:32" ht="12.75" customHeight="1" x14ac:dyDescent="0.25">
      <c r="A1344" s="260"/>
      <c r="B1344" s="238"/>
      <c r="C1344" s="239"/>
      <c r="D1344" s="239"/>
      <c r="E1344" s="239"/>
      <c r="F1344" s="239"/>
      <c r="G1344" s="239"/>
      <c r="H1344" s="234"/>
      <c r="I1344" s="234"/>
      <c r="J1344" s="235"/>
      <c r="K1344" s="235"/>
      <c r="L1344" s="235"/>
      <c r="M1344" s="250"/>
      <c r="N1344" s="251"/>
      <c r="O1344" s="251"/>
      <c r="P1344" s="252"/>
      <c r="Q1344" s="110" t="str">
        <f>IF($Q1343&lt;&gt;"",IF($Q1343="W",IF(SUM(IF($H1343&gt;$H1341,1,0),IF($I1343&gt;$I1341,1,0),IF($J1343&gt;$J1341,1,0),IF($K1343&gt;$K1341,1,0),IF($L1343&gt;$L1341,1,0))&lt;&gt;3,"Error",""),""),"")</f>
        <v/>
      </c>
      <c r="R1344" t="str">
        <f>$A1346</f>
        <v>2nd Singles</v>
      </c>
      <c r="S1344"/>
      <c r="T1344"/>
      <c r="U1344"/>
      <c r="V1344"/>
      <c r="W1344"/>
      <c r="X1344"/>
      <c r="Y1344"/>
      <c r="Z1344"/>
      <c r="AA1344"/>
      <c r="AB1344"/>
      <c r="AC1344"/>
      <c r="AD1344"/>
      <c r="AE1344"/>
      <c r="AF1344"/>
    </row>
    <row r="1345" spans="1:32" ht="12.75" customHeight="1" x14ac:dyDescent="0.25">
      <c r="Q1345" s="6"/>
      <c r="R1345" s="47" t="s">
        <v>160</v>
      </c>
      <c r="S1345" s="304" t="s">
        <v>58</v>
      </c>
      <c r="T1345" s="305"/>
      <c r="U1345" s="305"/>
      <c r="V1345" s="305"/>
      <c r="W1345" s="305"/>
      <c r="X1345" s="306"/>
      <c r="Y1345" s="47">
        <v>1</v>
      </c>
      <c r="Z1345" s="47">
        <v>2</v>
      </c>
      <c r="AA1345" s="47">
        <v>3</v>
      </c>
      <c r="AB1345" s="47">
        <v>4</v>
      </c>
      <c r="AC1345" s="47">
        <v>5</v>
      </c>
      <c r="AD1345" s="286"/>
      <c r="AE1345" s="287"/>
      <c r="AF1345" s="288"/>
    </row>
    <row r="1346" spans="1:32" ht="12.75" customHeight="1" x14ac:dyDescent="0.25">
      <c r="A1346" s="15" t="s">
        <v>166</v>
      </c>
      <c r="H1346" s="110" t="str">
        <f>IF($Q1348&lt;&gt;"",IF(AND(AND($H1348&gt;-1,$H1350&gt;-1),OR($H1348&gt;10,$H1350&gt;10),ABS($H1348-$H1350)&gt;1,IF(OR($H1348&gt;11,$H1350&gt;11),ABS($H1348-$H1350)=2,TRUE),$H1348=INT($H1348),$H1350=INT($H1350)),"","Error"),"")</f>
        <v/>
      </c>
      <c r="I1346" s="110" t="str">
        <f>IF($Q1348&lt;&gt;"",IF(AND(AND($I1348&gt;-1,$I1350&gt;-1),OR($I1348&gt;10,$I1350&gt;10),ABS($I1348-$I1350)&gt;1,IF(OR($I1348&gt;11,$I1350&gt;11),ABS($I1348-$I1350)=2,TRUE),$I1348=INT($I1348),$I1350=INT($I1350)),"","Error"),"")</f>
        <v/>
      </c>
      <c r="J1346" s="110" t="str">
        <f>IF($Q1348&lt;&gt;"",IF(AND(AND($J1348&gt;-1,$J1350&gt;-1),OR($J1348&gt;10,$J1350&gt;10),ABS($J1348-$J1350)&gt;1,IF(OR($J1348&gt;11,$J1350&gt;11),ABS($J1348-$J1350)=2,TRUE),$J1348=INT($J1348),$J1350=INT($J1350)),"","Error"),"")</f>
        <v/>
      </c>
      <c r="K1346" s="110" t="str">
        <f>IF($Q1348&lt;&gt;"",IF(AND($K1348&lt;&gt;"",$K1350&lt;&gt;""), IF(AND(AND($K1348&gt;-1,$K1350&gt;-1),OR($K1348&gt;10,$K1350&gt;10),ABS($K1348-$K1350)&gt;1,IF(OR($K1348&gt;11,$K1350&gt;11),ABS($K1348-$K1350)=2,TRUE),$K1348=INT($K1348),$K1350=INT($K1350)),"","Error"),""),"")</f>
        <v/>
      </c>
      <c r="L1346" s="110" t="str">
        <f>IF($Q1348&lt;&gt;"",IF(AND($L1348&lt;&gt;"",$L1350&lt;&gt;""), IF(AND(AND($L1348&gt;-1,$L1350&gt;-1),OR($L1348&gt;10,$L1350&gt;10),ABS($L1348-$L1350)&gt;1,IF(OR($L1348&gt;11,$L1350&gt;11),ABS($L1348-$L1350)=2,TRUE),$L1348=INT($L1348),$L1350=INT($L1350)),"","Error"),""),"")</f>
        <v/>
      </c>
      <c r="Q1346" s="6"/>
      <c r="R1346" s="259" t="str">
        <f>$B1335</f>
        <v>D</v>
      </c>
      <c r="S1346" s="307" t="str">
        <f ca="1">IF($B1348&lt;&gt;"",$B1348,"")</f>
        <v/>
      </c>
      <c r="T1346" s="308"/>
      <c r="U1346" s="308"/>
      <c r="V1346" s="308"/>
      <c r="W1346" s="308"/>
      <c r="X1346" s="309"/>
      <c r="Y1346" s="284"/>
      <c r="Z1346" s="284"/>
      <c r="AA1346" s="284"/>
      <c r="AB1346" s="284"/>
      <c r="AC1346" s="284"/>
      <c r="AD1346" s="296"/>
      <c r="AE1346" s="290"/>
      <c r="AF1346" s="291"/>
    </row>
    <row r="1347" spans="1:32" ht="12.75" customHeight="1" x14ac:dyDescent="0.25">
      <c r="A1347" s="5" t="s">
        <v>160</v>
      </c>
      <c r="B1347" s="256" t="s">
        <v>58</v>
      </c>
      <c r="C1347" s="257"/>
      <c r="D1347" s="257"/>
      <c r="E1347" s="257"/>
      <c r="F1347" s="257"/>
      <c r="G1347" s="258"/>
      <c r="H1347" s="5">
        <v>1</v>
      </c>
      <c r="I1347" s="5">
        <v>2</v>
      </c>
      <c r="J1347" s="5">
        <v>3</v>
      </c>
      <c r="K1347" s="5">
        <v>4</v>
      </c>
      <c r="L1347" s="5">
        <v>5</v>
      </c>
      <c r="M1347" s="270"/>
      <c r="N1347" s="271"/>
      <c r="O1347" s="271"/>
      <c r="P1347" s="272"/>
      <c r="Q1347" s="6"/>
      <c r="R1347" s="285"/>
      <c r="S1347" s="310"/>
      <c r="T1347" s="311"/>
      <c r="U1347" s="311"/>
      <c r="V1347" s="311"/>
      <c r="W1347" s="311"/>
      <c r="X1347" s="312"/>
      <c r="Y1347" s="285"/>
      <c r="Z1347" s="285"/>
      <c r="AA1347" s="285"/>
      <c r="AB1347" s="285"/>
      <c r="AC1347" s="285"/>
      <c r="AD1347" s="292"/>
      <c r="AE1347" s="293"/>
      <c r="AF1347" s="294"/>
    </row>
    <row r="1348" spans="1:32" ht="12.75" customHeight="1" x14ac:dyDescent="0.25">
      <c r="A1348" s="259" t="str">
        <f>B1335</f>
        <v>D</v>
      </c>
      <c r="B1348" s="236" t="str">
        <f ca="1">IF(AND(OFFSET($AO$1,$C1335-1,8,1,1),$A1336&lt;&gt;"",$J1336&lt;&gt;""),CHOOSE($C1335,$AP$1,$AP$2,$AP$3,$AP$4,$AP$5,$AP$6,$AP$7,$AP$8,$AP$9,$AP$10,$AP$11,$AP$12),"")</f>
        <v/>
      </c>
      <c r="C1348" s="237"/>
      <c r="D1348" s="237"/>
      <c r="E1348" s="237"/>
      <c r="F1348" s="237"/>
      <c r="G1348" s="237"/>
      <c r="H1348" s="233"/>
      <c r="I1348" s="233"/>
      <c r="J1348" s="233"/>
      <c r="K1348" s="233"/>
      <c r="L1348" s="233"/>
      <c r="M1348" s="245" t="str">
        <f ca="1">IF(OR(AND($B1341&lt;&gt;"",$B1348&lt;&gt;"",$C1366&lt;=$B1366),AND($B1343&lt;&gt;"",$B1350&lt;&gt;"",$G1366&lt;=$F1366)),"Invalid Lineup","")</f>
        <v/>
      </c>
      <c r="N1348" s="246"/>
      <c r="O1348" s="246"/>
      <c r="P1348" s="247"/>
      <c r="Q1348" s="40" t="str">
        <f>IF($L1348=$L1350,IF($K1348=$K1350,IF($J1348&lt;&gt;"",IF($J1348&gt;$J1350,"W","L"),""),IF($K1348&gt;$K1350,"W","L")),IF($L1348&gt;$L1350,"W","L"))</f>
        <v/>
      </c>
      <c r="R1348" s="259" t="str">
        <f>$K1335</f>
        <v>K</v>
      </c>
      <c r="S1348" s="307" t="str">
        <f ca="1">IF($B1350&lt;&gt;"",$B1350,"")</f>
        <v/>
      </c>
      <c r="T1348" s="308"/>
      <c r="U1348" s="308"/>
      <c r="V1348" s="308"/>
      <c r="W1348" s="308"/>
      <c r="X1348" s="309"/>
      <c r="Y1348" s="284"/>
      <c r="Z1348" s="284"/>
      <c r="AA1348" s="284"/>
      <c r="AB1348" s="284"/>
      <c r="AC1348" s="297"/>
      <c r="AD1348" s="289" t="s">
        <v>169</v>
      </c>
      <c r="AE1348" s="290"/>
      <c r="AF1348" s="291"/>
    </row>
    <row r="1349" spans="1:32" ht="12.75" customHeight="1" x14ac:dyDescent="0.25">
      <c r="A1349" s="260"/>
      <c r="B1349" s="238"/>
      <c r="C1349" s="239"/>
      <c r="D1349" s="239"/>
      <c r="E1349" s="239"/>
      <c r="F1349" s="239"/>
      <c r="G1349" s="239"/>
      <c r="H1349" s="234"/>
      <c r="I1349" s="234"/>
      <c r="J1349" s="234"/>
      <c r="K1349" s="234"/>
      <c r="L1349" s="234"/>
      <c r="M1349" s="245"/>
      <c r="N1349" s="246"/>
      <c r="O1349" s="246"/>
      <c r="P1349" s="247"/>
      <c r="Q1349" s="110" t="str">
        <f>IF($Q1348&lt;&gt;"",IF($Q1348="W",IF(SUM(IF($H1348&gt;$H1350,1,0),IF($I1348&gt;$I1350,1,0),IF($J1348&gt;$J1350,1,0),IF($K1348&gt;$K1350,1,0),IF($L1348&gt;$L1350,1,0))&lt;&gt;3,"Error",""),""),"")</f>
        <v/>
      </c>
      <c r="R1349" s="285"/>
      <c r="S1349" s="310"/>
      <c r="T1349" s="311"/>
      <c r="U1349" s="311"/>
      <c r="V1349" s="311"/>
      <c r="W1349" s="311"/>
      <c r="X1349" s="312"/>
      <c r="Y1349" s="285"/>
      <c r="Z1349" s="285"/>
      <c r="AA1349" s="285"/>
      <c r="AB1349" s="285"/>
      <c r="AC1349" s="285"/>
      <c r="AD1349" s="292"/>
      <c r="AE1349" s="293"/>
      <c r="AF1349" s="294"/>
    </row>
    <row r="1350" spans="1:32" ht="12.75" customHeight="1" x14ac:dyDescent="0.25">
      <c r="A1350" s="259" t="str">
        <f>K1335</f>
        <v>K</v>
      </c>
      <c r="B1350" s="236" t="str">
        <f ca="1">IF(AND(OFFSET($AO$1,$L1335-1,8,1,1),$A1336&lt;&gt;"",$J1336&lt;&gt;""),CHOOSE($L1335,$AP$1,$AP$2,$AP$3,$AP$4,$AP$5,$AP$6,$AP$7,$AP$8,$AP$9,$AP$10,$AP$11,$AP$12),"")</f>
        <v/>
      </c>
      <c r="C1350" s="237"/>
      <c r="D1350" s="237"/>
      <c r="E1350" s="237"/>
      <c r="F1350" s="237"/>
      <c r="G1350" s="237"/>
      <c r="H1350" s="233"/>
      <c r="I1350" s="233"/>
      <c r="J1350" s="233"/>
      <c r="K1350" s="233"/>
      <c r="L1350" s="233"/>
      <c r="M1350" s="250" t="s">
        <v>169</v>
      </c>
      <c r="N1350" s="251"/>
      <c r="O1350" s="251"/>
      <c r="P1350" s="252"/>
      <c r="Q1350" s="40" t="str">
        <f>IF($Q1348&lt;&gt;"",IF($Q1348="W","L","W"),"")</f>
        <v/>
      </c>
      <c r="R1350" s="14"/>
      <c r="S1350" s="14"/>
      <c r="T1350" s="14"/>
      <c r="U1350" s="14"/>
      <c r="V1350" s="14"/>
      <c r="W1350" s="14"/>
      <c r="X1350" s="7"/>
      <c r="Y1350" s="7"/>
      <c r="Z1350" s="14"/>
      <c r="AA1350" s="14"/>
      <c r="AB1350" s="14"/>
      <c r="AC1350" s="14"/>
      <c r="AD1350" s="14"/>
      <c r="AE1350" s="14"/>
      <c r="AF1350"/>
    </row>
    <row r="1351" spans="1:32" ht="12.75" customHeight="1" x14ac:dyDescent="0.25">
      <c r="A1351" s="260"/>
      <c r="B1351" s="238"/>
      <c r="C1351" s="239"/>
      <c r="D1351" s="239"/>
      <c r="E1351" s="239"/>
      <c r="F1351" s="239"/>
      <c r="G1351" s="239"/>
      <c r="H1351" s="234"/>
      <c r="I1351" s="234"/>
      <c r="J1351" s="235"/>
      <c r="K1351" s="235"/>
      <c r="L1351" s="235"/>
      <c r="M1351" s="250"/>
      <c r="N1351" s="251"/>
      <c r="O1351" s="251"/>
      <c r="P1351" s="252"/>
      <c r="Q1351" s="110" t="str">
        <f>IF($Q1350&lt;&gt;"",IF($Q1350="W",IF(SUM(IF($H1350&gt;$H1348,1,0),IF($I1350&gt;$I1348,1,0),IF($J1350&gt;$J1348,1,0),IF($K1350&gt;$K1348,1,0),IF($L1350&gt;$L1348,1,0))&lt;&gt;3,"Error",""),""),"")</f>
        <v/>
      </c>
      <c r="R1351" s="14"/>
      <c r="S1351" s="14"/>
      <c r="T1351" s="14"/>
      <c r="U1351" s="14"/>
      <c r="V1351" s="14"/>
      <c r="W1351" s="14"/>
      <c r="X1351" s="7"/>
      <c r="Y1351" s="7"/>
      <c r="Z1351" s="14"/>
      <c r="AA1351" s="14"/>
      <c r="AB1351" s="14"/>
      <c r="AC1351" s="14"/>
      <c r="AD1351" s="14"/>
      <c r="AE1351" s="14"/>
      <c r="AF1351"/>
    </row>
    <row r="1352" spans="1:32" ht="12.75" customHeight="1" x14ac:dyDescent="0.25">
      <c r="Q1352" s="6"/>
      <c r="R1352" s="14"/>
      <c r="S1352" s="14"/>
      <c r="T1352" s="14"/>
      <c r="U1352" s="14"/>
      <c r="V1352" s="14"/>
      <c r="W1352" s="14"/>
      <c r="X1352" s="7"/>
      <c r="Y1352" s="7"/>
      <c r="Z1352" s="14"/>
      <c r="AA1352" s="14"/>
      <c r="AB1352" s="14"/>
      <c r="AC1352" s="14"/>
      <c r="AD1352" s="14"/>
      <c r="AE1352" s="14"/>
      <c r="AF1352"/>
    </row>
    <row r="1353" spans="1:32" ht="12.75" customHeight="1" x14ac:dyDescent="0.25">
      <c r="A1353" s="15" t="s">
        <v>167</v>
      </c>
      <c r="H1353" s="110" t="str">
        <f>IF($Q1355&lt;&gt;"",IF(AND(AND($H1355&gt;-1,$H1357&gt;-1),OR($H1355&gt;10,$H1357&gt;10),ABS($H1355-$H1357)&gt;1,IF(OR($H1355&gt;11,$H1357&gt;11),ABS($H1355-$H1357)=2,TRUE),$H1355=INT($H1355),$H1357=INT($H1357)),"","Error"),"")</f>
        <v/>
      </c>
      <c r="I1353" s="110" t="str">
        <f>IF($Q1355&lt;&gt;"",IF(AND(AND($I1355&gt;-1,$I1357&gt;-1),OR($I1355&gt;10,$I1357&gt;10),ABS($I1355-$I1357)&gt;1,IF(OR($I1355&gt;11,$I1357&gt;11),ABS($I1355-$I1357)=2,TRUE),$I1355=INT($I1355),$I1357=INT($I1357)),"","Error"),"")</f>
        <v/>
      </c>
      <c r="J1353" s="110" t="str">
        <f>IF($Q1355&lt;&gt;"",IF(AND(AND($J1355&gt;-1,$J1357&gt;-1),OR($J1355&gt;10,$J1357&gt;10),ABS($J1355-$J1357)&gt;1,IF(OR($J1355&gt;11,$J1357&gt;11),ABS($J1355-$J1357)=2,TRUE),$J1355=INT($J1355),$J1357=INT($J1357)),"","Error"),"")</f>
        <v/>
      </c>
      <c r="K1353" s="110" t="str">
        <f>IF($Q1355&lt;&gt;"",IF(AND($K1355&lt;&gt;"",$K1357&lt;&gt;""), IF(AND(AND($K1355&gt;-1,$K1357&gt;-1),OR($K1355&gt;10,$K1357&gt;10),ABS($K1355-$K1357)&gt;1,IF(OR($K1355&gt;11,$K1357&gt;11),ABS($K1355-$K1357)=2,TRUE),$K1355=INT($K1355),$K1357=INT($K1357)),"","Error"),""),"")</f>
        <v/>
      </c>
      <c r="L1353" s="110" t="str">
        <f>IF($Q1355&lt;&gt;"",IF(AND($L1355&lt;&gt;"",$L1357&lt;&gt;""), IF(AND(AND($L1355&gt;-1,$L1357&gt;-1),OR($L1355&gt;10,$L1357&gt;10),ABS($L1355-$L1357)&gt;1,IF(OR($L1355&gt;11,$L1357&gt;11),ABS($L1355-$L1357)=2,TRUE),$L1355=INT($L1355),$L1357=INT($L1357)),"","Error"),""),"")</f>
        <v/>
      </c>
      <c r="Q1353" s="6"/>
      <c r="R1353" s="14"/>
      <c r="S1353" s="14"/>
      <c r="T1353" s="14"/>
      <c r="U1353" s="14"/>
      <c r="V1353" s="14"/>
      <c r="W1353" s="14"/>
      <c r="X1353" s="7"/>
      <c r="Y1353" s="7"/>
      <c r="Z1353" s="14"/>
      <c r="AA1353" s="14"/>
      <c r="AB1353" s="14"/>
      <c r="AC1353" s="14"/>
      <c r="AD1353" s="14"/>
      <c r="AE1353" s="14"/>
      <c r="AF1353"/>
    </row>
    <row r="1354" spans="1:32" ht="12.75" customHeight="1" x14ac:dyDescent="0.25">
      <c r="A1354" s="5" t="s">
        <v>160</v>
      </c>
      <c r="B1354" s="256" t="s">
        <v>58</v>
      </c>
      <c r="C1354" s="257"/>
      <c r="D1354" s="257"/>
      <c r="E1354" s="257"/>
      <c r="F1354" s="257"/>
      <c r="G1354" s="258"/>
      <c r="H1354" s="5">
        <v>1</v>
      </c>
      <c r="I1354" s="5">
        <v>2</v>
      </c>
      <c r="J1354" s="5">
        <v>3</v>
      </c>
      <c r="K1354" s="5">
        <v>4</v>
      </c>
      <c r="L1354" s="5">
        <v>5</v>
      </c>
      <c r="M1354" s="270"/>
      <c r="N1354" s="271"/>
      <c r="O1354" s="271"/>
      <c r="P1354" s="272"/>
      <c r="Q1354" s="6"/>
      <c r="R1354" s="14"/>
      <c r="S1354" s="14"/>
      <c r="T1354" s="14"/>
      <c r="U1354" s="14"/>
      <c r="V1354" s="14"/>
      <c r="W1354" s="14"/>
      <c r="X1354" s="7"/>
      <c r="Y1354" s="7"/>
      <c r="Z1354" s="14"/>
      <c r="AA1354" s="14"/>
      <c r="AB1354" s="14"/>
      <c r="AC1354" s="14"/>
      <c r="AD1354" s="14"/>
      <c r="AE1354" s="14"/>
      <c r="AF1354"/>
    </row>
    <row r="1355" spans="1:32" ht="12.75" customHeight="1" x14ac:dyDescent="0.25">
      <c r="A1355" s="259" t="str">
        <f>B1335</f>
        <v>D</v>
      </c>
      <c r="B1355" s="236" t="str">
        <f ca="1">IF(AND(OFFSET($AO$1,$C1335-1,8,1,1),$A1336&lt;&gt;"",$J1336&lt;&gt;""),CHOOSE($C1335,$AQ$1,$AQ$2,$AQ$3,$AQ$4,$AQ$5,$AQ$6,$AQ$7,$AQ$8,$AQ$9,$AQ$10,$AQ$11,$AQ$12),"")</f>
        <v/>
      </c>
      <c r="C1355" s="237"/>
      <c r="D1355" s="237"/>
      <c r="E1355" s="237"/>
      <c r="F1355" s="237"/>
      <c r="G1355" s="237"/>
      <c r="H1355" s="233"/>
      <c r="I1355" s="233"/>
      <c r="J1355" s="233"/>
      <c r="K1355" s="233"/>
      <c r="L1355" s="233"/>
      <c r="M1355" s="245" t="str">
        <f ca="1">IF(OR(AND($B1348&lt;&gt;"",$B1355&lt;&gt;"",$D1366&lt;=$C1366),AND($B1350&lt;&gt;"",$B1357&lt;&gt;"",$H1366&lt;=$G1366)),"Invalid Lineup","")</f>
        <v/>
      </c>
      <c r="N1355" s="246"/>
      <c r="O1355" s="246"/>
      <c r="P1355" s="247"/>
      <c r="Q1355" s="40" t="str">
        <f>IF($L1355=$L1357,IF($K1355=$K1357,IF($J1355&lt;&gt;"",IF($J1355&gt;$J1357,"W","L"),""),IF($K1355&gt;$K1357,"W","L")),IF($L1355&gt;$L1357,"W","L"))</f>
        <v/>
      </c>
      <c r="R1355" s="14"/>
      <c r="S1355" s="14"/>
      <c r="T1355" s="14"/>
      <c r="U1355" s="14"/>
      <c r="V1355" s="14"/>
      <c r="W1355" s="14"/>
      <c r="X1355" s="7"/>
      <c r="Y1355" s="7"/>
      <c r="Z1355" s="14"/>
      <c r="AA1355" s="14"/>
      <c r="AB1355" s="14"/>
      <c r="AC1355" s="14"/>
      <c r="AD1355" s="14"/>
      <c r="AE1355" s="14"/>
      <c r="AF1355"/>
    </row>
    <row r="1356" spans="1:32" ht="12.75" customHeight="1" x14ac:dyDescent="0.25">
      <c r="A1356" s="260"/>
      <c r="B1356" s="238"/>
      <c r="C1356" s="239"/>
      <c r="D1356" s="239"/>
      <c r="E1356" s="239"/>
      <c r="F1356" s="239"/>
      <c r="G1356" s="239"/>
      <c r="H1356" s="234"/>
      <c r="I1356" s="234"/>
      <c r="J1356" s="234"/>
      <c r="K1356" s="234"/>
      <c r="L1356" s="234"/>
      <c r="M1356" s="245"/>
      <c r="N1356" s="246"/>
      <c r="O1356" s="246"/>
      <c r="P1356" s="247"/>
      <c r="Q1356" s="110" t="str">
        <f>IF($Q1355&lt;&gt;"",IF($Q1355="W",IF(SUM(IF($H1355&gt;$H1357,1,0),IF($I1355&gt;$I1357,1,0),IF($J1355&gt;$J1357,1,0),IF($K1355&gt;$K1357,1,0),IF($L1355&gt;$L1357,1,0))&lt;&gt;3,"Error",""),""),"")</f>
        <v/>
      </c>
      <c r="R1356" s="295" t="str">
        <f>$A1336</f>
        <v/>
      </c>
      <c r="S1356" s="295"/>
      <c r="T1356" s="295"/>
      <c r="U1356" s="295"/>
      <c r="V1356" s="295"/>
      <c r="W1356" s="295"/>
      <c r="X1356" s="219" t="str">
        <f>CONCATENATE("(",$B1335," vs ",$K1335,")")</f>
        <v>(D vs K)</v>
      </c>
      <c r="Y1356" s="219"/>
      <c r="Z1356" s="295" t="str">
        <f>$J1336</f>
        <v/>
      </c>
      <c r="AA1356" s="295"/>
      <c r="AB1356" s="295"/>
      <c r="AC1356" s="295"/>
      <c r="AD1356" s="295"/>
      <c r="AE1356" s="295"/>
      <c r="AF1356"/>
    </row>
    <row r="1357" spans="1:32" ht="12.75" customHeight="1" x14ac:dyDescent="0.25">
      <c r="A1357" s="259" t="str">
        <f>K1335</f>
        <v>K</v>
      </c>
      <c r="B1357" s="236" t="str">
        <f ca="1">IF(AND(OFFSET($AO$1,$L1335-1,8,1,1),$A1336&lt;&gt;"",$J1336&lt;&gt;""),CHOOSE($L1335,$AQ$1,$AQ$2,$AQ$3,$AQ$4,$AQ$5,$AQ$6,$AQ$7,$AQ$8,$AQ$9,$AQ$10,$AQ$11,$AQ$12),"")</f>
        <v/>
      </c>
      <c r="C1357" s="237"/>
      <c r="D1357" s="237"/>
      <c r="E1357" s="237"/>
      <c r="F1357" s="237"/>
      <c r="G1357" s="237"/>
      <c r="H1357" s="233"/>
      <c r="I1357" s="233"/>
      <c r="J1357" s="233"/>
      <c r="K1357" s="233"/>
      <c r="L1357" s="233"/>
      <c r="M1357" s="250" t="s">
        <v>169</v>
      </c>
      <c r="N1357" s="251"/>
      <c r="O1357" s="251"/>
      <c r="P1357" s="252"/>
      <c r="Q1357" s="40" t="str">
        <f>IF($Q1355&lt;&gt;"",IF($Q1355="W","L","W"),"")</f>
        <v/>
      </c>
      <c r="R1357"/>
      <c r="S1357"/>
      <c r="T1357"/>
      <c r="U1357"/>
      <c r="V1357"/>
      <c r="W1357"/>
      <c r="X1357"/>
      <c r="Y1357"/>
      <c r="Z1357"/>
      <c r="AA1357"/>
      <c r="AB1357"/>
      <c r="AC1357"/>
      <c r="AD1357"/>
      <c r="AE1357"/>
      <c r="AF1357"/>
    </row>
    <row r="1358" spans="1:32" ht="12.75" customHeight="1" x14ac:dyDescent="0.25">
      <c r="A1358" s="260"/>
      <c r="B1358" s="238"/>
      <c r="C1358" s="239"/>
      <c r="D1358" s="239"/>
      <c r="E1358" s="239"/>
      <c r="F1358" s="239"/>
      <c r="G1358" s="239"/>
      <c r="H1358" s="234"/>
      <c r="I1358" s="234"/>
      <c r="J1358" s="235"/>
      <c r="K1358" s="235"/>
      <c r="L1358" s="235"/>
      <c r="M1358" s="250"/>
      <c r="N1358" s="251"/>
      <c r="O1358" s="251"/>
      <c r="P1358" s="252"/>
      <c r="Q1358" s="110" t="str">
        <f>IF($Q1357&lt;&gt;"",IF($Q1357="W",IF(SUM(IF($H1357&gt;$H1355,1,0),IF($I1357&gt;$I1355,1,0),IF($J1357&gt;$J1355,1,0),IF($K1357&gt;$K1355,1,0),IF($L1357&gt;$L1355,1,0))&lt;&gt;3,"Error",""),""),"")</f>
        <v/>
      </c>
      <c r="R1358" t="str">
        <f>$A1353</f>
        <v>3rd Singles</v>
      </c>
      <c r="S1358"/>
      <c r="T1358"/>
      <c r="U1358"/>
      <c r="V1358"/>
      <c r="W1358"/>
      <c r="X1358"/>
      <c r="Y1358"/>
      <c r="Z1358"/>
      <c r="AA1358"/>
      <c r="AB1358"/>
      <c r="AC1358"/>
      <c r="AD1358"/>
      <c r="AE1358"/>
      <c r="AF1358"/>
    </row>
    <row r="1359" spans="1:32" ht="12.75" customHeight="1" x14ac:dyDescent="0.25">
      <c r="Q1359" s="6"/>
      <c r="R1359" s="47" t="s">
        <v>160</v>
      </c>
      <c r="S1359" s="86" t="s">
        <v>58</v>
      </c>
      <c r="T1359" s="87"/>
      <c r="U1359" s="87"/>
      <c r="V1359" s="87"/>
      <c r="W1359" s="87"/>
      <c r="X1359" s="88"/>
      <c r="Y1359" s="47">
        <v>1</v>
      </c>
      <c r="Z1359" s="47">
        <v>2</v>
      </c>
      <c r="AA1359" s="47">
        <v>3</v>
      </c>
      <c r="AB1359" s="47">
        <v>4</v>
      </c>
      <c r="AC1359" s="47">
        <v>5</v>
      </c>
      <c r="AD1359" s="89"/>
      <c r="AE1359" s="90"/>
      <c r="AF1359" s="91"/>
    </row>
    <row r="1360" spans="1:32" ht="12.75" customHeight="1" x14ac:dyDescent="0.25">
      <c r="A1360" s="15" t="s">
        <v>168</v>
      </c>
      <c r="H1360" s="110" t="str">
        <f ca="1">IF($Q1362&lt;&gt;"",IF(AND($B1362&lt;&gt;"Missing Player",$B1364&lt;&gt;"Missing Player"),IF(AND(AND($H1362&gt;-1,$H1364&gt;-1),OR($H1362&gt;10,$H1364&gt;10),ABS($H1362-$H1364)&gt;1,IF(OR($H1362&gt;11,$H1364&gt;11),ABS($H1362-$H1364)=2,TRUE),$H1362=INT($H1362),$H1364=INT($H1364)),"","Error"),""),"")</f>
        <v/>
      </c>
      <c r="I1360" s="110" t="str">
        <f ca="1">IF($Q1362&lt;&gt;"",IF(AND($B1362&lt;&gt;"Missing Player",$B1364&lt;&gt;"Missing Player"),IF(AND(AND($I1362&gt;-1,$I1364&gt;-1),OR($I1362&gt;10,$I1364&gt;10),ABS($I1362-$I1364)&gt;1,IF(OR($I1362&gt;11,$I1364&gt;11),ABS($I1362-$I1364)=2,TRUE),$I1362=INT($I1362),$I1364=INT($I1364)),"","Error"),""),"")</f>
        <v/>
      </c>
      <c r="J1360" s="110" t="str">
        <f ca="1">IF($Q1362&lt;&gt;"",IF(AND($B1362&lt;&gt;"Missing Player",$B1364&lt;&gt;"Missing Player"),IF(AND(AND($J1362&gt;-1,$J1364&gt;-1),OR($J1362&gt;10,$J1364&gt;10),ABS($J1362-$J1364)&gt;1,IF(OR($J1362&gt;11,$J1364&gt;11),ABS($J1362-$J1364)=2,TRUE),$J1362=INT($J1362),$J1364=INT($J1364)),"","Error"),""),"")</f>
        <v/>
      </c>
      <c r="K1360" s="110" t="str">
        <f ca="1">IF($Q1362&lt;&gt;"",IF(AND($K1362&lt;&gt;"",$K1364&lt;&gt;""), IF(AND(AND($K1362&gt;-1,$K1364&gt;-1),OR($K1362&gt;10,$K1364&gt;10),ABS($K1362-$K1364)&gt;1,IF(OR($K1362&gt;11,$K1364&gt;11),ABS($K1362-$K1364)=2,TRUE),$K1362=INT($K1362),$K1364=INT($K1364)),"","Error"),""),"")</f>
        <v/>
      </c>
      <c r="L1360" s="110" t="str">
        <f ca="1">IF($Q1362&lt;&gt;"",IF(AND($L1362&lt;&gt;"",$L1364&lt;&gt;""), IF(AND(AND($L1362&gt;-1,$L1364&gt;-1),OR($L1362&gt;10,$L1364&gt;10),ABS($L1362-$L1364)&gt;1,IF(OR($L1362&gt;11,$L1364&gt;11),ABS($L1362-$L1364)=2,TRUE),$L1362=INT($L1362),$L1364=INT($L1364)),"","Error"),""),"")</f>
        <v/>
      </c>
      <c r="Q1360" s="6"/>
      <c r="R1360" s="259" t="str">
        <f>$B1335</f>
        <v>D</v>
      </c>
      <c r="S1360" s="307" t="str">
        <f ca="1">IF($B1355&lt;&gt;"",$B1355,"")</f>
        <v/>
      </c>
      <c r="T1360" s="308"/>
      <c r="U1360" s="308"/>
      <c r="V1360" s="308"/>
      <c r="W1360" s="308"/>
      <c r="X1360" s="309"/>
      <c r="Y1360" s="284"/>
      <c r="Z1360" s="284"/>
      <c r="AA1360" s="284"/>
      <c r="AB1360" s="284"/>
      <c r="AC1360" s="284"/>
      <c r="AD1360" s="296"/>
      <c r="AE1360" s="290"/>
      <c r="AF1360" s="291"/>
    </row>
    <row r="1361" spans="1:32" ht="12.75" customHeight="1" x14ac:dyDescent="0.25">
      <c r="A1361" s="5" t="s">
        <v>160</v>
      </c>
      <c r="B1361" s="256" t="s">
        <v>58</v>
      </c>
      <c r="C1361" s="257"/>
      <c r="D1361" s="257"/>
      <c r="E1361" s="257"/>
      <c r="F1361" s="257"/>
      <c r="G1361" s="258"/>
      <c r="H1361" s="5">
        <v>1</v>
      </c>
      <c r="I1361" s="5">
        <v>2</v>
      </c>
      <c r="J1361" s="5">
        <v>3</v>
      </c>
      <c r="K1361" s="5">
        <v>4</v>
      </c>
      <c r="L1361" s="5">
        <v>5</v>
      </c>
      <c r="M1361" s="270"/>
      <c r="N1361" s="271"/>
      <c r="O1361" s="271"/>
      <c r="P1361" s="272"/>
      <c r="Q1361" s="6"/>
      <c r="R1361" s="285"/>
      <c r="S1361" s="310"/>
      <c r="T1361" s="311"/>
      <c r="U1361" s="311"/>
      <c r="V1361" s="311"/>
      <c r="W1361" s="311"/>
      <c r="X1361" s="312"/>
      <c r="Y1361" s="285"/>
      <c r="Z1361" s="285"/>
      <c r="AA1361" s="285"/>
      <c r="AB1361" s="285"/>
      <c r="AC1361" s="285"/>
      <c r="AD1361" s="292"/>
      <c r="AE1361" s="293"/>
      <c r="AF1361" s="294"/>
    </row>
    <row r="1362" spans="1:32" ht="12.75" customHeight="1" x14ac:dyDescent="0.25">
      <c r="A1362" s="259" t="str">
        <f>B1335</f>
        <v>D</v>
      </c>
      <c r="B1362" s="236" t="str">
        <f ca="1">IF(AND(OFFSET($AO$1,$C1335-1,8,1,1),$A1336&lt;&gt;"",$J1336&lt;&gt;""),CHOOSE($C1335,$AR$1,$AR$2,$AR$3,$AR$4,$AR$5,$AR$6,$AR$7,$AR$8,$AR$9,$AR$10,$AR$11,$AR$12),"")</f>
        <v/>
      </c>
      <c r="C1362" s="237"/>
      <c r="D1362" s="237"/>
      <c r="E1362" s="237"/>
      <c r="F1362" s="237"/>
      <c r="G1362" s="237"/>
      <c r="H1362" s="233"/>
      <c r="I1362" s="233"/>
      <c r="J1362" s="233"/>
      <c r="K1362" s="233"/>
      <c r="L1362" s="233" t="str">
        <f ca="1">IF(AND($B1362&lt;&gt;"",$Q1341&lt;&gt;""),IF($B1362="Missing Player",0,IF($B1364="Missing Player",11,"")),"")</f>
        <v/>
      </c>
      <c r="M1362" s="245" t="str">
        <f ca="1">IF(OR(AND($B1355&lt;&gt;"",$B1362&lt;&gt;"",$E1366&lt;=$D1366),AND($B1357&lt;&gt;"",$B1364&lt;&gt;"",$I1366&lt;=$H1366)),"Invalid Lineup","")</f>
        <v/>
      </c>
      <c r="N1362" s="246"/>
      <c r="O1362" s="246"/>
      <c r="P1362" s="247"/>
      <c r="Q1362" s="40" t="str">
        <f ca="1">IF($L1362=$L1364,IF($K1362=$K1364,IF($J1362&lt;&gt;"",IF($J1362&gt;$J1364,"W","L"),""),IF($K1362&gt;$K1364,"W","L")),IF($L1362&gt;$L1364,"W","L"))</f>
        <v/>
      </c>
      <c r="R1362" s="259" t="str">
        <f>$K1335</f>
        <v>K</v>
      </c>
      <c r="S1362" s="307" t="str">
        <f ca="1">IF($B1357&lt;&gt;"",$B1357,"")</f>
        <v/>
      </c>
      <c r="T1362" s="308"/>
      <c r="U1362" s="308"/>
      <c r="V1362" s="308"/>
      <c r="W1362" s="308"/>
      <c r="X1362" s="309"/>
      <c r="Y1362" s="284"/>
      <c r="Z1362" s="284"/>
      <c r="AA1362" s="284"/>
      <c r="AB1362" s="284"/>
      <c r="AC1362" s="297"/>
      <c r="AD1362" s="289" t="s">
        <v>169</v>
      </c>
      <c r="AE1362" s="290"/>
      <c r="AF1362" s="291"/>
    </row>
    <row r="1363" spans="1:32" ht="12.75" customHeight="1" x14ac:dyDescent="0.25">
      <c r="A1363" s="260"/>
      <c r="B1363" s="238"/>
      <c r="C1363" s="239"/>
      <c r="D1363" s="239"/>
      <c r="E1363" s="239"/>
      <c r="F1363" s="239"/>
      <c r="G1363" s="239"/>
      <c r="H1363" s="234"/>
      <c r="I1363" s="234"/>
      <c r="J1363" s="234"/>
      <c r="K1363" s="234"/>
      <c r="L1363" s="234"/>
      <c r="M1363" s="245"/>
      <c r="N1363" s="246"/>
      <c r="O1363" s="246"/>
      <c r="P1363" s="247"/>
      <c r="Q1363" s="110" t="str">
        <f ca="1">IF($Q1362&lt;&gt;"",IF($B1364&lt;&gt;"Missing Player",IF($Q1362="W",IF(SUM(IF($H1362&gt;$H1364,1,0),IF($I1362&gt;$I1364,1,0),IF($J1362&gt;$J1364,1,0),IF($K1362&gt;$K1364,1,0),IF($L1362&gt;$L1364,1,0))&lt;&gt;3,"Error",""),""),""),"")</f>
        <v/>
      </c>
      <c r="R1363" s="285"/>
      <c r="S1363" s="310"/>
      <c r="T1363" s="311"/>
      <c r="U1363" s="311"/>
      <c r="V1363" s="311"/>
      <c r="W1363" s="311"/>
      <c r="X1363" s="312"/>
      <c r="Y1363" s="285"/>
      <c r="Z1363" s="285"/>
      <c r="AA1363" s="285"/>
      <c r="AB1363" s="285"/>
      <c r="AC1363" s="285"/>
      <c r="AD1363" s="292"/>
      <c r="AE1363" s="293"/>
      <c r="AF1363" s="294"/>
    </row>
    <row r="1364" spans="1:32" ht="12.75" customHeight="1" x14ac:dyDescent="0.25">
      <c r="A1364" s="259" t="str">
        <f>K1335</f>
        <v>K</v>
      </c>
      <c r="B1364" s="236" t="str">
        <f ca="1">IF(AND(OFFSET($AO$1,$L1335-1,8,1,1),$A1336&lt;&gt;"",$J1336&lt;&gt;""),CHOOSE($L1335,$AR$1,$AR$2,$AR$3,$AR$4,$AR$5,$AR$6,$AR$7,$AR$8,$AR$9,$AR$10,$AR$11,$AR$12),"")</f>
        <v/>
      </c>
      <c r="C1364" s="237"/>
      <c r="D1364" s="237"/>
      <c r="E1364" s="237"/>
      <c r="F1364" s="237"/>
      <c r="G1364" s="237"/>
      <c r="H1364" s="233"/>
      <c r="I1364" s="233"/>
      <c r="J1364" s="233"/>
      <c r="K1364" s="233"/>
      <c r="L1364" s="233" t="str">
        <f ca="1">IF(AND($B1364&lt;&gt;"",$Q1341&lt;&gt;""),IF($B1364="Missing Player",0,IF($B1362="Missing Player",11,"")),"")</f>
        <v/>
      </c>
      <c r="M1364" s="250" t="s">
        <v>169</v>
      </c>
      <c r="N1364" s="251"/>
      <c r="O1364" s="251"/>
      <c r="P1364" s="252"/>
      <c r="Q1364" s="40" t="str">
        <f ca="1">IF($Q1362&lt;&gt;"",IF($Q1362="W","L","W"),"")</f>
        <v/>
      </c>
      <c r="R1364" s="94"/>
      <c r="S1364" s="84"/>
      <c r="T1364" s="84"/>
      <c r="U1364" s="84"/>
      <c r="V1364" s="84"/>
      <c r="W1364" s="84"/>
      <c r="X1364" s="84"/>
      <c r="Y1364" s="93"/>
      <c r="Z1364" s="93"/>
      <c r="AA1364" s="93"/>
      <c r="AB1364" s="93"/>
      <c r="AC1364" s="93"/>
      <c r="AD1364" s="92"/>
      <c r="AE1364" s="93"/>
      <c r="AF1364" s="93"/>
    </row>
    <row r="1365" spans="1:32" ht="12.75" customHeight="1" x14ac:dyDescent="0.25">
      <c r="A1365" s="260"/>
      <c r="B1365" s="238"/>
      <c r="C1365" s="239"/>
      <c r="D1365" s="239"/>
      <c r="E1365" s="239"/>
      <c r="F1365" s="239"/>
      <c r="G1365" s="239"/>
      <c r="H1365" s="234"/>
      <c r="I1365" s="234"/>
      <c r="J1365" s="235"/>
      <c r="K1365" s="235"/>
      <c r="L1365" s="235"/>
      <c r="M1365" s="250"/>
      <c r="N1365" s="251"/>
      <c r="O1365" s="251"/>
      <c r="P1365" s="252"/>
      <c r="Q1365" s="110" t="str">
        <f ca="1">IF($Q1364&lt;&gt;"",IF($B1362&lt;&gt;"Missing Player",IF($Q1364="W",IF(SUM(IF($H1364&gt;$H1362,1,0),IF($I1364&gt;$I1362,1,0),IF($J1364&gt;$J1362,1,0),IF($K1364&gt;$K1362,1,0),IF($L1364&gt;$L1362,1,0))&lt;&gt;3,"Error",""),""),""),"")</f>
        <v/>
      </c>
      <c r="R1365" s="85"/>
      <c r="S1365" s="95"/>
      <c r="T1365" s="95"/>
      <c r="U1365" s="95"/>
      <c r="V1365" s="95"/>
      <c r="W1365" s="95"/>
      <c r="X1365" s="95"/>
      <c r="Y1365" s="85"/>
      <c r="Z1365" s="85"/>
      <c r="AA1365" s="85"/>
      <c r="AB1365" s="85"/>
      <c r="AC1365" s="85"/>
      <c r="AD1365" s="85"/>
      <c r="AE1365" s="85"/>
      <c r="AF1365" s="85"/>
    </row>
    <row r="1366" spans="1:32" ht="12.75" customHeight="1" x14ac:dyDescent="0.25">
      <c r="B1366" s="111" t="str">
        <f ca="1">IF(ISERROR(VLOOKUP($B1341&amp;"("&amp;$B1335&amp;")",Players!$S$4:$T$132,2,FALSE)),"",VLOOKUP($B1341&amp;"("&amp;$B1335&amp;")",Players!$S$4:$T$132,2,FALSE))</f>
        <v>D1</v>
      </c>
      <c r="C1366" s="111" t="str">
        <f ca="1">IF(ISERROR(VLOOKUP($B1348&amp;"("&amp;$B1335&amp;")",Players!$S$4:$T$132,2,FALSE)),"",VLOOKUP($B1348&amp;"("&amp;$B1335&amp;")",Players!$S$4:$T$132,2,FALSE))</f>
        <v>D1</v>
      </c>
      <c r="D1366" s="111" t="str">
        <f ca="1">IF(ISERROR(VLOOKUP($B1355&amp;"("&amp;$B1335&amp;")",Players!$S$4:$T$132,2,FALSE)),"",VLOOKUP($B1355&amp;"("&amp;$B1335&amp;")",Players!$S$4:$T$132,2,FALSE))</f>
        <v>D1</v>
      </c>
      <c r="E1366" s="111" t="str">
        <f ca="1">IF(ISERROR(VLOOKUP($B1362&amp;"("&amp;$B1335&amp;")",Players!$S$4:$T$132,2,FALSE)),"",VLOOKUP($B1362&amp;"("&amp;$B1335&amp;")",Players!$S$4:$T$132,2,FALSE))</f>
        <v>D1</v>
      </c>
      <c r="F1366" s="111" t="str">
        <f ca="1">IF(ISERROR(VLOOKUP($B1343&amp;"("&amp;$K1335&amp;")",Players!$S$4:$T$132,2,FALSE)),"",VLOOKUP($B1343&amp;"("&amp;$K1335&amp;")",Players!$S$4:$T$132,2,FALSE))</f>
        <v>K1</v>
      </c>
      <c r="G1366" s="111" t="str">
        <f ca="1">IF(ISERROR(VLOOKUP($B1350&amp;"("&amp;$K1335&amp;")",Players!$S$4:$T$132,2,FALSE)),"",VLOOKUP($B1350&amp;"("&amp;$K1335&amp;")",Players!$S$4:$T$132,2,FALSE))</f>
        <v>K1</v>
      </c>
      <c r="H1366" s="111" t="str">
        <f ca="1">IF(ISERROR(VLOOKUP($B1357&amp;"("&amp;$K1335&amp;")",Players!$S$4:$T$132,2,FALSE)),"",VLOOKUP($B1357&amp;"("&amp;$K1335&amp;")",Players!$S$4:$T$132,2,FALSE))</f>
        <v>K1</v>
      </c>
      <c r="I1366" s="111" t="str">
        <f ca="1">IF(ISERROR(VLOOKUP($B1364&amp;"("&amp;$K1335&amp;")",Players!$S$4:$T$132,2,FALSE)),"",VLOOKUP($B1364&amp;"("&amp;$K1335&amp;")",Players!$S$4:$T$132,2,FALSE))</f>
        <v>K1</v>
      </c>
      <c r="Q1366" s="6"/>
      <c r="R1366" s="37"/>
      <c r="S1366" s="95"/>
      <c r="T1366" s="95"/>
      <c r="U1366" s="95"/>
      <c r="V1366" s="95"/>
      <c r="W1366" s="95"/>
      <c r="X1366" s="95"/>
      <c r="Y1366" s="85"/>
      <c r="Z1366" s="85"/>
      <c r="AA1366" s="85"/>
      <c r="AB1366" s="85"/>
      <c r="AC1366" s="96"/>
      <c r="AD1366" s="97"/>
      <c r="AE1366" s="85"/>
      <c r="AF1366" s="85"/>
    </row>
    <row r="1367" spans="1:32" ht="12.75" customHeight="1" x14ac:dyDescent="0.25">
      <c r="A1367" s="15" t="s">
        <v>157</v>
      </c>
      <c r="H1367" s="110" t="str">
        <f ca="1">IF($Q1369&lt;&gt;"",IF(AND($B1370&lt;&gt;"Missing Player",$B1372&lt;&gt;"Missing Player"),IF(AND(AND($H1369&gt;-1,$H1371&gt;-1),OR($H1369&gt;10,$H1371&gt;10),ABS($H1369-$H1371)&gt;1,IF(OR($H1369&gt;11,$H1371&gt;11),ABS($H1369-$H1371)=2,TRUE),$H1369=INT($H1369),$H1371=INT($H1371)),"","Error"),""),"")</f>
        <v/>
      </c>
      <c r="I1367" s="110" t="str">
        <f ca="1">IF($Q1369&lt;&gt;"",IF(AND($B1370&lt;&gt;"Missing Player",$B1372&lt;&gt;"Missing Player"),IF(AND(AND($I1369&gt;-1,$I1371&gt;-1),OR($I1369&gt;10,$I1371&gt;10),ABS($I1369-$I1371)&gt;1,IF(OR($I1369&gt;11,$I1371&gt;11),ABS($I1369-$I1371)=2,TRUE),$I1369=INT($I1369),$I1371=INT($I1371)),"","Error"),""),"")</f>
        <v/>
      </c>
      <c r="J1367" s="110" t="str">
        <f ca="1">IF($Q1369&lt;&gt;"",IF(AND($B1370&lt;&gt;"Missing Player",$B1372&lt;&gt;"Missing Player"),IF(AND(AND($J1369&gt;-1,$J1371&gt;-1),OR($J1369&gt;10,$J1371&gt;10),ABS($J1369-$J1371)&gt;1,IF(OR($J1369&gt;11,$J1371&gt;11),ABS($J1369-$J1371)=2,TRUE),$J1369=INT($J1369),$J1371=INT($J1371)),"","Error"),""),"")</f>
        <v/>
      </c>
      <c r="K1367" s="110" t="str">
        <f ca="1">IF($Q1369&lt;&gt;"",IF(AND($K1369&lt;&gt;"",$K1371&lt;&gt;""), IF(AND(AND($K1369&gt;-1,$K1371&gt;-1),OR($K1369&gt;10,$K1371&gt;10),ABS($K1369-$K1371)&gt;1,IF(OR($K1369&gt;11,$K1371&gt;11),ABS($K1369-$K1371)=2,TRUE),$K1369=INT($K1369),$K1371=INT($K1371)),"","Error"),""),"")</f>
        <v/>
      </c>
      <c r="L1367" s="110" t="str">
        <f ca="1">IF($Q1369&lt;&gt;"",IF(AND($L1369&lt;&gt;"",$L1371&lt;&gt;""), IF(AND(AND($L1369&gt;-1,$L1371&gt;-1),OR($L1369&gt;10,$L1371&gt;10),ABS($L1369-$L1371)&gt;1,IF(OR($L1369&gt;11,$L1371&gt;11),ABS($L1369-$L1371)=2,TRUE),$L1369=INT($L1369),$L1371=INT($L1371)),"","Error"),""),"")</f>
        <v/>
      </c>
      <c r="Q1367" s="6"/>
      <c r="R1367" s="85"/>
      <c r="S1367" s="95"/>
      <c r="T1367" s="95"/>
      <c r="U1367" s="95"/>
      <c r="V1367" s="95"/>
      <c r="W1367" s="95"/>
      <c r="X1367" s="95"/>
      <c r="Y1367" s="85"/>
      <c r="Z1367" s="85"/>
      <c r="AA1367" s="85"/>
      <c r="AB1367" s="85"/>
      <c r="AC1367" s="85"/>
      <c r="AD1367" s="85"/>
      <c r="AE1367" s="85"/>
      <c r="AF1367" s="85"/>
    </row>
    <row r="1368" spans="1:32" ht="12.75" customHeight="1" x14ac:dyDescent="0.25">
      <c r="A1368" s="5" t="s">
        <v>160</v>
      </c>
      <c r="B1368" s="256" t="s">
        <v>58</v>
      </c>
      <c r="C1368" s="257"/>
      <c r="D1368" s="257"/>
      <c r="E1368" s="257"/>
      <c r="F1368" s="257"/>
      <c r="G1368" s="258"/>
      <c r="H1368" s="5">
        <v>1</v>
      </c>
      <c r="I1368" s="5">
        <v>2</v>
      </c>
      <c r="J1368" s="5">
        <v>3</v>
      </c>
      <c r="K1368" s="5">
        <v>4</v>
      </c>
      <c r="L1368" s="5">
        <v>5</v>
      </c>
      <c r="M1368" s="270"/>
      <c r="N1368" s="271"/>
      <c r="O1368" s="271"/>
      <c r="P1368" s="272"/>
      <c r="Q1368" s="6"/>
      <c r="T1368" s="7"/>
    </row>
    <row r="1369" spans="1:32" ht="12.75" customHeight="1" x14ac:dyDescent="0.25">
      <c r="A1369" s="259" t="str">
        <f>B1335</f>
        <v>D</v>
      </c>
      <c r="B1369" s="230" t="str">
        <f ca="1">IF($B1341&lt;&gt;"",$B1341,"")</f>
        <v/>
      </c>
      <c r="C1369" s="231"/>
      <c r="D1369" s="231"/>
      <c r="E1369" s="231"/>
      <c r="F1369" s="231"/>
      <c r="G1369" s="232"/>
      <c r="H1369" s="233"/>
      <c r="I1369" s="233"/>
      <c r="J1369" s="233"/>
      <c r="K1369" s="233"/>
      <c r="L1369" s="233" t="str">
        <f ca="1">IF($B1362&lt;&gt;"",IF(AND($B1362="Missing Player",$G1373=2,$J1373=2),0,IF(AND($B1364="Missing Player",$G1373=2,$J1373=2),11,"")),"")</f>
        <v/>
      </c>
      <c r="M1369" s="245" t="str">
        <f ca="1">IF(OR(AND($B1369&lt;&gt;"",$B1370&lt;&gt;"",$B1369=$B1370),AND($B1371&lt;&gt;"",$B1372&lt;&gt;"",$B1371=$B1372)),"Invalid Partner","")</f>
        <v/>
      </c>
      <c r="N1369" s="246"/>
      <c r="O1369" s="246"/>
      <c r="P1369" s="247"/>
      <c r="Q1369" s="37" t="str">
        <f ca="1">IF(L1369=L1371,IF(K1369=K1371,IF(J1369&lt;&gt;"",IF(J1369&gt;J1371,"W","L"),""),IF(K1369&gt;K1371,"W","L")),IF(L1369&gt;L1371,"W","L"))</f>
        <v/>
      </c>
      <c r="T1369" s="7"/>
    </row>
    <row r="1370" spans="1:32" ht="12.75" customHeight="1" x14ac:dyDescent="0.25">
      <c r="A1370" s="260"/>
      <c r="B1370" s="266" t="str">
        <f ca="1">IF($B1362="Missing Player",$B1362,"")</f>
        <v/>
      </c>
      <c r="C1370" s="267"/>
      <c r="D1370" s="267"/>
      <c r="E1370" s="267"/>
      <c r="F1370" s="267"/>
      <c r="G1370" s="268"/>
      <c r="H1370" s="234"/>
      <c r="I1370" s="234"/>
      <c r="J1370" s="234"/>
      <c r="K1370" s="234"/>
      <c r="L1370" s="234"/>
      <c r="M1370" s="245"/>
      <c r="N1370" s="246"/>
      <c r="O1370" s="246"/>
      <c r="P1370" s="247"/>
      <c r="Q1370" s="110" t="str">
        <f ca="1">IF($Q1369&lt;&gt;"",IF($B1372&lt;&gt;"Missing Player",IF($Q1369="W",IF(SUM(IF($H1369&gt;$H1371,1,0),IF($I1369&gt;$I1371,1,0),IF($J1369&gt;$J1371,1,0),IF($K1369&gt;$K1371,1,0),IF($L1369&gt;$L1371,1,0))&lt;&gt;3,"Error",""),""),""),"")</f>
        <v/>
      </c>
      <c r="R1370" s="295" t="str">
        <f>$A1336</f>
        <v/>
      </c>
      <c r="S1370" s="295"/>
      <c r="T1370" s="295"/>
      <c r="U1370" s="295"/>
      <c r="V1370" s="295"/>
      <c r="W1370" s="295"/>
      <c r="X1370" s="219" t="str">
        <f>CONCATENATE("(",$B1335," vs ",$K1335,")")</f>
        <v>(D vs K)</v>
      </c>
      <c r="Y1370" s="219"/>
      <c r="Z1370" s="295" t="str">
        <f>$J1336</f>
        <v/>
      </c>
      <c r="AA1370" s="295"/>
      <c r="AB1370" s="295"/>
      <c r="AC1370" s="295"/>
      <c r="AD1370" s="295"/>
      <c r="AE1370" s="295"/>
      <c r="AF1370"/>
    </row>
    <row r="1371" spans="1:32" ht="12.75" customHeight="1" x14ac:dyDescent="0.25">
      <c r="A1371" s="265" t="str">
        <f>K1335</f>
        <v>K</v>
      </c>
      <c r="B1371" s="230" t="str">
        <f ca="1">IF($B1343&lt;&gt;"",$B1343,"")</f>
        <v/>
      </c>
      <c r="C1371" s="231"/>
      <c r="D1371" s="231"/>
      <c r="E1371" s="231"/>
      <c r="F1371" s="231"/>
      <c r="G1371" s="232"/>
      <c r="H1371" s="233"/>
      <c r="I1371" s="233"/>
      <c r="J1371" s="233"/>
      <c r="K1371" s="233"/>
      <c r="L1371" s="233" t="str">
        <f ca="1">IF($B1364&lt;&gt;"",IF(AND($B1364="Missing Player",$G1373=2,$J1373=2),0,IF(AND($B1362="Missing Player",$G1373=2,$J1373=2),11,"")),"")</f>
        <v/>
      </c>
      <c r="M1371" s="250" t="s">
        <v>169</v>
      </c>
      <c r="N1371" s="251"/>
      <c r="O1371" s="251"/>
      <c r="P1371" s="252"/>
      <c r="Q1371" s="37" t="str">
        <f ca="1">IF(Q1369&lt;&gt;"",IF(Q1369="W","L","W"),"")</f>
        <v/>
      </c>
      <c r="R1371"/>
      <c r="S1371"/>
      <c r="T1371"/>
      <c r="U1371"/>
      <c r="V1371"/>
      <c r="W1371"/>
      <c r="X1371"/>
      <c r="Y1371"/>
      <c r="Z1371"/>
      <c r="AA1371"/>
      <c r="AB1371"/>
      <c r="AC1371"/>
      <c r="AD1371"/>
      <c r="AE1371"/>
      <c r="AF1371"/>
    </row>
    <row r="1372" spans="1:32" ht="12.75" customHeight="1" x14ac:dyDescent="0.25">
      <c r="A1372" s="260"/>
      <c r="B1372" s="266" t="str">
        <f ca="1">IF($B1364="Missing Player",$B1364,"")</f>
        <v/>
      </c>
      <c r="C1372" s="267"/>
      <c r="D1372" s="267"/>
      <c r="E1372" s="267"/>
      <c r="F1372" s="267"/>
      <c r="G1372" s="268"/>
      <c r="H1372" s="234"/>
      <c r="I1372" s="234"/>
      <c r="J1372" s="235"/>
      <c r="K1372" s="235"/>
      <c r="L1372" s="235"/>
      <c r="M1372" s="250"/>
      <c r="N1372" s="251"/>
      <c r="O1372" s="251"/>
      <c r="P1372" s="252"/>
      <c r="Q1372" s="110" t="str">
        <f ca="1">IF($Q1371&lt;&gt;"",IF($B1370&lt;&gt;"Missing Player",IF($Q1371="W",IF(SUM(IF($H1371&gt;$H1369,1,0),IF($I1371&gt;$I1369,1,0),IF($J1371&gt;$J1369,1,0),IF($K1371&gt;$K1369,1,0),IF($L1371&gt;$L1369,1,0))&lt;&gt;3,"Error",""),""),""),"")</f>
        <v/>
      </c>
      <c r="R1372" t="str">
        <f>A1360</f>
        <v>4th Singles</v>
      </c>
      <c r="S1372"/>
      <c r="T1372"/>
      <c r="U1372"/>
      <c r="V1372"/>
      <c r="W1372"/>
      <c r="X1372"/>
      <c r="Y1372"/>
      <c r="Z1372"/>
      <c r="AA1372"/>
      <c r="AB1372"/>
      <c r="AC1372"/>
      <c r="AD1372"/>
      <c r="AE1372"/>
      <c r="AF1372"/>
    </row>
    <row r="1373" spans="1:32" ht="12.75" customHeight="1" x14ac:dyDescent="0.25">
      <c r="G1373" s="53">
        <f ca="1">COUNTIF($Q1341:$Q1341,"W")+COUNTIF($Q1348:$Q1348,"W")+COUNTIF($Q1355:$Q1355,"W")+COUNTIF($Q1362:$Q1362,"W")</f>
        <v>0</v>
      </c>
      <c r="J1373" s="53">
        <f ca="1">COUNTIF($Q1343:$Q1343,"W")+COUNTIF($Q1350:$Q1350,"W")+COUNTIF($Q1357:$Q1357,"W")+COUNTIF($Q1364:$Q1364,"W")</f>
        <v>0</v>
      </c>
      <c r="R1373" s="47" t="s">
        <v>160</v>
      </c>
      <c r="S1373" s="304" t="s">
        <v>58</v>
      </c>
      <c r="T1373" s="305"/>
      <c r="U1373" s="305"/>
      <c r="V1373" s="305"/>
      <c r="W1373" s="305"/>
      <c r="X1373" s="306"/>
      <c r="Y1373" s="47">
        <v>1</v>
      </c>
      <c r="Z1373" s="47">
        <v>2</v>
      </c>
      <c r="AA1373" s="47">
        <v>3</v>
      </c>
      <c r="AB1373" s="47">
        <v>4</v>
      </c>
      <c r="AC1373" s="47">
        <v>5</v>
      </c>
      <c r="AD1373" s="286"/>
      <c r="AE1373" s="287"/>
      <c r="AF1373" s="288"/>
    </row>
    <row r="1374" spans="1:32" ht="12.75" customHeight="1" thickBot="1" x14ac:dyDescent="0.3">
      <c r="F1374" s="212" t="s">
        <v>170</v>
      </c>
      <c r="G1374" s="212"/>
      <c r="H1374" s="212"/>
      <c r="I1374" s="212"/>
      <c r="J1374" s="212"/>
      <c r="K1374" s="212"/>
      <c r="R1374" s="259" t="str">
        <f>B1335</f>
        <v>D</v>
      </c>
      <c r="S1374" s="307" t="str">
        <f ca="1">IF($B1362&lt;&gt;"",$B1362,"")</f>
        <v/>
      </c>
      <c r="T1374" s="308"/>
      <c r="U1374" s="308"/>
      <c r="V1374" s="308"/>
      <c r="W1374" s="308"/>
      <c r="X1374" s="309"/>
      <c r="Y1374" s="284"/>
      <c r="Z1374" s="284"/>
      <c r="AA1374" s="297"/>
      <c r="AB1374" s="297"/>
      <c r="AC1374" s="297"/>
      <c r="AD1374" s="296"/>
      <c r="AE1374" s="298"/>
      <c r="AF1374" s="299"/>
    </row>
    <row r="1375" spans="1:32" ht="12.75" customHeight="1" x14ac:dyDescent="0.25">
      <c r="A1375" s="16"/>
      <c r="B1375" s="16"/>
      <c r="C1375" s="16"/>
      <c r="D1375" s="16"/>
      <c r="E1375" s="16"/>
      <c r="G1375" s="261" t="str">
        <f>B1335</f>
        <v>D</v>
      </c>
      <c r="H1375" s="262"/>
      <c r="I1375" s="263" t="str">
        <f>K1335</f>
        <v>K</v>
      </c>
      <c r="J1375" s="264"/>
      <c r="L1375" s="16"/>
      <c r="M1375" s="16"/>
      <c r="N1375" s="16"/>
      <c r="O1375" s="16"/>
      <c r="P1375" s="16"/>
      <c r="R1375" s="260"/>
      <c r="S1375" s="310"/>
      <c r="T1375" s="311"/>
      <c r="U1375" s="311"/>
      <c r="V1375" s="311"/>
      <c r="W1375" s="311"/>
      <c r="X1375" s="312"/>
      <c r="Y1375" s="285"/>
      <c r="Z1375" s="285"/>
      <c r="AA1375" s="303"/>
      <c r="AB1375" s="303"/>
      <c r="AC1375" s="303"/>
      <c r="AD1375" s="300"/>
      <c r="AE1375" s="301"/>
      <c r="AF1375" s="302"/>
    </row>
    <row r="1376" spans="1:32" ht="12.75" customHeight="1" thickBot="1" x14ac:dyDescent="0.3">
      <c r="A1376" s="2" t="s">
        <v>160</v>
      </c>
      <c r="B1376" s="40" t="str">
        <f>B1335</f>
        <v>D</v>
      </c>
      <c r="C1376" s="3" t="s">
        <v>158</v>
      </c>
      <c r="F1376" s="53" t="str">
        <f>CONCATENATE($B1335,"-",$K1335)</f>
        <v>D-K</v>
      </c>
      <c r="G1376" s="240" t="str">
        <f ca="1">IF(OR(Q1341&lt;&gt;"",Q1348&lt;&gt;"",Q1355&lt;&gt;"",Q1362&lt;&gt;"",Q1369&lt;&gt;""),COUNTIF(Q1341:Q1341,"W")+COUNTIF(Q1348:Q1348,"W")+COUNTIF(Q1355:Q1355,"W")+COUNTIF(Q1362:Q1362,"W")+COUNTIF(Q1369:Q1369,"W"),"")</f>
        <v/>
      </c>
      <c r="H1376" s="241"/>
      <c r="I1376" s="242" t="str">
        <f ca="1">IF(OR(Q1343&lt;&gt;"",Q1350&lt;&gt;"",Q1357&lt;&gt;"",Q1364&lt;&gt;"",Q1371&lt;&gt;""),COUNTIF(Q1343:Q1343,"W")+COUNTIF(Q1350:Q1350,"W")+COUNTIF(Q1357:Q1357,"W")+COUNTIF(Q1364:Q1364,"W")+COUNTIF(Q1371:Q1371,"W"),"")</f>
        <v/>
      </c>
      <c r="J1376" s="243"/>
      <c r="L1376" s="2" t="s">
        <v>160</v>
      </c>
      <c r="M1376" s="40" t="str">
        <f>K1335</f>
        <v>K</v>
      </c>
      <c r="N1376" s="3" t="s">
        <v>158</v>
      </c>
      <c r="R1376" s="259" t="str">
        <f>K1335</f>
        <v>K</v>
      </c>
      <c r="S1376" s="307" t="str">
        <f ca="1">IF($B1364&lt;&gt;"",$B1364,"")</f>
        <v/>
      </c>
      <c r="T1376" s="308"/>
      <c r="U1376" s="308"/>
      <c r="V1376" s="308"/>
      <c r="W1376" s="308"/>
      <c r="X1376" s="309"/>
      <c r="Y1376" s="284"/>
      <c r="Z1376" s="284"/>
      <c r="AA1376" s="297"/>
      <c r="AB1376" s="297"/>
      <c r="AC1376" s="297"/>
      <c r="AD1376" s="289" t="s">
        <v>169</v>
      </c>
      <c r="AE1376" s="290"/>
      <c r="AF1376" s="291"/>
    </row>
    <row r="1377" spans="1:32" ht="12.75" customHeight="1" x14ac:dyDescent="0.35">
      <c r="F1377" s="18" t="s">
        <v>403</v>
      </c>
      <c r="G1377" s="17"/>
      <c r="H1377" s="17"/>
      <c r="I1377" s="17"/>
      <c r="J1377" s="17"/>
      <c r="R1377" s="285"/>
      <c r="S1377" s="310"/>
      <c r="T1377" s="311"/>
      <c r="U1377" s="311"/>
      <c r="V1377" s="311"/>
      <c r="W1377" s="311"/>
      <c r="X1377" s="312"/>
      <c r="Y1377" s="285"/>
      <c r="Z1377" s="285"/>
      <c r="AA1377" s="285"/>
      <c r="AB1377" s="285"/>
      <c r="AC1377" s="285"/>
      <c r="AD1377" s="292"/>
      <c r="AE1377" s="293"/>
      <c r="AF1377" s="294"/>
    </row>
    <row r="1378" spans="1:32" ht="12.75" customHeight="1" x14ac:dyDescent="0.25">
      <c r="R1378" s="1"/>
      <c r="S1378" s="11"/>
      <c r="T1378" s="11"/>
      <c r="U1378" s="11"/>
      <c r="V1378" s="11"/>
      <c r="W1378" s="11"/>
    </row>
    <row r="1379" spans="1:32" ht="12.75" customHeight="1" x14ac:dyDescent="0.25">
      <c r="F1379" s="212"/>
      <c r="G1379" s="212"/>
      <c r="H1379" s="212"/>
      <c r="I1379" s="212"/>
      <c r="R1379" s="1"/>
      <c r="S1379" s="11"/>
      <c r="T1379" s="11"/>
      <c r="U1379" s="11"/>
      <c r="V1379" s="11"/>
      <c r="W1379" s="11"/>
    </row>
    <row r="1380" spans="1:32" ht="12.75" customHeight="1" x14ac:dyDescent="0.25">
      <c r="F1380" s="212"/>
      <c r="G1380" s="212"/>
      <c r="H1380" s="212"/>
      <c r="I1380" s="212"/>
      <c r="R1380" s="1"/>
      <c r="S1380" s="11"/>
      <c r="T1380" s="11"/>
      <c r="U1380" s="11"/>
      <c r="V1380" s="11"/>
      <c r="W1380" s="11"/>
    </row>
    <row r="1381" spans="1:32" ht="12.75" customHeight="1" x14ac:dyDescent="0.25">
      <c r="K1381" s="219" t="s">
        <v>176</v>
      </c>
      <c r="L1381" s="219"/>
      <c r="M1381" s="219"/>
      <c r="N1381" s="219"/>
      <c r="O1381" s="219"/>
      <c r="P1381" s="219"/>
      <c r="R1381" s="1"/>
      <c r="S1381" s="11"/>
      <c r="T1381" s="11"/>
      <c r="U1381" s="11"/>
      <c r="V1381" s="11"/>
      <c r="W1381" s="11"/>
    </row>
    <row r="1382" spans="1:32" ht="12.75" customHeight="1" x14ac:dyDescent="0.25">
      <c r="A1382" s="9" t="s">
        <v>161</v>
      </c>
      <c r="B1382"/>
      <c r="C1382"/>
      <c r="D1382" t="str">
        <f>Draw!$B$1</f>
        <v>Enter Division Name</v>
      </c>
      <c r="E1382"/>
      <c r="F1382" s="6"/>
      <c r="G1382" s="6"/>
      <c r="H1382" s="6"/>
      <c r="I1382"/>
      <c r="J1382"/>
      <c r="K1382"/>
      <c r="L1382"/>
      <c r="M1382" s="219"/>
      <c r="N1382" s="219"/>
      <c r="O1382" s="219"/>
      <c r="P1382" s="219"/>
      <c r="R1382" s="1"/>
      <c r="S1382" s="11"/>
      <c r="T1382" s="11"/>
      <c r="U1382" s="11"/>
      <c r="V1382" s="11"/>
      <c r="W1382" s="11"/>
    </row>
    <row r="1383" spans="1:32" ht="12.75" customHeight="1" x14ac:dyDescent="0.25">
      <c r="A1383" s="2" t="s">
        <v>162</v>
      </c>
      <c r="D1383" t="str">
        <f>Draw!$D$1</f>
        <v>Enter Hosting Location (City, ST)</v>
      </c>
      <c r="J1383" t="str">
        <f ca="1">$J$6</f>
        <v>[NCTTA Teams Template (v3.4).xlsx]</v>
      </c>
      <c r="R1383" s="1"/>
      <c r="S1383" s="11"/>
      <c r="T1383" s="11"/>
      <c r="U1383" s="11"/>
      <c r="V1383" s="11"/>
      <c r="W1383" s="11"/>
    </row>
    <row r="1384" spans="1:32" ht="12.75" customHeight="1" x14ac:dyDescent="0.25">
      <c r="A1384" s="2" t="s">
        <v>163</v>
      </c>
      <c r="D1384" s="275" t="str">
        <f>Draw!$P$1</f>
        <v>Enter Date</v>
      </c>
      <c r="E1384" s="275"/>
      <c r="F1384" s="275"/>
      <c r="G1384" s="275"/>
      <c r="J1384" s="244" t="str">
        <f>CHOOSE(Draw!$T$1,"Round 5, Match 4","Round 5, Match 4","","","","","","Round 7, Match 4","Round 7, Match 4","Round 6, Match 3","Round 6, Match 3")</f>
        <v>Round 5, Match 4</v>
      </c>
      <c r="K1384" s="244"/>
      <c r="L1384" s="244"/>
      <c r="M1384" s="277" t="str">
        <f>IF(AND($J1384&lt;&gt;"",Draw!$AC$10&lt;&gt;"",Draw!$AC$13&lt;&gt;""),Draw!$AC$10+TIME(0,VALUE(MID($J1384,7,FIND(",",$J1384)-FIND(" ",$J1384)-1)-1)*Draw!$AC$13,0),"")</f>
        <v/>
      </c>
      <c r="N1384" s="277"/>
      <c r="O1384" s="125" t="str">
        <f>$F1427</f>
        <v>E-J</v>
      </c>
      <c r="R1384" s="1"/>
      <c r="S1384" s="11"/>
      <c r="T1384" s="11"/>
      <c r="U1384" s="11"/>
      <c r="V1384" s="11"/>
      <c r="W1384" s="11"/>
    </row>
    <row r="1385" spans="1:32" ht="12.75" customHeight="1" x14ac:dyDescent="0.25">
      <c r="A1385" s="6"/>
      <c r="B1385"/>
      <c r="C1385"/>
      <c r="D1385"/>
      <c r="E1385"/>
      <c r="F1385" s="6"/>
      <c r="G1385" s="6"/>
      <c r="H1385" s="11"/>
      <c r="I1385" s="6"/>
      <c r="J1385"/>
      <c r="K1385"/>
      <c r="L1385"/>
      <c r="M1385"/>
      <c r="N1385"/>
      <c r="O1385" s="269" t="str">
        <f>IF(OR(AND(VLOOKUP($B1386,$AM$1:$AX$12,12,FALSE)="C",VLOOKUP($K1386,$AM$1:$AX$12,12,FALSE)="C"),AND(VLOOKUP($B1386,$AM$1:$AX$12,12,FALSE)="W",VLOOKUP($K1386,$AM$1:$AX$12,12,FALSE)="W")),"Official",IF(AND($A1387="",$J1387=""),"","Scrimmage"))</f>
        <v/>
      </c>
      <c r="P1385" s="269"/>
      <c r="R1385" s="1"/>
      <c r="S1385" s="11"/>
      <c r="T1385" s="11"/>
      <c r="U1385" s="11"/>
      <c r="V1385" s="11"/>
      <c r="W1385" s="11"/>
    </row>
    <row r="1386" spans="1:32" ht="12.75" customHeight="1" x14ac:dyDescent="0.25">
      <c r="A1386" s="12" t="s">
        <v>160</v>
      </c>
      <c r="B1386" s="98" t="str">
        <f>CHOOSE(Draw!$T$1,"E","G","B","B","C","C","B","B","G","B","E")</f>
        <v>E</v>
      </c>
      <c r="C1386" s="109">
        <f>VLOOKUP($B1386,$AM$1:$AN$12,2)</f>
        <v>5</v>
      </c>
      <c r="D1386" s="10"/>
      <c r="E1386" s="10"/>
      <c r="F1386" s="8"/>
      <c r="H1386" s="1" t="s">
        <v>164</v>
      </c>
      <c r="J1386" s="12" t="s">
        <v>160</v>
      </c>
      <c r="K1386" s="98" t="str">
        <f>CHOOSE(Draw!$T$1,"J","K","F","J","I","G","I","C","H","F","I")</f>
        <v>J</v>
      </c>
      <c r="L1386" s="109">
        <f>VLOOKUP($K1386,$AM$1:$AN$12,2)</f>
        <v>10</v>
      </c>
      <c r="M1386" s="10"/>
      <c r="N1386" s="10"/>
      <c r="O1386" s="13"/>
      <c r="R1386" s="1"/>
      <c r="S1386" s="11"/>
      <c r="T1386" s="11"/>
      <c r="U1386" s="11"/>
      <c r="V1386" s="11"/>
      <c r="W1386" s="11"/>
    </row>
    <row r="1387" spans="1:32" ht="12.75" customHeight="1" x14ac:dyDescent="0.25">
      <c r="A1387" s="253" t="str">
        <f>IF(VLOOKUP($B1386,Draw!$A$4:$B$27,2)&lt;&gt;0,VLOOKUP($B1386,Draw!$A$4:$B$27,2),"")</f>
        <v/>
      </c>
      <c r="B1387" s="254"/>
      <c r="C1387" s="254"/>
      <c r="D1387" s="254"/>
      <c r="E1387" s="254"/>
      <c r="F1387" s="255"/>
      <c r="G1387" s="273" t="s">
        <v>431</v>
      </c>
      <c r="H1387" s="249"/>
      <c r="I1387" s="274"/>
      <c r="J1387" s="253" t="str">
        <f>IF(VLOOKUP($K1386,Draw!$A$4:$B$27,2)&lt;&gt;0,VLOOKUP($K1386,Draw!$A$4:$B$27,2),"")</f>
        <v/>
      </c>
      <c r="K1387" s="254"/>
      <c r="L1387" s="254"/>
      <c r="M1387" s="254"/>
      <c r="N1387" s="254"/>
      <c r="O1387" s="255"/>
      <c r="P1387"/>
      <c r="R1387" s="1"/>
      <c r="S1387" s="11"/>
      <c r="T1387" s="11"/>
      <c r="U1387" s="11"/>
      <c r="V1387" s="11"/>
      <c r="W1387" s="11"/>
    </row>
    <row r="1388" spans="1:32" ht="12.75" customHeight="1" x14ac:dyDescent="0.25">
      <c r="A1388" s="6"/>
      <c r="B1388"/>
      <c r="C1388"/>
      <c r="D1388"/>
      <c r="E1388"/>
      <c r="F1388" s="6"/>
      <c r="G1388" s="248" t="str">
        <f>"Page "&amp;VALUE(RIGHT($G1387,LEN($G1387)-SEARCH("-",$G1387)))/2</f>
        <v>Page 28</v>
      </c>
      <c r="H1388" s="249"/>
      <c r="I1388" s="249"/>
      <c r="J1388"/>
      <c r="K1388"/>
      <c r="L1388"/>
      <c r="M1388"/>
      <c r="N1388"/>
      <c r="O1388"/>
      <c r="P1388"/>
      <c r="R1388" s="1"/>
      <c r="S1388" s="11"/>
      <c r="T1388" s="11"/>
      <c r="U1388" s="11"/>
      <c r="V1388" s="11"/>
      <c r="W1388" s="11"/>
      <c r="AF1388"/>
    </row>
    <row r="1389" spans="1:32" ht="12.75" customHeight="1" x14ac:dyDescent="0.25">
      <c r="A1389" s="276" t="s">
        <v>177</v>
      </c>
      <c r="B1389" s="276"/>
      <c r="C1389" s="276"/>
      <c r="D1389" s="276"/>
      <c r="E1389" s="276"/>
      <c r="F1389" s="276"/>
      <c r="G1389" s="276"/>
      <c r="H1389" s="276"/>
      <c r="I1389" s="276"/>
      <c r="J1389" s="276"/>
      <c r="K1389" s="276"/>
      <c r="L1389" s="276"/>
      <c r="M1389" s="276"/>
      <c r="N1389" s="276"/>
      <c r="O1389" s="276"/>
      <c r="P1389" s="276"/>
      <c r="Q1389" s="6"/>
      <c r="R1389" s="1"/>
      <c r="S1389" s="11"/>
      <c r="T1389" s="11"/>
      <c r="U1389" s="11"/>
      <c r="V1389" s="11"/>
      <c r="W1389" s="11"/>
      <c r="AF1389" s="14"/>
    </row>
    <row r="1390" spans="1:32" ht="12.75" customHeight="1" x14ac:dyDescent="0.25">
      <c r="A1390" s="15" t="s">
        <v>165</v>
      </c>
      <c r="H1390" s="110" t="str">
        <f>IF($Q1392&lt;&gt;"",IF(AND(AND($H1392&gt;-1,$H1394&gt;-1),OR($H1392&gt;10,$H1394&gt;10),ABS($H1392-$H1394)&gt;1,IF(OR($H1392&gt;11,$H1394&gt;11),ABS($H1392-$H1394)=2,TRUE),$H1392=INT($H1392),$H1394=INT($H1394)),"","Error"),"")</f>
        <v/>
      </c>
      <c r="I1390" s="110" t="str">
        <f>IF($Q1392&lt;&gt;"",IF(AND(AND($I1392&gt;-1,$I1394&gt;-1),OR($I1392&gt;10,$I1394&gt;10),ABS($I1392-$I1394)&gt;1,IF(OR($I1392&gt;11,$I1394&gt;11),ABS($I1392-$I1394)=2,TRUE),$I1392=INT($I1392),$I1394=INT($I1394)),"","Error"),"")</f>
        <v/>
      </c>
      <c r="J1390" s="110" t="str">
        <f>IF($Q1392&lt;&gt;"",IF(AND(AND($J1392&gt;-1,$J1394&gt;-1),OR($J1392&gt;10,$J1394&gt;10),ABS($J1392-$J1394)&gt;1,IF(OR($J1392&gt;11,$J1394&gt;11),ABS($J1392-$J1394)=2,TRUE),$J1392=INT($J1392),$J1394=INT($J1394)),"","Error"),"")</f>
        <v/>
      </c>
      <c r="K1390" s="110" t="str">
        <f>IF($Q1392&lt;&gt;"",IF(AND($K1392&lt;&gt;"",$K1394&lt;&gt;""), IF(AND(AND($K1392&gt;-1,$K1394&gt;-1),OR($K1392&gt;10,$K1394&gt;10),ABS($K1392-$K1394)&gt;1,IF(OR($K1392&gt;11,$K1394&gt;11),ABS($K1392-$K1394)=2,TRUE),$K1392=INT($K1392),$K1394=INT($K1394)),"","Error"),""),"")</f>
        <v/>
      </c>
      <c r="L1390" s="110" t="str">
        <f>IF($Q1392&lt;&gt;"",IF(AND($L1392&lt;&gt;"",$L1394&lt;&gt;""), IF(AND(AND($L1392&gt;-1,$L1394&gt;-1),OR($L1392&gt;10,$L1394&gt;10),ABS($L1392-$L1394)&gt;1,IF(OR($L1392&gt;11,$L1394&gt;11),ABS($L1392-$L1394)=2,TRUE),$L1392=INT($L1392),$L1394=INT($L1394)),"","Error"),""),"")</f>
        <v/>
      </c>
      <c r="R1390" s="1"/>
      <c r="S1390" s="11"/>
      <c r="T1390" s="11"/>
      <c r="U1390" s="11"/>
      <c r="V1390" s="11"/>
      <c r="W1390" s="11"/>
    </row>
    <row r="1391" spans="1:32" ht="12.75" customHeight="1" x14ac:dyDescent="0.25">
      <c r="A1391" s="5" t="s">
        <v>160</v>
      </c>
      <c r="B1391" s="256" t="s">
        <v>58</v>
      </c>
      <c r="C1391" s="257"/>
      <c r="D1391" s="257"/>
      <c r="E1391" s="257"/>
      <c r="F1391" s="257"/>
      <c r="G1391" s="258"/>
      <c r="H1391" s="5">
        <v>1</v>
      </c>
      <c r="I1391" s="5">
        <v>2</v>
      </c>
      <c r="J1391" s="5">
        <v>3</v>
      </c>
      <c r="K1391" s="5">
        <v>4</v>
      </c>
      <c r="L1391" s="5">
        <v>5</v>
      </c>
      <c r="M1391" s="270"/>
      <c r="N1391" s="271"/>
      <c r="O1391" s="271"/>
      <c r="P1391" s="272"/>
      <c r="R1391" s="1"/>
      <c r="S1391" s="11"/>
      <c r="T1391" s="11"/>
      <c r="U1391" s="11"/>
      <c r="V1391" s="11"/>
      <c r="W1391" s="11"/>
    </row>
    <row r="1392" spans="1:32" ht="12.75" customHeight="1" x14ac:dyDescent="0.25">
      <c r="A1392" s="259" t="str">
        <f>B1386</f>
        <v>E</v>
      </c>
      <c r="B1392" s="236" t="str">
        <f ca="1">IF(AND(OFFSET($AO$1,$C1386-1,8,1,1),$A1387&lt;&gt;"",$J1387&lt;&gt;""),CHOOSE($C1386,$AO$1,$AO$2,$AO$3,$AO$4,$AO$5,$AO$6,$AO$7,$AO$8,$AO$9,$AO$10,$AO$11,$AO$12),"")</f>
        <v/>
      </c>
      <c r="C1392" s="237"/>
      <c r="D1392" s="237"/>
      <c r="E1392" s="237"/>
      <c r="F1392" s="237"/>
      <c r="G1392" s="237"/>
      <c r="H1392" s="233"/>
      <c r="I1392" s="233"/>
      <c r="J1392" s="233"/>
      <c r="K1392" s="233"/>
      <c r="L1392" s="233"/>
      <c r="M1392" s="281"/>
      <c r="N1392" s="282"/>
      <c r="O1392" s="282"/>
      <c r="P1392" s="283"/>
      <c r="Q1392" s="40" t="str">
        <f>IF($L1392=$L1394,IF($K1392=$K1394,IF($J1392&lt;&gt;"",IF($J1392&gt;$J1394,"W","L"),""),IF($K1392&gt;$K1394,"W","L")),IF($L1392&gt;$L1394,"W","L"))</f>
        <v/>
      </c>
      <c r="R1392" s="1"/>
      <c r="S1392" s="11"/>
      <c r="T1392" s="11"/>
      <c r="U1392" s="11"/>
      <c r="V1392" s="11"/>
      <c r="W1392" s="11"/>
    </row>
    <row r="1393" spans="1:32" ht="12.75" customHeight="1" x14ac:dyDescent="0.25">
      <c r="A1393" s="260"/>
      <c r="B1393" s="238"/>
      <c r="C1393" s="239"/>
      <c r="D1393" s="239"/>
      <c r="E1393" s="239"/>
      <c r="F1393" s="239"/>
      <c r="G1393" s="239"/>
      <c r="H1393" s="234"/>
      <c r="I1393" s="234"/>
      <c r="J1393" s="234"/>
      <c r="K1393" s="234"/>
      <c r="L1393" s="234"/>
      <c r="M1393" s="281"/>
      <c r="N1393" s="282"/>
      <c r="O1393" s="282"/>
      <c r="P1393" s="283"/>
      <c r="Q1393" s="110" t="str">
        <f>IF($Q1392&lt;&gt;"",IF($Q1392="W",IF(SUM(IF($H1392&gt;$H1394,1,0),IF($I1392&gt;$I1394,1,0),IF($J1392&gt;$J1394,1,0),IF($K1392&gt;$K1394,1,0),IF($L1392&gt;$L1394,1,0))&lt;&gt;3,"Error",""),""),"")</f>
        <v/>
      </c>
      <c r="R1393" s="295" t="str">
        <f>$A1387</f>
        <v/>
      </c>
      <c r="S1393" s="295"/>
      <c r="T1393" s="295"/>
      <c r="U1393" s="295"/>
      <c r="V1393" s="295"/>
      <c r="W1393" s="295"/>
      <c r="X1393" s="219" t="str">
        <f>CONCATENATE("(",$B1386," vs ",$K1386,")")</f>
        <v>(E vs J)</v>
      </c>
      <c r="Y1393" s="219"/>
      <c r="Z1393" s="295" t="str">
        <f>$J1387</f>
        <v/>
      </c>
      <c r="AA1393" s="295"/>
      <c r="AB1393" s="295"/>
      <c r="AC1393" s="295"/>
      <c r="AD1393" s="295"/>
      <c r="AE1393" s="295"/>
      <c r="AF1393"/>
    </row>
    <row r="1394" spans="1:32" ht="12.75" customHeight="1" x14ac:dyDescent="0.25">
      <c r="A1394" s="259" t="str">
        <f>K1386</f>
        <v>J</v>
      </c>
      <c r="B1394" s="236" t="str">
        <f ca="1">IF(AND(OFFSET($AO$1,$L1386-1,8,1,1),$A1387&lt;&gt;"",$J1387&lt;&gt;""),CHOOSE($L1386,$AO$1,$AO$2,$AO$3,$AO$4,$AO$5,$AO$6,$AO$7,$AO$8,$AO$9,$AO$10,$AO$11,$AO$12),"")</f>
        <v/>
      </c>
      <c r="C1394" s="237"/>
      <c r="D1394" s="237"/>
      <c r="E1394" s="237"/>
      <c r="F1394" s="237"/>
      <c r="G1394" s="237"/>
      <c r="H1394" s="233"/>
      <c r="I1394" s="233"/>
      <c r="J1394" s="233"/>
      <c r="K1394" s="233"/>
      <c r="L1394" s="233"/>
      <c r="M1394" s="250" t="s">
        <v>169</v>
      </c>
      <c r="N1394" s="251"/>
      <c r="O1394" s="251"/>
      <c r="P1394" s="252"/>
      <c r="Q1394" s="40" t="str">
        <f>IF($Q1392&lt;&gt;"",IF($Q1392="W","L","W"),"")</f>
        <v/>
      </c>
      <c r="R1394"/>
      <c r="S1394"/>
      <c r="T1394"/>
      <c r="U1394"/>
      <c r="V1394"/>
      <c r="W1394"/>
      <c r="X1394"/>
      <c r="Y1394"/>
      <c r="Z1394"/>
      <c r="AA1394"/>
      <c r="AB1394"/>
      <c r="AC1394"/>
      <c r="AD1394"/>
      <c r="AE1394"/>
      <c r="AF1394"/>
    </row>
    <row r="1395" spans="1:32" ht="12.75" customHeight="1" x14ac:dyDescent="0.25">
      <c r="A1395" s="260"/>
      <c r="B1395" s="238"/>
      <c r="C1395" s="239"/>
      <c r="D1395" s="239"/>
      <c r="E1395" s="239"/>
      <c r="F1395" s="239"/>
      <c r="G1395" s="239"/>
      <c r="H1395" s="234"/>
      <c r="I1395" s="234"/>
      <c r="J1395" s="235"/>
      <c r="K1395" s="235"/>
      <c r="L1395" s="235"/>
      <c r="M1395" s="250"/>
      <c r="N1395" s="251"/>
      <c r="O1395" s="251"/>
      <c r="P1395" s="252"/>
      <c r="Q1395" s="110" t="str">
        <f>IF($Q1394&lt;&gt;"",IF($Q1394="W",IF(SUM(IF($H1394&gt;$H1392,1,0),IF($I1394&gt;$I1392,1,0),IF($J1394&gt;$J1392,1,0),IF($K1394&gt;$K1392,1,0),IF($L1394&gt;$L1392,1,0))&lt;&gt;3,"Error",""),""),"")</f>
        <v/>
      </c>
      <c r="R1395" t="str">
        <f>$A1397</f>
        <v>2nd Singles</v>
      </c>
      <c r="S1395"/>
      <c r="T1395"/>
      <c r="U1395"/>
      <c r="V1395"/>
      <c r="W1395"/>
      <c r="X1395"/>
      <c r="Y1395"/>
      <c r="Z1395"/>
      <c r="AA1395"/>
      <c r="AB1395"/>
      <c r="AC1395"/>
      <c r="AD1395"/>
      <c r="AE1395"/>
      <c r="AF1395"/>
    </row>
    <row r="1396" spans="1:32" ht="12.75" customHeight="1" x14ac:dyDescent="0.25">
      <c r="Q1396" s="6"/>
      <c r="R1396" s="47" t="s">
        <v>160</v>
      </c>
      <c r="S1396" s="304" t="s">
        <v>58</v>
      </c>
      <c r="T1396" s="305"/>
      <c r="U1396" s="305"/>
      <c r="V1396" s="305"/>
      <c r="W1396" s="305"/>
      <c r="X1396" s="306"/>
      <c r="Y1396" s="47">
        <v>1</v>
      </c>
      <c r="Z1396" s="47">
        <v>2</v>
      </c>
      <c r="AA1396" s="47">
        <v>3</v>
      </c>
      <c r="AB1396" s="47">
        <v>4</v>
      </c>
      <c r="AC1396" s="47">
        <v>5</v>
      </c>
      <c r="AD1396" s="286"/>
      <c r="AE1396" s="287"/>
      <c r="AF1396" s="288"/>
    </row>
    <row r="1397" spans="1:32" ht="12.75" customHeight="1" x14ac:dyDescent="0.25">
      <c r="A1397" s="15" t="s">
        <v>166</v>
      </c>
      <c r="H1397" s="110" t="str">
        <f>IF($Q1399&lt;&gt;"",IF(AND(AND($H1399&gt;-1,$H1401&gt;-1),OR($H1399&gt;10,$H1401&gt;10),ABS($H1399-$H1401)&gt;1,IF(OR($H1399&gt;11,$H1401&gt;11),ABS($H1399-$H1401)=2,TRUE),$H1399=INT($H1399),$H1401=INT($H1401)),"","Error"),"")</f>
        <v/>
      </c>
      <c r="I1397" s="110" t="str">
        <f>IF($Q1399&lt;&gt;"",IF(AND(AND($I1399&gt;-1,$I1401&gt;-1),OR($I1399&gt;10,$I1401&gt;10),ABS($I1399-$I1401)&gt;1,IF(OR($I1399&gt;11,$I1401&gt;11),ABS($I1399-$I1401)=2,TRUE),$I1399=INT($I1399),$I1401=INT($I1401)),"","Error"),"")</f>
        <v/>
      </c>
      <c r="J1397" s="110" t="str">
        <f>IF($Q1399&lt;&gt;"",IF(AND(AND($J1399&gt;-1,$J1401&gt;-1),OR($J1399&gt;10,$J1401&gt;10),ABS($J1399-$J1401)&gt;1,IF(OR($J1399&gt;11,$J1401&gt;11),ABS($J1399-$J1401)=2,TRUE),$J1399=INT($J1399),$J1401=INT($J1401)),"","Error"),"")</f>
        <v/>
      </c>
      <c r="K1397" s="110" t="str">
        <f>IF($Q1399&lt;&gt;"",IF(AND($K1399&lt;&gt;"",$K1401&lt;&gt;""), IF(AND(AND($K1399&gt;-1,$K1401&gt;-1),OR($K1399&gt;10,$K1401&gt;10),ABS($K1399-$K1401)&gt;1,IF(OR($K1399&gt;11,$K1401&gt;11),ABS($K1399-$K1401)=2,TRUE),$K1399=INT($K1399),$K1401=INT($K1401)),"","Error"),""),"")</f>
        <v/>
      </c>
      <c r="L1397" s="110" t="str">
        <f>IF($Q1399&lt;&gt;"",IF(AND($L1399&lt;&gt;"",$L1401&lt;&gt;""), IF(AND(AND($L1399&gt;-1,$L1401&gt;-1),OR($L1399&gt;10,$L1401&gt;10),ABS($L1399-$L1401)&gt;1,IF(OR($L1399&gt;11,$L1401&gt;11),ABS($L1399-$L1401)=2,TRUE),$L1399=INT($L1399),$L1401=INT($L1401)),"","Error"),""),"")</f>
        <v/>
      </c>
      <c r="Q1397" s="6"/>
      <c r="R1397" s="259" t="str">
        <f>$B1386</f>
        <v>E</v>
      </c>
      <c r="S1397" s="307" t="str">
        <f ca="1">IF($B1399&lt;&gt;"",$B1399,"")</f>
        <v/>
      </c>
      <c r="T1397" s="308"/>
      <c r="U1397" s="308"/>
      <c r="V1397" s="308"/>
      <c r="W1397" s="308"/>
      <c r="X1397" s="309"/>
      <c r="Y1397" s="284"/>
      <c r="Z1397" s="284"/>
      <c r="AA1397" s="284"/>
      <c r="AB1397" s="284"/>
      <c r="AC1397" s="284"/>
      <c r="AD1397" s="296"/>
      <c r="AE1397" s="290"/>
      <c r="AF1397" s="291"/>
    </row>
    <row r="1398" spans="1:32" ht="12.75" customHeight="1" x14ac:dyDescent="0.25">
      <c r="A1398" s="5" t="s">
        <v>160</v>
      </c>
      <c r="B1398" s="256" t="s">
        <v>58</v>
      </c>
      <c r="C1398" s="257"/>
      <c r="D1398" s="257"/>
      <c r="E1398" s="257"/>
      <c r="F1398" s="257"/>
      <c r="G1398" s="258"/>
      <c r="H1398" s="5">
        <v>1</v>
      </c>
      <c r="I1398" s="5">
        <v>2</v>
      </c>
      <c r="J1398" s="5">
        <v>3</v>
      </c>
      <c r="K1398" s="5">
        <v>4</v>
      </c>
      <c r="L1398" s="5">
        <v>5</v>
      </c>
      <c r="M1398" s="270"/>
      <c r="N1398" s="271"/>
      <c r="O1398" s="271"/>
      <c r="P1398" s="272"/>
      <c r="Q1398" s="6"/>
      <c r="R1398" s="285"/>
      <c r="S1398" s="310"/>
      <c r="T1398" s="311"/>
      <c r="U1398" s="311"/>
      <c r="V1398" s="311"/>
      <c r="W1398" s="311"/>
      <c r="X1398" s="312"/>
      <c r="Y1398" s="285"/>
      <c r="Z1398" s="285"/>
      <c r="AA1398" s="285"/>
      <c r="AB1398" s="285"/>
      <c r="AC1398" s="285"/>
      <c r="AD1398" s="292"/>
      <c r="AE1398" s="293"/>
      <c r="AF1398" s="294"/>
    </row>
    <row r="1399" spans="1:32" ht="12.75" customHeight="1" x14ac:dyDescent="0.25">
      <c r="A1399" s="259" t="str">
        <f>B1386</f>
        <v>E</v>
      </c>
      <c r="B1399" s="236" t="str">
        <f ca="1">IF(AND(OFFSET($AO$1,$C1386-1,8,1,1),$A1387&lt;&gt;"",$J1387&lt;&gt;""),CHOOSE($C1386,$AP$1,$AP$2,$AP$3,$AP$4,$AP$5,$AP$6,$AP$7,$AP$8,$AP$9,$AP$10,$AP$11,$AP$12),"")</f>
        <v/>
      </c>
      <c r="C1399" s="237"/>
      <c r="D1399" s="237"/>
      <c r="E1399" s="237"/>
      <c r="F1399" s="237"/>
      <c r="G1399" s="237"/>
      <c r="H1399" s="233"/>
      <c r="I1399" s="233"/>
      <c r="J1399" s="233"/>
      <c r="K1399" s="233"/>
      <c r="L1399" s="233"/>
      <c r="M1399" s="245" t="str">
        <f ca="1">IF(OR(AND($B1392&lt;&gt;"",$B1399&lt;&gt;"",$C1417&lt;=$B1417),AND($B1394&lt;&gt;"",$B1401&lt;&gt;"",$G1417&lt;=$F1417)),"Invalid Lineup","")</f>
        <v/>
      </c>
      <c r="N1399" s="246"/>
      <c r="O1399" s="246"/>
      <c r="P1399" s="247"/>
      <c r="Q1399" s="40" t="str">
        <f>IF($L1399=$L1401,IF($K1399=$K1401,IF($J1399&lt;&gt;"",IF($J1399&gt;$J1401,"W","L"),""),IF($K1399&gt;$K1401,"W","L")),IF($L1399&gt;$L1401,"W","L"))</f>
        <v/>
      </c>
      <c r="R1399" s="259" t="str">
        <f>$K1386</f>
        <v>J</v>
      </c>
      <c r="S1399" s="307" t="str">
        <f ca="1">IF($B1401&lt;&gt;"",$B1401,"")</f>
        <v/>
      </c>
      <c r="T1399" s="308"/>
      <c r="U1399" s="308"/>
      <c r="V1399" s="308"/>
      <c r="W1399" s="308"/>
      <c r="X1399" s="309"/>
      <c r="Y1399" s="284"/>
      <c r="Z1399" s="284"/>
      <c r="AA1399" s="284"/>
      <c r="AB1399" s="284"/>
      <c r="AC1399" s="297"/>
      <c r="AD1399" s="289" t="s">
        <v>169</v>
      </c>
      <c r="AE1399" s="290"/>
      <c r="AF1399" s="291"/>
    </row>
    <row r="1400" spans="1:32" ht="12.75" customHeight="1" x14ac:dyDescent="0.25">
      <c r="A1400" s="260"/>
      <c r="B1400" s="238"/>
      <c r="C1400" s="239"/>
      <c r="D1400" s="239"/>
      <c r="E1400" s="239"/>
      <c r="F1400" s="239"/>
      <c r="G1400" s="239"/>
      <c r="H1400" s="234"/>
      <c r="I1400" s="234"/>
      <c r="J1400" s="234"/>
      <c r="K1400" s="234"/>
      <c r="L1400" s="234"/>
      <c r="M1400" s="245"/>
      <c r="N1400" s="246"/>
      <c r="O1400" s="246"/>
      <c r="P1400" s="247"/>
      <c r="Q1400" s="110" t="str">
        <f>IF($Q1399&lt;&gt;"",IF($Q1399="W",IF(SUM(IF($H1399&gt;$H1401,1,0),IF($I1399&gt;$I1401,1,0),IF($J1399&gt;$J1401,1,0),IF($K1399&gt;$K1401,1,0),IF($L1399&gt;$L1401,1,0))&lt;&gt;3,"Error",""),""),"")</f>
        <v/>
      </c>
      <c r="R1400" s="285"/>
      <c r="S1400" s="310"/>
      <c r="T1400" s="311"/>
      <c r="U1400" s="311"/>
      <c r="V1400" s="311"/>
      <c r="W1400" s="311"/>
      <c r="X1400" s="312"/>
      <c r="Y1400" s="285"/>
      <c r="Z1400" s="285"/>
      <c r="AA1400" s="285"/>
      <c r="AB1400" s="285"/>
      <c r="AC1400" s="285"/>
      <c r="AD1400" s="292"/>
      <c r="AE1400" s="293"/>
      <c r="AF1400" s="294"/>
    </row>
    <row r="1401" spans="1:32" ht="12.75" customHeight="1" x14ac:dyDescent="0.25">
      <c r="A1401" s="259" t="str">
        <f>K1386</f>
        <v>J</v>
      </c>
      <c r="B1401" s="236" t="str">
        <f ca="1">IF(AND(OFFSET($AO$1,$L1386-1,8,1,1),$A1387&lt;&gt;"",$J1387&lt;&gt;""),CHOOSE($L1386,$AP$1,$AP$2,$AP$3,$AP$4,$AP$5,$AP$6,$AP$7,$AP$8,$AP$9,$AP$10,$AP$11,$AP$12),"")</f>
        <v/>
      </c>
      <c r="C1401" s="237"/>
      <c r="D1401" s="237"/>
      <c r="E1401" s="237"/>
      <c r="F1401" s="237"/>
      <c r="G1401" s="237"/>
      <c r="H1401" s="233"/>
      <c r="I1401" s="233"/>
      <c r="J1401" s="233"/>
      <c r="K1401" s="233"/>
      <c r="L1401" s="233"/>
      <c r="M1401" s="250" t="s">
        <v>169</v>
      </c>
      <c r="N1401" s="251"/>
      <c r="O1401" s="251"/>
      <c r="P1401" s="252"/>
      <c r="Q1401" s="40" t="str">
        <f>IF($Q1399&lt;&gt;"",IF($Q1399="W","L","W"),"")</f>
        <v/>
      </c>
      <c r="R1401" s="14"/>
      <c r="S1401" s="14"/>
      <c r="T1401" s="14"/>
      <c r="U1401" s="14"/>
      <c r="V1401" s="14"/>
      <c r="W1401" s="14"/>
      <c r="X1401" s="7"/>
      <c r="Y1401" s="7"/>
      <c r="Z1401" s="14"/>
      <c r="AA1401" s="14"/>
      <c r="AB1401" s="14"/>
      <c r="AC1401" s="14"/>
      <c r="AD1401" s="14"/>
      <c r="AE1401" s="14"/>
      <c r="AF1401"/>
    </row>
    <row r="1402" spans="1:32" ht="12.75" customHeight="1" x14ac:dyDescent="0.25">
      <c r="A1402" s="260"/>
      <c r="B1402" s="238"/>
      <c r="C1402" s="239"/>
      <c r="D1402" s="239"/>
      <c r="E1402" s="239"/>
      <c r="F1402" s="239"/>
      <c r="G1402" s="239"/>
      <c r="H1402" s="234"/>
      <c r="I1402" s="234"/>
      <c r="J1402" s="235"/>
      <c r="K1402" s="235"/>
      <c r="L1402" s="235"/>
      <c r="M1402" s="250"/>
      <c r="N1402" s="251"/>
      <c r="O1402" s="251"/>
      <c r="P1402" s="252"/>
      <c r="Q1402" s="110" t="str">
        <f>IF($Q1401&lt;&gt;"",IF($Q1401="W",IF(SUM(IF($H1401&gt;$H1399,1,0),IF($I1401&gt;$I1399,1,0),IF($J1401&gt;$J1399,1,0),IF($K1401&gt;$K1399,1,0),IF($L1401&gt;$L1399,1,0))&lt;&gt;3,"Error",""),""),"")</f>
        <v/>
      </c>
      <c r="R1402" s="14"/>
      <c r="S1402" s="14"/>
      <c r="T1402" s="14"/>
      <c r="U1402" s="14"/>
      <c r="V1402" s="14"/>
      <c r="W1402" s="14"/>
      <c r="X1402" s="7"/>
      <c r="Y1402" s="7"/>
      <c r="Z1402" s="14"/>
      <c r="AA1402" s="14"/>
      <c r="AB1402" s="14"/>
      <c r="AC1402" s="14"/>
      <c r="AD1402" s="14"/>
      <c r="AE1402" s="14"/>
      <c r="AF1402"/>
    </row>
    <row r="1403" spans="1:32" ht="12.75" customHeight="1" x14ac:dyDescent="0.25">
      <c r="Q1403" s="6"/>
      <c r="R1403" s="14"/>
      <c r="S1403" s="14"/>
      <c r="T1403" s="14"/>
      <c r="U1403" s="14"/>
      <c r="V1403" s="14"/>
      <c r="W1403" s="14"/>
      <c r="X1403" s="7"/>
      <c r="Y1403" s="7"/>
      <c r="Z1403" s="14"/>
      <c r="AA1403" s="14"/>
      <c r="AB1403" s="14"/>
      <c r="AC1403" s="14"/>
      <c r="AD1403" s="14"/>
      <c r="AE1403" s="14"/>
      <c r="AF1403"/>
    </row>
    <row r="1404" spans="1:32" ht="12.75" customHeight="1" x14ac:dyDescent="0.25">
      <c r="A1404" s="15" t="s">
        <v>167</v>
      </c>
      <c r="H1404" s="110" t="str">
        <f>IF($Q1406&lt;&gt;"",IF(AND(AND($H1406&gt;-1,$H1408&gt;-1),OR($H1406&gt;10,$H1408&gt;10),ABS($H1406-$H1408)&gt;1,IF(OR($H1406&gt;11,$H1408&gt;11),ABS($H1406-$H1408)=2,TRUE),$H1406=INT($H1406),$H1408=INT($H1408)),"","Error"),"")</f>
        <v/>
      </c>
      <c r="I1404" s="110" t="str">
        <f>IF($Q1406&lt;&gt;"",IF(AND(AND($I1406&gt;-1,$I1408&gt;-1),OR($I1406&gt;10,$I1408&gt;10),ABS($I1406-$I1408)&gt;1,IF(OR($I1406&gt;11,$I1408&gt;11),ABS($I1406-$I1408)=2,TRUE),$I1406=INT($I1406),$I1408=INT($I1408)),"","Error"),"")</f>
        <v/>
      </c>
      <c r="J1404" s="110" t="str">
        <f>IF($Q1406&lt;&gt;"",IF(AND(AND($J1406&gt;-1,$J1408&gt;-1),OR($J1406&gt;10,$J1408&gt;10),ABS($J1406-$J1408)&gt;1,IF(OR($J1406&gt;11,$J1408&gt;11),ABS($J1406-$J1408)=2,TRUE),$J1406=INT($J1406),$J1408=INT($J1408)),"","Error"),"")</f>
        <v/>
      </c>
      <c r="K1404" s="110" t="str">
        <f>IF($Q1406&lt;&gt;"",IF(AND($K1406&lt;&gt;"",$K1408&lt;&gt;""), IF(AND(AND($K1406&gt;-1,$K1408&gt;-1),OR($K1406&gt;10,$K1408&gt;10),ABS($K1406-$K1408)&gt;1,IF(OR($K1406&gt;11,$K1408&gt;11),ABS($K1406-$K1408)=2,TRUE),$K1406=INT($K1406),$K1408=INT($K1408)),"","Error"),""),"")</f>
        <v/>
      </c>
      <c r="L1404" s="110" t="str">
        <f>IF($Q1406&lt;&gt;"",IF(AND($L1406&lt;&gt;"",$L1408&lt;&gt;""), IF(AND(AND($L1406&gt;-1,$L1408&gt;-1),OR($L1406&gt;10,$L1408&gt;10),ABS($L1406-$L1408)&gt;1,IF(OR($L1406&gt;11,$L1408&gt;11),ABS($L1406-$L1408)=2,TRUE),$L1406=INT($L1406),$L1408=INT($L1408)),"","Error"),""),"")</f>
        <v/>
      </c>
      <c r="Q1404" s="6"/>
      <c r="R1404" s="14"/>
      <c r="S1404" s="14"/>
      <c r="T1404" s="14"/>
      <c r="U1404" s="14"/>
      <c r="V1404" s="14"/>
      <c r="W1404" s="14"/>
      <c r="X1404" s="7"/>
      <c r="Y1404" s="7"/>
      <c r="Z1404" s="14"/>
      <c r="AA1404" s="14"/>
      <c r="AB1404" s="14"/>
      <c r="AC1404" s="14"/>
      <c r="AD1404" s="14"/>
      <c r="AE1404" s="14"/>
      <c r="AF1404"/>
    </row>
    <row r="1405" spans="1:32" ht="12.75" customHeight="1" x14ac:dyDescent="0.25">
      <c r="A1405" s="5" t="s">
        <v>160</v>
      </c>
      <c r="B1405" s="256" t="s">
        <v>58</v>
      </c>
      <c r="C1405" s="257"/>
      <c r="D1405" s="257"/>
      <c r="E1405" s="257"/>
      <c r="F1405" s="257"/>
      <c r="G1405" s="258"/>
      <c r="H1405" s="5">
        <v>1</v>
      </c>
      <c r="I1405" s="5">
        <v>2</v>
      </c>
      <c r="J1405" s="5">
        <v>3</v>
      </c>
      <c r="K1405" s="5">
        <v>4</v>
      </c>
      <c r="L1405" s="5">
        <v>5</v>
      </c>
      <c r="M1405" s="270"/>
      <c r="N1405" s="271"/>
      <c r="O1405" s="271"/>
      <c r="P1405" s="272"/>
      <c r="Q1405" s="6"/>
      <c r="R1405" s="14"/>
      <c r="S1405" s="14"/>
      <c r="T1405" s="14"/>
      <c r="U1405" s="14"/>
      <c r="V1405" s="14"/>
      <c r="W1405" s="14"/>
      <c r="X1405" s="7"/>
      <c r="Y1405" s="7"/>
      <c r="Z1405" s="14"/>
      <c r="AA1405" s="14"/>
      <c r="AB1405" s="14"/>
      <c r="AC1405" s="14"/>
      <c r="AD1405" s="14"/>
      <c r="AE1405" s="14"/>
      <c r="AF1405"/>
    </row>
    <row r="1406" spans="1:32" ht="12.75" customHeight="1" x14ac:dyDescent="0.25">
      <c r="A1406" s="259" t="str">
        <f>B1386</f>
        <v>E</v>
      </c>
      <c r="B1406" s="236" t="str">
        <f ca="1">IF(AND(OFFSET($AO$1,$C1386-1,8,1,1),$A1387&lt;&gt;"",$J1387&lt;&gt;""),CHOOSE($C1386,$AQ$1,$AQ$2,$AQ$3,$AQ$4,$AQ$5,$AQ$6,$AQ$7,$AQ$8,$AQ$9,$AQ$10,$AQ$11,$AQ$12),"")</f>
        <v/>
      </c>
      <c r="C1406" s="237"/>
      <c r="D1406" s="237"/>
      <c r="E1406" s="237"/>
      <c r="F1406" s="237"/>
      <c r="G1406" s="237"/>
      <c r="H1406" s="233"/>
      <c r="I1406" s="233"/>
      <c r="J1406" s="233"/>
      <c r="K1406" s="233"/>
      <c r="L1406" s="233"/>
      <c r="M1406" s="245" t="str">
        <f ca="1">IF(OR(AND($B1399&lt;&gt;"",$B1406&lt;&gt;"",$D1417&lt;=$C1417),AND($B1401&lt;&gt;"",$B1408&lt;&gt;"",$H1417&lt;=$G1417)),"Invalid Lineup","")</f>
        <v/>
      </c>
      <c r="N1406" s="246"/>
      <c r="O1406" s="246"/>
      <c r="P1406" s="247"/>
      <c r="Q1406" s="40" t="str">
        <f>IF($L1406=$L1408,IF($K1406=$K1408,IF($J1406&lt;&gt;"",IF($J1406&gt;$J1408,"W","L"),""),IF($K1406&gt;$K1408,"W","L")),IF($L1406&gt;$L1408,"W","L"))</f>
        <v/>
      </c>
      <c r="R1406" s="14"/>
      <c r="S1406" s="14"/>
      <c r="T1406" s="14"/>
      <c r="U1406" s="14"/>
      <c r="V1406" s="14"/>
      <c r="W1406" s="14"/>
      <c r="X1406" s="7"/>
      <c r="Y1406" s="7"/>
      <c r="Z1406" s="14"/>
      <c r="AA1406" s="14"/>
      <c r="AB1406" s="14"/>
      <c r="AC1406" s="14"/>
      <c r="AD1406" s="14"/>
      <c r="AE1406" s="14"/>
      <c r="AF1406"/>
    </row>
    <row r="1407" spans="1:32" ht="12.75" customHeight="1" x14ac:dyDescent="0.25">
      <c r="A1407" s="260"/>
      <c r="B1407" s="238"/>
      <c r="C1407" s="239"/>
      <c r="D1407" s="239"/>
      <c r="E1407" s="239"/>
      <c r="F1407" s="239"/>
      <c r="G1407" s="239"/>
      <c r="H1407" s="234"/>
      <c r="I1407" s="234"/>
      <c r="J1407" s="234"/>
      <c r="K1407" s="234"/>
      <c r="L1407" s="234"/>
      <c r="M1407" s="245"/>
      <c r="N1407" s="246"/>
      <c r="O1407" s="246"/>
      <c r="P1407" s="247"/>
      <c r="Q1407" s="110" t="str">
        <f>IF($Q1406&lt;&gt;"",IF($Q1406="W",IF(SUM(IF($H1406&gt;$H1408,1,0),IF($I1406&gt;$I1408,1,0),IF($J1406&gt;$J1408,1,0),IF($K1406&gt;$K1408,1,0),IF($L1406&gt;$L1408,1,0))&lt;&gt;3,"Error",""),""),"")</f>
        <v/>
      </c>
      <c r="R1407" s="295" t="str">
        <f>$A1387</f>
        <v/>
      </c>
      <c r="S1407" s="295"/>
      <c r="T1407" s="295"/>
      <c r="U1407" s="295"/>
      <c r="V1407" s="295"/>
      <c r="W1407" s="295"/>
      <c r="X1407" s="219" t="str">
        <f>CONCATENATE("(",$B1386," vs ",$K1386,")")</f>
        <v>(E vs J)</v>
      </c>
      <c r="Y1407" s="219"/>
      <c r="Z1407" s="295" t="str">
        <f>$J1387</f>
        <v/>
      </c>
      <c r="AA1407" s="295"/>
      <c r="AB1407" s="295"/>
      <c r="AC1407" s="295"/>
      <c r="AD1407" s="295"/>
      <c r="AE1407" s="295"/>
      <c r="AF1407"/>
    </row>
    <row r="1408" spans="1:32" ht="12.75" customHeight="1" x14ac:dyDescent="0.25">
      <c r="A1408" s="259" t="str">
        <f>K1386</f>
        <v>J</v>
      </c>
      <c r="B1408" s="236" t="str">
        <f ca="1">IF(AND(OFFSET($AO$1,$L1386-1,8,1,1),$A1387&lt;&gt;"",$J1387&lt;&gt;""),CHOOSE($L1386,$AQ$1,$AQ$2,$AQ$3,$AQ$4,$AQ$5,$AQ$6,$AQ$7,$AQ$8,$AQ$9,$AQ$10,$AQ$11,$AQ$12),"")</f>
        <v/>
      </c>
      <c r="C1408" s="237"/>
      <c r="D1408" s="237"/>
      <c r="E1408" s="237"/>
      <c r="F1408" s="237"/>
      <c r="G1408" s="237"/>
      <c r="H1408" s="233"/>
      <c r="I1408" s="233"/>
      <c r="J1408" s="233"/>
      <c r="K1408" s="233"/>
      <c r="L1408" s="233"/>
      <c r="M1408" s="250" t="s">
        <v>169</v>
      </c>
      <c r="N1408" s="251"/>
      <c r="O1408" s="251"/>
      <c r="P1408" s="252"/>
      <c r="Q1408" s="40" t="str">
        <f>IF($Q1406&lt;&gt;"",IF($Q1406="W","L","W"),"")</f>
        <v/>
      </c>
      <c r="R1408"/>
      <c r="S1408"/>
      <c r="T1408"/>
      <c r="U1408"/>
      <c r="V1408"/>
      <c r="W1408"/>
      <c r="X1408"/>
      <c r="Y1408"/>
      <c r="Z1408"/>
      <c r="AA1408"/>
      <c r="AB1408"/>
      <c r="AC1408"/>
      <c r="AD1408"/>
      <c r="AE1408"/>
      <c r="AF1408"/>
    </row>
    <row r="1409" spans="1:32" ht="12.75" customHeight="1" x14ac:dyDescent="0.25">
      <c r="A1409" s="260"/>
      <c r="B1409" s="238"/>
      <c r="C1409" s="239"/>
      <c r="D1409" s="239"/>
      <c r="E1409" s="239"/>
      <c r="F1409" s="239"/>
      <c r="G1409" s="239"/>
      <c r="H1409" s="234"/>
      <c r="I1409" s="234"/>
      <c r="J1409" s="235"/>
      <c r="K1409" s="235"/>
      <c r="L1409" s="235"/>
      <c r="M1409" s="250"/>
      <c r="N1409" s="251"/>
      <c r="O1409" s="251"/>
      <c r="P1409" s="252"/>
      <c r="Q1409" s="110" t="str">
        <f>IF($Q1408&lt;&gt;"",IF($Q1408="W",IF(SUM(IF($H1408&gt;$H1406,1,0),IF($I1408&gt;$I1406,1,0),IF($J1408&gt;$J1406,1,0),IF($K1408&gt;$K1406,1,0),IF($L1408&gt;$L1406,1,0))&lt;&gt;3,"Error",""),""),"")</f>
        <v/>
      </c>
      <c r="R1409" t="str">
        <f>$A1404</f>
        <v>3rd Singles</v>
      </c>
      <c r="S1409"/>
      <c r="T1409"/>
      <c r="U1409"/>
      <c r="V1409"/>
      <c r="W1409"/>
      <c r="X1409"/>
      <c r="Y1409"/>
      <c r="Z1409"/>
      <c r="AA1409"/>
      <c r="AB1409"/>
      <c r="AC1409"/>
      <c r="AD1409"/>
      <c r="AE1409"/>
      <c r="AF1409"/>
    </row>
    <row r="1410" spans="1:32" ht="12.75" customHeight="1" x14ac:dyDescent="0.25">
      <c r="Q1410" s="6"/>
      <c r="R1410" s="47" t="s">
        <v>160</v>
      </c>
      <c r="S1410" s="86" t="s">
        <v>58</v>
      </c>
      <c r="T1410" s="87"/>
      <c r="U1410" s="87"/>
      <c r="V1410" s="87"/>
      <c r="W1410" s="87"/>
      <c r="X1410" s="88"/>
      <c r="Y1410" s="47">
        <v>1</v>
      </c>
      <c r="Z1410" s="47">
        <v>2</v>
      </c>
      <c r="AA1410" s="47">
        <v>3</v>
      </c>
      <c r="AB1410" s="47">
        <v>4</v>
      </c>
      <c r="AC1410" s="47">
        <v>5</v>
      </c>
      <c r="AD1410" s="89"/>
      <c r="AE1410" s="90"/>
      <c r="AF1410" s="91"/>
    </row>
    <row r="1411" spans="1:32" ht="12.75" customHeight="1" x14ac:dyDescent="0.25">
      <c r="A1411" s="15" t="s">
        <v>168</v>
      </c>
      <c r="H1411" s="110" t="str">
        <f ca="1">IF($Q1413&lt;&gt;"",IF(AND($B1413&lt;&gt;"Missing Player",$B1415&lt;&gt;"Missing Player"),IF(AND(AND($H1413&gt;-1,$H1415&gt;-1),OR($H1413&gt;10,$H1415&gt;10),ABS($H1413-$H1415)&gt;1,IF(OR($H1413&gt;11,$H1415&gt;11),ABS($H1413-$H1415)=2,TRUE),$H1413=INT($H1413),$H1415=INT($H1415)),"","Error"),""),"")</f>
        <v/>
      </c>
      <c r="I1411" s="110" t="str">
        <f ca="1">IF($Q1413&lt;&gt;"",IF(AND($B1413&lt;&gt;"Missing Player",$B1415&lt;&gt;"Missing Player"),IF(AND(AND($I1413&gt;-1,$I1415&gt;-1),OR($I1413&gt;10,$I1415&gt;10),ABS($I1413-$I1415)&gt;1,IF(OR($I1413&gt;11,$I1415&gt;11),ABS($I1413-$I1415)=2,TRUE),$I1413=INT($I1413),$I1415=INT($I1415)),"","Error"),""),"")</f>
        <v/>
      </c>
      <c r="J1411" s="110" t="str">
        <f ca="1">IF($Q1413&lt;&gt;"",IF(AND($B1413&lt;&gt;"Missing Player",$B1415&lt;&gt;"Missing Player"),IF(AND(AND($J1413&gt;-1,$J1415&gt;-1),OR($J1413&gt;10,$J1415&gt;10),ABS($J1413-$J1415)&gt;1,IF(OR($J1413&gt;11,$J1415&gt;11),ABS($J1413-$J1415)=2,TRUE),$J1413=INT($J1413),$J1415=INT($J1415)),"","Error"),""),"")</f>
        <v/>
      </c>
      <c r="K1411" s="110" t="str">
        <f ca="1">IF($Q1413&lt;&gt;"",IF(AND($K1413&lt;&gt;"",$K1415&lt;&gt;""), IF(AND(AND($K1413&gt;-1,$K1415&gt;-1),OR($K1413&gt;10,$K1415&gt;10),ABS($K1413-$K1415)&gt;1,IF(OR($K1413&gt;11,$K1415&gt;11),ABS($K1413-$K1415)=2,TRUE),$K1413=INT($K1413),$K1415=INT($K1415)),"","Error"),""),"")</f>
        <v/>
      </c>
      <c r="L1411" s="110" t="str">
        <f ca="1">IF($Q1413&lt;&gt;"",IF(AND($L1413&lt;&gt;"",$L1415&lt;&gt;""), IF(AND(AND($L1413&gt;-1,$L1415&gt;-1),OR($L1413&gt;10,$L1415&gt;10),ABS($L1413-$L1415)&gt;1,IF(OR($L1413&gt;11,$L1415&gt;11),ABS($L1413-$L1415)=2,TRUE),$L1413=INT($L1413),$L1415=INT($L1415)),"","Error"),""),"")</f>
        <v/>
      </c>
      <c r="Q1411" s="6"/>
      <c r="R1411" s="259" t="str">
        <f>$B1386</f>
        <v>E</v>
      </c>
      <c r="S1411" s="307" t="str">
        <f ca="1">IF($B1406&lt;&gt;"",$B1406,"")</f>
        <v/>
      </c>
      <c r="T1411" s="308"/>
      <c r="U1411" s="308"/>
      <c r="V1411" s="308"/>
      <c r="W1411" s="308"/>
      <c r="X1411" s="309"/>
      <c r="Y1411" s="284"/>
      <c r="Z1411" s="284"/>
      <c r="AA1411" s="284"/>
      <c r="AB1411" s="284"/>
      <c r="AC1411" s="284"/>
      <c r="AD1411" s="296"/>
      <c r="AE1411" s="290"/>
      <c r="AF1411" s="291"/>
    </row>
    <row r="1412" spans="1:32" ht="12.75" customHeight="1" x14ac:dyDescent="0.25">
      <c r="A1412" s="5" t="s">
        <v>160</v>
      </c>
      <c r="B1412" s="256" t="s">
        <v>58</v>
      </c>
      <c r="C1412" s="257"/>
      <c r="D1412" s="257"/>
      <c r="E1412" s="257"/>
      <c r="F1412" s="257"/>
      <c r="G1412" s="258"/>
      <c r="H1412" s="5">
        <v>1</v>
      </c>
      <c r="I1412" s="5">
        <v>2</v>
      </c>
      <c r="J1412" s="5">
        <v>3</v>
      </c>
      <c r="K1412" s="5">
        <v>4</v>
      </c>
      <c r="L1412" s="5">
        <v>5</v>
      </c>
      <c r="M1412" s="270"/>
      <c r="N1412" s="271"/>
      <c r="O1412" s="271"/>
      <c r="P1412" s="272"/>
      <c r="Q1412" s="6"/>
      <c r="R1412" s="285"/>
      <c r="S1412" s="310"/>
      <c r="T1412" s="311"/>
      <c r="U1412" s="311"/>
      <c r="V1412" s="311"/>
      <c r="W1412" s="311"/>
      <c r="X1412" s="312"/>
      <c r="Y1412" s="285"/>
      <c r="Z1412" s="285"/>
      <c r="AA1412" s="285"/>
      <c r="AB1412" s="285"/>
      <c r="AC1412" s="285"/>
      <c r="AD1412" s="292"/>
      <c r="AE1412" s="293"/>
      <c r="AF1412" s="294"/>
    </row>
    <row r="1413" spans="1:32" ht="12.75" customHeight="1" x14ac:dyDescent="0.25">
      <c r="A1413" s="259" t="str">
        <f>B1386</f>
        <v>E</v>
      </c>
      <c r="B1413" s="236" t="str">
        <f ca="1">IF(AND(OFFSET($AO$1,$C1386-1,8,1,1),$A1387&lt;&gt;"",$J1387&lt;&gt;""),CHOOSE($C1386,$AR$1,$AR$2,$AR$3,$AR$4,$AR$5,$AR$6,$AR$7,$AR$8,$AR$9,$AR$10,$AR$11,$AR$12),"")</f>
        <v/>
      </c>
      <c r="C1413" s="237"/>
      <c r="D1413" s="237"/>
      <c r="E1413" s="237"/>
      <c r="F1413" s="237"/>
      <c r="G1413" s="237"/>
      <c r="H1413" s="233"/>
      <c r="I1413" s="233"/>
      <c r="J1413" s="233"/>
      <c r="K1413" s="233"/>
      <c r="L1413" s="233" t="str">
        <f ca="1">IF(AND($B1413&lt;&gt;"",$Q1392&lt;&gt;""),IF($B1413="Missing Player",0,IF($B1415="Missing Player",11,"")),"")</f>
        <v/>
      </c>
      <c r="M1413" s="245" t="str">
        <f ca="1">IF(OR(AND($B1406&lt;&gt;"",$B1413&lt;&gt;"",$E1417&lt;=$D1417),AND($B1408&lt;&gt;"",$B1415&lt;&gt;"",$I1417&lt;=$H1417)),"Invalid Lineup","")</f>
        <v/>
      </c>
      <c r="N1413" s="246"/>
      <c r="O1413" s="246"/>
      <c r="P1413" s="247"/>
      <c r="Q1413" s="40" t="str">
        <f ca="1">IF($L1413=$L1415,IF($K1413=$K1415,IF($J1413&lt;&gt;"",IF($J1413&gt;$J1415,"W","L"),""),IF($K1413&gt;$K1415,"W","L")),IF($L1413&gt;$L1415,"W","L"))</f>
        <v/>
      </c>
      <c r="R1413" s="259" t="str">
        <f>$K1386</f>
        <v>J</v>
      </c>
      <c r="S1413" s="307" t="str">
        <f ca="1">IF($B1408&lt;&gt;"",$B1408,"")</f>
        <v/>
      </c>
      <c r="T1413" s="308"/>
      <c r="U1413" s="308"/>
      <c r="V1413" s="308"/>
      <c r="W1413" s="308"/>
      <c r="X1413" s="309"/>
      <c r="Y1413" s="284"/>
      <c r="Z1413" s="284"/>
      <c r="AA1413" s="284"/>
      <c r="AB1413" s="284"/>
      <c r="AC1413" s="297"/>
      <c r="AD1413" s="289" t="s">
        <v>169</v>
      </c>
      <c r="AE1413" s="290"/>
      <c r="AF1413" s="291"/>
    </row>
    <row r="1414" spans="1:32" ht="12.75" customHeight="1" x14ac:dyDescent="0.25">
      <c r="A1414" s="260"/>
      <c r="B1414" s="238"/>
      <c r="C1414" s="239"/>
      <c r="D1414" s="239"/>
      <c r="E1414" s="239"/>
      <c r="F1414" s="239"/>
      <c r="G1414" s="239"/>
      <c r="H1414" s="234"/>
      <c r="I1414" s="234"/>
      <c r="J1414" s="234"/>
      <c r="K1414" s="234"/>
      <c r="L1414" s="234"/>
      <c r="M1414" s="245"/>
      <c r="N1414" s="246"/>
      <c r="O1414" s="246"/>
      <c r="P1414" s="247"/>
      <c r="Q1414" s="110" t="str">
        <f ca="1">IF($Q1413&lt;&gt;"",IF($B1415&lt;&gt;"Missing Player",IF($Q1413="W",IF(SUM(IF($H1413&gt;$H1415,1,0),IF($I1413&gt;$I1415,1,0),IF($J1413&gt;$J1415,1,0),IF($K1413&gt;$K1415,1,0),IF($L1413&gt;$L1415,1,0))&lt;&gt;3,"Error",""),""),""),"")</f>
        <v/>
      </c>
      <c r="R1414" s="285"/>
      <c r="S1414" s="310"/>
      <c r="T1414" s="311"/>
      <c r="U1414" s="311"/>
      <c r="V1414" s="311"/>
      <c r="W1414" s="311"/>
      <c r="X1414" s="312"/>
      <c r="Y1414" s="285"/>
      <c r="Z1414" s="285"/>
      <c r="AA1414" s="285"/>
      <c r="AB1414" s="285"/>
      <c r="AC1414" s="285"/>
      <c r="AD1414" s="292"/>
      <c r="AE1414" s="293"/>
      <c r="AF1414" s="294"/>
    </row>
    <row r="1415" spans="1:32" ht="12.75" customHeight="1" x14ac:dyDescent="0.25">
      <c r="A1415" s="259" t="str">
        <f>K1386</f>
        <v>J</v>
      </c>
      <c r="B1415" s="236" t="str">
        <f ca="1">IF(AND(OFFSET($AO$1,$L1386-1,8,1,1),$A1387&lt;&gt;"",$J1387&lt;&gt;""),CHOOSE($L1386,$AR$1,$AR$2,$AR$3,$AR$4,$AR$5,$AR$6,$AR$7,$AR$8,$AR$9,$AR$10,$AR$11,$AR$12),"")</f>
        <v/>
      </c>
      <c r="C1415" s="237"/>
      <c r="D1415" s="237"/>
      <c r="E1415" s="237"/>
      <c r="F1415" s="237"/>
      <c r="G1415" s="237"/>
      <c r="H1415" s="233"/>
      <c r="I1415" s="233"/>
      <c r="J1415" s="233"/>
      <c r="K1415" s="233"/>
      <c r="L1415" s="233" t="str">
        <f ca="1">IF(AND($B1415&lt;&gt;"",$Q1392&lt;&gt;""),IF($B1415="Missing Player",0,IF($B1413="Missing Player",11,"")),"")</f>
        <v/>
      </c>
      <c r="M1415" s="250" t="s">
        <v>169</v>
      </c>
      <c r="N1415" s="251"/>
      <c r="O1415" s="251"/>
      <c r="P1415" s="252"/>
      <c r="Q1415" s="40" t="str">
        <f ca="1">IF($Q1413&lt;&gt;"",IF($Q1413="W","L","W"),"")</f>
        <v/>
      </c>
      <c r="R1415" s="94"/>
      <c r="S1415" s="84"/>
      <c r="T1415" s="84"/>
      <c r="U1415" s="84"/>
      <c r="V1415" s="84"/>
      <c r="W1415" s="84"/>
      <c r="X1415" s="84"/>
      <c r="Y1415" s="93"/>
      <c r="Z1415" s="93"/>
      <c r="AA1415" s="93"/>
      <c r="AB1415" s="93"/>
      <c r="AC1415" s="93"/>
      <c r="AD1415" s="92"/>
      <c r="AE1415" s="93"/>
      <c r="AF1415" s="93"/>
    </row>
    <row r="1416" spans="1:32" ht="12.75" customHeight="1" x14ac:dyDescent="0.25">
      <c r="A1416" s="260"/>
      <c r="B1416" s="238"/>
      <c r="C1416" s="239"/>
      <c r="D1416" s="239"/>
      <c r="E1416" s="239"/>
      <c r="F1416" s="239"/>
      <c r="G1416" s="239"/>
      <c r="H1416" s="234"/>
      <c r="I1416" s="234"/>
      <c r="J1416" s="235"/>
      <c r="K1416" s="235"/>
      <c r="L1416" s="235"/>
      <c r="M1416" s="250"/>
      <c r="N1416" s="251"/>
      <c r="O1416" s="251"/>
      <c r="P1416" s="252"/>
      <c r="Q1416" s="110" t="str">
        <f ca="1">IF($Q1415&lt;&gt;"",IF($B1413&lt;&gt;"Missing Player",IF($Q1415="W",IF(SUM(IF($H1415&gt;$H1413,1,0),IF($I1415&gt;$I1413,1,0),IF($J1415&gt;$J1413,1,0),IF($K1415&gt;$K1413,1,0),IF($L1415&gt;$L1413,1,0))&lt;&gt;3,"Error",""),""),""),"")</f>
        <v/>
      </c>
      <c r="R1416" s="85"/>
      <c r="S1416" s="95"/>
      <c r="T1416" s="95"/>
      <c r="U1416" s="95"/>
      <c r="V1416" s="95"/>
      <c r="W1416" s="95"/>
      <c r="X1416" s="95"/>
      <c r="Y1416" s="85"/>
      <c r="Z1416" s="85"/>
      <c r="AA1416" s="85"/>
      <c r="AB1416" s="85"/>
      <c r="AC1416" s="85"/>
      <c r="AD1416" s="85"/>
      <c r="AE1416" s="85"/>
      <c r="AF1416" s="85"/>
    </row>
    <row r="1417" spans="1:32" ht="12.75" customHeight="1" x14ac:dyDescent="0.25">
      <c r="B1417" s="111" t="str">
        <f ca="1">IF(ISERROR(VLOOKUP($B1392&amp;"("&amp;$B1386&amp;")",Players!$S$4:$T$132,2,FALSE)),"",VLOOKUP($B1392&amp;"("&amp;$B1386&amp;")",Players!$S$4:$T$132,2,FALSE))</f>
        <v>E1</v>
      </c>
      <c r="C1417" s="111" t="str">
        <f ca="1">IF(ISERROR(VLOOKUP($B1399&amp;"("&amp;$B1386&amp;")",Players!$S$4:$T$132,2,FALSE)),"",VLOOKUP($B1399&amp;"("&amp;$B1386&amp;")",Players!$S$4:$T$132,2,FALSE))</f>
        <v>E1</v>
      </c>
      <c r="D1417" s="111" t="str">
        <f ca="1">IF(ISERROR(VLOOKUP($B1406&amp;"("&amp;$B1386&amp;")",Players!$S$4:$T$132,2,FALSE)),"",VLOOKUP($B1406&amp;"("&amp;$B1386&amp;")",Players!$S$4:$T$132,2,FALSE))</f>
        <v>E1</v>
      </c>
      <c r="E1417" s="111" t="str">
        <f ca="1">IF(ISERROR(VLOOKUP($B1413&amp;"("&amp;$B1386&amp;")",Players!$S$4:$T$132,2,FALSE)),"",VLOOKUP($B1413&amp;"("&amp;$B1386&amp;")",Players!$S$4:$T$132,2,FALSE))</f>
        <v>E1</v>
      </c>
      <c r="F1417" s="111" t="str">
        <f ca="1">IF(ISERROR(VLOOKUP($B1394&amp;"("&amp;$K1386&amp;")",Players!$S$4:$T$132,2,FALSE)),"",VLOOKUP($B1394&amp;"("&amp;$K1386&amp;")",Players!$S$4:$T$132,2,FALSE))</f>
        <v>J1</v>
      </c>
      <c r="G1417" s="111" t="str">
        <f ca="1">IF(ISERROR(VLOOKUP($B1401&amp;"("&amp;$K1386&amp;")",Players!$S$4:$T$132,2,FALSE)),"",VLOOKUP($B1401&amp;"("&amp;$K1386&amp;")",Players!$S$4:$T$132,2,FALSE))</f>
        <v>J1</v>
      </c>
      <c r="H1417" s="111" t="str">
        <f ca="1">IF(ISERROR(VLOOKUP($B1408&amp;"("&amp;$K1386&amp;")",Players!$S$4:$T$132,2,FALSE)),"",VLOOKUP($B1408&amp;"("&amp;$K1386&amp;")",Players!$S$4:$T$132,2,FALSE))</f>
        <v>J1</v>
      </c>
      <c r="I1417" s="111" t="str">
        <f ca="1">IF(ISERROR(VLOOKUP($B1415&amp;"("&amp;$K1386&amp;")",Players!$S$4:$T$132,2,FALSE)),"",VLOOKUP($B1415&amp;"("&amp;$K1386&amp;")",Players!$S$4:$T$132,2,FALSE))</f>
        <v>J1</v>
      </c>
      <c r="Q1417" s="6"/>
      <c r="R1417" s="37"/>
      <c r="S1417" s="95"/>
      <c r="T1417" s="95"/>
      <c r="U1417" s="95"/>
      <c r="V1417" s="95"/>
      <c r="W1417" s="95"/>
      <c r="X1417" s="95"/>
      <c r="Y1417" s="85"/>
      <c r="Z1417" s="85"/>
      <c r="AA1417" s="85"/>
      <c r="AB1417" s="85"/>
      <c r="AC1417" s="96"/>
      <c r="AD1417" s="97"/>
      <c r="AE1417" s="85"/>
      <c r="AF1417" s="85"/>
    </row>
    <row r="1418" spans="1:32" ht="12.75" customHeight="1" x14ac:dyDescent="0.25">
      <c r="A1418" s="15" t="s">
        <v>157</v>
      </c>
      <c r="H1418" s="110" t="str">
        <f ca="1">IF($Q1420&lt;&gt;"",IF(AND($B1421&lt;&gt;"Missing Player",$B1423&lt;&gt;"Missing Player"),IF(AND(AND($H1420&gt;-1,$H1422&gt;-1),OR($H1420&gt;10,$H1422&gt;10),ABS($H1420-$H1422)&gt;1,IF(OR($H1420&gt;11,$H1422&gt;11),ABS($H1420-$H1422)=2,TRUE),$H1420=INT($H1420),$H1422=INT($H1422)),"","Error"),""),"")</f>
        <v/>
      </c>
      <c r="I1418" s="110" t="str">
        <f ca="1">IF($Q1420&lt;&gt;"",IF(AND($B1421&lt;&gt;"Missing Player",$B1423&lt;&gt;"Missing Player"),IF(AND(AND($I1420&gt;-1,$I1422&gt;-1),OR($I1420&gt;10,$I1422&gt;10),ABS($I1420-$I1422)&gt;1,IF(OR($I1420&gt;11,$I1422&gt;11),ABS($I1420-$I1422)=2,TRUE),$I1420=INT($I1420),$I1422=INT($I1422)),"","Error"),""),"")</f>
        <v/>
      </c>
      <c r="J1418" s="110" t="str">
        <f ca="1">IF($Q1420&lt;&gt;"",IF(AND($B1421&lt;&gt;"Missing Player",$B1423&lt;&gt;"Missing Player"),IF(AND(AND($J1420&gt;-1,$J1422&gt;-1),OR($J1420&gt;10,$J1422&gt;10),ABS($J1420-$J1422)&gt;1,IF(OR($J1420&gt;11,$J1422&gt;11),ABS($J1420-$J1422)=2,TRUE),$J1420=INT($J1420),$J1422=INT($J1422)),"","Error"),""),"")</f>
        <v/>
      </c>
      <c r="K1418" s="110" t="str">
        <f ca="1">IF($Q1420&lt;&gt;"",IF(AND($K1420&lt;&gt;"",$K1422&lt;&gt;""), IF(AND(AND($K1420&gt;-1,$K1422&gt;-1),OR($K1420&gt;10,$K1422&gt;10),ABS($K1420-$K1422)&gt;1,IF(OR($K1420&gt;11,$K1422&gt;11),ABS($K1420-$K1422)=2,TRUE),$K1420=INT($K1420),$K1422=INT($K1422)),"","Error"),""),"")</f>
        <v/>
      </c>
      <c r="L1418" s="110" t="str">
        <f ca="1">IF($Q1420&lt;&gt;"",IF(AND($L1420&lt;&gt;"",$L1422&lt;&gt;""), IF(AND(AND($L1420&gt;-1,$L1422&gt;-1),OR($L1420&gt;10,$L1422&gt;10),ABS($L1420-$L1422)&gt;1,IF(OR($L1420&gt;11,$L1422&gt;11),ABS($L1420-$L1422)=2,TRUE),$L1420=INT($L1420),$L1422=INT($L1422)),"","Error"),""),"")</f>
        <v/>
      </c>
      <c r="Q1418" s="6"/>
      <c r="R1418" s="85"/>
      <c r="S1418" s="95"/>
      <c r="T1418" s="95"/>
      <c r="U1418" s="95"/>
      <c r="V1418" s="95"/>
      <c r="W1418" s="95"/>
      <c r="X1418" s="95"/>
      <c r="Y1418" s="85"/>
      <c r="Z1418" s="85"/>
      <c r="AA1418" s="85"/>
      <c r="AB1418" s="85"/>
      <c r="AC1418" s="85"/>
      <c r="AD1418" s="85"/>
      <c r="AE1418" s="85"/>
      <c r="AF1418" s="85"/>
    </row>
    <row r="1419" spans="1:32" ht="12.75" customHeight="1" x14ac:dyDescent="0.25">
      <c r="A1419" s="5" t="s">
        <v>160</v>
      </c>
      <c r="B1419" s="256" t="s">
        <v>58</v>
      </c>
      <c r="C1419" s="257"/>
      <c r="D1419" s="257"/>
      <c r="E1419" s="257"/>
      <c r="F1419" s="257"/>
      <c r="G1419" s="258"/>
      <c r="H1419" s="5">
        <v>1</v>
      </c>
      <c r="I1419" s="5">
        <v>2</v>
      </c>
      <c r="J1419" s="5">
        <v>3</v>
      </c>
      <c r="K1419" s="5">
        <v>4</v>
      </c>
      <c r="L1419" s="5">
        <v>5</v>
      </c>
      <c r="M1419" s="270"/>
      <c r="N1419" s="271"/>
      <c r="O1419" s="271"/>
      <c r="P1419" s="272"/>
      <c r="Q1419" s="6"/>
      <c r="T1419" s="7"/>
    </row>
    <row r="1420" spans="1:32" ht="12.75" customHeight="1" x14ac:dyDescent="0.25">
      <c r="A1420" s="259" t="str">
        <f>B1386</f>
        <v>E</v>
      </c>
      <c r="B1420" s="230" t="str">
        <f ca="1">IF($B1392&lt;&gt;"",$B1392,"")</f>
        <v/>
      </c>
      <c r="C1420" s="231"/>
      <c r="D1420" s="231"/>
      <c r="E1420" s="231"/>
      <c r="F1420" s="231"/>
      <c r="G1420" s="232"/>
      <c r="H1420" s="233"/>
      <c r="I1420" s="233"/>
      <c r="J1420" s="233"/>
      <c r="K1420" s="233"/>
      <c r="L1420" s="233" t="str">
        <f ca="1">IF($B1413&lt;&gt;"",IF(AND($B1413="Missing Player",$G1424=2,$J1424=2),0,IF(AND($B1415="Missing Player",$G1424=2,$J1424=2),11,"")),"")</f>
        <v/>
      </c>
      <c r="M1420" s="245" t="str">
        <f ca="1">IF(OR(AND($B1420&lt;&gt;"",$B1421&lt;&gt;"",$B1420=$B1421),AND($B1422&lt;&gt;"",$B1423&lt;&gt;"",$B1422=$B1423)),"Invalid Partner","")</f>
        <v/>
      </c>
      <c r="N1420" s="246"/>
      <c r="O1420" s="246"/>
      <c r="P1420" s="247"/>
      <c r="Q1420" s="37" t="str">
        <f ca="1">IF(L1420=L1422,IF(K1420=K1422,IF(J1420&lt;&gt;"",IF(J1420&gt;J1422,"W","L"),""),IF(K1420&gt;K1422,"W","L")),IF(L1420&gt;L1422,"W","L"))</f>
        <v/>
      </c>
      <c r="T1420" s="7"/>
    </row>
    <row r="1421" spans="1:32" ht="12.75" customHeight="1" x14ac:dyDescent="0.25">
      <c r="A1421" s="260"/>
      <c r="B1421" s="266" t="str">
        <f ca="1">IF($B1413="Missing Player",$B1413,"")</f>
        <v/>
      </c>
      <c r="C1421" s="267"/>
      <c r="D1421" s="267"/>
      <c r="E1421" s="267"/>
      <c r="F1421" s="267"/>
      <c r="G1421" s="268"/>
      <c r="H1421" s="234"/>
      <c r="I1421" s="234"/>
      <c r="J1421" s="234"/>
      <c r="K1421" s="234"/>
      <c r="L1421" s="234"/>
      <c r="M1421" s="245"/>
      <c r="N1421" s="246"/>
      <c r="O1421" s="246"/>
      <c r="P1421" s="247"/>
      <c r="Q1421" s="110" t="str">
        <f ca="1">IF($Q1420&lt;&gt;"",IF($B1423&lt;&gt;"Missing Player",IF($Q1420="W",IF(SUM(IF($H1420&gt;$H1422,1,0),IF($I1420&gt;$I1422,1,0),IF($J1420&gt;$J1422,1,0),IF($K1420&gt;$K1422,1,0),IF($L1420&gt;$L1422,1,0))&lt;&gt;3,"Error",""),""),""),"")</f>
        <v/>
      </c>
      <c r="R1421" s="295" t="str">
        <f>$A1387</f>
        <v/>
      </c>
      <c r="S1421" s="295"/>
      <c r="T1421" s="295"/>
      <c r="U1421" s="295"/>
      <c r="V1421" s="295"/>
      <c r="W1421" s="295"/>
      <c r="X1421" s="219" t="str">
        <f>CONCATENATE("(",$B1386," vs ",$K1386,")")</f>
        <v>(E vs J)</v>
      </c>
      <c r="Y1421" s="219"/>
      <c r="Z1421" s="295" t="str">
        <f>$J1387</f>
        <v/>
      </c>
      <c r="AA1421" s="295"/>
      <c r="AB1421" s="295"/>
      <c r="AC1421" s="295"/>
      <c r="AD1421" s="295"/>
      <c r="AE1421" s="295"/>
      <c r="AF1421"/>
    </row>
    <row r="1422" spans="1:32" ht="12.75" customHeight="1" x14ac:dyDescent="0.25">
      <c r="A1422" s="265" t="str">
        <f>K1386</f>
        <v>J</v>
      </c>
      <c r="B1422" s="230" t="str">
        <f ca="1">IF($B1394&lt;&gt;"",$B1394,"")</f>
        <v/>
      </c>
      <c r="C1422" s="231"/>
      <c r="D1422" s="231"/>
      <c r="E1422" s="231"/>
      <c r="F1422" s="231"/>
      <c r="G1422" s="232"/>
      <c r="H1422" s="233"/>
      <c r="I1422" s="233"/>
      <c r="J1422" s="233"/>
      <c r="K1422" s="233"/>
      <c r="L1422" s="233" t="str">
        <f ca="1">IF($B1415&lt;&gt;"",IF(AND($B1415="Missing Player",$G1424=2,$J1424=2),0,IF(AND($B1413="Missing Player",$G1424=2,$J1424=2),11,"")),"")</f>
        <v/>
      </c>
      <c r="M1422" s="250" t="s">
        <v>169</v>
      </c>
      <c r="N1422" s="251"/>
      <c r="O1422" s="251"/>
      <c r="P1422" s="252"/>
      <c r="Q1422" s="37" t="str">
        <f ca="1">IF(Q1420&lt;&gt;"",IF(Q1420="W","L","W"),"")</f>
        <v/>
      </c>
      <c r="R1422"/>
      <c r="S1422"/>
      <c r="T1422"/>
      <c r="U1422"/>
      <c r="V1422"/>
      <c r="W1422"/>
      <c r="X1422"/>
      <c r="Y1422"/>
      <c r="Z1422"/>
      <c r="AA1422"/>
      <c r="AB1422"/>
      <c r="AC1422"/>
      <c r="AD1422"/>
      <c r="AE1422"/>
      <c r="AF1422"/>
    </row>
    <row r="1423" spans="1:32" ht="12.75" customHeight="1" x14ac:dyDescent="0.25">
      <c r="A1423" s="260"/>
      <c r="B1423" s="266" t="str">
        <f ca="1">IF($B1415="Missing Player",$B1415,"")</f>
        <v/>
      </c>
      <c r="C1423" s="267"/>
      <c r="D1423" s="267"/>
      <c r="E1423" s="267"/>
      <c r="F1423" s="267"/>
      <c r="G1423" s="268"/>
      <c r="H1423" s="234"/>
      <c r="I1423" s="234"/>
      <c r="J1423" s="235"/>
      <c r="K1423" s="235"/>
      <c r="L1423" s="235"/>
      <c r="M1423" s="250"/>
      <c r="N1423" s="251"/>
      <c r="O1423" s="251"/>
      <c r="P1423" s="252"/>
      <c r="Q1423" s="110" t="str">
        <f ca="1">IF($Q1422&lt;&gt;"",IF($B1421&lt;&gt;"Missing Player",IF($Q1422="W",IF(SUM(IF($H1422&gt;$H1420,1,0),IF($I1422&gt;$I1420,1,0),IF($J1422&gt;$J1420,1,0),IF($K1422&gt;$K1420,1,0),IF($L1422&gt;$L1420,1,0))&lt;&gt;3,"Error",""),""),""),"")</f>
        <v/>
      </c>
      <c r="R1423" t="str">
        <f>A1411</f>
        <v>4th Singles</v>
      </c>
      <c r="S1423"/>
      <c r="T1423"/>
      <c r="U1423"/>
      <c r="V1423"/>
      <c r="W1423"/>
      <c r="X1423"/>
      <c r="Y1423"/>
      <c r="Z1423"/>
      <c r="AA1423"/>
      <c r="AB1423"/>
      <c r="AC1423"/>
      <c r="AD1423"/>
      <c r="AE1423"/>
      <c r="AF1423"/>
    </row>
    <row r="1424" spans="1:32" ht="12.75" customHeight="1" x14ac:dyDescent="0.25">
      <c r="G1424" s="53">
        <f ca="1">COUNTIF($Q1392:$Q1392,"W")+COUNTIF($Q1399:$Q1399,"W")+COUNTIF($Q1406:$Q1406,"W")+COUNTIF($Q1413:$Q1413,"W")</f>
        <v>0</v>
      </c>
      <c r="J1424" s="53">
        <f ca="1">COUNTIF($Q1394:$Q1394,"W")+COUNTIF($Q1401:$Q1401,"W")+COUNTIF($Q1408:$Q1408,"W")+COUNTIF($Q1415:$Q1415,"W")</f>
        <v>0</v>
      </c>
      <c r="R1424" s="47" t="s">
        <v>160</v>
      </c>
      <c r="S1424" s="304" t="s">
        <v>58</v>
      </c>
      <c r="T1424" s="305"/>
      <c r="U1424" s="305"/>
      <c r="V1424" s="305"/>
      <c r="W1424" s="305"/>
      <c r="X1424" s="306"/>
      <c r="Y1424" s="47">
        <v>1</v>
      </c>
      <c r="Z1424" s="47">
        <v>2</v>
      </c>
      <c r="AA1424" s="47">
        <v>3</v>
      </c>
      <c r="AB1424" s="47">
        <v>4</v>
      </c>
      <c r="AC1424" s="47">
        <v>5</v>
      </c>
      <c r="AD1424" s="286"/>
      <c r="AE1424" s="287"/>
      <c r="AF1424" s="288"/>
    </row>
    <row r="1425" spans="1:32" ht="12.75" customHeight="1" thickBot="1" x14ac:dyDescent="0.3">
      <c r="F1425" s="212" t="s">
        <v>170</v>
      </c>
      <c r="G1425" s="212"/>
      <c r="H1425" s="212"/>
      <c r="I1425" s="212"/>
      <c r="J1425" s="212"/>
      <c r="K1425" s="212"/>
      <c r="R1425" s="259" t="str">
        <f>B1386</f>
        <v>E</v>
      </c>
      <c r="S1425" s="307" t="str">
        <f ca="1">IF($B1413&lt;&gt;"",$B1413,"")</f>
        <v/>
      </c>
      <c r="T1425" s="308"/>
      <c r="U1425" s="308"/>
      <c r="V1425" s="308"/>
      <c r="W1425" s="308"/>
      <c r="X1425" s="309"/>
      <c r="Y1425" s="284"/>
      <c r="Z1425" s="284"/>
      <c r="AA1425" s="297"/>
      <c r="AB1425" s="297"/>
      <c r="AC1425" s="297"/>
      <c r="AD1425" s="296"/>
      <c r="AE1425" s="298"/>
      <c r="AF1425" s="299"/>
    </row>
    <row r="1426" spans="1:32" ht="12.75" customHeight="1" x14ac:dyDescent="0.25">
      <c r="A1426" s="16"/>
      <c r="B1426" s="16"/>
      <c r="C1426" s="16"/>
      <c r="D1426" s="16"/>
      <c r="E1426" s="16"/>
      <c r="G1426" s="261" t="str">
        <f>B1386</f>
        <v>E</v>
      </c>
      <c r="H1426" s="262"/>
      <c r="I1426" s="263" t="str">
        <f>K1386</f>
        <v>J</v>
      </c>
      <c r="J1426" s="264"/>
      <c r="L1426" s="16"/>
      <c r="M1426" s="16"/>
      <c r="N1426" s="16"/>
      <c r="O1426" s="16"/>
      <c r="P1426" s="16"/>
      <c r="R1426" s="260"/>
      <c r="S1426" s="310"/>
      <c r="T1426" s="311"/>
      <c r="U1426" s="311"/>
      <c r="V1426" s="311"/>
      <c r="W1426" s="311"/>
      <c r="X1426" s="312"/>
      <c r="Y1426" s="285"/>
      <c r="Z1426" s="285"/>
      <c r="AA1426" s="303"/>
      <c r="AB1426" s="303"/>
      <c r="AC1426" s="303"/>
      <c r="AD1426" s="300"/>
      <c r="AE1426" s="301"/>
      <c r="AF1426" s="302"/>
    </row>
    <row r="1427" spans="1:32" ht="12.75" customHeight="1" thickBot="1" x14ac:dyDescent="0.3">
      <c r="A1427" s="2" t="s">
        <v>160</v>
      </c>
      <c r="B1427" s="40" t="str">
        <f>B1386</f>
        <v>E</v>
      </c>
      <c r="C1427" s="3" t="s">
        <v>158</v>
      </c>
      <c r="F1427" s="53" t="str">
        <f>CONCATENATE($B1386,"-",$K1386)</f>
        <v>E-J</v>
      </c>
      <c r="G1427" s="240" t="str">
        <f ca="1">IF(OR(Q1392&lt;&gt;"",Q1399&lt;&gt;"",Q1406&lt;&gt;"",Q1413&lt;&gt;"",Q1420&lt;&gt;""),COUNTIF(Q1392:Q1392,"W")+COUNTIF(Q1399:Q1399,"W")+COUNTIF(Q1406:Q1406,"W")+COUNTIF(Q1413:Q1413,"W")+COUNTIF(Q1420:Q1420,"W"),"")</f>
        <v/>
      </c>
      <c r="H1427" s="241"/>
      <c r="I1427" s="242" t="str">
        <f ca="1">IF(OR(Q1394&lt;&gt;"",Q1401&lt;&gt;"",Q1408&lt;&gt;"",Q1415&lt;&gt;"",Q1422&lt;&gt;""),COUNTIF(Q1394:Q1394,"W")+COUNTIF(Q1401:Q1401,"W")+COUNTIF(Q1408:Q1408,"W")+COUNTIF(Q1415:Q1415,"W")+COUNTIF(Q1422:Q1422,"W"),"")</f>
        <v/>
      </c>
      <c r="J1427" s="243"/>
      <c r="L1427" s="2" t="s">
        <v>160</v>
      </c>
      <c r="M1427" s="40" t="str">
        <f>K1386</f>
        <v>J</v>
      </c>
      <c r="N1427" s="3" t="s">
        <v>158</v>
      </c>
      <c r="R1427" s="259" t="str">
        <f>K1386</f>
        <v>J</v>
      </c>
      <c r="S1427" s="307" t="str">
        <f ca="1">IF($B1415&lt;&gt;"",$B1415,"")</f>
        <v/>
      </c>
      <c r="T1427" s="308"/>
      <c r="U1427" s="308"/>
      <c r="V1427" s="308"/>
      <c r="W1427" s="308"/>
      <c r="X1427" s="309"/>
      <c r="Y1427" s="284"/>
      <c r="Z1427" s="284"/>
      <c r="AA1427" s="297"/>
      <c r="AB1427" s="297"/>
      <c r="AC1427" s="297"/>
      <c r="AD1427" s="289" t="s">
        <v>169</v>
      </c>
      <c r="AE1427" s="290"/>
      <c r="AF1427" s="291"/>
    </row>
    <row r="1428" spans="1:32" ht="12.75" customHeight="1" x14ac:dyDescent="0.35">
      <c r="F1428" s="18" t="s">
        <v>403</v>
      </c>
      <c r="G1428" s="17"/>
      <c r="H1428" s="17"/>
      <c r="I1428" s="17"/>
      <c r="J1428" s="17"/>
      <c r="R1428" s="285"/>
      <c r="S1428" s="310"/>
      <c r="T1428" s="311"/>
      <c r="U1428" s="311"/>
      <c r="V1428" s="311"/>
      <c r="W1428" s="311"/>
      <c r="X1428" s="312"/>
      <c r="Y1428" s="285"/>
      <c r="Z1428" s="285"/>
      <c r="AA1428" s="285"/>
      <c r="AB1428" s="285"/>
      <c r="AC1428" s="285"/>
      <c r="AD1428" s="292"/>
      <c r="AE1428" s="293"/>
      <c r="AF1428" s="294"/>
    </row>
    <row r="1429" spans="1:32" ht="12.75" customHeight="1" x14ac:dyDescent="0.25">
      <c r="R1429" s="1"/>
      <c r="S1429" s="11"/>
      <c r="T1429" s="11"/>
      <c r="U1429" s="11"/>
      <c r="V1429" s="11"/>
      <c r="W1429" s="11"/>
    </row>
    <row r="1430" spans="1:32" ht="12.75" customHeight="1" x14ac:dyDescent="0.25">
      <c r="F1430" s="212"/>
      <c r="G1430" s="212"/>
      <c r="H1430" s="212"/>
      <c r="I1430" s="212"/>
      <c r="R1430" s="1"/>
      <c r="S1430" s="11"/>
      <c r="T1430" s="11"/>
      <c r="U1430" s="11"/>
      <c r="V1430" s="11"/>
      <c r="W1430" s="11"/>
    </row>
    <row r="1431" spans="1:32" ht="12.75" customHeight="1" x14ac:dyDescent="0.25">
      <c r="F1431" s="212"/>
      <c r="G1431" s="212"/>
      <c r="H1431" s="212"/>
      <c r="I1431" s="212"/>
      <c r="R1431" s="1"/>
      <c r="S1431" s="11"/>
      <c r="T1431" s="11"/>
      <c r="U1431" s="11"/>
      <c r="V1431" s="11"/>
      <c r="W1431" s="11"/>
    </row>
    <row r="1432" spans="1:32" ht="12.75" customHeight="1" x14ac:dyDescent="0.25">
      <c r="K1432" s="219" t="s">
        <v>176</v>
      </c>
      <c r="L1432" s="219"/>
      <c r="M1432" s="219"/>
      <c r="N1432" s="219"/>
      <c r="O1432" s="219"/>
      <c r="P1432" s="219"/>
      <c r="R1432" s="1"/>
      <c r="S1432" s="11"/>
      <c r="T1432" s="11"/>
      <c r="U1432" s="11"/>
      <c r="V1432" s="11"/>
      <c r="W1432" s="11"/>
    </row>
    <row r="1433" spans="1:32" ht="12.75" customHeight="1" x14ac:dyDescent="0.25">
      <c r="A1433" s="9" t="s">
        <v>161</v>
      </c>
      <c r="B1433"/>
      <c r="C1433"/>
      <c r="D1433" t="str">
        <f>Draw!$B$1</f>
        <v>Enter Division Name</v>
      </c>
      <c r="E1433"/>
      <c r="F1433" s="6"/>
      <c r="G1433" s="6"/>
      <c r="H1433" s="6"/>
      <c r="I1433"/>
      <c r="J1433"/>
      <c r="K1433"/>
      <c r="L1433"/>
      <c r="M1433" s="219"/>
      <c r="N1433" s="219"/>
      <c r="O1433" s="219"/>
      <c r="P1433" s="219"/>
      <c r="R1433" s="1"/>
      <c r="S1433" s="11"/>
      <c r="T1433" s="11"/>
      <c r="U1433" s="11"/>
      <c r="V1433" s="11"/>
      <c r="W1433" s="11"/>
    </row>
    <row r="1434" spans="1:32" ht="12.75" customHeight="1" x14ac:dyDescent="0.25">
      <c r="A1434" s="2" t="s">
        <v>162</v>
      </c>
      <c r="D1434" t="str">
        <f>Draw!$D$1</f>
        <v>Enter Hosting Location (City, ST)</v>
      </c>
      <c r="J1434" t="str">
        <f ca="1">$J$6</f>
        <v>[NCTTA Teams Template (v3.4).xlsx]</v>
      </c>
      <c r="R1434" s="1"/>
      <c r="S1434" s="11"/>
      <c r="T1434" s="11"/>
      <c r="U1434" s="11"/>
      <c r="V1434" s="11"/>
      <c r="W1434" s="11"/>
    </row>
    <row r="1435" spans="1:32" ht="12.75" customHeight="1" x14ac:dyDescent="0.25">
      <c r="A1435" s="2" t="s">
        <v>163</v>
      </c>
      <c r="D1435" s="275" t="str">
        <f>Draw!$P$1</f>
        <v>Enter Date</v>
      </c>
      <c r="E1435" s="275"/>
      <c r="F1435" s="275"/>
      <c r="G1435" s="275"/>
      <c r="J1435" s="244" t="str">
        <f>CHOOSE(Draw!$T$1,"Round 5, Match 5","Round 5, Match 5","","","","","","","Round 8, Match 1","Round 6, Match 4","Round 6, Match 4")</f>
        <v>Round 5, Match 5</v>
      </c>
      <c r="K1435" s="244"/>
      <c r="L1435" s="244"/>
      <c r="M1435" s="277" t="str">
        <f>IF(AND($J1435&lt;&gt;"",Draw!$AC$10&lt;&gt;"",Draw!$AC$13&lt;&gt;""),Draw!$AC$10+TIME(0,VALUE(MID($J1435,7,FIND(",",$J1435)-FIND(" ",$J1435)-1)-1)*Draw!$AC$13,0),"")</f>
        <v/>
      </c>
      <c r="N1435" s="277"/>
      <c r="O1435" s="125" t="str">
        <f>$F1478</f>
        <v>F-I</v>
      </c>
      <c r="R1435" s="1"/>
      <c r="S1435" s="11"/>
      <c r="T1435" s="11"/>
      <c r="U1435" s="11"/>
      <c r="V1435" s="11"/>
      <c r="W1435" s="11"/>
    </row>
    <row r="1436" spans="1:32" ht="12.75" customHeight="1" x14ac:dyDescent="0.25">
      <c r="A1436" s="6"/>
      <c r="B1436"/>
      <c r="C1436"/>
      <c r="D1436"/>
      <c r="E1436"/>
      <c r="F1436" s="6"/>
      <c r="G1436" s="6"/>
      <c r="H1436" s="11"/>
      <c r="I1436" s="6"/>
      <c r="J1436"/>
      <c r="K1436"/>
      <c r="L1436"/>
      <c r="M1436"/>
      <c r="N1436"/>
      <c r="O1436" s="269" t="str">
        <f>IF(OR(AND(VLOOKUP($B1437,$AM$1:$AX$12,12,FALSE)="C",VLOOKUP($K1437,$AM$1:$AX$12,12,FALSE)="C"),AND(VLOOKUP($B1437,$AM$1:$AX$12,12,FALSE)="W",VLOOKUP($K1437,$AM$1:$AX$12,12,FALSE)="W")),"Official",IF(AND($A1438="",$J1438=""),"","Scrimmage"))</f>
        <v/>
      </c>
      <c r="P1436" s="269"/>
      <c r="R1436" s="1"/>
      <c r="S1436" s="11"/>
      <c r="T1436" s="11"/>
      <c r="U1436" s="11"/>
      <c r="V1436" s="11"/>
      <c r="W1436" s="11"/>
    </row>
    <row r="1437" spans="1:32" ht="12.75" customHeight="1" x14ac:dyDescent="0.25">
      <c r="A1437" s="12" t="s">
        <v>160</v>
      </c>
      <c r="B1437" s="98" t="str">
        <f>CHOOSE(Draw!$T$1,"F","J","B","B","C","C","B","A","A","G","D")</f>
        <v>F</v>
      </c>
      <c r="C1437" s="109">
        <f>VLOOKUP($B1437,$AM$1:$AN$12,2)</f>
        <v>6</v>
      </c>
      <c r="D1437" s="10"/>
      <c r="E1437" s="10"/>
      <c r="F1437" s="8"/>
      <c r="H1437" s="1" t="s">
        <v>164</v>
      </c>
      <c r="J1437" s="12" t="s">
        <v>160</v>
      </c>
      <c r="K1437" s="98" t="str">
        <f>CHOOSE(Draw!$T$1,"I","L","G","K","J","H","J","I","B","J","J")</f>
        <v>I</v>
      </c>
      <c r="L1437" s="109">
        <f>VLOOKUP($K1437,$AM$1:$AN$12,2)</f>
        <v>9</v>
      </c>
      <c r="M1437" s="10"/>
      <c r="N1437" s="10"/>
      <c r="O1437" s="13"/>
      <c r="R1437" s="1"/>
      <c r="S1437" s="11"/>
      <c r="T1437" s="11"/>
      <c r="U1437" s="11"/>
      <c r="V1437" s="11"/>
      <c r="W1437" s="11"/>
    </row>
    <row r="1438" spans="1:32" ht="12.75" customHeight="1" x14ac:dyDescent="0.25">
      <c r="A1438" s="253" t="str">
        <f>IF(VLOOKUP($B1437,Draw!$A$4:$B$27,2)&lt;&gt;0,VLOOKUP($B1437,Draw!$A$4:$B$27,2),"")</f>
        <v/>
      </c>
      <c r="B1438" s="254"/>
      <c r="C1438" s="254"/>
      <c r="D1438" s="254"/>
      <c r="E1438" s="254"/>
      <c r="F1438" s="255"/>
      <c r="G1438" s="273" t="s">
        <v>432</v>
      </c>
      <c r="H1438" s="249"/>
      <c r="I1438" s="274"/>
      <c r="J1438" s="253" t="str">
        <f>IF(VLOOKUP($K1437,Draw!$A$4:$B$27,2)&lt;&gt;0,VLOOKUP($K1437,Draw!$A$4:$B$27,2),"")</f>
        <v/>
      </c>
      <c r="K1438" s="254"/>
      <c r="L1438" s="254"/>
      <c r="M1438" s="254"/>
      <c r="N1438" s="254"/>
      <c r="O1438" s="255"/>
      <c r="P1438"/>
      <c r="R1438" s="1"/>
      <c r="S1438" s="11"/>
      <c r="T1438" s="11"/>
      <c r="U1438" s="11"/>
      <c r="V1438" s="11"/>
      <c r="W1438" s="11"/>
    </row>
    <row r="1439" spans="1:32" ht="12.75" customHeight="1" x14ac:dyDescent="0.25">
      <c r="A1439" s="6"/>
      <c r="B1439"/>
      <c r="C1439"/>
      <c r="D1439"/>
      <c r="E1439"/>
      <c r="F1439" s="6"/>
      <c r="G1439" s="248" t="str">
        <f>"Page "&amp;VALUE(RIGHT($G1438,LEN($G1438)-SEARCH("-",$G1438)))/2</f>
        <v>Page 29</v>
      </c>
      <c r="H1439" s="249"/>
      <c r="I1439" s="249"/>
      <c r="J1439"/>
      <c r="K1439"/>
      <c r="L1439"/>
      <c r="M1439"/>
      <c r="N1439"/>
      <c r="O1439"/>
      <c r="P1439"/>
      <c r="R1439" s="1"/>
      <c r="S1439" s="11"/>
      <c r="T1439" s="11"/>
      <c r="U1439" s="11"/>
      <c r="V1439" s="11"/>
      <c r="W1439" s="11"/>
      <c r="AF1439"/>
    </row>
    <row r="1440" spans="1:32" ht="12.75" customHeight="1" x14ac:dyDescent="0.25">
      <c r="A1440" s="276" t="s">
        <v>177</v>
      </c>
      <c r="B1440" s="276"/>
      <c r="C1440" s="276"/>
      <c r="D1440" s="276"/>
      <c r="E1440" s="276"/>
      <c r="F1440" s="276"/>
      <c r="G1440" s="276"/>
      <c r="H1440" s="276"/>
      <c r="I1440" s="276"/>
      <c r="J1440" s="276"/>
      <c r="K1440" s="276"/>
      <c r="L1440" s="276"/>
      <c r="M1440" s="276"/>
      <c r="N1440" s="276"/>
      <c r="O1440" s="276"/>
      <c r="P1440" s="276"/>
      <c r="Q1440" s="6"/>
      <c r="R1440" s="1"/>
      <c r="S1440" s="11"/>
      <c r="T1440" s="11"/>
      <c r="U1440" s="11"/>
      <c r="V1440" s="11"/>
      <c r="W1440" s="11"/>
      <c r="AF1440" s="14"/>
    </row>
    <row r="1441" spans="1:32" ht="12.75" customHeight="1" x14ac:dyDescent="0.25">
      <c r="A1441" s="15" t="s">
        <v>165</v>
      </c>
      <c r="H1441" s="110" t="str">
        <f>IF($Q1443&lt;&gt;"",IF(AND(AND($H1443&gt;-1,$H1445&gt;-1),OR($H1443&gt;10,$H1445&gt;10),ABS($H1443-$H1445)&gt;1,IF(OR($H1443&gt;11,$H1445&gt;11),ABS($H1443-$H1445)=2,TRUE),$H1443=INT($H1443),$H1445=INT($H1445)),"","Error"),"")</f>
        <v/>
      </c>
      <c r="I1441" s="110" t="str">
        <f>IF($Q1443&lt;&gt;"",IF(AND(AND($I1443&gt;-1,$I1445&gt;-1),OR($I1443&gt;10,$I1445&gt;10),ABS($I1443-$I1445)&gt;1,IF(OR($I1443&gt;11,$I1445&gt;11),ABS($I1443-$I1445)=2,TRUE),$I1443=INT($I1443),$I1445=INT($I1445)),"","Error"),"")</f>
        <v/>
      </c>
      <c r="J1441" s="110" t="str">
        <f>IF($Q1443&lt;&gt;"",IF(AND(AND($J1443&gt;-1,$J1445&gt;-1),OR($J1443&gt;10,$J1445&gt;10),ABS($J1443-$J1445)&gt;1,IF(OR($J1443&gt;11,$J1445&gt;11),ABS($J1443-$J1445)=2,TRUE),$J1443=INT($J1443),$J1445=INT($J1445)),"","Error"),"")</f>
        <v/>
      </c>
      <c r="K1441" s="110" t="str">
        <f>IF($Q1443&lt;&gt;"",IF(AND($K1443&lt;&gt;"",$K1445&lt;&gt;""), IF(AND(AND($K1443&gt;-1,$K1445&gt;-1),OR($K1443&gt;10,$K1445&gt;10),ABS($K1443-$K1445)&gt;1,IF(OR($K1443&gt;11,$K1445&gt;11),ABS($K1443-$K1445)=2,TRUE),$K1443=INT($K1443),$K1445=INT($K1445)),"","Error"),""),"")</f>
        <v/>
      </c>
      <c r="L1441" s="110" t="str">
        <f>IF($Q1443&lt;&gt;"",IF(AND($L1443&lt;&gt;"",$L1445&lt;&gt;""), IF(AND(AND($L1443&gt;-1,$L1445&gt;-1),OR($L1443&gt;10,$L1445&gt;10),ABS($L1443-$L1445)&gt;1,IF(OR($L1443&gt;11,$L1445&gt;11),ABS($L1443-$L1445)=2,TRUE),$L1443=INT($L1443),$L1445=INT($L1445)),"","Error"),""),"")</f>
        <v/>
      </c>
      <c r="R1441" s="1"/>
      <c r="S1441" s="11"/>
      <c r="T1441" s="11"/>
      <c r="U1441" s="11"/>
      <c r="V1441" s="11"/>
      <c r="W1441" s="11"/>
    </row>
    <row r="1442" spans="1:32" ht="12.75" customHeight="1" x14ac:dyDescent="0.25">
      <c r="A1442" s="5" t="s">
        <v>160</v>
      </c>
      <c r="B1442" s="256" t="s">
        <v>58</v>
      </c>
      <c r="C1442" s="257"/>
      <c r="D1442" s="257"/>
      <c r="E1442" s="257"/>
      <c r="F1442" s="257"/>
      <c r="G1442" s="258"/>
      <c r="H1442" s="5">
        <v>1</v>
      </c>
      <c r="I1442" s="5">
        <v>2</v>
      </c>
      <c r="J1442" s="5">
        <v>3</v>
      </c>
      <c r="K1442" s="5">
        <v>4</v>
      </c>
      <c r="L1442" s="5">
        <v>5</v>
      </c>
      <c r="M1442" s="270"/>
      <c r="N1442" s="271"/>
      <c r="O1442" s="271"/>
      <c r="P1442" s="272"/>
      <c r="R1442" s="1"/>
      <c r="S1442" s="11"/>
      <c r="T1442" s="11"/>
      <c r="U1442" s="11"/>
      <c r="V1442" s="11"/>
      <c r="W1442" s="11"/>
    </row>
    <row r="1443" spans="1:32" ht="12.75" customHeight="1" x14ac:dyDescent="0.25">
      <c r="A1443" s="259" t="str">
        <f>B1437</f>
        <v>F</v>
      </c>
      <c r="B1443" s="236" t="str">
        <f ca="1">IF(AND(OFFSET($AO$1,$C1437-1,8,1,1),$A1438&lt;&gt;"",$J1438&lt;&gt;""),CHOOSE($C1437,$AO$1,$AO$2,$AO$3,$AO$4,$AO$5,$AO$6,$AO$7,$AO$8,$AO$9,$AO$10,$AO$11,$AO$12),"")</f>
        <v/>
      </c>
      <c r="C1443" s="237"/>
      <c r="D1443" s="237"/>
      <c r="E1443" s="237"/>
      <c r="F1443" s="237"/>
      <c r="G1443" s="237"/>
      <c r="H1443" s="233"/>
      <c r="I1443" s="233"/>
      <c r="J1443" s="233"/>
      <c r="K1443" s="233"/>
      <c r="L1443" s="233"/>
      <c r="M1443" s="281"/>
      <c r="N1443" s="282"/>
      <c r="O1443" s="282"/>
      <c r="P1443" s="283"/>
      <c r="Q1443" s="40" t="str">
        <f>IF($L1443=$L1445,IF($K1443=$K1445,IF($J1443&lt;&gt;"",IF($J1443&gt;$J1445,"W","L"),""),IF($K1443&gt;$K1445,"W","L")),IF($L1443&gt;$L1445,"W","L"))</f>
        <v/>
      </c>
      <c r="R1443" s="1"/>
      <c r="S1443" s="11"/>
      <c r="T1443" s="11"/>
      <c r="U1443" s="11"/>
      <c r="V1443" s="11"/>
      <c r="W1443" s="11"/>
    </row>
    <row r="1444" spans="1:32" ht="12.75" customHeight="1" x14ac:dyDescent="0.25">
      <c r="A1444" s="260"/>
      <c r="B1444" s="238"/>
      <c r="C1444" s="239"/>
      <c r="D1444" s="239"/>
      <c r="E1444" s="239"/>
      <c r="F1444" s="239"/>
      <c r="G1444" s="239"/>
      <c r="H1444" s="234"/>
      <c r="I1444" s="234"/>
      <c r="J1444" s="234"/>
      <c r="K1444" s="234"/>
      <c r="L1444" s="234"/>
      <c r="M1444" s="281"/>
      <c r="N1444" s="282"/>
      <c r="O1444" s="282"/>
      <c r="P1444" s="283"/>
      <c r="Q1444" s="110" t="str">
        <f>IF($Q1443&lt;&gt;"",IF($Q1443="W",IF(SUM(IF($H1443&gt;$H1445,1,0),IF($I1443&gt;$I1445,1,0),IF($J1443&gt;$J1445,1,0),IF($K1443&gt;$K1445,1,0),IF($L1443&gt;$L1445,1,0))&lt;&gt;3,"Error",""),""),"")</f>
        <v/>
      </c>
      <c r="R1444" s="295" t="str">
        <f>$A1438</f>
        <v/>
      </c>
      <c r="S1444" s="295"/>
      <c r="T1444" s="295"/>
      <c r="U1444" s="295"/>
      <c r="V1444" s="295"/>
      <c r="W1444" s="295"/>
      <c r="X1444" s="219" t="str">
        <f>CONCATENATE("(",$B1437," vs ",$K1437,")")</f>
        <v>(F vs I)</v>
      </c>
      <c r="Y1444" s="219"/>
      <c r="Z1444" s="295" t="str">
        <f>$J1438</f>
        <v/>
      </c>
      <c r="AA1444" s="295"/>
      <c r="AB1444" s="295"/>
      <c r="AC1444" s="295"/>
      <c r="AD1444" s="295"/>
      <c r="AE1444" s="295"/>
      <c r="AF1444"/>
    </row>
    <row r="1445" spans="1:32" ht="12.75" customHeight="1" x14ac:dyDescent="0.25">
      <c r="A1445" s="259" t="str">
        <f>K1437</f>
        <v>I</v>
      </c>
      <c r="B1445" s="236" t="str">
        <f ca="1">IF(AND(OFFSET($AO$1,$L1437-1,8,1,1),$A1438&lt;&gt;"",$J1438&lt;&gt;""),CHOOSE($L1437,$AO$1,$AO$2,$AO$3,$AO$4,$AO$5,$AO$6,$AO$7,$AO$8,$AO$9,$AO$10,$AO$11,$AO$12),"")</f>
        <v/>
      </c>
      <c r="C1445" s="237"/>
      <c r="D1445" s="237"/>
      <c r="E1445" s="237"/>
      <c r="F1445" s="237"/>
      <c r="G1445" s="237"/>
      <c r="H1445" s="233"/>
      <c r="I1445" s="233"/>
      <c r="J1445" s="233"/>
      <c r="K1445" s="233"/>
      <c r="L1445" s="233"/>
      <c r="M1445" s="250" t="s">
        <v>169</v>
      </c>
      <c r="N1445" s="251"/>
      <c r="O1445" s="251"/>
      <c r="P1445" s="252"/>
      <c r="Q1445" s="40" t="str">
        <f>IF($Q1443&lt;&gt;"",IF($Q1443="W","L","W"),"")</f>
        <v/>
      </c>
      <c r="R1445"/>
      <c r="S1445"/>
      <c r="T1445"/>
      <c r="U1445"/>
      <c r="V1445"/>
      <c r="W1445"/>
      <c r="X1445"/>
      <c r="Y1445"/>
      <c r="Z1445"/>
      <c r="AA1445"/>
      <c r="AB1445"/>
      <c r="AC1445"/>
      <c r="AD1445"/>
      <c r="AE1445"/>
      <c r="AF1445"/>
    </row>
    <row r="1446" spans="1:32" ht="12.75" customHeight="1" x14ac:dyDescent="0.25">
      <c r="A1446" s="260"/>
      <c r="B1446" s="238"/>
      <c r="C1446" s="239"/>
      <c r="D1446" s="239"/>
      <c r="E1446" s="239"/>
      <c r="F1446" s="239"/>
      <c r="G1446" s="239"/>
      <c r="H1446" s="234"/>
      <c r="I1446" s="234"/>
      <c r="J1446" s="235"/>
      <c r="K1446" s="235"/>
      <c r="L1446" s="235"/>
      <c r="M1446" s="250"/>
      <c r="N1446" s="251"/>
      <c r="O1446" s="251"/>
      <c r="P1446" s="252"/>
      <c r="Q1446" s="110" t="str">
        <f>IF($Q1445&lt;&gt;"",IF($Q1445="W",IF(SUM(IF($H1445&gt;$H1443,1,0),IF($I1445&gt;$I1443,1,0),IF($J1445&gt;$J1443,1,0),IF($K1445&gt;$K1443,1,0),IF($L1445&gt;$L1443,1,0))&lt;&gt;3,"Error",""),""),"")</f>
        <v/>
      </c>
      <c r="R1446" t="str">
        <f>$A1448</f>
        <v>2nd Singles</v>
      </c>
      <c r="S1446"/>
      <c r="T1446"/>
      <c r="U1446"/>
      <c r="V1446"/>
      <c r="W1446"/>
      <c r="X1446"/>
      <c r="Y1446"/>
      <c r="Z1446"/>
      <c r="AA1446"/>
      <c r="AB1446"/>
      <c r="AC1446"/>
      <c r="AD1446"/>
      <c r="AE1446"/>
      <c r="AF1446"/>
    </row>
    <row r="1447" spans="1:32" ht="12.75" customHeight="1" x14ac:dyDescent="0.25">
      <c r="Q1447" s="6"/>
      <c r="R1447" s="47" t="s">
        <v>160</v>
      </c>
      <c r="S1447" s="304" t="s">
        <v>58</v>
      </c>
      <c r="T1447" s="305"/>
      <c r="U1447" s="305"/>
      <c r="V1447" s="305"/>
      <c r="W1447" s="305"/>
      <c r="X1447" s="306"/>
      <c r="Y1447" s="47">
        <v>1</v>
      </c>
      <c r="Z1447" s="47">
        <v>2</v>
      </c>
      <c r="AA1447" s="47">
        <v>3</v>
      </c>
      <c r="AB1447" s="47">
        <v>4</v>
      </c>
      <c r="AC1447" s="47">
        <v>5</v>
      </c>
      <c r="AD1447" s="286"/>
      <c r="AE1447" s="287"/>
      <c r="AF1447" s="288"/>
    </row>
    <row r="1448" spans="1:32" ht="12.75" customHeight="1" x14ac:dyDescent="0.25">
      <c r="A1448" s="15" t="s">
        <v>166</v>
      </c>
      <c r="H1448" s="110" t="str">
        <f>IF($Q1450&lt;&gt;"",IF(AND(AND($H1450&gt;-1,$H1452&gt;-1),OR($H1450&gt;10,$H1452&gt;10),ABS($H1450-$H1452)&gt;1,IF(OR($H1450&gt;11,$H1452&gt;11),ABS($H1450-$H1452)=2,TRUE),$H1450=INT($H1450),$H1452=INT($H1452)),"","Error"),"")</f>
        <v/>
      </c>
      <c r="I1448" s="110" t="str">
        <f>IF($Q1450&lt;&gt;"",IF(AND(AND($I1450&gt;-1,$I1452&gt;-1),OR($I1450&gt;10,$I1452&gt;10),ABS($I1450-$I1452)&gt;1,IF(OR($I1450&gt;11,$I1452&gt;11),ABS($I1450-$I1452)=2,TRUE),$I1450=INT($I1450),$I1452=INT($I1452)),"","Error"),"")</f>
        <v/>
      </c>
      <c r="J1448" s="110" t="str">
        <f>IF($Q1450&lt;&gt;"",IF(AND(AND($J1450&gt;-1,$J1452&gt;-1),OR($J1450&gt;10,$J1452&gt;10),ABS($J1450-$J1452)&gt;1,IF(OR($J1450&gt;11,$J1452&gt;11),ABS($J1450-$J1452)=2,TRUE),$J1450=INT($J1450),$J1452=INT($J1452)),"","Error"),"")</f>
        <v/>
      </c>
      <c r="K1448" s="110" t="str">
        <f>IF($Q1450&lt;&gt;"",IF(AND($K1450&lt;&gt;"",$K1452&lt;&gt;""), IF(AND(AND($K1450&gt;-1,$K1452&gt;-1),OR($K1450&gt;10,$K1452&gt;10),ABS($K1450-$K1452)&gt;1,IF(OR($K1450&gt;11,$K1452&gt;11),ABS($K1450-$K1452)=2,TRUE),$K1450=INT($K1450),$K1452=INT($K1452)),"","Error"),""),"")</f>
        <v/>
      </c>
      <c r="L1448" s="110" t="str">
        <f>IF($Q1450&lt;&gt;"",IF(AND($L1450&lt;&gt;"",$L1452&lt;&gt;""), IF(AND(AND($L1450&gt;-1,$L1452&gt;-1),OR($L1450&gt;10,$L1452&gt;10),ABS($L1450-$L1452)&gt;1,IF(OR($L1450&gt;11,$L1452&gt;11),ABS($L1450-$L1452)=2,TRUE),$L1450=INT($L1450),$L1452=INT($L1452)),"","Error"),""),"")</f>
        <v/>
      </c>
      <c r="Q1448" s="6"/>
      <c r="R1448" s="259" t="str">
        <f>$B1437</f>
        <v>F</v>
      </c>
      <c r="S1448" s="307" t="str">
        <f ca="1">IF($B1450&lt;&gt;"",$B1450,"")</f>
        <v/>
      </c>
      <c r="T1448" s="308"/>
      <c r="U1448" s="308"/>
      <c r="V1448" s="308"/>
      <c r="W1448" s="308"/>
      <c r="X1448" s="309"/>
      <c r="Y1448" s="284"/>
      <c r="Z1448" s="284"/>
      <c r="AA1448" s="284"/>
      <c r="AB1448" s="284"/>
      <c r="AC1448" s="284"/>
      <c r="AD1448" s="296"/>
      <c r="AE1448" s="290"/>
      <c r="AF1448" s="291"/>
    </row>
    <row r="1449" spans="1:32" ht="12.75" customHeight="1" x14ac:dyDescent="0.25">
      <c r="A1449" s="5" t="s">
        <v>160</v>
      </c>
      <c r="B1449" s="256" t="s">
        <v>58</v>
      </c>
      <c r="C1449" s="257"/>
      <c r="D1449" s="257"/>
      <c r="E1449" s="257"/>
      <c r="F1449" s="257"/>
      <c r="G1449" s="258"/>
      <c r="H1449" s="5">
        <v>1</v>
      </c>
      <c r="I1449" s="5">
        <v>2</v>
      </c>
      <c r="J1449" s="5">
        <v>3</v>
      </c>
      <c r="K1449" s="5">
        <v>4</v>
      </c>
      <c r="L1449" s="5">
        <v>5</v>
      </c>
      <c r="M1449" s="270"/>
      <c r="N1449" s="271"/>
      <c r="O1449" s="271"/>
      <c r="P1449" s="272"/>
      <c r="Q1449" s="6"/>
      <c r="R1449" s="285"/>
      <c r="S1449" s="310"/>
      <c r="T1449" s="311"/>
      <c r="U1449" s="311"/>
      <c r="V1449" s="311"/>
      <c r="W1449" s="311"/>
      <c r="X1449" s="312"/>
      <c r="Y1449" s="285"/>
      <c r="Z1449" s="285"/>
      <c r="AA1449" s="285"/>
      <c r="AB1449" s="285"/>
      <c r="AC1449" s="285"/>
      <c r="AD1449" s="292"/>
      <c r="AE1449" s="293"/>
      <c r="AF1449" s="294"/>
    </row>
    <row r="1450" spans="1:32" ht="12.75" customHeight="1" x14ac:dyDescent="0.25">
      <c r="A1450" s="259" t="str">
        <f>B1437</f>
        <v>F</v>
      </c>
      <c r="B1450" s="236" t="str">
        <f ca="1">IF(AND(OFFSET($AO$1,$C1437-1,8,1,1),$A1438&lt;&gt;"",$J1438&lt;&gt;""),CHOOSE($C1437,$AP$1,$AP$2,$AP$3,$AP$4,$AP$5,$AP$6,$AP$7,$AP$8,$AP$9,$AP$10,$AP$11,$AP$12),"")</f>
        <v/>
      </c>
      <c r="C1450" s="237"/>
      <c r="D1450" s="237"/>
      <c r="E1450" s="237"/>
      <c r="F1450" s="237"/>
      <c r="G1450" s="237"/>
      <c r="H1450" s="233"/>
      <c r="I1450" s="233"/>
      <c r="J1450" s="233"/>
      <c r="K1450" s="233"/>
      <c r="L1450" s="233"/>
      <c r="M1450" s="245" t="str">
        <f ca="1">IF(OR(AND($B1443&lt;&gt;"",$B1450&lt;&gt;"",$C1468&lt;=$B1468),AND($B1445&lt;&gt;"",$B1452&lt;&gt;"",$G1468&lt;=$F1468)),"Invalid Lineup","")</f>
        <v/>
      </c>
      <c r="N1450" s="246"/>
      <c r="O1450" s="246"/>
      <c r="P1450" s="247"/>
      <c r="Q1450" s="40" t="str">
        <f>IF($L1450=$L1452,IF($K1450=$K1452,IF($J1450&lt;&gt;"",IF($J1450&gt;$J1452,"W","L"),""),IF($K1450&gt;$K1452,"W","L")),IF($L1450&gt;$L1452,"W","L"))</f>
        <v/>
      </c>
      <c r="R1450" s="259" t="str">
        <f>$K1437</f>
        <v>I</v>
      </c>
      <c r="S1450" s="307" t="str">
        <f ca="1">IF($B1452&lt;&gt;"",$B1452,"")</f>
        <v/>
      </c>
      <c r="T1450" s="308"/>
      <c r="U1450" s="308"/>
      <c r="V1450" s="308"/>
      <c r="W1450" s="308"/>
      <c r="X1450" s="309"/>
      <c r="Y1450" s="284"/>
      <c r="Z1450" s="284"/>
      <c r="AA1450" s="284"/>
      <c r="AB1450" s="284"/>
      <c r="AC1450" s="297"/>
      <c r="AD1450" s="289" t="s">
        <v>169</v>
      </c>
      <c r="AE1450" s="290"/>
      <c r="AF1450" s="291"/>
    </row>
    <row r="1451" spans="1:32" ht="12.75" customHeight="1" x14ac:dyDescent="0.25">
      <c r="A1451" s="260"/>
      <c r="B1451" s="238"/>
      <c r="C1451" s="239"/>
      <c r="D1451" s="239"/>
      <c r="E1451" s="239"/>
      <c r="F1451" s="239"/>
      <c r="G1451" s="239"/>
      <c r="H1451" s="234"/>
      <c r="I1451" s="234"/>
      <c r="J1451" s="234"/>
      <c r="K1451" s="234"/>
      <c r="L1451" s="234"/>
      <c r="M1451" s="245"/>
      <c r="N1451" s="246"/>
      <c r="O1451" s="246"/>
      <c r="P1451" s="247"/>
      <c r="Q1451" s="110" t="str">
        <f>IF($Q1450&lt;&gt;"",IF($Q1450="W",IF(SUM(IF($H1450&gt;$H1452,1,0),IF($I1450&gt;$I1452,1,0),IF($J1450&gt;$J1452,1,0),IF($K1450&gt;$K1452,1,0),IF($L1450&gt;$L1452,1,0))&lt;&gt;3,"Error",""),""),"")</f>
        <v/>
      </c>
      <c r="R1451" s="285"/>
      <c r="S1451" s="310"/>
      <c r="T1451" s="311"/>
      <c r="U1451" s="311"/>
      <c r="V1451" s="311"/>
      <c r="W1451" s="311"/>
      <c r="X1451" s="312"/>
      <c r="Y1451" s="285"/>
      <c r="Z1451" s="285"/>
      <c r="AA1451" s="285"/>
      <c r="AB1451" s="285"/>
      <c r="AC1451" s="285"/>
      <c r="AD1451" s="292"/>
      <c r="AE1451" s="293"/>
      <c r="AF1451" s="294"/>
    </row>
    <row r="1452" spans="1:32" ht="12.75" customHeight="1" x14ac:dyDescent="0.25">
      <c r="A1452" s="259" t="str">
        <f>K1437</f>
        <v>I</v>
      </c>
      <c r="B1452" s="236" t="str">
        <f ca="1">IF(AND(OFFSET($AO$1,$L1437-1,8,1,1),$A1438&lt;&gt;"",$J1438&lt;&gt;""),CHOOSE($L1437,$AP$1,$AP$2,$AP$3,$AP$4,$AP$5,$AP$6,$AP$7,$AP$8,$AP$9,$AP$10,$AP$11,$AP$12),"")</f>
        <v/>
      </c>
      <c r="C1452" s="237"/>
      <c r="D1452" s="237"/>
      <c r="E1452" s="237"/>
      <c r="F1452" s="237"/>
      <c r="G1452" s="237"/>
      <c r="H1452" s="233"/>
      <c r="I1452" s="233"/>
      <c r="J1452" s="233"/>
      <c r="K1452" s="233"/>
      <c r="L1452" s="233"/>
      <c r="M1452" s="250" t="s">
        <v>169</v>
      </c>
      <c r="N1452" s="251"/>
      <c r="O1452" s="251"/>
      <c r="P1452" s="252"/>
      <c r="Q1452" s="40" t="str">
        <f>IF($Q1450&lt;&gt;"",IF($Q1450="W","L","W"),"")</f>
        <v/>
      </c>
      <c r="R1452" s="14"/>
      <c r="S1452" s="14"/>
      <c r="T1452" s="14"/>
      <c r="U1452" s="14"/>
      <c r="V1452" s="14"/>
      <c r="W1452" s="14"/>
      <c r="X1452" s="7"/>
      <c r="Y1452" s="7"/>
      <c r="Z1452" s="14"/>
      <c r="AA1452" s="14"/>
      <c r="AB1452" s="14"/>
      <c r="AC1452" s="14"/>
      <c r="AD1452" s="14"/>
      <c r="AE1452" s="14"/>
      <c r="AF1452"/>
    </row>
    <row r="1453" spans="1:32" ht="12.75" customHeight="1" x14ac:dyDescent="0.25">
      <c r="A1453" s="260"/>
      <c r="B1453" s="238"/>
      <c r="C1453" s="239"/>
      <c r="D1453" s="239"/>
      <c r="E1453" s="239"/>
      <c r="F1453" s="239"/>
      <c r="G1453" s="239"/>
      <c r="H1453" s="234"/>
      <c r="I1453" s="234"/>
      <c r="J1453" s="235"/>
      <c r="K1453" s="235"/>
      <c r="L1453" s="235"/>
      <c r="M1453" s="250"/>
      <c r="N1453" s="251"/>
      <c r="O1453" s="251"/>
      <c r="P1453" s="252"/>
      <c r="Q1453" s="110" t="str">
        <f>IF($Q1452&lt;&gt;"",IF($Q1452="W",IF(SUM(IF($H1452&gt;$H1450,1,0),IF($I1452&gt;$I1450,1,0),IF($J1452&gt;$J1450,1,0),IF($K1452&gt;$K1450,1,0),IF($L1452&gt;$L1450,1,0))&lt;&gt;3,"Error",""),""),"")</f>
        <v/>
      </c>
      <c r="R1453" s="14"/>
      <c r="S1453" s="14"/>
      <c r="T1453" s="14"/>
      <c r="U1453" s="14"/>
      <c r="V1453" s="14"/>
      <c r="W1453" s="14"/>
      <c r="X1453" s="7"/>
      <c r="Y1453" s="7"/>
      <c r="Z1453" s="14"/>
      <c r="AA1453" s="14"/>
      <c r="AB1453" s="14"/>
      <c r="AC1453" s="14"/>
      <c r="AD1453" s="14"/>
      <c r="AE1453" s="14"/>
      <c r="AF1453"/>
    </row>
    <row r="1454" spans="1:32" ht="12.75" customHeight="1" x14ac:dyDescent="0.25">
      <c r="Q1454" s="6"/>
      <c r="R1454" s="14"/>
      <c r="S1454" s="14"/>
      <c r="T1454" s="14"/>
      <c r="U1454" s="14"/>
      <c r="V1454" s="14"/>
      <c r="W1454" s="14"/>
      <c r="X1454" s="7"/>
      <c r="Y1454" s="7"/>
      <c r="Z1454" s="14"/>
      <c r="AA1454" s="14"/>
      <c r="AB1454" s="14"/>
      <c r="AC1454" s="14"/>
      <c r="AD1454" s="14"/>
      <c r="AE1454" s="14"/>
      <c r="AF1454"/>
    </row>
    <row r="1455" spans="1:32" ht="12.75" customHeight="1" x14ac:dyDescent="0.25">
      <c r="A1455" s="15" t="s">
        <v>167</v>
      </c>
      <c r="H1455" s="110" t="str">
        <f>IF($Q1457&lt;&gt;"",IF(AND(AND($H1457&gt;-1,$H1459&gt;-1),OR($H1457&gt;10,$H1459&gt;10),ABS($H1457-$H1459)&gt;1,IF(OR($H1457&gt;11,$H1459&gt;11),ABS($H1457-$H1459)=2,TRUE),$H1457=INT($H1457),$H1459=INT($H1459)),"","Error"),"")</f>
        <v/>
      </c>
      <c r="I1455" s="110" t="str">
        <f>IF($Q1457&lt;&gt;"",IF(AND(AND($I1457&gt;-1,$I1459&gt;-1),OR($I1457&gt;10,$I1459&gt;10),ABS($I1457-$I1459)&gt;1,IF(OR($I1457&gt;11,$I1459&gt;11),ABS($I1457-$I1459)=2,TRUE),$I1457=INT($I1457),$I1459=INT($I1459)),"","Error"),"")</f>
        <v/>
      </c>
      <c r="J1455" s="110" t="str">
        <f>IF($Q1457&lt;&gt;"",IF(AND(AND($J1457&gt;-1,$J1459&gt;-1),OR($J1457&gt;10,$J1459&gt;10),ABS($J1457-$J1459)&gt;1,IF(OR($J1457&gt;11,$J1459&gt;11),ABS($J1457-$J1459)=2,TRUE),$J1457=INT($J1457),$J1459=INT($J1459)),"","Error"),"")</f>
        <v/>
      </c>
      <c r="K1455" s="110" t="str">
        <f>IF($Q1457&lt;&gt;"",IF(AND($K1457&lt;&gt;"",$K1459&lt;&gt;""), IF(AND(AND($K1457&gt;-1,$K1459&gt;-1),OR($K1457&gt;10,$K1459&gt;10),ABS($K1457-$K1459)&gt;1,IF(OR($K1457&gt;11,$K1459&gt;11),ABS($K1457-$K1459)=2,TRUE),$K1457=INT($K1457),$K1459=INT($K1459)),"","Error"),""),"")</f>
        <v/>
      </c>
      <c r="L1455" s="110" t="str">
        <f>IF($Q1457&lt;&gt;"",IF(AND($L1457&lt;&gt;"",$L1459&lt;&gt;""), IF(AND(AND($L1457&gt;-1,$L1459&gt;-1),OR($L1457&gt;10,$L1459&gt;10),ABS($L1457-$L1459)&gt;1,IF(OR($L1457&gt;11,$L1459&gt;11),ABS($L1457-$L1459)=2,TRUE),$L1457=INT($L1457),$L1459=INT($L1459)),"","Error"),""),"")</f>
        <v/>
      </c>
      <c r="Q1455" s="6"/>
      <c r="R1455" s="14"/>
      <c r="S1455" s="14"/>
      <c r="T1455" s="14"/>
      <c r="U1455" s="14"/>
      <c r="V1455" s="14"/>
      <c r="W1455" s="14"/>
      <c r="X1455" s="7"/>
      <c r="Y1455" s="7"/>
      <c r="Z1455" s="14"/>
      <c r="AA1455" s="14"/>
      <c r="AB1455" s="14"/>
      <c r="AC1455" s="14"/>
      <c r="AD1455" s="14"/>
      <c r="AE1455" s="14"/>
      <c r="AF1455"/>
    </row>
    <row r="1456" spans="1:32" ht="12.75" customHeight="1" x14ac:dyDescent="0.25">
      <c r="A1456" s="5" t="s">
        <v>160</v>
      </c>
      <c r="B1456" s="256" t="s">
        <v>58</v>
      </c>
      <c r="C1456" s="257"/>
      <c r="D1456" s="257"/>
      <c r="E1456" s="257"/>
      <c r="F1456" s="257"/>
      <c r="G1456" s="258"/>
      <c r="H1456" s="5">
        <v>1</v>
      </c>
      <c r="I1456" s="5">
        <v>2</v>
      </c>
      <c r="J1456" s="5">
        <v>3</v>
      </c>
      <c r="K1456" s="5">
        <v>4</v>
      </c>
      <c r="L1456" s="5">
        <v>5</v>
      </c>
      <c r="M1456" s="270"/>
      <c r="N1456" s="271"/>
      <c r="O1456" s="271"/>
      <c r="P1456" s="272"/>
      <c r="Q1456" s="6"/>
      <c r="R1456" s="14"/>
      <c r="S1456" s="14"/>
      <c r="T1456" s="14"/>
      <c r="U1456" s="14"/>
      <c r="V1456" s="14"/>
      <c r="W1456" s="14"/>
      <c r="X1456" s="7"/>
      <c r="Y1456" s="7"/>
      <c r="Z1456" s="14"/>
      <c r="AA1456" s="14"/>
      <c r="AB1456" s="14"/>
      <c r="AC1456" s="14"/>
      <c r="AD1456" s="14"/>
      <c r="AE1456" s="14"/>
      <c r="AF1456"/>
    </row>
    <row r="1457" spans="1:32" ht="12.75" customHeight="1" x14ac:dyDescent="0.25">
      <c r="A1457" s="259" t="str">
        <f>B1437</f>
        <v>F</v>
      </c>
      <c r="B1457" s="236" t="str">
        <f ca="1">IF(AND(OFFSET($AO$1,$C1437-1,8,1,1),$A1438&lt;&gt;"",$J1438&lt;&gt;""),CHOOSE($C1437,$AQ$1,$AQ$2,$AQ$3,$AQ$4,$AQ$5,$AQ$6,$AQ$7,$AQ$8,$AQ$9,$AQ$10,$AQ$11,$AQ$12),"")</f>
        <v/>
      </c>
      <c r="C1457" s="237"/>
      <c r="D1457" s="237"/>
      <c r="E1457" s="237"/>
      <c r="F1457" s="237"/>
      <c r="G1457" s="237"/>
      <c r="H1457" s="233"/>
      <c r="I1457" s="233"/>
      <c r="J1457" s="233"/>
      <c r="K1457" s="233"/>
      <c r="L1457" s="233"/>
      <c r="M1457" s="245" t="str">
        <f ca="1">IF(OR(AND($B1450&lt;&gt;"",$B1457&lt;&gt;"",$D1468&lt;=$C1468),AND($B1452&lt;&gt;"",$B1459&lt;&gt;"",$H1468&lt;=$G1468)),"Invalid Lineup","")</f>
        <v/>
      </c>
      <c r="N1457" s="246"/>
      <c r="O1457" s="246"/>
      <c r="P1457" s="247"/>
      <c r="Q1457" s="40" t="str">
        <f>IF($L1457=$L1459,IF($K1457=$K1459,IF($J1457&lt;&gt;"",IF($J1457&gt;$J1459,"W","L"),""),IF($K1457&gt;$K1459,"W","L")),IF($L1457&gt;$L1459,"W","L"))</f>
        <v/>
      </c>
      <c r="R1457" s="14"/>
      <c r="S1457" s="14"/>
      <c r="T1457" s="14"/>
      <c r="U1457" s="14"/>
      <c r="V1457" s="14"/>
      <c r="W1457" s="14"/>
      <c r="X1457" s="7"/>
      <c r="Y1457" s="7"/>
      <c r="Z1457" s="14"/>
      <c r="AA1457" s="14"/>
      <c r="AB1457" s="14"/>
      <c r="AC1457" s="14"/>
      <c r="AD1457" s="14"/>
      <c r="AE1457" s="14"/>
      <c r="AF1457"/>
    </row>
    <row r="1458" spans="1:32" ht="12.75" customHeight="1" x14ac:dyDescent="0.25">
      <c r="A1458" s="260"/>
      <c r="B1458" s="238"/>
      <c r="C1458" s="239"/>
      <c r="D1458" s="239"/>
      <c r="E1458" s="239"/>
      <c r="F1458" s="239"/>
      <c r="G1458" s="239"/>
      <c r="H1458" s="234"/>
      <c r="I1458" s="234"/>
      <c r="J1458" s="234"/>
      <c r="K1458" s="234"/>
      <c r="L1458" s="234"/>
      <c r="M1458" s="245"/>
      <c r="N1458" s="246"/>
      <c r="O1458" s="246"/>
      <c r="P1458" s="247"/>
      <c r="Q1458" s="110" t="str">
        <f>IF($Q1457&lt;&gt;"",IF($Q1457="W",IF(SUM(IF($H1457&gt;$H1459,1,0),IF($I1457&gt;$I1459,1,0),IF($J1457&gt;$J1459,1,0),IF($K1457&gt;$K1459,1,0),IF($L1457&gt;$L1459,1,0))&lt;&gt;3,"Error",""),""),"")</f>
        <v/>
      </c>
      <c r="R1458" s="295" t="str">
        <f>$A1438</f>
        <v/>
      </c>
      <c r="S1458" s="295"/>
      <c r="T1458" s="295"/>
      <c r="U1458" s="295"/>
      <c r="V1458" s="295"/>
      <c r="W1458" s="295"/>
      <c r="X1458" s="219" t="str">
        <f>CONCATENATE("(",$B1437," vs ",$K1437,")")</f>
        <v>(F vs I)</v>
      </c>
      <c r="Y1458" s="219"/>
      <c r="Z1458" s="295" t="str">
        <f>$J1438</f>
        <v/>
      </c>
      <c r="AA1458" s="295"/>
      <c r="AB1458" s="295"/>
      <c r="AC1458" s="295"/>
      <c r="AD1458" s="295"/>
      <c r="AE1458" s="295"/>
      <c r="AF1458"/>
    </row>
    <row r="1459" spans="1:32" ht="12.75" customHeight="1" x14ac:dyDescent="0.25">
      <c r="A1459" s="259" t="str">
        <f>K1437</f>
        <v>I</v>
      </c>
      <c r="B1459" s="236" t="str">
        <f ca="1">IF(AND(OFFSET($AO$1,$L1437-1,8,1,1),$A1438&lt;&gt;"",$J1438&lt;&gt;""),CHOOSE($L1437,$AQ$1,$AQ$2,$AQ$3,$AQ$4,$AQ$5,$AQ$6,$AQ$7,$AQ$8,$AQ$9,$AQ$10,$AQ$11,$AQ$12),"")</f>
        <v/>
      </c>
      <c r="C1459" s="237"/>
      <c r="D1459" s="237"/>
      <c r="E1459" s="237"/>
      <c r="F1459" s="237"/>
      <c r="G1459" s="237"/>
      <c r="H1459" s="233"/>
      <c r="I1459" s="233"/>
      <c r="J1459" s="233"/>
      <c r="K1459" s="233"/>
      <c r="L1459" s="233"/>
      <c r="M1459" s="250" t="s">
        <v>169</v>
      </c>
      <c r="N1459" s="251"/>
      <c r="O1459" s="251"/>
      <c r="P1459" s="252"/>
      <c r="Q1459" s="40" t="str">
        <f>IF($Q1457&lt;&gt;"",IF($Q1457="W","L","W"),"")</f>
        <v/>
      </c>
      <c r="R1459"/>
      <c r="S1459"/>
      <c r="T1459"/>
      <c r="U1459"/>
      <c r="V1459"/>
      <c r="W1459"/>
      <c r="X1459"/>
      <c r="Y1459"/>
      <c r="Z1459"/>
      <c r="AA1459"/>
      <c r="AB1459"/>
      <c r="AC1459"/>
      <c r="AD1459"/>
      <c r="AE1459"/>
      <c r="AF1459"/>
    </row>
    <row r="1460" spans="1:32" ht="12.75" customHeight="1" x14ac:dyDescent="0.25">
      <c r="A1460" s="260"/>
      <c r="B1460" s="238"/>
      <c r="C1460" s="239"/>
      <c r="D1460" s="239"/>
      <c r="E1460" s="239"/>
      <c r="F1460" s="239"/>
      <c r="G1460" s="239"/>
      <c r="H1460" s="234"/>
      <c r="I1460" s="234"/>
      <c r="J1460" s="235"/>
      <c r="K1460" s="235"/>
      <c r="L1460" s="235"/>
      <c r="M1460" s="250"/>
      <c r="N1460" s="251"/>
      <c r="O1460" s="251"/>
      <c r="P1460" s="252"/>
      <c r="Q1460" s="110" t="str">
        <f>IF($Q1459&lt;&gt;"",IF($Q1459="W",IF(SUM(IF($H1459&gt;$H1457,1,0),IF($I1459&gt;$I1457,1,0),IF($J1459&gt;$J1457,1,0),IF($K1459&gt;$K1457,1,0),IF($L1459&gt;$L1457,1,0))&lt;&gt;3,"Error",""),""),"")</f>
        <v/>
      </c>
      <c r="R1460" t="str">
        <f>$A1455</f>
        <v>3rd Singles</v>
      </c>
      <c r="S1460"/>
      <c r="T1460"/>
      <c r="U1460"/>
      <c r="V1460"/>
      <c r="W1460"/>
      <c r="X1460"/>
      <c r="Y1460"/>
      <c r="Z1460"/>
      <c r="AA1460"/>
      <c r="AB1460"/>
      <c r="AC1460"/>
      <c r="AD1460"/>
      <c r="AE1460"/>
      <c r="AF1460"/>
    </row>
    <row r="1461" spans="1:32" ht="12.75" customHeight="1" x14ac:dyDescent="0.25">
      <c r="Q1461" s="6"/>
      <c r="R1461" s="47" t="s">
        <v>160</v>
      </c>
      <c r="S1461" s="86" t="s">
        <v>58</v>
      </c>
      <c r="T1461" s="87"/>
      <c r="U1461" s="87"/>
      <c r="V1461" s="87"/>
      <c r="W1461" s="87"/>
      <c r="X1461" s="88"/>
      <c r="Y1461" s="47">
        <v>1</v>
      </c>
      <c r="Z1461" s="47">
        <v>2</v>
      </c>
      <c r="AA1461" s="47">
        <v>3</v>
      </c>
      <c r="AB1461" s="47">
        <v>4</v>
      </c>
      <c r="AC1461" s="47">
        <v>5</v>
      </c>
      <c r="AD1461" s="89"/>
      <c r="AE1461" s="90"/>
      <c r="AF1461" s="91"/>
    </row>
    <row r="1462" spans="1:32" ht="12.75" customHeight="1" x14ac:dyDescent="0.25">
      <c r="A1462" s="15" t="s">
        <v>168</v>
      </c>
      <c r="H1462" s="110" t="str">
        <f ca="1">IF($Q1464&lt;&gt;"",IF(AND($B1464&lt;&gt;"Missing Player",$B1466&lt;&gt;"Missing Player"),IF(AND(AND($H1464&gt;-1,$H1466&gt;-1),OR($H1464&gt;10,$H1466&gt;10),ABS($H1464-$H1466)&gt;1,IF(OR($H1464&gt;11,$H1466&gt;11),ABS($H1464-$H1466)=2,TRUE),$H1464=INT($H1464),$H1466=INT($H1466)),"","Error"),""),"")</f>
        <v/>
      </c>
      <c r="I1462" s="110" t="str">
        <f ca="1">IF($Q1464&lt;&gt;"",IF(AND($B1464&lt;&gt;"Missing Player",$B1466&lt;&gt;"Missing Player"),IF(AND(AND($I1464&gt;-1,$I1466&gt;-1),OR($I1464&gt;10,$I1466&gt;10),ABS($I1464-$I1466)&gt;1,IF(OR($I1464&gt;11,$I1466&gt;11),ABS($I1464-$I1466)=2,TRUE),$I1464=INT($I1464),$I1466=INT($I1466)),"","Error"),""),"")</f>
        <v/>
      </c>
      <c r="J1462" s="110" t="str">
        <f ca="1">IF($Q1464&lt;&gt;"",IF(AND($B1464&lt;&gt;"Missing Player",$B1466&lt;&gt;"Missing Player"),IF(AND(AND($J1464&gt;-1,$J1466&gt;-1),OR($J1464&gt;10,$J1466&gt;10),ABS($J1464-$J1466)&gt;1,IF(OR($J1464&gt;11,$J1466&gt;11),ABS($J1464-$J1466)=2,TRUE),$J1464=INT($J1464),$J1466=INT($J1466)),"","Error"),""),"")</f>
        <v/>
      </c>
      <c r="K1462" s="110" t="str">
        <f ca="1">IF($Q1464&lt;&gt;"",IF(AND($K1464&lt;&gt;"",$K1466&lt;&gt;""), IF(AND(AND($K1464&gt;-1,$K1466&gt;-1),OR($K1464&gt;10,$K1466&gt;10),ABS($K1464-$K1466)&gt;1,IF(OR($K1464&gt;11,$K1466&gt;11),ABS($K1464-$K1466)=2,TRUE),$K1464=INT($K1464),$K1466=INT($K1466)),"","Error"),""),"")</f>
        <v/>
      </c>
      <c r="L1462" s="110" t="str">
        <f ca="1">IF($Q1464&lt;&gt;"",IF(AND($L1464&lt;&gt;"",$L1466&lt;&gt;""), IF(AND(AND($L1464&gt;-1,$L1466&gt;-1),OR($L1464&gt;10,$L1466&gt;10),ABS($L1464-$L1466)&gt;1,IF(OR($L1464&gt;11,$L1466&gt;11),ABS($L1464-$L1466)=2,TRUE),$L1464=INT($L1464),$L1466=INT($L1466)),"","Error"),""),"")</f>
        <v/>
      </c>
      <c r="Q1462" s="6"/>
      <c r="R1462" s="259" t="str">
        <f>$B1437</f>
        <v>F</v>
      </c>
      <c r="S1462" s="307" t="str">
        <f ca="1">IF($B1457&lt;&gt;"",$B1457,"")</f>
        <v/>
      </c>
      <c r="T1462" s="308"/>
      <c r="U1462" s="308"/>
      <c r="V1462" s="308"/>
      <c r="W1462" s="308"/>
      <c r="X1462" s="309"/>
      <c r="Y1462" s="284"/>
      <c r="Z1462" s="284"/>
      <c r="AA1462" s="284"/>
      <c r="AB1462" s="284"/>
      <c r="AC1462" s="284"/>
      <c r="AD1462" s="296"/>
      <c r="AE1462" s="290"/>
      <c r="AF1462" s="291"/>
    </row>
    <row r="1463" spans="1:32" ht="12.75" customHeight="1" x14ac:dyDescent="0.25">
      <c r="A1463" s="5" t="s">
        <v>160</v>
      </c>
      <c r="B1463" s="256" t="s">
        <v>58</v>
      </c>
      <c r="C1463" s="257"/>
      <c r="D1463" s="257"/>
      <c r="E1463" s="257"/>
      <c r="F1463" s="257"/>
      <c r="G1463" s="258"/>
      <c r="H1463" s="5">
        <v>1</v>
      </c>
      <c r="I1463" s="5">
        <v>2</v>
      </c>
      <c r="J1463" s="5">
        <v>3</v>
      </c>
      <c r="K1463" s="5">
        <v>4</v>
      </c>
      <c r="L1463" s="5">
        <v>5</v>
      </c>
      <c r="M1463" s="270"/>
      <c r="N1463" s="271"/>
      <c r="O1463" s="271"/>
      <c r="P1463" s="272"/>
      <c r="Q1463" s="6"/>
      <c r="R1463" s="285"/>
      <c r="S1463" s="310"/>
      <c r="T1463" s="311"/>
      <c r="U1463" s="311"/>
      <c r="V1463" s="311"/>
      <c r="W1463" s="311"/>
      <c r="X1463" s="312"/>
      <c r="Y1463" s="285"/>
      <c r="Z1463" s="285"/>
      <c r="AA1463" s="285"/>
      <c r="AB1463" s="285"/>
      <c r="AC1463" s="285"/>
      <c r="AD1463" s="292"/>
      <c r="AE1463" s="293"/>
      <c r="AF1463" s="294"/>
    </row>
    <row r="1464" spans="1:32" ht="12.75" customHeight="1" x14ac:dyDescent="0.25">
      <c r="A1464" s="259" t="str">
        <f>B1437</f>
        <v>F</v>
      </c>
      <c r="B1464" s="236" t="str">
        <f ca="1">IF(AND(OFFSET($AO$1,$C1437-1,8,1,1),$A1438&lt;&gt;"",$J1438&lt;&gt;""),CHOOSE($C1437,$AR$1,$AR$2,$AR$3,$AR$4,$AR$5,$AR$6,$AR$7,$AR$8,$AR$9,$AR$10,$AR$11,$AR$12),"")</f>
        <v/>
      </c>
      <c r="C1464" s="237"/>
      <c r="D1464" s="237"/>
      <c r="E1464" s="237"/>
      <c r="F1464" s="237"/>
      <c r="G1464" s="237"/>
      <c r="H1464" s="233"/>
      <c r="I1464" s="233"/>
      <c r="J1464" s="233"/>
      <c r="K1464" s="233"/>
      <c r="L1464" s="233" t="str">
        <f ca="1">IF(AND($B1464&lt;&gt;"",$Q1443&lt;&gt;""),IF($B1464="Missing Player",0,IF($B1466="Missing Player",11,"")),"")</f>
        <v/>
      </c>
      <c r="M1464" s="245" t="str">
        <f ca="1">IF(OR(AND($B1457&lt;&gt;"",$B1464&lt;&gt;"",$E1468&lt;=$D1468),AND($B1459&lt;&gt;"",$B1466&lt;&gt;"",$I1468&lt;=$H1468)),"Invalid Lineup","")</f>
        <v/>
      </c>
      <c r="N1464" s="246"/>
      <c r="O1464" s="246"/>
      <c r="P1464" s="247"/>
      <c r="Q1464" s="40" t="str">
        <f ca="1">IF($L1464=$L1466,IF($K1464=$K1466,IF($J1464&lt;&gt;"",IF($J1464&gt;$J1466,"W","L"),""),IF($K1464&gt;$K1466,"W","L")),IF($L1464&gt;$L1466,"W","L"))</f>
        <v/>
      </c>
      <c r="R1464" s="259" t="str">
        <f>$K1437</f>
        <v>I</v>
      </c>
      <c r="S1464" s="307" t="str">
        <f ca="1">IF($B1459&lt;&gt;"",$B1459,"")</f>
        <v/>
      </c>
      <c r="T1464" s="308"/>
      <c r="U1464" s="308"/>
      <c r="V1464" s="308"/>
      <c r="W1464" s="308"/>
      <c r="X1464" s="309"/>
      <c r="Y1464" s="284"/>
      <c r="Z1464" s="284"/>
      <c r="AA1464" s="284"/>
      <c r="AB1464" s="284"/>
      <c r="AC1464" s="297"/>
      <c r="AD1464" s="289" t="s">
        <v>169</v>
      </c>
      <c r="AE1464" s="290"/>
      <c r="AF1464" s="291"/>
    </row>
    <row r="1465" spans="1:32" ht="12.75" customHeight="1" x14ac:dyDescent="0.25">
      <c r="A1465" s="260"/>
      <c r="B1465" s="238"/>
      <c r="C1465" s="239"/>
      <c r="D1465" s="239"/>
      <c r="E1465" s="239"/>
      <c r="F1465" s="239"/>
      <c r="G1465" s="239"/>
      <c r="H1465" s="234"/>
      <c r="I1465" s="234"/>
      <c r="J1465" s="234"/>
      <c r="K1465" s="234"/>
      <c r="L1465" s="234"/>
      <c r="M1465" s="245"/>
      <c r="N1465" s="246"/>
      <c r="O1465" s="246"/>
      <c r="P1465" s="247"/>
      <c r="Q1465" s="110" t="str">
        <f ca="1">IF($Q1464&lt;&gt;"",IF($B1466&lt;&gt;"Missing Player",IF($Q1464="W",IF(SUM(IF($H1464&gt;$H1466,1,0),IF($I1464&gt;$I1466,1,0),IF($J1464&gt;$J1466,1,0),IF($K1464&gt;$K1466,1,0),IF($L1464&gt;$L1466,1,0))&lt;&gt;3,"Error",""),""),""),"")</f>
        <v/>
      </c>
      <c r="R1465" s="285"/>
      <c r="S1465" s="310"/>
      <c r="T1465" s="311"/>
      <c r="U1465" s="311"/>
      <c r="V1465" s="311"/>
      <c r="W1465" s="311"/>
      <c r="X1465" s="312"/>
      <c r="Y1465" s="285"/>
      <c r="Z1465" s="285"/>
      <c r="AA1465" s="285"/>
      <c r="AB1465" s="285"/>
      <c r="AC1465" s="285"/>
      <c r="AD1465" s="292"/>
      <c r="AE1465" s="293"/>
      <c r="AF1465" s="294"/>
    </row>
    <row r="1466" spans="1:32" ht="12.75" customHeight="1" x14ac:dyDescent="0.25">
      <c r="A1466" s="259" t="str">
        <f>K1437</f>
        <v>I</v>
      </c>
      <c r="B1466" s="236" t="str">
        <f ca="1">IF(AND(OFFSET($AO$1,$L1437-1,8,1,1),$A1438&lt;&gt;"",$J1438&lt;&gt;""),CHOOSE($L1437,$AR$1,$AR$2,$AR$3,$AR$4,$AR$5,$AR$6,$AR$7,$AR$8,$AR$9,$AR$10,$AR$11,$AR$12),"")</f>
        <v/>
      </c>
      <c r="C1466" s="237"/>
      <c r="D1466" s="237"/>
      <c r="E1466" s="237"/>
      <c r="F1466" s="237"/>
      <c r="G1466" s="237"/>
      <c r="H1466" s="233"/>
      <c r="I1466" s="233"/>
      <c r="J1466" s="233"/>
      <c r="K1466" s="233"/>
      <c r="L1466" s="233" t="str">
        <f ca="1">IF(AND($B1466&lt;&gt;"",$Q1443&lt;&gt;""),IF($B1466="Missing Player",0,IF($B1464="Missing Player",11,"")),"")</f>
        <v/>
      </c>
      <c r="M1466" s="250" t="s">
        <v>169</v>
      </c>
      <c r="N1466" s="251"/>
      <c r="O1466" s="251"/>
      <c r="P1466" s="252"/>
      <c r="Q1466" s="40" t="str">
        <f ca="1">IF($Q1464&lt;&gt;"",IF($Q1464="W","L","W"),"")</f>
        <v/>
      </c>
      <c r="R1466" s="94"/>
      <c r="S1466" s="84"/>
      <c r="T1466" s="84"/>
      <c r="U1466" s="84"/>
      <c r="V1466" s="84"/>
      <c r="W1466" s="84"/>
      <c r="X1466" s="84"/>
      <c r="Y1466" s="93"/>
      <c r="Z1466" s="93"/>
      <c r="AA1466" s="93"/>
      <c r="AB1466" s="93"/>
      <c r="AC1466" s="93"/>
      <c r="AD1466" s="92"/>
      <c r="AE1466" s="93"/>
      <c r="AF1466" s="93"/>
    </row>
    <row r="1467" spans="1:32" ht="12.75" customHeight="1" x14ac:dyDescent="0.25">
      <c r="A1467" s="260"/>
      <c r="B1467" s="238"/>
      <c r="C1467" s="239"/>
      <c r="D1467" s="239"/>
      <c r="E1467" s="239"/>
      <c r="F1467" s="239"/>
      <c r="G1467" s="239"/>
      <c r="H1467" s="234"/>
      <c r="I1467" s="234"/>
      <c r="J1467" s="235"/>
      <c r="K1467" s="235"/>
      <c r="L1467" s="235"/>
      <c r="M1467" s="250"/>
      <c r="N1467" s="251"/>
      <c r="O1467" s="251"/>
      <c r="P1467" s="252"/>
      <c r="Q1467" s="110" t="str">
        <f ca="1">IF($Q1466&lt;&gt;"",IF($B1464&lt;&gt;"Missing Player",IF($Q1466="W",IF(SUM(IF($H1466&gt;$H1464,1,0),IF($I1466&gt;$I1464,1,0),IF($J1466&gt;$J1464,1,0),IF($K1466&gt;$K1464,1,0),IF($L1466&gt;$L1464,1,0))&lt;&gt;3,"Error",""),""),""),"")</f>
        <v/>
      </c>
      <c r="R1467" s="85"/>
      <c r="S1467" s="95"/>
      <c r="T1467" s="95"/>
      <c r="U1467" s="95"/>
      <c r="V1467" s="95"/>
      <c r="W1467" s="95"/>
      <c r="X1467" s="95"/>
      <c r="Y1467" s="85"/>
      <c r="Z1467" s="85"/>
      <c r="AA1467" s="85"/>
      <c r="AB1467" s="85"/>
      <c r="AC1467" s="85"/>
      <c r="AD1467" s="85"/>
      <c r="AE1467" s="85"/>
      <c r="AF1467" s="85"/>
    </row>
    <row r="1468" spans="1:32" ht="12.75" customHeight="1" x14ac:dyDescent="0.25">
      <c r="B1468" s="111" t="str">
        <f ca="1">IF(ISERROR(VLOOKUP($B1443&amp;"("&amp;$B1437&amp;")",Players!$S$4:$T$132,2,FALSE)),"",VLOOKUP($B1443&amp;"("&amp;$B1437&amp;")",Players!$S$4:$T$132,2,FALSE))</f>
        <v>F1</v>
      </c>
      <c r="C1468" s="111" t="str">
        <f ca="1">IF(ISERROR(VLOOKUP($B1450&amp;"("&amp;$B1437&amp;")",Players!$S$4:$T$132,2,FALSE)),"",VLOOKUP($B1450&amp;"("&amp;$B1437&amp;")",Players!$S$4:$T$132,2,FALSE))</f>
        <v>F1</v>
      </c>
      <c r="D1468" s="111" t="str">
        <f ca="1">IF(ISERROR(VLOOKUP($B1457&amp;"("&amp;$B1437&amp;")",Players!$S$4:$T$132,2,FALSE)),"",VLOOKUP($B1457&amp;"("&amp;$B1437&amp;")",Players!$S$4:$T$132,2,FALSE))</f>
        <v>F1</v>
      </c>
      <c r="E1468" s="111" t="str">
        <f ca="1">IF(ISERROR(VLOOKUP($B1464&amp;"("&amp;$B1437&amp;")",Players!$S$4:$T$132,2,FALSE)),"",VLOOKUP($B1464&amp;"("&amp;$B1437&amp;")",Players!$S$4:$T$132,2,FALSE))</f>
        <v>F1</v>
      </c>
      <c r="F1468" s="111" t="str">
        <f ca="1">IF(ISERROR(VLOOKUP($B1445&amp;"("&amp;$K1437&amp;")",Players!$S$4:$T$132,2,FALSE)),"",VLOOKUP($B1445&amp;"("&amp;$K1437&amp;")",Players!$S$4:$T$132,2,FALSE))</f>
        <v>I1</v>
      </c>
      <c r="G1468" s="111" t="str">
        <f ca="1">IF(ISERROR(VLOOKUP($B1452&amp;"("&amp;$K1437&amp;")",Players!$S$4:$T$132,2,FALSE)),"",VLOOKUP($B1452&amp;"("&amp;$K1437&amp;")",Players!$S$4:$T$132,2,FALSE))</f>
        <v>I1</v>
      </c>
      <c r="H1468" s="111" t="str">
        <f ca="1">IF(ISERROR(VLOOKUP($B1459&amp;"("&amp;$K1437&amp;")",Players!$S$4:$T$132,2,FALSE)),"",VLOOKUP($B1459&amp;"("&amp;$K1437&amp;")",Players!$S$4:$T$132,2,FALSE))</f>
        <v>I1</v>
      </c>
      <c r="I1468" s="111" t="str">
        <f ca="1">IF(ISERROR(VLOOKUP($B1466&amp;"("&amp;$K1437&amp;")",Players!$S$4:$T$132,2,FALSE)),"",VLOOKUP($B1466&amp;"("&amp;$K1437&amp;")",Players!$S$4:$T$132,2,FALSE))</f>
        <v>I1</v>
      </c>
      <c r="Q1468" s="6"/>
      <c r="R1468" s="37"/>
      <c r="S1468" s="95"/>
      <c r="T1468" s="95"/>
      <c r="U1468" s="95"/>
      <c r="V1468" s="95"/>
      <c r="W1468" s="95"/>
      <c r="X1468" s="95"/>
      <c r="Y1468" s="85"/>
      <c r="Z1468" s="85"/>
      <c r="AA1468" s="85"/>
      <c r="AB1468" s="85"/>
      <c r="AC1468" s="96"/>
      <c r="AD1468" s="97"/>
      <c r="AE1468" s="85"/>
      <c r="AF1468" s="85"/>
    </row>
    <row r="1469" spans="1:32" ht="12.75" customHeight="1" x14ac:dyDescent="0.25">
      <c r="A1469" s="15" t="s">
        <v>157</v>
      </c>
      <c r="H1469" s="110" t="str">
        <f ca="1">IF($Q1471&lt;&gt;"",IF(AND($B1472&lt;&gt;"Missing Player",$B1474&lt;&gt;"Missing Player"),IF(AND(AND($H1471&gt;-1,$H1473&gt;-1),OR($H1471&gt;10,$H1473&gt;10),ABS($H1471-$H1473)&gt;1,IF(OR($H1471&gt;11,$H1473&gt;11),ABS($H1471-$H1473)=2,TRUE),$H1471=INT($H1471),$H1473=INT($H1473)),"","Error"),""),"")</f>
        <v/>
      </c>
      <c r="I1469" s="110" t="str">
        <f ca="1">IF($Q1471&lt;&gt;"",IF(AND($B1472&lt;&gt;"Missing Player",$B1474&lt;&gt;"Missing Player"),IF(AND(AND($I1471&gt;-1,$I1473&gt;-1),OR($I1471&gt;10,$I1473&gt;10),ABS($I1471-$I1473)&gt;1,IF(OR($I1471&gt;11,$I1473&gt;11),ABS($I1471-$I1473)=2,TRUE),$I1471=INT($I1471),$I1473=INT($I1473)),"","Error"),""),"")</f>
        <v/>
      </c>
      <c r="J1469" s="110" t="str">
        <f ca="1">IF($Q1471&lt;&gt;"",IF(AND($B1472&lt;&gt;"Missing Player",$B1474&lt;&gt;"Missing Player"),IF(AND(AND($J1471&gt;-1,$J1473&gt;-1),OR($J1471&gt;10,$J1473&gt;10),ABS($J1471-$J1473)&gt;1,IF(OR($J1471&gt;11,$J1473&gt;11),ABS($J1471-$J1473)=2,TRUE),$J1471=INT($J1471),$J1473=INT($J1473)),"","Error"),""),"")</f>
        <v/>
      </c>
      <c r="K1469" s="110" t="str">
        <f ca="1">IF($Q1471&lt;&gt;"",IF(AND($K1471&lt;&gt;"",$K1473&lt;&gt;""), IF(AND(AND($K1471&gt;-1,$K1473&gt;-1),OR($K1471&gt;10,$K1473&gt;10),ABS($K1471-$K1473)&gt;1,IF(OR($K1471&gt;11,$K1473&gt;11),ABS($K1471-$K1473)=2,TRUE),$K1471=INT($K1471),$K1473=INT($K1473)),"","Error"),""),"")</f>
        <v/>
      </c>
      <c r="L1469" s="110" t="str">
        <f ca="1">IF($Q1471&lt;&gt;"",IF(AND($L1471&lt;&gt;"",$L1473&lt;&gt;""), IF(AND(AND($L1471&gt;-1,$L1473&gt;-1),OR($L1471&gt;10,$L1473&gt;10),ABS($L1471-$L1473)&gt;1,IF(OR($L1471&gt;11,$L1473&gt;11),ABS($L1471-$L1473)=2,TRUE),$L1471=INT($L1471),$L1473=INT($L1473)),"","Error"),""),"")</f>
        <v/>
      </c>
      <c r="Q1469" s="6"/>
      <c r="R1469" s="85"/>
      <c r="S1469" s="95"/>
      <c r="T1469" s="95"/>
      <c r="U1469" s="95"/>
      <c r="V1469" s="95"/>
      <c r="W1469" s="95"/>
      <c r="X1469" s="95"/>
      <c r="Y1469" s="85"/>
      <c r="Z1469" s="85"/>
      <c r="AA1469" s="85"/>
      <c r="AB1469" s="85"/>
      <c r="AC1469" s="85"/>
      <c r="AD1469" s="85"/>
      <c r="AE1469" s="85"/>
      <c r="AF1469" s="85"/>
    </row>
    <row r="1470" spans="1:32" ht="12.75" customHeight="1" x14ac:dyDescent="0.25">
      <c r="A1470" s="5" t="s">
        <v>160</v>
      </c>
      <c r="B1470" s="256" t="s">
        <v>58</v>
      </c>
      <c r="C1470" s="257"/>
      <c r="D1470" s="257"/>
      <c r="E1470" s="257"/>
      <c r="F1470" s="257"/>
      <c r="G1470" s="258"/>
      <c r="H1470" s="5">
        <v>1</v>
      </c>
      <c r="I1470" s="5">
        <v>2</v>
      </c>
      <c r="J1470" s="5">
        <v>3</v>
      </c>
      <c r="K1470" s="5">
        <v>4</v>
      </c>
      <c r="L1470" s="5">
        <v>5</v>
      </c>
      <c r="M1470" s="270"/>
      <c r="N1470" s="271"/>
      <c r="O1470" s="271"/>
      <c r="P1470" s="272"/>
      <c r="Q1470" s="6"/>
      <c r="T1470" s="7"/>
    </row>
    <row r="1471" spans="1:32" ht="12.75" customHeight="1" x14ac:dyDescent="0.25">
      <c r="A1471" s="259" t="str">
        <f>B1437</f>
        <v>F</v>
      </c>
      <c r="B1471" s="230" t="str">
        <f ca="1">IF($B1443&lt;&gt;"",$B1443,"")</f>
        <v/>
      </c>
      <c r="C1471" s="231"/>
      <c r="D1471" s="231"/>
      <c r="E1471" s="231"/>
      <c r="F1471" s="231"/>
      <c r="G1471" s="232"/>
      <c r="H1471" s="233"/>
      <c r="I1471" s="233"/>
      <c r="J1471" s="233"/>
      <c r="K1471" s="233"/>
      <c r="L1471" s="233" t="str">
        <f ca="1">IF($B1464&lt;&gt;"",IF(AND($B1464="Missing Player",$G1475=2,$J1475=2),0,IF(AND($B1466="Missing Player",$G1475=2,$J1475=2),11,"")),"")</f>
        <v/>
      </c>
      <c r="M1471" s="245" t="str">
        <f ca="1">IF(OR(AND($B1471&lt;&gt;"",$B1472&lt;&gt;"",$B1471=$B1472),AND($B1473&lt;&gt;"",$B1474&lt;&gt;"",$B1473=$B1474)),"Invalid Partner","")</f>
        <v/>
      </c>
      <c r="N1471" s="246"/>
      <c r="O1471" s="246"/>
      <c r="P1471" s="247"/>
      <c r="Q1471" s="37" t="str">
        <f ca="1">IF(L1471=L1473,IF(K1471=K1473,IF(J1471&lt;&gt;"",IF(J1471&gt;J1473,"W","L"),""),IF(K1471&gt;K1473,"W","L")),IF(L1471&gt;L1473,"W","L"))</f>
        <v/>
      </c>
      <c r="T1471" s="7"/>
    </row>
    <row r="1472" spans="1:32" ht="12.75" customHeight="1" x14ac:dyDescent="0.25">
      <c r="A1472" s="260"/>
      <c r="B1472" s="266" t="str">
        <f ca="1">IF($B1464="Missing Player",$B1464,"")</f>
        <v/>
      </c>
      <c r="C1472" s="267"/>
      <c r="D1472" s="267"/>
      <c r="E1472" s="267"/>
      <c r="F1472" s="267"/>
      <c r="G1472" s="268"/>
      <c r="H1472" s="234"/>
      <c r="I1472" s="234"/>
      <c r="J1472" s="234"/>
      <c r="K1472" s="234"/>
      <c r="L1472" s="234"/>
      <c r="M1472" s="245"/>
      <c r="N1472" s="246"/>
      <c r="O1472" s="246"/>
      <c r="P1472" s="247"/>
      <c r="Q1472" s="110" t="str">
        <f ca="1">IF($Q1471&lt;&gt;"",IF($B1474&lt;&gt;"Missing Player",IF($Q1471="W",IF(SUM(IF($H1471&gt;$H1473,1,0),IF($I1471&gt;$I1473,1,0),IF($J1471&gt;$J1473,1,0),IF($K1471&gt;$K1473,1,0),IF($L1471&gt;$L1473,1,0))&lt;&gt;3,"Error",""),""),""),"")</f>
        <v/>
      </c>
      <c r="R1472" s="295" t="str">
        <f>$A1438</f>
        <v/>
      </c>
      <c r="S1472" s="295"/>
      <c r="T1472" s="295"/>
      <c r="U1472" s="295"/>
      <c r="V1472" s="295"/>
      <c r="W1472" s="295"/>
      <c r="X1472" s="219" t="str">
        <f>CONCATENATE("(",$B1437," vs ",$K1437,")")</f>
        <v>(F vs I)</v>
      </c>
      <c r="Y1472" s="219"/>
      <c r="Z1472" s="295" t="str">
        <f>$J1438</f>
        <v/>
      </c>
      <c r="AA1472" s="295"/>
      <c r="AB1472" s="295"/>
      <c r="AC1472" s="295"/>
      <c r="AD1472" s="295"/>
      <c r="AE1472" s="295"/>
      <c r="AF1472"/>
    </row>
    <row r="1473" spans="1:32" ht="12.75" customHeight="1" x14ac:dyDescent="0.25">
      <c r="A1473" s="265" t="str">
        <f>K1437</f>
        <v>I</v>
      </c>
      <c r="B1473" s="230" t="str">
        <f ca="1">IF($B1445&lt;&gt;"",$B1445,"")</f>
        <v/>
      </c>
      <c r="C1473" s="231"/>
      <c r="D1473" s="231"/>
      <c r="E1473" s="231"/>
      <c r="F1473" s="231"/>
      <c r="G1473" s="232"/>
      <c r="H1473" s="233"/>
      <c r="I1473" s="233"/>
      <c r="J1473" s="233"/>
      <c r="K1473" s="233"/>
      <c r="L1473" s="233" t="str">
        <f ca="1">IF($B1466&lt;&gt;"",IF(AND($B1466="Missing Player",$G1475=2,$J1475=2),0,IF(AND($B1464="Missing Player",$G1475=2,$J1475=2),11,"")),"")</f>
        <v/>
      </c>
      <c r="M1473" s="250" t="s">
        <v>169</v>
      </c>
      <c r="N1473" s="251"/>
      <c r="O1473" s="251"/>
      <c r="P1473" s="252"/>
      <c r="Q1473" s="37" t="str">
        <f ca="1">IF(Q1471&lt;&gt;"",IF(Q1471="W","L","W"),"")</f>
        <v/>
      </c>
      <c r="R1473"/>
      <c r="S1473"/>
      <c r="T1473"/>
      <c r="U1473"/>
      <c r="V1473"/>
      <c r="W1473"/>
      <c r="X1473"/>
      <c r="Y1473"/>
      <c r="Z1473"/>
      <c r="AA1473"/>
      <c r="AB1473"/>
      <c r="AC1473"/>
      <c r="AD1473"/>
      <c r="AE1473"/>
      <c r="AF1473"/>
    </row>
    <row r="1474" spans="1:32" ht="12.75" customHeight="1" x14ac:dyDescent="0.25">
      <c r="A1474" s="260"/>
      <c r="B1474" s="266" t="str">
        <f ca="1">IF($B1466="Missing Player",$B1466,"")</f>
        <v/>
      </c>
      <c r="C1474" s="267"/>
      <c r="D1474" s="267"/>
      <c r="E1474" s="267"/>
      <c r="F1474" s="267"/>
      <c r="G1474" s="268"/>
      <c r="H1474" s="234"/>
      <c r="I1474" s="234"/>
      <c r="J1474" s="235"/>
      <c r="K1474" s="235"/>
      <c r="L1474" s="235"/>
      <c r="M1474" s="250"/>
      <c r="N1474" s="251"/>
      <c r="O1474" s="251"/>
      <c r="P1474" s="252"/>
      <c r="Q1474" s="110" t="str">
        <f ca="1">IF($Q1473&lt;&gt;"",IF($B1472&lt;&gt;"Missing Player",IF($Q1473="W",IF(SUM(IF($H1473&gt;$H1471,1,0),IF($I1473&gt;$I1471,1,0),IF($J1473&gt;$J1471,1,0),IF($K1473&gt;$K1471,1,0),IF($L1473&gt;$L1471,1,0))&lt;&gt;3,"Error",""),""),""),"")</f>
        <v/>
      </c>
      <c r="R1474" t="str">
        <f>A1462</f>
        <v>4th Singles</v>
      </c>
      <c r="S1474"/>
      <c r="T1474"/>
      <c r="U1474"/>
      <c r="V1474"/>
      <c r="W1474"/>
      <c r="X1474"/>
      <c r="Y1474"/>
      <c r="Z1474"/>
      <c r="AA1474"/>
      <c r="AB1474"/>
      <c r="AC1474"/>
      <c r="AD1474"/>
      <c r="AE1474"/>
      <c r="AF1474"/>
    </row>
    <row r="1475" spans="1:32" ht="12.75" customHeight="1" x14ac:dyDescent="0.25">
      <c r="G1475" s="53">
        <f ca="1">COUNTIF($Q1443:$Q1443,"W")+COUNTIF($Q1450:$Q1450,"W")+COUNTIF($Q1457:$Q1457,"W")+COUNTIF($Q1464:$Q1464,"W")</f>
        <v>0</v>
      </c>
      <c r="J1475" s="53">
        <f ca="1">COUNTIF($Q1445:$Q1445,"W")+COUNTIF($Q1452:$Q1452,"W")+COUNTIF($Q1459:$Q1459,"W")+COUNTIF($Q1466:$Q1466,"W")</f>
        <v>0</v>
      </c>
      <c r="R1475" s="47" t="s">
        <v>160</v>
      </c>
      <c r="S1475" s="304" t="s">
        <v>58</v>
      </c>
      <c r="T1475" s="305"/>
      <c r="U1475" s="305"/>
      <c r="V1475" s="305"/>
      <c r="W1475" s="305"/>
      <c r="X1475" s="306"/>
      <c r="Y1475" s="47">
        <v>1</v>
      </c>
      <c r="Z1475" s="47">
        <v>2</v>
      </c>
      <c r="AA1475" s="47">
        <v>3</v>
      </c>
      <c r="AB1475" s="47">
        <v>4</v>
      </c>
      <c r="AC1475" s="47">
        <v>5</v>
      </c>
      <c r="AD1475" s="286"/>
      <c r="AE1475" s="287"/>
      <c r="AF1475" s="288"/>
    </row>
    <row r="1476" spans="1:32" ht="12.75" customHeight="1" thickBot="1" x14ac:dyDescent="0.3">
      <c r="F1476" s="212" t="s">
        <v>170</v>
      </c>
      <c r="G1476" s="212"/>
      <c r="H1476" s="212"/>
      <c r="I1476" s="212"/>
      <c r="J1476" s="212"/>
      <c r="K1476" s="212"/>
      <c r="R1476" s="259" t="str">
        <f>B1437</f>
        <v>F</v>
      </c>
      <c r="S1476" s="307" t="str">
        <f ca="1">IF($B1464&lt;&gt;"",$B1464,"")</f>
        <v/>
      </c>
      <c r="T1476" s="308"/>
      <c r="U1476" s="308"/>
      <c r="V1476" s="308"/>
      <c r="W1476" s="308"/>
      <c r="X1476" s="309"/>
      <c r="Y1476" s="284"/>
      <c r="Z1476" s="284"/>
      <c r="AA1476" s="297"/>
      <c r="AB1476" s="297"/>
      <c r="AC1476" s="297"/>
      <c r="AD1476" s="296"/>
      <c r="AE1476" s="298"/>
      <c r="AF1476" s="299"/>
    </row>
    <row r="1477" spans="1:32" ht="12.75" customHeight="1" x14ac:dyDescent="0.25">
      <c r="A1477" s="16"/>
      <c r="B1477" s="16"/>
      <c r="C1477" s="16"/>
      <c r="D1477" s="16"/>
      <c r="E1477" s="16"/>
      <c r="G1477" s="261" t="str">
        <f>B1437</f>
        <v>F</v>
      </c>
      <c r="H1477" s="262"/>
      <c r="I1477" s="263" t="str">
        <f>K1437</f>
        <v>I</v>
      </c>
      <c r="J1477" s="264"/>
      <c r="L1477" s="16"/>
      <c r="M1477" s="16"/>
      <c r="N1477" s="16"/>
      <c r="O1477" s="16"/>
      <c r="P1477" s="16"/>
      <c r="R1477" s="260"/>
      <c r="S1477" s="310"/>
      <c r="T1477" s="311"/>
      <c r="U1477" s="311"/>
      <c r="V1477" s="311"/>
      <c r="W1477" s="311"/>
      <c r="X1477" s="312"/>
      <c r="Y1477" s="285"/>
      <c r="Z1477" s="285"/>
      <c r="AA1477" s="303"/>
      <c r="AB1477" s="303"/>
      <c r="AC1477" s="303"/>
      <c r="AD1477" s="300"/>
      <c r="AE1477" s="301"/>
      <c r="AF1477" s="302"/>
    </row>
    <row r="1478" spans="1:32" ht="12.75" customHeight="1" thickBot="1" x14ac:dyDescent="0.3">
      <c r="A1478" s="2" t="s">
        <v>160</v>
      </c>
      <c r="B1478" s="40" t="str">
        <f>B1437</f>
        <v>F</v>
      </c>
      <c r="C1478" s="3" t="s">
        <v>158</v>
      </c>
      <c r="F1478" s="53" t="str">
        <f>CONCATENATE($B1437,"-",$K1437)</f>
        <v>F-I</v>
      </c>
      <c r="G1478" s="240" t="str">
        <f ca="1">IF(OR(Q1443&lt;&gt;"",Q1450&lt;&gt;"",Q1457&lt;&gt;"",Q1464&lt;&gt;"",Q1471&lt;&gt;""),COUNTIF(Q1443:Q1443,"W")+COUNTIF(Q1450:Q1450,"W")+COUNTIF(Q1457:Q1457,"W")+COUNTIF(Q1464:Q1464,"W")+COUNTIF(Q1471:Q1471,"W"),"")</f>
        <v/>
      </c>
      <c r="H1478" s="241"/>
      <c r="I1478" s="242" t="str">
        <f ca="1">IF(OR(Q1445&lt;&gt;"",Q1452&lt;&gt;"",Q1459&lt;&gt;"",Q1466&lt;&gt;"",Q1473&lt;&gt;""),COUNTIF(Q1445:Q1445,"W")+COUNTIF(Q1452:Q1452,"W")+COUNTIF(Q1459:Q1459,"W")+COUNTIF(Q1466:Q1466,"W")+COUNTIF(Q1473:Q1473,"W"),"")</f>
        <v/>
      </c>
      <c r="J1478" s="243"/>
      <c r="L1478" s="2" t="s">
        <v>160</v>
      </c>
      <c r="M1478" s="40" t="str">
        <f>K1437</f>
        <v>I</v>
      </c>
      <c r="N1478" s="3" t="s">
        <v>158</v>
      </c>
      <c r="R1478" s="259" t="str">
        <f>K1437</f>
        <v>I</v>
      </c>
      <c r="S1478" s="307" t="str">
        <f ca="1">IF($B1466&lt;&gt;"",$B1466,"")</f>
        <v/>
      </c>
      <c r="T1478" s="308"/>
      <c r="U1478" s="308"/>
      <c r="V1478" s="308"/>
      <c r="W1478" s="308"/>
      <c r="X1478" s="309"/>
      <c r="Y1478" s="284"/>
      <c r="Z1478" s="284"/>
      <c r="AA1478" s="297"/>
      <c r="AB1478" s="297"/>
      <c r="AC1478" s="297"/>
      <c r="AD1478" s="289" t="s">
        <v>169</v>
      </c>
      <c r="AE1478" s="290"/>
      <c r="AF1478" s="291"/>
    </row>
    <row r="1479" spans="1:32" ht="12.75" customHeight="1" x14ac:dyDescent="0.35">
      <c r="F1479" s="18" t="s">
        <v>403</v>
      </c>
      <c r="G1479" s="17"/>
      <c r="H1479" s="17"/>
      <c r="I1479" s="17"/>
      <c r="J1479" s="17"/>
      <c r="R1479" s="285"/>
      <c r="S1479" s="310"/>
      <c r="T1479" s="311"/>
      <c r="U1479" s="311"/>
      <c r="V1479" s="311"/>
      <c r="W1479" s="311"/>
      <c r="X1479" s="312"/>
      <c r="Y1479" s="285"/>
      <c r="Z1479" s="285"/>
      <c r="AA1479" s="285"/>
      <c r="AB1479" s="285"/>
      <c r="AC1479" s="285"/>
      <c r="AD1479" s="292"/>
      <c r="AE1479" s="293"/>
      <c r="AF1479" s="294"/>
    </row>
    <row r="1480" spans="1:32" ht="12.75" customHeight="1" x14ac:dyDescent="0.25">
      <c r="R1480" s="1"/>
      <c r="S1480" s="11"/>
      <c r="T1480" s="11"/>
      <c r="U1480" s="11"/>
      <c r="V1480" s="11"/>
      <c r="W1480" s="11"/>
    </row>
    <row r="1481" spans="1:32" ht="12.75" customHeight="1" x14ac:dyDescent="0.25">
      <c r="F1481" s="212"/>
      <c r="G1481" s="212"/>
      <c r="H1481" s="212"/>
      <c r="I1481" s="212"/>
      <c r="R1481" s="1"/>
      <c r="S1481" s="11"/>
      <c r="T1481" s="11"/>
      <c r="U1481" s="11"/>
      <c r="V1481" s="11"/>
      <c r="W1481" s="11"/>
    </row>
    <row r="1482" spans="1:32" ht="12.75" customHeight="1" x14ac:dyDescent="0.25">
      <c r="F1482" s="212"/>
      <c r="G1482" s="212"/>
      <c r="H1482" s="212"/>
      <c r="I1482" s="212"/>
      <c r="R1482" s="1"/>
      <c r="S1482" s="11"/>
      <c r="T1482" s="11"/>
      <c r="U1482" s="11"/>
      <c r="V1482" s="11"/>
      <c r="W1482" s="11"/>
    </row>
    <row r="1483" spans="1:32" ht="12.75" customHeight="1" x14ac:dyDescent="0.25">
      <c r="K1483" s="219" t="s">
        <v>176</v>
      </c>
      <c r="L1483" s="219"/>
      <c r="M1483" s="219"/>
      <c r="N1483" s="219"/>
      <c r="O1483" s="219"/>
      <c r="P1483" s="219"/>
      <c r="R1483" s="1"/>
      <c r="S1483" s="11"/>
      <c r="T1483" s="11"/>
      <c r="U1483" s="11"/>
      <c r="V1483" s="11"/>
      <c r="W1483" s="11"/>
    </row>
    <row r="1484" spans="1:32" ht="12.75" customHeight="1" x14ac:dyDescent="0.25">
      <c r="A1484" s="9" t="s">
        <v>161</v>
      </c>
      <c r="B1484"/>
      <c r="C1484"/>
      <c r="D1484" t="str">
        <f>Draw!$B$1</f>
        <v>Enter Division Name</v>
      </c>
      <c r="E1484"/>
      <c r="F1484" s="6"/>
      <c r="G1484" s="6"/>
      <c r="H1484" s="6"/>
      <c r="I1484"/>
      <c r="J1484"/>
      <c r="K1484"/>
      <c r="L1484"/>
      <c r="M1484" s="219"/>
      <c r="N1484" s="219"/>
      <c r="O1484" s="219"/>
      <c r="P1484" s="219"/>
      <c r="R1484" s="1"/>
      <c r="S1484" s="11"/>
      <c r="T1484" s="11"/>
      <c r="U1484" s="11"/>
      <c r="V1484" s="11"/>
      <c r="W1484" s="11"/>
    </row>
    <row r="1485" spans="1:32" ht="12.75" customHeight="1" x14ac:dyDescent="0.25">
      <c r="A1485" s="2" t="s">
        <v>162</v>
      </c>
      <c r="D1485" t="str">
        <f>Draw!$D$1</f>
        <v>Enter Hosting Location (City, ST)</v>
      </c>
      <c r="J1485" t="str">
        <f ca="1">$J$6</f>
        <v>[NCTTA Teams Template (v3.4).xlsx]</v>
      </c>
      <c r="R1485" s="1"/>
      <c r="S1485" s="11"/>
      <c r="T1485" s="11"/>
      <c r="U1485" s="11"/>
      <c r="V1485" s="11"/>
      <c r="W1485" s="11"/>
    </row>
    <row r="1486" spans="1:32" ht="12.75" customHeight="1" x14ac:dyDescent="0.25">
      <c r="A1486" s="2" t="s">
        <v>163</v>
      </c>
      <c r="D1486" s="275" t="str">
        <f>Draw!$P$1</f>
        <v>Enter Date</v>
      </c>
      <c r="E1486" s="275"/>
      <c r="F1486" s="275"/>
      <c r="G1486" s="275"/>
      <c r="J1486" s="244" t="str">
        <f>CHOOSE(Draw!$T$1,"Round 5, Match 6","Round 5, Match 6","","","","","","","Round 8, Match 2","Round 6, Match 5","Round 6, Match 5")</f>
        <v>Round 5, Match 6</v>
      </c>
      <c r="K1486" s="244"/>
      <c r="L1486" s="244"/>
      <c r="M1486" s="277" t="str">
        <f>IF(AND($J1486&lt;&gt;"",Draw!$AC$10&lt;&gt;"",Draw!$AC$13&lt;&gt;""),Draw!$AC$10+TIME(0,VALUE(MID($J1486,7,FIND(",",$J1486)-FIND(" ",$J1486)-1)-1)*Draw!$AC$13,0),"")</f>
        <v/>
      </c>
      <c r="N1486" s="277"/>
      <c r="O1486" s="125" t="str">
        <f>$F1529</f>
        <v>G-H</v>
      </c>
      <c r="R1486" s="1"/>
      <c r="S1486" s="11"/>
      <c r="T1486" s="11"/>
      <c r="U1486" s="11"/>
      <c r="V1486" s="11"/>
      <c r="W1486" s="11"/>
    </row>
    <row r="1487" spans="1:32" ht="12.75" customHeight="1" x14ac:dyDescent="0.25">
      <c r="A1487" s="6"/>
      <c r="B1487"/>
      <c r="C1487"/>
      <c r="D1487"/>
      <c r="E1487"/>
      <c r="F1487" s="6"/>
      <c r="G1487" s="6"/>
      <c r="H1487" s="11"/>
      <c r="I1487" s="6"/>
      <c r="J1487"/>
      <c r="K1487"/>
      <c r="L1487"/>
      <c r="M1487"/>
      <c r="N1487"/>
      <c r="O1487" s="269" t="str">
        <f>IF(OR(AND(VLOOKUP($B1488,$AM$1:$AX$12,12,FALSE)="C",VLOOKUP($K1488,$AM$1:$AX$12,12,FALSE)="C"),AND(VLOOKUP($B1488,$AM$1:$AX$12,12,FALSE)="W",VLOOKUP($K1488,$AM$1:$AX$12,12,FALSE)="W")),"Official",IF(AND($A1489="",$J1489=""),"","Scrimmage"))</f>
        <v/>
      </c>
      <c r="P1487" s="269"/>
      <c r="R1487" s="1"/>
      <c r="S1487" s="11"/>
      <c r="T1487" s="11"/>
      <c r="U1487" s="11"/>
      <c r="V1487" s="11"/>
      <c r="W1487" s="11"/>
    </row>
    <row r="1488" spans="1:32" ht="12.75" customHeight="1" x14ac:dyDescent="0.25">
      <c r="A1488" s="12" t="s">
        <v>160</v>
      </c>
      <c r="B1488" s="98" t="str">
        <f>CHOOSE(Draw!$T$1,"G","H","B","B","C","C","B","A","D","H","C")</f>
        <v>G</v>
      </c>
      <c r="C1488" s="109">
        <f>VLOOKUP($B1488,$AM$1:$AN$12,2)</f>
        <v>7</v>
      </c>
      <c r="D1488" s="10"/>
      <c r="E1488" s="10"/>
      <c r="F1488" s="8"/>
      <c r="H1488" s="1" t="s">
        <v>164</v>
      </c>
      <c r="J1488" s="12" t="s">
        <v>160</v>
      </c>
      <c r="K1488" s="98" t="str">
        <f>CHOOSE(Draw!$T$1,"H","I","H","L","K","I","K","J","I","I","K")</f>
        <v>H</v>
      </c>
      <c r="L1488" s="109">
        <f>VLOOKUP($K1488,$AM$1:$AN$12,2)</f>
        <v>8</v>
      </c>
      <c r="M1488" s="10"/>
      <c r="N1488" s="10"/>
      <c r="O1488" s="13"/>
      <c r="R1488" s="1"/>
      <c r="S1488" s="11"/>
      <c r="T1488" s="11"/>
      <c r="U1488" s="11"/>
      <c r="V1488" s="11"/>
      <c r="W1488" s="11"/>
    </row>
    <row r="1489" spans="1:32" ht="12.75" customHeight="1" x14ac:dyDescent="0.25">
      <c r="A1489" s="253" t="str">
        <f>IF(VLOOKUP($B1488,Draw!$A$4:$B$27,2)&lt;&gt;0,VLOOKUP($B1488,Draw!$A$4:$B$27,2),"")</f>
        <v/>
      </c>
      <c r="B1489" s="254"/>
      <c r="C1489" s="254"/>
      <c r="D1489" s="254"/>
      <c r="E1489" s="254"/>
      <c r="F1489" s="255"/>
      <c r="G1489" s="273" t="s">
        <v>433</v>
      </c>
      <c r="H1489" s="249"/>
      <c r="I1489" s="274"/>
      <c r="J1489" s="253" t="str">
        <f>IF(VLOOKUP($K1488,Draw!$A$4:$B$27,2)&lt;&gt;0,VLOOKUP($K1488,Draw!$A$4:$B$27,2),"")</f>
        <v/>
      </c>
      <c r="K1489" s="254"/>
      <c r="L1489" s="254"/>
      <c r="M1489" s="254"/>
      <c r="N1489" s="254"/>
      <c r="O1489" s="255"/>
      <c r="P1489"/>
      <c r="R1489" s="1"/>
      <c r="S1489" s="11"/>
      <c r="T1489" s="11"/>
      <c r="U1489" s="11"/>
      <c r="V1489" s="11"/>
      <c r="W1489" s="11"/>
    </row>
    <row r="1490" spans="1:32" ht="12.75" customHeight="1" x14ac:dyDescent="0.25">
      <c r="A1490" s="6"/>
      <c r="B1490"/>
      <c r="C1490"/>
      <c r="D1490"/>
      <c r="E1490"/>
      <c r="F1490" s="6"/>
      <c r="G1490" s="248" t="str">
        <f>"Page "&amp;VALUE(RIGHT($G1489,LEN($G1489)-SEARCH("-",$G1489)))/2</f>
        <v>Page 30</v>
      </c>
      <c r="H1490" s="249"/>
      <c r="I1490" s="249"/>
      <c r="J1490"/>
      <c r="K1490"/>
      <c r="L1490"/>
      <c r="M1490"/>
      <c r="N1490"/>
      <c r="O1490"/>
      <c r="P1490"/>
      <c r="R1490" s="1"/>
      <c r="S1490" s="11"/>
      <c r="T1490" s="11"/>
      <c r="U1490" s="11"/>
      <c r="V1490" s="11"/>
      <c r="W1490" s="11"/>
      <c r="AF1490"/>
    </row>
    <row r="1491" spans="1:32" ht="12.75" customHeight="1" x14ac:dyDescent="0.25">
      <c r="A1491" s="276" t="s">
        <v>177</v>
      </c>
      <c r="B1491" s="276"/>
      <c r="C1491" s="276"/>
      <c r="D1491" s="276"/>
      <c r="E1491" s="276"/>
      <c r="F1491" s="276"/>
      <c r="G1491" s="276"/>
      <c r="H1491" s="276"/>
      <c r="I1491" s="276"/>
      <c r="J1491" s="276"/>
      <c r="K1491" s="276"/>
      <c r="L1491" s="276"/>
      <c r="M1491" s="276"/>
      <c r="N1491" s="276"/>
      <c r="O1491" s="276"/>
      <c r="P1491" s="276"/>
      <c r="Q1491" s="6"/>
      <c r="R1491" s="1"/>
      <c r="S1491" s="11"/>
      <c r="T1491" s="11"/>
      <c r="U1491" s="11"/>
      <c r="V1491" s="11"/>
      <c r="W1491" s="11"/>
      <c r="AF1491" s="14"/>
    </row>
    <row r="1492" spans="1:32" ht="12.75" customHeight="1" x14ac:dyDescent="0.25">
      <c r="A1492" s="15" t="s">
        <v>165</v>
      </c>
      <c r="H1492" s="110" t="str">
        <f>IF($Q1494&lt;&gt;"",IF(AND(AND($H1494&gt;-1,$H1496&gt;-1),OR($H1494&gt;10,$H1496&gt;10),ABS($H1494-$H1496)&gt;1,IF(OR($H1494&gt;11,$H1496&gt;11),ABS($H1494-$H1496)=2,TRUE),$H1494=INT($H1494),$H1496=INT($H1496)),"","Error"),"")</f>
        <v/>
      </c>
      <c r="I1492" s="110" t="str">
        <f>IF($Q1494&lt;&gt;"",IF(AND(AND($I1494&gt;-1,$I1496&gt;-1),OR($I1494&gt;10,$I1496&gt;10),ABS($I1494-$I1496)&gt;1,IF(OR($I1494&gt;11,$I1496&gt;11),ABS($I1494-$I1496)=2,TRUE),$I1494=INT($I1494),$I1496=INT($I1496)),"","Error"),"")</f>
        <v/>
      </c>
      <c r="J1492" s="110" t="str">
        <f>IF($Q1494&lt;&gt;"",IF(AND(AND($J1494&gt;-1,$J1496&gt;-1),OR($J1494&gt;10,$J1496&gt;10),ABS($J1494-$J1496)&gt;1,IF(OR($J1494&gt;11,$J1496&gt;11),ABS($J1494-$J1496)=2,TRUE),$J1494=INT($J1494),$J1496=INT($J1496)),"","Error"),"")</f>
        <v/>
      </c>
      <c r="K1492" s="110" t="str">
        <f>IF($Q1494&lt;&gt;"",IF(AND($K1494&lt;&gt;"",$K1496&lt;&gt;""), IF(AND(AND($K1494&gt;-1,$K1496&gt;-1),OR($K1494&gt;10,$K1496&gt;10),ABS($K1494-$K1496)&gt;1,IF(OR($K1494&gt;11,$K1496&gt;11),ABS($K1494-$K1496)=2,TRUE),$K1494=INT($K1494),$K1496=INT($K1496)),"","Error"),""),"")</f>
        <v/>
      </c>
      <c r="L1492" s="110" t="str">
        <f>IF($Q1494&lt;&gt;"",IF(AND($L1494&lt;&gt;"",$L1496&lt;&gt;""), IF(AND(AND($L1494&gt;-1,$L1496&gt;-1),OR($L1494&gt;10,$L1496&gt;10),ABS($L1494-$L1496)&gt;1,IF(OR($L1494&gt;11,$L1496&gt;11),ABS($L1494-$L1496)=2,TRUE),$L1494=INT($L1494),$L1496=INT($L1496)),"","Error"),""),"")</f>
        <v/>
      </c>
      <c r="R1492" s="1"/>
      <c r="S1492" s="11"/>
      <c r="T1492" s="11"/>
      <c r="U1492" s="11"/>
      <c r="V1492" s="11"/>
      <c r="W1492" s="11"/>
    </row>
    <row r="1493" spans="1:32" ht="12.75" customHeight="1" x14ac:dyDescent="0.25">
      <c r="A1493" s="5" t="s">
        <v>160</v>
      </c>
      <c r="B1493" s="256" t="s">
        <v>58</v>
      </c>
      <c r="C1493" s="257"/>
      <c r="D1493" s="257"/>
      <c r="E1493" s="257"/>
      <c r="F1493" s="257"/>
      <c r="G1493" s="258"/>
      <c r="H1493" s="5">
        <v>1</v>
      </c>
      <c r="I1493" s="5">
        <v>2</v>
      </c>
      <c r="J1493" s="5">
        <v>3</v>
      </c>
      <c r="K1493" s="5">
        <v>4</v>
      </c>
      <c r="L1493" s="5">
        <v>5</v>
      </c>
      <c r="M1493" s="270"/>
      <c r="N1493" s="271"/>
      <c r="O1493" s="271"/>
      <c r="P1493" s="272"/>
      <c r="R1493" s="1"/>
      <c r="S1493" s="11"/>
      <c r="T1493" s="11"/>
      <c r="U1493" s="11"/>
      <c r="V1493" s="11"/>
      <c r="W1493" s="11"/>
    </row>
    <row r="1494" spans="1:32" ht="12.75" customHeight="1" x14ac:dyDescent="0.25">
      <c r="A1494" s="259" t="str">
        <f>B1488</f>
        <v>G</v>
      </c>
      <c r="B1494" s="236" t="str">
        <f ca="1">IF(AND(OFFSET($AO$1,$C1488-1,8,1,1),$A1489&lt;&gt;"",$J1489&lt;&gt;""),CHOOSE($C1488,$AO$1,$AO$2,$AO$3,$AO$4,$AO$5,$AO$6,$AO$7,$AO$8,$AO$9,$AO$10,$AO$11,$AO$12),"")</f>
        <v/>
      </c>
      <c r="C1494" s="237"/>
      <c r="D1494" s="237"/>
      <c r="E1494" s="237"/>
      <c r="F1494" s="237"/>
      <c r="G1494" s="237"/>
      <c r="H1494" s="233"/>
      <c r="I1494" s="233"/>
      <c r="J1494" s="233"/>
      <c r="K1494" s="233"/>
      <c r="L1494" s="233"/>
      <c r="M1494" s="281"/>
      <c r="N1494" s="282"/>
      <c r="O1494" s="282"/>
      <c r="P1494" s="283"/>
      <c r="Q1494" s="40" t="str">
        <f>IF($L1494=$L1496,IF($K1494=$K1496,IF($J1494&lt;&gt;"",IF($J1494&gt;$J1496,"W","L"),""),IF($K1494&gt;$K1496,"W","L")),IF($L1494&gt;$L1496,"W","L"))</f>
        <v/>
      </c>
      <c r="R1494" s="1"/>
      <c r="S1494" s="11"/>
      <c r="T1494" s="11"/>
      <c r="U1494" s="11"/>
      <c r="V1494" s="11"/>
      <c r="W1494" s="11"/>
    </row>
    <row r="1495" spans="1:32" ht="12.75" customHeight="1" x14ac:dyDescent="0.25">
      <c r="A1495" s="260"/>
      <c r="B1495" s="238"/>
      <c r="C1495" s="239"/>
      <c r="D1495" s="239"/>
      <c r="E1495" s="239"/>
      <c r="F1495" s="239"/>
      <c r="G1495" s="239"/>
      <c r="H1495" s="234"/>
      <c r="I1495" s="234"/>
      <c r="J1495" s="234"/>
      <c r="K1495" s="234"/>
      <c r="L1495" s="234"/>
      <c r="M1495" s="281"/>
      <c r="N1495" s="282"/>
      <c r="O1495" s="282"/>
      <c r="P1495" s="283"/>
      <c r="Q1495" s="110" t="str">
        <f>IF($Q1494&lt;&gt;"",IF($Q1494="W",IF(SUM(IF($H1494&gt;$H1496,1,0),IF($I1494&gt;$I1496,1,0),IF($J1494&gt;$J1496,1,0),IF($K1494&gt;$K1496,1,0),IF($L1494&gt;$L1496,1,0))&lt;&gt;3,"Error",""),""),"")</f>
        <v/>
      </c>
      <c r="R1495" s="295" t="str">
        <f>$A1489</f>
        <v/>
      </c>
      <c r="S1495" s="295"/>
      <c r="T1495" s="295"/>
      <c r="U1495" s="295"/>
      <c r="V1495" s="295"/>
      <c r="W1495" s="295"/>
      <c r="X1495" s="219" t="str">
        <f>CONCATENATE("(",$B1488," vs ",$K1488,")")</f>
        <v>(G vs H)</v>
      </c>
      <c r="Y1495" s="219"/>
      <c r="Z1495" s="295" t="str">
        <f>$J1489</f>
        <v/>
      </c>
      <c r="AA1495" s="295"/>
      <c r="AB1495" s="295"/>
      <c r="AC1495" s="295"/>
      <c r="AD1495" s="295"/>
      <c r="AE1495" s="295"/>
      <c r="AF1495"/>
    </row>
    <row r="1496" spans="1:32" ht="12.75" customHeight="1" x14ac:dyDescent="0.25">
      <c r="A1496" s="259" t="str">
        <f>K1488</f>
        <v>H</v>
      </c>
      <c r="B1496" s="236" t="str">
        <f ca="1">IF(AND(OFFSET($AO$1,$L1488-1,8,1,1),$A1489&lt;&gt;"",$J1489&lt;&gt;""),CHOOSE($L1488,$AO$1,$AO$2,$AO$3,$AO$4,$AO$5,$AO$6,$AO$7,$AO$8,$AO$9,$AO$10,$AO$11,$AO$12),"")</f>
        <v/>
      </c>
      <c r="C1496" s="237"/>
      <c r="D1496" s="237"/>
      <c r="E1496" s="237"/>
      <c r="F1496" s="237"/>
      <c r="G1496" s="237"/>
      <c r="H1496" s="233"/>
      <c r="I1496" s="233"/>
      <c r="J1496" s="233"/>
      <c r="K1496" s="233"/>
      <c r="L1496" s="233"/>
      <c r="M1496" s="250" t="s">
        <v>169</v>
      </c>
      <c r="N1496" s="251"/>
      <c r="O1496" s="251"/>
      <c r="P1496" s="252"/>
      <c r="Q1496" s="40" t="str">
        <f>IF($Q1494&lt;&gt;"",IF($Q1494="W","L","W"),"")</f>
        <v/>
      </c>
      <c r="R1496"/>
      <c r="S1496"/>
      <c r="T1496"/>
      <c r="U1496"/>
      <c r="V1496"/>
      <c r="W1496"/>
      <c r="X1496"/>
      <c r="Y1496"/>
      <c r="Z1496"/>
      <c r="AA1496"/>
      <c r="AB1496"/>
      <c r="AC1496"/>
      <c r="AD1496"/>
      <c r="AE1496"/>
      <c r="AF1496"/>
    </row>
    <row r="1497" spans="1:32" ht="12.75" customHeight="1" x14ac:dyDescent="0.25">
      <c r="A1497" s="260"/>
      <c r="B1497" s="238"/>
      <c r="C1497" s="239"/>
      <c r="D1497" s="239"/>
      <c r="E1497" s="239"/>
      <c r="F1497" s="239"/>
      <c r="G1497" s="239"/>
      <c r="H1497" s="234"/>
      <c r="I1497" s="234"/>
      <c r="J1497" s="235"/>
      <c r="K1497" s="235"/>
      <c r="L1497" s="235"/>
      <c r="M1497" s="250"/>
      <c r="N1497" s="251"/>
      <c r="O1497" s="251"/>
      <c r="P1497" s="252"/>
      <c r="Q1497" s="110" t="str">
        <f>IF($Q1496&lt;&gt;"",IF($Q1496="W",IF(SUM(IF($H1496&gt;$H1494,1,0),IF($I1496&gt;$I1494,1,0),IF($J1496&gt;$J1494,1,0),IF($K1496&gt;$K1494,1,0),IF($L1496&gt;$L1494,1,0))&lt;&gt;3,"Error",""),""),"")</f>
        <v/>
      </c>
      <c r="R1497" t="str">
        <f>$A1499</f>
        <v>2nd Singles</v>
      </c>
      <c r="S1497"/>
      <c r="T1497"/>
      <c r="U1497"/>
      <c r="V1497"/>
      <c r="W1497"/>
      <c r="X1497"/>
      <c r="Y1497"/>
      <c r="Z1497"/>
      <c r="AA1497"/>
      <c r="AB1497"/>
      <c r="AC1497"/>
      <c r="AD1497"/>
      <c r="AE1497"/>
      <c r="AF1497"/>
    </row>
    <row r="1498" spans="1:32" ht="12.75" customHeight="1" x14ac:dyDescent="0.25">
      <c r="Q1498" s="6"/>
      <c r="R1498" s="47" t="s">
        <v>160</v>
      </c>
      <c r="S1498" s="304" t="s">
        <v>58</v>
      </c>
      <c r="T1498" s="305"/>
      <c r="U1498" s="305"/>
      <c r="V1498" s="305"/>
      <c r="W1498" s="305"/>
      <c r="X1498" s="306"/>
      <c r="Y1498" s="47">
        <v>1</v>
      </c>
      <c r="Z1498" s="47">
        <v>2</v>
      </c>
      <c r="AA1498" s="47">
        <v>3</v>
      </c>
      <c r="AB1498" s="47">
        <v>4</v>
      </c>
      <c r="AC1498" s="47">
        <v>5</v>
      </c>
      <c r="AD1498" s="286"/>
      <c r="AE1498" s="287"/>
      <c r="AF1498" s="288"/>
    </row>
    <row r="1499" spans="1:32" ht="12.75" customHeight="1" x14ac:dyDescent="0.25">
      <c r="A1499" s="15" t="s">
        <v>166</v>
      </c>
      <c r="H1499" s="110" t="str">
        <f>IF($Q1501&lt;&gt;"",IF(AND(AND($H1501&gt;-1,$H1503&gt;-1),OR($H1501&gt;10,$H1503&gt;10),ABS($H1501-$H1503)&gt;1,IF(OR($H1501&gt;11,$H1503&gt;11),ABS($H1501-$H1503)=2,TRUE),$H1501=INT($H1501),$H1503=INT($H1503)),"","Error"),"")</f>
        <v/>
      </c>
      <c r="I1499" s="110" t="str">
        <f>IF($Q1501&lt;&gt;"",IF(AND(AND($I1501&gt;-1,$I1503&gt;-1),OR($I1501&gt;10,$I1503&gt;10),ABS($I1501-$I1503)&gt;1,IF(OR($I1501&gt;11,$I1503&gt;11),ABS($I1501-$I1503)=2,TRUE),$I1501=INT($I1501),$I1503=INT($I1503)),"","Error"),"")</f>
        <v/>
      </c>
      <c r="J1499" s="110" t="str">
        <f>IF($Q1501&lt;&gt;"",IF(AND(AND($J1501&gt;-1,$J1503&gt;-1),OR($J1501&gt;10,$J1503&gt;10),ABS($J1501-$J1503)&gt;1,IF(OR($J1501&gt;11,$J1503&gt;11),ABS($J1501-$J1503)=2,TRUE),$J1501=INT($J1501),$J1503=INT($J1503)),"","Error"),"")</f>
        <v/>
      </c>
      <c r="K1499" s="110" t="str">
        <f>IF($Q1501&lt;&gt;"",IF(AND($K1501&lt;&gt;"",$K1503&lt;&gt;""), IF(AND(AND($K1501&gt;-1,$K1503&gt;-1),OR($K1501&gt;10,$K1503&gt;10),ABS($K1501-$K1503)&gt;1,IF(OR($K1501&gt;11,$K1503&gt;11),ABS($K1501-$K1503)=2,TRUE),$K1501=INT($K1501),$K1503=INT($K1503)),"","Error"),""),"")</f>
        <v/>
      </c>
      <c r="L1499" s="110" t="str">
        <f>IF($Q1501&lt;&gt;"",IF(AND($L1501&lt;&gt;"",$L1503&lt;&gt;""), IF(AND(AND($L1501&gt;-1,$L1503&gt;-1),OR($L1501&gt;10,$L1503&gt;10),ABS($L1501-$L1503)&gt;1,IF(OR($L1501&gt;11,$L1503&gt;11),ABS($L1501-$L1503)=2,TRUE),$L1501=INT($L1501),$L1503=INT($L1503)),"","Error"),""),"")</f>
        <v/>
      </c>
      <c r="Q1499" s="6"/>
      <c r="R1499" s="259" t="str">
        <f>$B1488</f>
        <v>G</v>
      </c>
      <c r="S1499" s="307" t="str">
        <f ca="1">IF($B1501&lt;&gt;"",$B1501,"")</f>
        <v/>
      </c>
      <c r="T1499" s="308"/>
      <c r="U1499" s="308"/>
      <c r="V1499" s="308"/>
      <c r="W1499" s="308"/>
      <c r="X1499" s="309"/>
      <c r="Y1499" s="284"/>
      <c r="Z1499" s="284"/>
      <c r="AA1499" s="284"/>
      <c r="AB1499" s="284"/>
      <c r="AC1499" s="284"/>
      <c r="AD1499" s="296"/>
      <c r="AE1499" s="290"/>
      <c r="AF1499" s="291"/>
    </row>
    <row r="1500" spans="1:32" ht="12.75" customHeight="1" x14ac:dyDescent="0.25">
      <c r="A1500" s="5" t="s">
        <v>160</v>
      </c>
      <c r="B1500" s="256" t="s">
        <v>58</v>
      </c>
      <c r="C1500" s="257"/>
      <c r="D1500" s="257"/>
      <c r="E1500" s="257"/>
      <c r="F1500" s="257"/>
      <c r="G1500" s="258"/>
      <c r="H1500" s="5">
        <v>1</v>
      </c>
      <c r="I1500" s="5">
        <v>2</v>
      </c>
      <c r="J1500" s="5">
        <v>3</v>
      </c>
      <c r="K1500" s="5">
        <v>4</v>
      </c>
      <c r="L1500" s="5">
        <v>5</v>
      </c>
      <c r="M1500" s="270"/>
      <c r="N1500" s="271"/>
      <c r="O1500" s="271"/>
      <c r="P1500" s="272"/>
      <c r="Q1500" s="6"/>
      <c r="R1500" s="285"/>
      <c r="S1500" s="310"/>
      <c r="T1500" s="311"/>
      <c r="U1500" s="311"/>
      <c r="V1500" s="311"/>
      <c r="W1500" s="311"/>
      <c r="X1500" s="312"/>
      <c r="Y1500" s="285"/>
      <c r="Z1500" s="285"/>
      <c r="AA1500" s="285"/>
      <c r="AB1500" s="285"/>
      <c r="AC1500" s="285"/>
      <c r="AD1500" s="292"/>
      <c r="AE1500" s="293"/>
      <c r="AF1500" s="294"/>
    </row>
    <row r="1501" spans="1:32" ht="12.75" customHeight="1" x14ac:dyDescent="0.25">
      <c r="A1501" s="259" t="str">
        <f>B1488</f>
        <v>G</v>
      </c>
      <c r="B1501" s="236" t="str">
        <f ca="1">IF(AND(OFFSET($AO$1,$C1488-1,8,1,1),$A1489&lt;&gt;"",$J1489&lt;&gt;""),CHOOSE($C1488,$AP$1,$AP$2,$AP$3,$AP$4,$AP$5,$AP$6,$AP$7,$AP$8,$AP$9,$AP$10,$AP$11,$AP$12),"")</f>
        <v/>
      </c>
      <c r="C1501" s="237"/>
      <c r="D1501" s="237"/>
      <c r="E1501" s="237"/>
      <c r="F1501" s="237"/>
      <c r="G1501" s="237"/>
      <c r="H1501" s="233"/>
      <c r="I1501" s="233"/>
      <c r="J1501" s="233"/>
      <c r="K1501" s="233"/>
      <c r="L1501" s="233"/>
      <c r="M1501" s="245" t="str">
        <f ca="1">IF(OR(AND($B1494&lt;&gt;"",$B1501&lt;&gt;"",$C1519&lt;=$B1519),AND($B1496&lt;&gt;"",$B1503&lt;&gt;"",$G1519&lt;=$F1519)),"Invalid Lineup","")</f>
        <v/>
      </c>
      <c r="N1501" s="246"/>
      <c r="O1501" s="246"/>
      <c r="P1501" s="247"/>
      <c r="Q1501" s="40" t="str">
        <f>IF($L1501=$L1503,IF($K1501=$K1503,IF($J1501&lt;&gt;"",IF($J1501&gt;$J1503,"W","L"),""),IF($K1501&gt;$K1503,"W","L")),IF($L1501&gt;$L1503,"W","L"))</f>
        <v/>
      </c>
      <c r="R1501" s="259" t="str">
        <f>$K1488</f>
        <v>H</v>
      </c>
      <c r="S1501" s="307" t="str">
        <f ca="1">IF($B1503&lt;&gt;"",$B1503,"")</f>
        <v/>
      </c>
      <c r="T1501" s="308"/>
      <c r="U1501" s="308"/>
      <c r="V1501" s="308"/>
      <c r="W1501" s="308"/>
      <c r="X1501" s="309"/>
      <c r="Y1501" s="284"/>
      <c r="Z1501" s="284"/>
      <c r="AA1501" s="284"/>
      <c r="AB1501" s="284"/>
      <c r="AC1501" s="297"/>
      <c r="AD1501" s="289" t="s">
        <v>169</v>
      </c>
      <c r="AE1501" s="290"/>
      <c r="AF1501" s="291"/>
    </row>
    <row r="1502" spans="1:32" ht="12.75" customHeight="1" x14ac:dyDescent="0.25">
      <c r="A1502" s="260"/>
      <c r="B1502" s="238"/>
      <c r="C1502" s="239"/>
      <c r="D1502" s="239"/>
      <c r="E1502" s="239"/>
      <c r="F1502" s="239"/>
      <c r="G1502" s="239"/>
      <c r="H1502" s="234"/>
      <c r="I1502" s="234"/>
      <c r="J1502" s="234"/>
      <c r="K1502" s="234"/>
      <c r="L1502" s="234"/>
      <c r="M1502" s="245"/>
      <c r="N1502" s="246"/>
      <c r="O1502" s="246"/>
      <c r="P1502" s="247"/>
      <c r="Q1502" s="110" t="str">
        <f>IF($Q1501&lt;&gt;"",IF($Q1501="W",IF(SUM(IF($H1501&gt;$H1503,1,0),IF($I1501&gt;$I1503,1,0),IF($J1501&gt;$J1503,1,0),IF($K1501&gt;$K1503,1,0),IF($L1501&gt;$L1503,1,0))&lt;&gt;3,"Error",""),""),"")</f>
        <v/>
      </c>
      <c r="R1502" s="285"/>
      <c r="S1502" s="310"/>
      <c r="T1502" s="311"/>
      <c r="U1502" s="311"/>
      <c r="V1502" s="311"/>
      <c r="W1502" s="311"/>
      <c r="X1502" s="312"/>
      <c r="Y1502" s="285"/>
      <c r="Z1502" s="285"/>
      <c r="AA1502" s="285"/>
      <c r="AB1502" s="285"/>
      <c r="AC1502" s="285"/>
      <c r="AD1502" s="292"/>
      <c r="AE1502" s="293"/>
      <c r="AF1502" s="294"/>
    </row>
    <row r="1503" spans="1:32" ht="12.75" customHeight="1" x14ac:dyDescent="0.25">
      <c r="A1503" s="259" t="str">
        <f>K1488</f>
        <v>H</v>
      </c>
      <c r="B1503" s="236" t="str">
        <f ca="1">IF(AND(OFFSET($AO$1,$L1488-1,8,1,1),$A1489&lt;&gt;"",$J1489&lt;&gt;""),CHOOSE($L1488,$AP$1,$AP$2,$AP$3,$AP$4,$AP$5,$AP$6,$AP$7,$AP$8,$AP$9,$AP$10,$AP$11,$AP$12),"")</f>
        <v/>
      </c>
      <c r="C1503" s="237"/>
      <c r="D1503" s="237"/>
      <c r="E1503" s="237"/>
      <c r="F1503" s="237"/>
      <c r="G1503" s="237"/>
      <c r="H1503" s="233"/>
      <c r="I1503" s="233"/>
      <c r="J1503" s="233"/>
      <c r="K1503" s="233"/>
      <c r="L1503" s="233"/>
      <c r="M1503" s="250" t="s">
        <v>169</v>
      </c>
      <c r="N1503" s="251"/>
      <c r="O1503" s="251"/>
      <c r="P1503" s="252"/>
      <c r="Q1503" s="40" t="str">
        <f>IF($Q1501&lt;&gt;"",IF($Q1501="W","L","W"),"")</f>
        <v/>
      </c>
      <c r="R1503" s="14"/>
      <c r="S1503" s="14"/>
      <c r="T1503" s="14"/>
      <c r="U1503" s="14"/>
      <c r="V1503" s="14"/>
      <c r="W1503" s="14"/>
      <c r="X1503" s="7"/>
      <c r="Y1503" s="7"/>
      <c r="Z1503" s="14"/>
      <c r="AA1503" s="14"/>
      <c r="AB1503" s="14"/>
      <c r="AC1503" s="14"/>
      <c r="AD1503" s="14"/>
      <c r="AE1503" s="14"/>
      <c r="AF1503"/>
    </row>
    <row r="1504" spans="1:32" ht="12.75" customHeight="1" x14ac:dyDescent="0.25">
      <c r="A1504" s="260"/>
      <c r="B1504" s="238"/>
      <c r="C1504" s="239"/>
      <c r="D1504" s="239"/>
      <c r="E1504" s="239"/>
      <c r="F1504" s="239"/>
      <c r="G1504" s="239"/>
      <c r="H1504" s="234"/>
      <c r="I1504" s="234"/>
      <c r="J1504" s="235"/>
      <c r="K1504" s="235"/>
      <c r="L1504" s="235"/>
      <c r="M1504" s="250"/>
      <c r="N1504" s="251"/>
      <c r="O1504" s="251"/>
      <c r="P1504" s="252"/>
      <c r="Q1504" s="110" t="str">
        <f>IF($Q1503&lt;&gt;"",IF($Q1503="W",IF(SUM(IF($H1503&gt;$H1501,1,0),IF($I1503&gt;$I1501,1,0),IF($J1503&gt;$J1501,1,0),IF($K1503&gt;$K1501,1,0),IF($L1503&gt;$L1501,1,0))&lt;&gt;3,"Error",""),""),"")</f>
        <v/>
      </c>
      <c r="R1504" s="14"/>
      <c r="S1504" s="14"/>
      <c r="T1504" s="14"/>
      <c r="U1504" s="14"/>
      <c r="V1504" s="14"/>
      <c r="W1504" s="14"/>
      <c r="X1504" s="7"/>
      <c r="Y1504" s="7"/>
      <c r="Z1504" s="14"/>
      <c r="AA1504" s="14"/>
      <c r="AB1504" s="14"/>
      <c r="AC1504" s="14"/>
      <c r="AD1504" s="14"/>
      <c r="AE1504" s="14"/>
      <c r="AF1504"/>
    </row>
    <row r="1505" spans="1:32" ht="12.75" customHeight="1" x14ac:dyDescent="0.25">
      <c r="Q1505" s="6"/>
      <c r="R1505" s="14"/>
      <c r="S1505" s="14"/>
      <c r="T1505" s="14"/>
      <c r="U1505" s="14"/>
      <c r="V1505" s="14"/>
      <c r="W1505" s="14"/>
      <c r="X1505" s="7"/>
      <c r="Y1505" s="7"/>
      <c r="Z1505" s="14"/>
      <c r="AA1505" s="14"/>
      <c r="AB1505" s="14"/>
      <c r="AC1505" s="14"/>
      <c r="AD1505" s="14"/>
      <c r="AE1505" s="14"/>
      <c r="AF1505"/>
    </row>
    <row r="1506" spans="1:32" ht="12.75" customHeight="1" x14ac:dyDescent="0.25">
      <c r="A1506" s="15" t="s">
        <v>167</v>
      </c>
      <c r="H1506" s="110" t="str">
        <f>IF($Q1508&lt;&gt;"",IF(AND(AND($H1508&gt;-1,$H1510&gt;-1),OR($H1508&gt;10,$H1510&gt;10),ABS($H1508-$H1510)&gt;1,IF(OR($H1508&gt;11,$H1510&gt;11),ABS($H1508-$H1510)=2,TRUE),$H1508=INT($H1508),$H1510=INT($H1510)),"","Error"),"")</f>
        <v/>
      </c>
      <c r="I1506" s="110" t="str">
        <f>IF($Q1508&lt;&gt;"",IF(AND(AND($I1508&gt;-1,$I1510&gt;-1),OR($I1508&gt;10,$I1510&gt;10),ABS($I1508-$I1510)&gt;1,IF(OR($I1508&gt;11,$I1510&gt;11),ABS($I1508-$I1510)=2,TRUE),$I1508=INT($I1508),$I1510=INT($I1510)),"","Error"),"")</f>
        <v/>
      </c>
      <c r="J1506" s="110" t="str">
        <f>IF($Q1508&lt;&gt;"",IF(AND(AND($J1508&gt;-1,$J1510&gt;-1),OR($J1508&gt;10,$J1510&gt;10),ABS($J1508-$J1510)&gt;1,IF(OR($J1508&gt;11,$J1510&gt;11),ABS($J1508-$J1510)=2,TRUE),$J1508=INT($J1508),$J1510=INT($J1510)),"","Error"),"")</f>
        <v/>
      </c>
      <c r="K1506" s="110" t="str">
        <f>IF($Q1508&lt;&gt;"",IF(AND($K1508&lt;&gt;"",$K1510&lt;&gt;""), IF(AND(AND($K1508&gt;-1,$K1510&gt;-1),OR($K1508&gt;10,$K1510&gt;10),ABS($K1508-$K1510)&gt;1,IF(OR($K1508&gt;11,$K1510&gt;11),ABS($K1508-$K1510)=2,TRUE),$K1508=INT($K1508),$K1510=INT($K1510)),"","Error"),""),"")</f>
        <v/>
      </c>
      <c r="L1506" s="110" t="str">
        <f>IF($Q1508&lt;&gt;"",IF(AND($L1508&lt;&gt;"",$L1510&lt;&gt;""), IF(AND(AND($L1508&gt;-1,$L1510&gt;-1),OR($L1508&gt;10,$L1510&gt;10),ABS($L1508-$L1510)&gt;1,IF(OR($L1508&gt;11,$L1510&gt;11),ABS($L1508-$L1510)=2,TRUE),$L1508=INT($L1508),$L1510=INT($L1510)),"","Error"),""),"")</f>
        <v/>
      </c>
      <c r="Q1506" s="6"/>
      <c r="R1506" s="14"/>
      <c r="S1506" s="14"/>
      <c r="T1506" s="14"/>
      <c r="U1506" s="14"/>
      <c r="V1506" s="14"/>
      <c r="W1506" s="14"/>
      <c r="X1506" s="7"/>
      <c r="Y1506" s="7"/>
      <c r="Z1506" s="14"/>
      <c r="AA1506" s="14"/>
      <c r="AB1506" s="14"/>
      <c r="AC1506" s="14"/>
      <c r="AD1506" s="14"/>
      <c r="AE1506" s="14"/>
      <c r="AF1506"/>
    </row>
    <row r="1507" spans="1:32" ht="12.75" customHeight="1" x14ac:dyDescent="0.25">
      <c r="A1507" s="5" t="s">
        <v>160</v>
      </c>
      <c r="B1507" s="256" t="s">
        <v>58</v>
      </c>
      <c r="C1507" s="257"/>
      <c r="D1507" s="257"/>
      <c r="E1507" s="257"/>
      <c r="F1507" s="257"/>
      <c r="G1507" s="258"/>
      <c r="H1507" s="5">
        <v>1</v>
      </c>
      <c r="I1507" s="5">
        <v>2</v>
      </c>
      <c r="J1507" s="5">
        <v>3</v>
      </c>
      <c r="K1507" s="5">
        <v>4</v>
      </c>
      <c r="L1507" s="5">
        <v>5</v>
      </c>
      <c r="M1507" s="270"/>
      <c r="N1507" s="271"/>
      <c r="O1507" s="271"/>
      <c r="P1507" s="272"/>
      <c r="Q1507" s="6"/>
      <c r="R1507" s="14"/>
      <c r="S1507" s="14"/>
      <c r="T1507" s="14"/>
      <c r="U1507" s="14"/>
      <c r="V1507" s="14"/>
      <c r="W1507" s="14"/>
      <c r="X1507" s="7"/>
      <c r="Y1507" s="7"/>
      <c r="Z1507" s="14"/>
      <c r="AA1507" s="14"/>
      <c r="AB1507" s="14"/>
      <c r="AC1507" s="14"/>
      <c r="AD1507" s="14"/>
      <c r="AE1507" s="14"/>
      <c r="AF1507"/>
    </row>
    <row r="1508" spans="1:32" ht="12.75" customHeight="1" x14ac:dyDescent="0.25">
      <c r="A1508" s="259" t="str">
        <f>B1488</f>
        <v>G</v>
      </c>
      <c r="B1508" s="236" t="str">
        <f ca="1">IF(AND(OFFSET($AO$1,$C1488-1,8,1,1),$A1489&lt;&gt;"",$J1489&lt;&gt;""),CHOOSE($C1488,$AQ$1,$AQ$2,$AQ$3,$AQ$4,$AQ$5,$AQ$6,$AQ$7,$AQ$8,$AQ$9,$AQ$10,$AQ$11,$AQ$12),"")</f>
        <v/>
      </c>
      <c r="C1508" s="237"/>
      <c r="D1508" s="237"/>
      <c r="E1508" s="237"/>
      <c r="F1508" s="237"/>
      <c r="G1508" s="237"/>
      <c r="H1508" s="233"/>
      <c r="I1508" s="233"/>
      <c r="J1508" s="233"/>
      <c r="K1508" s="233"/>
      <c r="L1508" s="233"/>
      <c r="M1508" s="245" t="str">
        <f ca="1">IF(OR(AND($B1501&lt;&gt;"",$B1508&lt;&gt;"",$D1519&lt;=$C1519),AND($B1503&lt;&gt;"",$B1510&lt;&gt;"",$H1519&lt;=$G1519)),"Invalid Lineup","")</f>
        <v/>
      </c>
      <c r="N1508" s="246"/>
      <c r="O1508" s="246"/>
      <c r="P1508" s="247"/>
      <c r="Q1508" s="40" t="str">
        <f>IF($L1508=$L1510,IF($K1508=$K1510,IF($J1508&lt;&gt;"",IF($J1508&gt;$J1510,"W","L"),""),IF($K1508&gt;$K1510,"W","L")),IF($L1508&gt;$L1510,"W","L"))</f>
        <v/>
      </c>
      <c r="R1508" s="14"/>
      <c r="S1508" s="14"/>
      <c r="T1508" s="14"/>
      <c r="U1508" s="14"/>
      <c r="V1508" s="14"/>
      <c r="W1508" s="14"/>
      <c r="X1508" s="7"/>
      <c r="Y1508" s="7"/>
      <c r="Z1508" s="14"/>
      <c r="AA1508" s="14"/>
      <c r="AB1508" s="14"/>
      <c r="AC1508" s="14"/>
      <c r="AD1508" s="14"/>
      <c r="AE1508" s="14"/>
      <c r="AF1508"/>
    </row>
    <row r="1509" spans="1:32" ht="12.75" customHeight="1" x14ac:dyDescent="0.25">
      <c r="A1509" s="260"/>
      <c r="B1509" s="238"/>
      <c r="C1509" s="239"/>
      <c r="D1509" s="239"/>
      <c r="E1509" s="239"/>
      <c r="F1509" s="239"/>
      <c r="G1509" s="239"/>
      <c r="H1509" s="234"/>
      <c r="I1509" s="234"/>
      <c r="J1509" s="234"/>
      <c r="K1509" s="234"/>
      <c r="L1509" s="234"/>
      <c r="M1509" s="245"/>
      <c r="N1509" s="246"/>
      <c r="O1509" s="246"/>
      <c r="P1509" s="247"/>
      <c r="Q1509" s="110" t="str">
        <f>IF($Q1508&lt;&gt;"",IF($Q1508="W",IF(SUM(IF($H1508&gt;$H1510,1,0),IF($I1508&gt;$I1510,1,0),IF($J1508&gt;$J1510,1,0),IF($K1508&gt;$K1510,1,0),IF($L1508&gt;$L1510,1,0))&lt;&gt;3,"Error",""),""),"")</f>
        <v/>
      </c>
      <c r="R1509" s="295" t="str">
        <f>$A1489</f>
        <v/>
      </c>
      <c r="S1509" s="295"/>
      <c r="T1509" s="295"/>
      <c r="U1509" s="295"/>
      <c r="V1509" s="295"/>
      <c r="W1509" s="295"/>
      <c r="X1509" s="219" t="str">
        <f>CONCATENATE("(",$B1488," vs ",$K1488,")")</f>
        <v>(G vs H)</v>
      </c>
      <c r="Y1509" s="219"/>
      <c r="Z1509" s="295" t="str">
        <f>$J1489</f>
        <v/>
      </c>
      <c r="AA1509" s="295"/>
      <c r="AB1509" s="295"/>
      <c r="AC1509" s="295"/>
      <c r="AD1509" s="295"/>
      <c r="AE1509" s="295"/>
      <c r="AF1509"/>
    </row>
    <row r="1510" spans="1:32" ht="12.75" customHeight="1" x14ac:dyDescent="0.25">
      <c r="A1510" s="259" t="str">
        <f>K1488</f>
        <v>H</v>
      </c>
      <c r="B1510" s="236" t="str">
        <f ca="1">IF(AND(OFFSET($AO$1,$L1488-1,8,1,1),$A1489&lt;&gt;"",$J1489&lt;&gt;""),CHOOSE($L1488,$AQ$1,$AQ$2,$AQ$3,$AQ$4,$AQ$5,$AQ$6,$AQ$7,$AQ$8,$AQ$9,$AQ$10,$AQ$11,$AQ$12),"")</f>
        <v/>
      </c>
      <c r="C1510" s="237"/>
      <c r="D1510" s="237"/>
      <c r="E1510" s="237"/>
      <c r="F1510" s="237"/>
      <c r="G1510" s="237"/>
      <c r="H1510" s="233"/>
      <c r="I1510" s="233"/>
      <c r="J1510" s="233"/>
      <c r="K1510" s="233"/>
      <c r="L1510" s="233"/>
      <c r="M1510" s="250" t="s">
        <v>169</v>
      </c>
      <c r="N1510" s="251"/>
      <c r="O1510" s="251"/>
      <c r="P1510" s="252"/>
      <c r="Q1510" s="40" t="str">
        <f>IF($Q1508&lt;&gt;"",IF($Q1508="W","L","W"),"")</f>
        <v/>
      </c>
      <c r="R1510"/>
      <c r="S1510"/>
      <c r="T1510"/>
      <c r="U1510"/>
      <c r="V1510"/>
      <c r="W1510"/>
      <c r="X1510"/>
      <c r="Y1510"/>
      <c r="Z1510"/>
      <c r="AA1510"/>
      <c r="AB1510"/>
      <c r="AC1510"/>
      <c r="AD1510"/>
      <c r="AE1510"/>
      <c r="AF1510"/>
    </row>
    <row r="1511" spans="1:32" ht="12.75" customHeight="1" x14ac:dyDescent="0.25">
      <c r="A1511" s="260"/>
      <c r="B1511" s="238"/>
      <c r="C1511" s="239"/>
      <c r="D1511" s="239"/>
      <c r="E1511" s="239"/>
      <c r="F1511" s="239"/>
      <c r="G1511" s="239"/>
      <c r="H1511" s="234"/>
      <c r="I1511" s="234"/>
      <c r="J1511" s="235"/>
      <c r="K1511" s="235"/>
      <c r="L1511" s="235"/>
      <c r="M1511" s="250"/>
      <c r="N1511" s="251"/>
      <c r="O1511" s="251"/>
      <c r="P1511" s="252"/>
      <c r="Q1511" s="110" t="str">
        <f>IF($Q1510&lt;&gt;"",IF($Q1510="W",IF(SUM(IF($H1510&gt;$H1508,1,0),IF($I1510&gt;$I1508,1,0),IF($J1510&gt;$J1508,1,0),IF($K1510&gt;$K1508,1,0),IF($L1510&gt;$L1508,1,0))&lt;&gt;3,"Error",""),""),"")</f>
        <v/>
      </c>
      <c r="R1511" t="str">
        <f>$A1506</f>
        <v>3rd Singles</v>
      </c>
      <c r="S1511"/>
      <c r="T1511"/>
      <c r="U1511"/>
      <c r="V1511"/>
      <c r="W1511"/>
      <c r="X1511"/>
      <c r="Y1511"/>
      <c r="Z1511"/>
      <c r="AA1511"/>
      <c r="AB1511"/>
      <c r="AC1511"/>
      <c r="AD1511"/>
      <c r="AE1511"/>
      <c r="AF1511"/>
    </row>
    <row r="1512" spans="1:32" ht="12.75" customHeight="1" x14ac:dyDescent="0.25">
      <c r="Q1512" s="6"/>
      <c r="R1512" s="47" t="s">
        <v>160</v>
      </c>
      <c r="S1512" s="86" t="s">
        <v>58</v>
      </c>
      <c r="T1512" s="87"/>
      <c r="U1512" s="87"/>
      <c r="V1512" s="87"/>
      <c r="W1512" s="87"/>
      <c r="X1512" s="88"/>
      <c r="Y1512" s="47">
        <v>1</v>
      </c>
      <c r="Z1512" s="47">
        <v>2</v>
      </c>
      <c r="AA1512" s="47">
        <v>3</v>
      </c>
      <c r="AB1512" s="47">
        <v>4</v>
      </c>
      <c r="AC1512" s="47">
        <v>5</v>
      </c>
      <c r="AD1512" s="89"/>
      <c r="AE1512" s="90"/>
      <c r="AF1512" s="91"/>
    </row>
    <row r="1513" spans="1:32" ht="12.75" customHeight="1" x14ac:dyDescent="0.25">
      <c r="A1513" s="15" t="s">
        <v>168</v>
      </c>
      <c r="H1513" s="110" t="str">
        <f ca="1">IF($Q1515&lt;&gt;"",IF(AND($B1515&lt;&gt;"Missing Player",$B1517&lt;&gt;"Missing Player"),IF(AND(AND($H1515&gt;-1,$H1517&gt;-1),OR($H1515&gt;10,$H1517&gt;10),ABS($H1515-$H1517)&gt;1,IF(OR($H1515&gt;11,$H1517&gt;11),ABS($H1515-$H1517)=2,TRUE),$H1515=INT($H1515),$H1517=INT($H1517)),"","Error"),""),"")</f>
        <v/>
      </c>
      <c r="I1513" s="110" t="str">
        <f ca="1">IF($Q1515&lt;&gt;"",IF(AND($B1515&lt;&gt;"Missing Player",$B1517&lt;&gt;"Missing Player"),IF(AND(AND($I1515&gt;-1,$I1517&gt;-1),OR($I1515&gt;10,$I1517&gt;10),ABS($I1515-$I1517)&gt;1,IF(OR($I1515&gt;11,$I1517&gt;11),ABS($I1515-$I1517)=2,TRUE),$I1515=INT($I1515),$I1517=INT($I1517)),"","Error"),""),"")</f>
        <v/>
      </c>
      <c r="J1513" s="110" t="str">
        <f ca="1">IF($Q1515&lt;&gt;"",IF(AND($B1515&lt;&gt;"Missing Player",$B1517&lt;&gt;"Missing Player"),IF(AND(AND($J1515&gt;-1,$J1517&gt;-1),OR($J1515&gt;10,$J1517&gt;10),ABS($J1515-$J1517)&gt;1,IF(OR($J1515&gt;11,$J1517&gt;11),ABS($J1515-$J1517)=2,TRUE),$J1515=INT($J1515),$J1517=INT($J1517)),"","Error"),""),"")</f>
        <v/>
      </c>
      <c r="K1513" s="110" t="str">
        <f ca="1">IF($Q1515&lt;&gt;"",IF(AND($K1515&lt;&gt;"",$K1517&lt;&gt;""), IF(AND(AND($K1515&gt;-1,$K1517&gt;-1),OR($K1515&gt;10,$K1517&gt;10),ABS($K1515-$K1517)&gt;1,IF(OR($K1515&gt;11,$K1517&gt;11),ABS($K1515-$K1517)=2,TRUE),$K1515=INT($K1515),$K1517=INT($K1517)),"","Error"),""),"")</f>
        <v/>
      </c>
      <c r="L1513" s="110" t="str">
        <f ca="1">IF($Q1515&lt;&gt;"",IF(AND($L1515&lt;&gt;"",$L1517&lt;&gt;""), IF(AND(AND($L1515&gt;-1,$L1517&gt;-1),OR($L1515&gt;10,$L1517&gt;10),ABS($L1515-$L1517)&gt;1,IF(OR($L1515&gt;11,$L1517&gt;11),ABS($L1515-$L1517)=2,TRUE),$L1515=INT($L1515),$L1517=INT($L1517)),"","Error"),""),"")</f>
        <v/>
      </c>
      <c r="Q1513" s="6"/>
      <c r="R1513" s="259" t="str">
        <f>$B1488</f>
        <v>G</v>
      </c>
      <c r="S1513" s="307" t="str">
        <f ca="1">IF($B1508&lt;&gt;"",$B1508,"")</f>
        <v/>
      </c>
      <c r="T1513" s="308"/>
      <c r="U1513" s="308"/>
      <c r="V1513" s="308"/>
      <c r="W1513" s="308"/>
      <c r="X1513" s="309"/>
      <c r="Y1513" s="284"/>
      <c r="Z1513" s="284"/>
      <c r="AA1513" s="284"/>
      <c r="AB1513" s="284"/>
      <c r="AC1513" s="284"/>
      <c r="AD1513" s="296"/>
      <c r="AE1513" s="290"/>
      <c r="AF1513" s="291"/>
    </row>
    <row r="1514" spans="1:32" ht="12.75" customHeight="1" x14ac:dyDescent="0.25">
      <c r="A1514" s="5" t="s">
        <v>160</v>
      </c>
      <c r="B1514" s="256" t="s">
        <v>58</v>
      </c>
      <c r="C1514" s="257"/>
      <c r="D1514" s="257"/>
      <c r="E1514" s="257"/>
      <c r="F1514" s="257"/>
      <c r="G1514" s="258"/>
      <c r="H1514" s="5">
        <v>1</v>
      </c>
      <c r="I1514" s="5">
        <v>2</v>
      </c>
      <c r="J1514" s="5">
        <v>3</v>
      </c>
      <c r="K1514" s="5">
        <v>4</v>
      </c>
      <c r="L1514" s="5">
        <v>5</v>
      </c>
      <c r="M1514" s="270"/>
      <c r="N1514" s="271"/>
      <c r="O1514" s="271"/>
      <c r="P1514" s="272"/>
      <c r="Q1514" s="6"/>
      <c r="R1514" s="285"/>
      <c r="S1514" s="310"/>
      <c r="T1514" s="311"/>
      <c r="U1514" s="311"/>
      <c r="V1514" s="311"/>
      <c r="W1514" s="311"/>
      <c r="X1514" s="312"/>
      <c r="Y1514" s="285"/>
      <c r="Z1514" s="285"/>
      <c r="AA1514" s="285"/>
      <c r="AB1514" s="285"/>
      <c r="AC1514" s="285"/>
      <c r="AD1514" s="292"/>
      <c r="AE1514" s="293"/>
      <c r="AF1514" s="294"/>
    </row>
    <row r="1515" spans="1:32" ht="12.75" customHeight="1" x14ac:dyDescent="0.25">
      <c r="A1515" s="259" t="str">
        <f>B1488</f>
        <v>G</v>
      </c>
      <c r="B1515" s="236" t="str">
        <f ca="1">IF(AND(OFFSET($AO$1,$C1488-1,8,1,1),$A1489&lt;&gt;"",$J1489&lt;&gt;""),CHOOSE($C1488,$AR$1,$AR$2,$AR$3,$AR$4,$AR$5,$AR$6,$AR$7,$AR$8,$AR$9,$AR$10,$AR$11,$AR$12),"")</f>
        <v/>
      </c>
      <c r="C1515" s="237"/>
      <c r="D1515" s="237"/>
      <c r="E1515" s="237"/>
      <c r="F1515" s="237"/>
      <c r="G1515" s="237"/>
      <c r="H1515" s="233"/>
      <c r="I1515" s="233"/>
      <c r="J1515" s="233"/>
      <c r="K1515" s="233"/>
      <c r="L1515" s="233" t="str">
        <f ca="1">IF(AND($B1515&lt;&gt;"",$Q1494&lt;&gt;""),IF($B1515="Missing Player",0,IF($B1517="Missing Player",11,"")),"")</f>
        <v/>
      </c>
      <c r="M1515" s="245" t="str">
        <f ca="1">IF(OR(AND($B1508&lt;&gt;"",$B1515&lt;&gt;"",$E1519&lt;=$D1519),AND($B1510&lt;&gt;"",$B1517&lt;&gt;"",$I1519&lt;=$H1519)),"Invalid Lineup","")</f>
        <v/>
      </c>
      <c r="N1515" s="246"/>
      <c r="O1515" s="246"/>
      <c r="P1515" s="247"/>
      <c r="Q1515" s="40" t="str">
        <f ca="1">IF($L1515=$L1517,IF($K1515=$K1517,IF($J1515&lt;&gt;"",IF($J1515&gt;$J1517,"W","L"),""),IF($K1515&gt;$K1517,"W","L")),IF($L1515&gt;$L1517,"W","L"))</f>
        <v/>
      </c>
      <c r="R1515" s="259" t="str">
        <f>$K1488</f>
        <v>H</v>
      </c>
      <c r="S1515" s="307" t="str">
        <f ca="1">IF($B1510&lt;&gt;"",$B1510,"")</f>
        <v/>
      </c>
      <c r="T1515" s="308"/>
      <c r="U1515" s="308"/>
      <c r="V1515" s="308"/>
      <c r="W1515" s="308"/>
      <c r="X1515" s="309"/>
      <c r="Y1515" s="284"/>
      <c r="Z1515" s="284"/>
      <c r="AA1515" s="284"/>
      <c r="AB1515" s="284"/>
      <c r="AC1515" s="297"/>
      <c r="AD1515" s="289" t="s">
        <v>169</v>
      </c>
      <c r="AE1515" s="290"/>
      <c r="AF1515" s="291"/>
    </row>
    <row r="1516" spans="1:32" ht="12.75" customHeight="1" x14ac:dyDescent="0.25">
      <c r="A1516" s="260"/>
      <c r="B1516" s="238"/>
      <c r="C1516" s="239"/>
      <c r="D1516" s="239"/>
      <c r="E1516" s="239"/>
      <c r="F1516" s="239"/>
      <c r="G1516" s="239"/>
      <c r="H1516" s="234"/>
      <c r="I1516" s="234"/>
      <c r="J1516" s="234"/>
      <c r="K1516" s="234"/>
      <c r="L1516" s="234"/>
      <c r="M1516" s="245"/>
      <c r="N1516" s="246"/>
      <c r="O1516" s="246"/>
      <c r="P1516" s="247"/>
      <c r="Q1516" s="110" t="str">
        <f ca="1">IF($Q1515&lt;&gt;"",IF($B1517&lt;&gt;"Missing Player",IF($Q1515="W",IF(SUM(IF($H1515&gt;$H1517,1,0),IF($I1515&gt;$I1517,1,0),IF($J1515&gt;$J1517,1,0),IF($K1515&gt;$K1517,1,0),IF($L1515&gt;$L1517,1,0))&lt;&gt;3,"Error",""),""),""),"")</f>
        <v/>
      </c>
      <c r="R1516" s="285"/>
      <c r="S1516" s="310"/>
      <c r="T1516" s="311"/>
      <c r="U1516" s="311"/>
      <c r="V1516" s="311"/>
      <c r="W1516" s="311"/>
      <c r="X1516" s="312"/>
      <c r="Y1516" s="285"/>
      <c r="Z1516" s="285"/>
      <c r="AA1516" s="285"/>
      <c r="AB1516" s="285"/>
      <c r="AC1516" s="285"/>
      <c r="AD1516" s="292"/>
      <c r="AE1516" s="293"/>
      <c r="AF1516" s="294"/>
    </row>
    <row r="1517" spans="1:32" ht="12.75" customHeight="1" x14ac:dyDescent="0.25">
      <c r="A1517" s="259" t="str">
        <f>K1488</f>
        <v>H</v>
      </c>
      <c r="B1517" s="236" t="str">
        <f ca="1">IF(AND(OFFSET($AO$1,$L1488-1,8,1,1),$A1489&lt;&gt;"",$J1489&lt;&gt;""),CHOOSE($L1488,$AR$1,$AR$2,$AR$3,$AR$4,$AR$5,$AR$6,$AR$7,$AR$8,$AR$9,$AR$10,$AR$11,$AR$12),"")</f>
        <v/>
      </c>
      <c r="C1517" s="237"/>
      <c r="D1517" s="237"/>
      <c r="E1517" s="237"/>
      <c r="F1517" s="237"/>
      <c r="G1517" s="237"/>
      <c r="H1517" s="233"/>
      <c r="I1517" s="233"/>
      <c r="J1517" s="233"/>
      <c r="K1517" s="233"/>
      <c r="L1517" s="233" t="str">
        <f ca="1">IF(AND($B1517&lt;&gt;"",$Q1494&lt;&gt;""),IF($B1517="Missing Player",0,IF($B1515="Missing Player",11,"")),"")</f>
        <v/>
      </c>
      <c r="M1517" s="250" t="s">
        <v>169</v>
      </c>
      <c r="N1517" s="251"/>
      <c r="O1517" s="251"/>
      <c r="P1517" s="252"/>
      <c r="Q1517" s="40" t="str">
        <f ca="1">IF($Q1515&lt;&gt;"",IF($Q1515="W","L","W"),"")</f>
        <v/>
      </c>
      <c r="R1517" s="94"/>
      <c r="S1517" s="84"/>
      <c r="T1517" s="84"/>
      <c r="U1517" s="84"/>
      <c r="V1517" s="84"/>
      <c r="W1517" s="84"/>
      <c r="X1517" s="84"/>
      <c r="Y1517" s="93"/>
      <c r="Z1517" s="93"/>
      <c r="AA1517" s="93"/>
      <c r="AB1517" s="93"/>
      <c r="AC1517" s="93"/>
      <c r="AD1517" s="92"/>
      <c r="AE1517" s="93"/>
      <c r="AF1517" s="93"/>
    </row>
    <row r="1518" spans="1:32" ht="12.75" customHeight="1" x14ac:dyDescent="0.25">
      <c r="A1518" s="260"/>
      <c r="B1518" s="238"/>
      <c r="C1518" s="239"/>
      <c r="D1518" s="239"/>
      <c r="E1518" s="239"/>
      <c r="F1518" s="239"/>
      <c r="G1518" s="239"/>
      <c r="H1518" s="234"/>
      <c r="I1518" s="234"/>
      <c r="J1518" s="235"/>
      <c r="K1518" s="235"/>
      <c r="L1518" s="235"/>
      <c r="M1518" s="250"/>
      <c r="N1518" s="251"/>
      <c r="O1518" s="251"/>
      <c r="P1518" s="252"/>
      <c r="Q1518" s="110" t="str">
        <f ca="1">IF($Q1517&lt;&gt;"",IF($B1515&lt;&gt;"Missing Player",IF($Q1517="W",IF(SUM(IF($H1517&gt;$H1515,1,0),IF($I1517&gt;$I1515,1,0),IF($J1517&gt;$J1515,1,0),IF($K1517&gt;$K1515,1,0),IF($L1517&gt;$L1515,1,0))&lt;&gt;3,"Error",""),""),""),"")</f>
        <v/>
      </c>
      <c r="R1518" s="85"/>
      <c r="S1518" s="95"/>
      <c r="T1518" s="95"/>
      <c r="U1518" s="95"/>
      <c r="V1518" s="95"/>
      <c r="W1518" s="95"/>
      <c r="X1518" s="95"/>
      <c r="Y1518" s="85"/>
      <c r="Z1518" s="85"/>
      <c r="AA1518" s="85"/>
      <c r="AB1518" s="85"/>
      <c r="AC1518" s="85"/>
      <c r="AD1518" s="85"/>
      <c r="AE1518" s="85"/>
      <c r="AF1518" s="85"/>
    </row>
    <row r="1519" spans="1:32" ht="12.75" customHeight="1" x14ac:dyDescent="0.25">
      <c r="B1519" s="111" t="str">
        <f ca="1">IF(ISERROR(VLOOKUP($B1494&amp;"("&amp;$B1488&amp;")",Players!$S$4:$T$132,2,FALSE)),"",VLOOKUP($B1494&amp;"("&amp;$B1488&amp;")",Players!$S$4:$T$132,2,FALSE))</f>
        <v>G1</v>
      </c>
      <c r="C1519" s="111" t="str">
        <f ca="1">IF(ISERROR(VLOOKUP($B1501&amp;"("&amp;$B1488&amp;")",Players!$S$4:$T$132,2,FALSE)),"",VLOOKUP($B1501&amp;"("&amp;$B1488&amp;")",Players!$S$4:$T$132,2,FALSE))</f>
        <v>G1</v>
      </c>
      <c r="D1519" s="111" t="str">
        <f ca="1">IF(ISERROR(VLOOKUP($B1508&amp;"("&amp;$B1488&amp;")",Players!$S$4:$T$132,2,FALSE)),"",VLOOKUP($B1508&amp;"("&amp;$B1488&amp;")",Players!$S$4:$T$132,2,FALSE))</f>
        <v>G1</v>
      </c>
      <c r="E1519" s="111" t="str">
        <f ca="1">IF(ISERROR(VLOOKUP($B1515&amp;"("&amp;$B1488&amp;")",Players!$S$4:$T$132,2,FALSE)),"",VLOOKUP($B1515&amp;"("&amp;$B1488&amp;")",Players!$S$4:$T$132,2,FALSE))</f>
        <v>G1</v>
      </c>
      <c r="F1519" s="111" t="str">
        <f ca="1">IF(ISERROR(VLOOKUP($B1496&amp;"("&amp;$K1488&amp;")",Players!$S$4:$T$132,2,FALSE)),"",VLOOKUP($B1496&amp;"("&amp;$K1488&amp;")",Players!$S$4:$T$132,2,FALSE))</f>
        <v>H1</v>
      </c>
      <c r="G1519" s="111" t="str">
        <f ca="1">IF(ISERROR(VLOOKUP($B1503&amp;"("&amp;$K1488&amp;")",Players!$S$4:$T$132,2,FALSE)),"",VLOOKUP($B1503&amp;"("&amp;$K1488&amp;")",Players!$S$4:$T$132,2,FALSE))</f>
        <v>H1</v>
      </c>
      <c r="H1519" s="111" t="str">
        <f ca="1">IF(ISERROR(VLOOKUP($B1510&amp;"("&amp;$K1488&amp;")",Players!$S$4:$T$132,2,FALSE)),"",VLOOKUP($B1510&amp;"("&amp;$K1488&amp;")",Players!$S$4:$T$132,2,FALSE))</f>
        <v>H1</v>
      </c>
      <c r="I1519" s="111" t="str">
        <f ca="1">IF(ISERROR(VLOOKUP($B1517&amp;"("&amp;$K1488&amp;")",Players!$S$4:$T$132,2,FALSE)),"",VLOOKUP($B1517&amp;"("&amp;$K1488&amp;")",Players!$S$4:$T$132,2,FALSE))</f>
        <v>H1</v>
      </c>
      <c r="Q1519" s="6"/>
      <c r="R1519" s="37"/>
      <c r="S1519" s="95"/>
      <c r="T1519" s="95"/>
      <c r="U1519" s="95"/>
      <c r="V1519" s="95"/>
      <c r="W1519" s="95"/>
      <c r="X1519" s="95"/>
      <c r="Y1519" s="85"/>
      <c r="Z1519" s="85"/>
      <c r="AA1519" s="85"/>
      <c r="AB1519" s="85"/>
      <c r="AC1519" s="96"/>
      <c r="AD1519" s="97"/>
      <c r="AE1519" s="85"/>
      <c r="AF1519" s="85"/>
    </row>
    <row r="1520" spans="1:32" ht="12.75" customHeight="1" x14ac:dyDescent="0.25">
      <c r="A1520" s="15" t="s">
        <v>157</v>
      </c>
      <c r="H1520" s="110" t="str">
        <f ca="1">IF($Q1522&lt;&gt;"",IF(AND($B1523&lt;&gt;"Missing Player",$B1525&lt;&gt;"Missing Player"),IF(AND(AND($H1522&gt;-1,$H1524&gt;-1),OR($H1522&gt;10,$H1524&gt;10),ABS($H1522-$H1524)&gt;1,IF(OR($H1522&gt;11,$H1524&gt;11),ABS($H1522-$H1524)=2,TRUE),$H1522=INT($H1522),$H1524=INT($H1524)),"","Error"),""),"")</f>
        <v/>
      </c>
      <c r="I1520" s="110" t="str">
        <f ca="1">IF($Q1522&lt;&gt;"",IF(AND($B1523&lt;&gt;"Missing Player",$B1525&lt;&gt;"Missing Player"),IF(AND(AND($I1522&gt;-1,$I1524&gt;-1),OR($I1522&gt;10,$I1524&gt;10),ABS($I1522-$I1524)&gt;1,IF(OR($I1522&gt;11,$I1524&gt;11),ABS($I1522-$I1524)=2,TRUE),$I1522=INT($I1522),$I1524=INT($I1524)),"","Error"),""),"")</f>
        <v/>
      </c>
      <c r="J1520" s="110" t="str">
        <f ca="1">IF($Q1522&lt;&gt;"",IF(AND($B1523&lt;&gt;"Missing Player",$B1525&lt;&gt;"Missing Player"),IF(AND(AND($J1522&gt;-1,$J1524&gt;-1),OR($J1522&gt;10,$J1524&gt;10),ABS($J1522-$J1524)&gt;1,IF(OR($J1522&gt;11,$J1524&gt;11),ABS($J1522-$J1524)=2,TRUE),$J1522=INT($J1522),$J1524=INT($J1524)),"","Error"),""),"")</f>
        <v/>
      </c>
      <c r="K1520" s="110" t="str">
        <f ca="1">IF($Q1522&lt;&gt;"",IF(AND($K1522&lt;&gt;"",$K1524&lt;&gt;""), IF(AND(AND($K1522&gt;-1,$K1524&gt;-1),OR($K1522&gt;10,$K1524&gt;10),ABS($K1522-$K1524)&gt;1,IF(OR($K1522&gt;11,$K1524&gt;11),ABS($K1522-$K1524)=2,TRUE),$K1522=INT($K1522),$K1524=INT($K1524)),"","Error"),""),"")</f>
        <v/>
      </c>
      <c r="L1520" s="110" t="str">
        <f ca="1">IF($Q1522&lt;&gt;"",IF(AND($L1522&lt;&gt;"",$L1524&lt;&gt;""), IF(AND(AND($L1522&gt;-1,$L1524&gt;-1),OR($L1522&gt;10,$L1524&gt;10),ABS($L1522-$L1524)&gt;1,IF(OR($L1522&gt;11,$L1524&gt;11),ABS($L1522-$L1524)=2,TRUE),$L1522=INT($L1522),$L1524=INT($L1524)),"","Error"),""),"")</f>
        <v/>
      </c>
      <c r="Q1520" s="6"/>
      <c r="R1520" s="85"/>
      <c r="S1520" s="95"/>
      <c r="T1520" s="95"/>
      <c r="U1520" s="95"/>
      <c r="V1520" s="95"/>
      <c r="W1520" s="95"/>
      <c r="X1520" s="95"/>
      <c r="Y1520" s="85"/>
      <c r="Z1520" s="85"/>
      <c r="AA1520" s="85"/>
      <c r="AB1520" s="85"/>
      <c r="AC1520" s="85"/>
      <c r="AD1520" s="85"/>
      <c r="AE1520" s="85"/>
      <c r="AF1520" s="85"/>
    </row>
    <row r="1521" spans="1:32" ht="12.75" customHeight="1" x14ac:dyDescent="0.25">
      <c r="A1521" s="5" t="s">
        <v>160</v>
      </c>
      <c r="B1521" s="256" t="s">
        <v>58</v>
      </c>
      <c r="C1521" s="257"/>
      <c r="D1521" s="257"/>
      <c r="E1521" s="257"/>
      <c r="F1521" s="257"/>
      <c r="G1521" s="258"/>
      <c r="H1521" s="5">
        <v>1</v>
      </c>
      <c r="I1521" s="5">
        <v>2</v>
      </c>
      <c r="J1521" s="5">
        <v>3</v>
      </c>
      <c r="K1521" s="5">
        <v>4</v>
      </c>
      <c r="L1521" s="5">
        <v>5</v>
      </c>
      <c r="M1521" s="270"/>
      <c r="N1521" s="271"/>
      <c r="O1521" s="271"/>
      <c r="P1521" s="272"/>
      <c r="Q1521" s="6"/>
      <c r="T1521" s="7"/>
    </row>
    <row r="1522" spans="1:32" ht="12.75" customHeight="1" x14ac:dyDescent="0.25">
      <c r="A1522" s="259" t="str">
        <f>B1488</f>
        <v>G</v>
      </c>
      <c r="B1522" s="230" t="str">
        <f ca="1">IF($B1494&lt;&gt;"",$B1494,"")</f>
        <v/>
      </c>
      <c r="C1522" s="231"/>
      <c r="D1522" s="231"/>
      <c r="E1522" s="231"/>
      <c r="F1522" s="231"/>
      <c r="G1522" s="232"/>
      <c r="H1522" s="233"/>
      <c r="I1522" s="233"/>
      <c r="J1522" s="233"/>
      <c r="K1522" s="233"/>
      <c r="L1522" s="233" t="str">
        <f ca="1">IF($B1515&lt;&gt;"",IF(AND($B1515="Missing Player",$G1526=2,$J1526=2),0,IF(AND($B1517="Missing Player",$G1526=2,$J1526=2),11,"")),"")</f>
        <v/>
      </c>
      <c r="M1522" s="245" t="str">
        <f ca="1">IF(OR(AND($B1522&lt;&gt;"",$B1523&lt;&gt;"",$B1522=$B1523),AND($B1524&lt;&gt;"",$B1525&lt;&gt;"",$B1524=$B1525)),"Invalid Partner","")</f>
        <v/>
      </c>
      <c r="N1522" s="246"/>
      <c r="O1522" s="246"/>
      <c r="P1522" s="247"/>
      <c r="Q1522" s="37" t="str">
        <f ca="1">IF(L1522=L1524,IF(K1522=K1524,IF(J1522&lt;&gt;"",IF(J1522&gt;J1524,"W","L"),""),IF(K1522&gt;K1524,"W","L")),IF(L1522&gt;L1524,"W","L"))</f>
        <v/>
      </c>
      <c r="T1522" s="7"/>
    </row>
    <row r="1523" spans="1:32" ht="12.75" customHeight="1" x14ac:dyDescent="0.25">
      <c r="A1523" s="260"/>
      <c r="B1523" s="266" t="str">
        <f ca="1">IF($B1515="Missing Player",$B1515,"")</f>
        <v/>
      </c>
      <c r="C1523" s="267"/>
      <c r="D1523" s="267"/>
      <c r="E1523" s="267"/>
      <c r="F1523" s="267"/>
      <c r="G1523" s="268"/>
      <c r="H1523" s="234"/>
      <c r="I1523" s="234"/>
      <c r="J1523" s="234"/>
      <c r="K1523" s="234"/>
      <c r="L1523" s="234"/>
      <c r="M1523" s="245"/>
      <c r="N1523" s="246"/>
      <c r="O1523" s="246"/>
      <c r="P1523" s="247"/>
      <c r="Q1523" s="110" t="str">
        <f ca="1">IF($Q1522&lt;&gt;"",IF($B1525&lt;&gt;"Missing Player",IF($Q1522="W",IF(SUM(IF($H1522&gt;$H1524,1,0),IF($I1522&gt;$I1524,1,0),IF($J1522&gt;$J1524,1,0),IF($K1522&gt;$K1524,1,0),IF($L1522&gt;$L1524,1,0))&lt;&gt;3,"Error",""),""),""),"")</f>
        <v/>
      </c>
      <c r="R1523" s="295" t="str">
        <f>$A1489</f>
        <v/>
      </c>
      <c r="S1523" s="295"/>
      <c r="T1523" s="295"/>
      <c r="U1523" s="295"/>
      <c r="V1523" s="295"/>
      <c r="W1523" s="295"/>
      <c r="X1523" s="219" t="str">
        <f>CONCATENATE("(",$B1488," vs ",$K1488,")")</f>
        <v>(G vs H)</v>
      </c>
      <c r="Y1523" s="219"/>
      <c r="Z1523" s="295" t="str">
        <f>$J1489</f>
        <v/>
      </c>
      <c r="AA1523" s="295"/>
      <c r="AB1523" s="295"/>
      <c r="AC1523" s="295"/>
      <c r="AD1523" s="295"/>
      <c r="AE1523" s="295"/>
      <c r="AF1523"/>
    </row>
    <row r="1524" spans="1:32" ht="12.75" customHeight="1" x14ac:dyDescent="0.25">
      <c r="A1524" s="265" t="str">
        <f>K1488</f>
        <v>H</v>
      </c>
      <c r="B1524" s="230" t="str">
        <f ca="1">IF($B1496&lt;&gt;"",$B1496,"")</f>
        <v/>
      </c>
      <c r="C1524" s="231"/>
      <c r="D1524" s="231"/>
      <c r="E1524" s="231"/>
      <c r="F1524" s="231"/>
      <c r="G1524" s="232"/>
      <c r="H1524" s="233"/>
      <c r="I1524" s="233"/>
      <c r="J1524" s="233"/>
      <c r="K1524" s="233"/>
      <c r="L1524" s="233" t="str">
        <f ca="1">IF($B1517&lt;&gt;"",IF(AND($B1517="Missing Player",$G1526=2,$J1526=2),0,IF(AND($B1515="Missing Player",$G1526=2,$J1526=2),11,"")),"")</f>
        <v/>
      </c>
      <c r="M1524" s="250" t="s">
        <v>169</v>
      </c>
      <c r="N1524" s="251"/>
      <c r="O1524" s="251"/>
      <c r="P1524" s="252"/>
      <c r="Q1524" s="37" t="str">
        <f ca="1">IF(Q1522&lt;&gt;"",IF(Q1522="W","L","W"),"")</f>
        <v/>
      </c>
      <c r="R1524"/>
      <c r="S1524"/>
      <c r="T1524"/>
      <c r="U1524"/>
      <c r="V1524"/>
      <c r="W1524"/>
      <c r="X1524"/>
      <c r="Y1524"/>
      <c r="Z1524"/>
      <c r="AA1524"/>
      <c r="AB1524"/>
      <c r="AC1524"/>
      <c r="AD1524"/>
      <c r="AE1524"/>
      <c r="AF1524"/>
    </row>
    <row r="1525" spans="1:32" ht="12.75" customHeight="1" x14ac:dyDescent="0.25">
      <c r="A1525" s="260"/>
      <c r="B1525" s="266" t="str">
        <f ca="1">IF($B1517="Missing Player",$B1517,"")</f>
        <v/>
      </c>
      <c r="C1525" s="267"/>
      <c r="D1525" s="267"/>
      <c r="E1525" s="267"/>
      <c r="F1525" s="267"/>
      <c r="G1525" s="268"/>
      <c r="H1525" s="234"/>
      <c r="I1525" s="234"/>
      <c r="J1525" s="235"/>
      <c r="K1525" s="235"/>
      <c r="L1525" s="235"/>
      <c r="M1525" s="250"/>
      <c r="N1525" s="251"/>
      <c r="O1525" s="251"/>
      <c r="P1525" s="252"/>
      <c r="Q1525" s="110" t="str">
        <f ca="1">IF($Q1524&lt;&gt;"",IF($B1523&lt;&gt;"Missing Player",IF($Q1524="W",IF(SUM(IF($H1524&gt;$H1522,1,0),IF($I1524&gt;$I1522,1,0),IF($J1524&gt;$J1522,1,0),IF($K1524&gt;$K1522,1,0),IF($L1524&gt;$L1522,1,0))&lt;&gt;3,"Error",""),""),""),"")</f>
        <v/>
      </c>
      <c r="R1525" t="str">
        <f>A1513</f>
        <v>4th Singles</v>
      </c>
      <c r="S1525"/>
      <c r="T1525"/>
      <c r="U1525"/>
      <c r="V1525"/>
      <c r="W1525"/>
      <c r="X1525"/>
      <c r="Y1525"/>
      <c r="Z1525"/>
      <c r="AA1525"/>
      <c r="AB1525"/>
      <c r="AC1525"/>
      <c r="AD1525"/>
      <c r="AE1525"/>
      <c r="AF1525"/>
    </row>
    <row r="1526" spans="1:32" ht="12.75" customHeight="1" x14ac:dyDescent="0.25">
      <c r="G1526" s="53">
        <f ca="1">COUNTIF($Q1494:$Q1494,"W")+COUNTIF($Q1501:$Q1501,"W")+COUNTIF($Q1508:$Q1508,"W")+COUNTIF($Q1515:$Q1515,"W")</f>
        <v>0</v>
      </c>
      <c r="J1526" s="53">
        <f ca="1">COUNTIF($Q1496:$Q1496,"W")+COUNTIF($Q1503:$Q1503,"W")+COUNTIF($Q1510:$Q1510,"W")+COUNTIF($Q1517:$Q1517,"W")</f>
        <v>0</v>
      </c>
      <c r="R1526" s="47" t="s">
        <v>160</v>
      </c>
      <c r="S1526" s="304" t="s">
        <v>58</v>
      </c>
      <c r="T1526" s="305"/>
      <c r="U1526" s="305"/>
      <c r="V1526" s="305"/>
      <c r="W1526" s="305"/>
      <c r="X1526" s="306"/>
      <c r="Y1526" s="47">
        <v>1</v>
      </c>
      <c r="Z1526" s="47">
        <v>2</v>
      </c>
      <c r="AA1526" s="47">
        <v>3</v>
      </c>
      <c r="AB1526" s="47">
        <v>4</v>
      </c>
      <c r="AC1526" s="47">
        <v>5</v>
      </c>
      <c r="AD1526" s="286"/>
      <c r="AE1526" s="287"/>
      <c r="AF1526" s="288"/>
    </row>
    <row r="1527" spans="1:32" ht="12.75" customHeight="1" thickBot="1" x14ac:dyDescent="0.3">
      <c r="F1527" s="212" t="s">
        <v>170</v>
      </c>
      <c r="G1527" s="212"/>
      <c r="H1527" s="212"/>
      <c r="I1527" s="212"/>
      <c r="J1527" s="212"/>
      <c r="K1527" s="212"/>
      <c r="R1527" s="259" t="str">
        <f>B1488</f>
        <v>G</v>
      </c>
      <c r="S1527" s="307" t="str">
        <f ca="1">IF($B1515&lt;&gt;"",$B1515,"")</f>
        <v/>
      </c>
      <c r="T1527" s="308"/>
      <c r="U1527" s="308"/>
      <c r="V1527" s="308"/>
      <c r="W1527" s="308"/>
      <c r="X1527" s="309"/>
      <c r="Y1527" s="284"/>
      <c r="Z1527" s="284"/>
      <c r="AA1527" s="297"/>
      <c r="AB1527" s="297"/>
      <c r="AC1527" s="297"/>
      <c r="AD1527" s="296"/>
      <c r="AE1527" s="298"/>
      <c r="AF1527" s="299"/>
    </row>
    <row r="1528" spans="1:32" ht="12.75" customHeight="1" x14ac:dyDescent="0.25">
      <c r="A1528" s="16"/>
      <c r="B1528" s="16"/>
      <c r="C1528" s="16"/>
      <c r="D1528" s="16"/>
      <c r="E1528" s="16"/>
      <c r="G1528" s="261" t="str">
        <f>B1488</f>
        <v>G</v>
      </c>
      <c r="H1528" s="262"/>
      <c r="I1528" s="263" t="str">
        <f>K1488</f>
        <v>H</v>
      </c>
      <c r="J1528" s="264"/>
      <c r="L1528" s="16"/>
      <c r="M1528" s="16"/>
      <c r="N1528" s="16"/>
      <c r="O1528" s="16"/>
      <c r="P1528" s="16"/>
      <c r="R1528" s="260"/>
      <c r="S1528" s="310"/>
      <c r="T1528" s="311"/>
      <c r="U1528" s="311"/>
      <c r="V1528" s="311"/>
      <c r="W1528" s="311"/>
      <c r="X1528" s="312"/>
      <c r="Y1528" s="285"/>
      <c r="Z1528" s="285"/>
      <c r="AA1528" s="303"/>
      <c r="AB1528" s="303"/>
      <c r="AC1528" s="303"/>
      <c r="AD1528" s="300"/>
      <c r="AE1528" s="301"/>
      <c r="AF1528" s="302"/>
    </row>
    <row r="1529" spans="1:32" ht="12.75" customHeight="1" thickBot="1" x14ac:dyDescent="0.3">
      <c r="A1529" s="2" t="s">
        <v>160</v>
      </c>
      <c r="B1529" s="40" t="str">
        <f>B1488</f>
        <v>G</v>
      </c>
      <c r="C1529" s="3" t="s">
        <v>158</v>
      </c>
      <c r="F1529" s="53" t="str">
        <f>CONCATENATE($B1488,"-",$K1488)</f>
        <v>G-H</v>
      </c>
      <c r="G1529" s="240" t="str">
        <f ca="1">IF(OR(Q1494&lt;&gt;"",Q1501&lt;&gt;"",Q1508&lt;&gt;"",Q1515&lt;&gt;"",Q1522&lt;&gt;""),COUNTIF(Q1494:Q1494,"W")+COUNTIF(Q1501:Q1501,"W")+COUNTIF(Q1508:Q1508,"W")+COUNTIF(Q1515:Q1515,"W")+COUNTIF(Q1522:Q1522,"W"),"")</f>
        <v/>
      </c>
      <c r="H1529" s="241"/>
      <c r="I1529" s="242" t="str">
        <f ca="1">IF(OR(Q1496&lt;&gt;"",Q1503&lt;&gt;"",Q1510&lt;&gt;"",Q1517&lt;&gt;"",Q1524&lt;&gt;""),COUNTIF(Q1496:Q1496,"W")+COUNTIF(Q1503:Q1503,"W")+COUNTIF(Q1510:Q1510,"W")+COUNTIF(Q1517:Q1517,"W")+COUNTIF(Q1524:Q1524,"W"),"")</f>
        <v/>
      </c>
      <c r="J1529" s="243"/>
      <c r="L1529" s="2" t="s">
        <v>160</v>
      </c>
      <c r="M1529" s="40" t="str">
        <f>K1488</f>
        <v>H</v>
      </c>
      <c r="N1529" s="3" t="s">
        <v>158</v>
      </c>
      <c r="R1529" s="259" t="str">
        <f>K1488</f>
        <v>H</v>
      </c>
      <c r="S1529" s="307" t="str">
        <f ca="1">IF($B1517&lt;&gt;"",$B1517,"")</f>
        <v/>
      </c>
      <c r="T1529" s="308"/>
      <c r="U1529" s="308"/>
      <c r="V1529" s="308"/>
      <c r="W1529" s="308"/>
      <c r="X1529" s="309"/>
      <c r="Y1529" s="284"/>
      <c r="Z1529" s="284"/>
      <c r="AA1529" s="297"/>
      <c r="AB1529" s="297"/>
      <c r="AC1529" s="297"/>
      <c r="AD1529" s="289" t="s">
        <v>169</v>
      </c>
      <c r="AE1529" s="290"/>
      <c r="AF1529" s="291"/>
    </row>
    <row r="1530" spans="1:32" ht="12.75" customHeight="1" x14ac:dyDescent="0.35">
      <c r="F1530" s="18" t="s">
        <v>403</v>
      </c>
      <c r="G1530" s="17"/>
      <c r="H1530" s="17"/>
      <c r="I1530" s="17"/>
      <c r="J1530" s="17"/>
      <c r="R1530" s="285"/>
      <c r="S1530" s="310"/>
      <c r="T1530" s="311"/>
      <c r="U1530" s="311"/>
      <c r="V1530" s="311"/>
      <c r="W1530" s="311"/>
      <c r="X1530" s="312"/>
      <c r="Y1530" s="285"/>
      <c r="Z1530" s="285"/>
      <c r="AA1530" s="285"/>
      <c r="AB1530" s="285"/>
      <c r="AC1530" s="285"/>
      <c r="AD1530" s="292"/>
      <c r="AE1530" s="293"/>
      <c r="AF1530" s="294"/>
    </row>
    <row r="1531" spans="1:32" ht="12.75" customHeight="1" x14ac:dyDescent="0.25">
      <c r="R1531" s="1"/>
      <c r="S1531" s="11"/>
      <c r="T1531" s="11"/>
      <c r="U1531" s="11"/>
      <c r="V1531" s="11"/>
      <c r="W1531" s="11"/>
    </row>
    <row r="1532" spans="1:32" ht="12.75" customHeight="1" x14ac:dyDescent="0.25">
      <c r="F1532" s="212"/>
      <c r="G1532" s="212"/>
      <c r="H1532" s="212"/>
      <c r="I1532" s="212"/>
      <c r="R1532" s="1"/>
      <c r="S1532" s="11"/>
      <c r="T1532" s="11"/>
      <c r="U1532" s="11"/>
      <c r="V1532" s="11"/>
      <c r="W1532" s="11"/>
    </row>
    <row r="1533" spans="1:32" ht="12.75" customHeight="1" x14ac:dyDescent="0.25">
      <c r="F1533" s="212"/>
      <c r="G1533" s="212"/>
      <c r="H1533" s="212"/>
      <c r="I1533" s="212"/>
      <c r="R1533" s="1"/>
      <c r="S1533" s="11"/>
      <c r="T1533" s="11"/>
      <c r="U1533" s="11"/>
      <c r="V1533" s="11"/>
      <c r="W1533" s="11"/>
    </row>
    <row r="1534" spans="1:32" ht="12.75" customHeight="1" x14ac:dyDescent="0.25">
      <c r="K1534" s="219" t="s">
        <v>176</v>
      </c>
      <c r="L1534" s="219"/>
      <c r="M1534" s="219"/>
      <c r="N1534" s="219"/>
      <c r="O1534" s="219"/>
      <c r="P1534" s="219"/>
      <c r="R1534" s="1"/>
      <c r="S1534" s="11"/>
      <c r="T1534" s="11"/>
      <c r="U1534" s="11"/>
      <c r="V1534" s="11"/>
      <c r="W1534" s="11"/>
    </row>
    <row r="1535" spans="1:32" ht="12.75" customHeight="1" x14ac:dyDescent="0.25">
      <c r="A1535" s="9" t="s">
        <v>161</v>
      </c>
      <c r="B1535"/>
      <c r="C1535"/>
      <c r="D1535" t="str">
        <f>Draw!$B$1</f>
        <v>Enter Division Name</v>
      </c>
      <c r="E1535"/>
      <c r="F1535" s="6"/>
      <c r="G1535" s="6"/>
      <c r="H1535" s="6"/>
      <c r="I1535"/>
      <c r="J1535"/>
      <c r="K1535"/>
      <c r="L1535"/>
      <c r="M1535" s="219"/>
      <c r="N1535" s="219"/>
      <c r="O1535" s="219"/>
      <c r="P1535" s="219"/>
      <c r="R1535" s="1"/>
      <c r="S1535" s="11"/>
      <c r="T1535" s="11"/>
      <c r="U1535" s="11"/>
      <c r="V1535" s="11"/>
      <c r="W1535" s="11"/>
    </row>
    <row r="1536" spans="1:32" ht="12.75" customHeight="1" x14ac:dyDescent="0.25">
      <c r="A1536" s="2" t="s">
        <v>162</v>
      </c>
      <c r="D1536" t="str">
        <f>Draw!$D$1</f>
        <v>Enter Hosting Location (City, ST)</v>
      </c>
      <c r="J1536" t="str">
        <f ca="1">$J$6</f>
        <v>[NCTTA Teams Template (v3.4).xlsx]</v>
      </c>
      <c r="R1536" s="1"/>
      <c r="S1536" s="11"/>
      <c r="T1536" s="11"/>
      <c r="U1536" s="11"/>
      <c r="V1536" s="11"/>
      <c r="W1536" s="11"/>
    </row>
    <row r="1537" spans="1:32" ht="12.75" customHeight="1" x14ac:dyDescent="0.25">
      <c r="A1537" s="2" t="s">
        <v>163</v>
      </c>
      <c r="D1537" s="275" t="str">
        <f>Draw!$P$1</f>
        <v>Enter Date</v>
      </c>
      <c r="E1537" s="275"/>
      <c r="F1537" s="275"/>
      <c r="G1537" s="275"/>
      <c r="J1537" s="244" t="str">
        <f>CHOOSE(Draw!$T$1,"Round 6, Match 1","","","","","","","","Round 8, Match 3","Round 7, Match 1","Round 7, Match 1")</f>
        <v>Round 6, Match 1</v>
      </c>
      <c r="K1537" s="244"/>
      <c r="L1537" s="244"/>
      <c r="M1537" s="277" t="str">
        <f>IF(AND($J1537&lt;&gt;"",Draw!$AC$10&lt;&gt;"",Draw!$AC$13&lt;&gt;""),Draw!$AC$10+TIME(0,VALUE(MID($J1537,7,FIND(",",$J1537)-FIND(" ",$J1537)-1)-1)*Draw!$AC$13,0),"")</f>
        <v/>
      </c>
      <c r="N1537" s="277"/>
      <c r="O1537" s="125" t="str">
        <f>$F1580</f>
        <v>A-G</v>
      </c>
      <c r="R1537" s="1"/>
      <c r="S1537" s="11"/>
      <c r="T1537" s="11"/>
      <c r="U1537" s="11"/>
      <c r="V1537" s="11"/>
      <c r="W1537" s="11"/>
    </row>
    <row r="1538" spans="1:32" ht="12.75" customHeight="1" x14ac:dyDescent="0.25">
      <c r="A1538" s="6"/>
      <c r="B1538"/>
      <c r="C1538"/>
      <c r="D1538"/>
      <c r="E1538"/>
      <c r="F1538" s="6"/>
      <c r="G1538" s="6"/>
      <c r="H1538" s="11"/>
      <c r="I1538" s="6"/>
      <c r="J1538"/>
      <c r="K1538"/>
      <c r="L1538"/>
      <c r="M1538"/>
      <c r="N1538"/>
      <c r="O1538" s="269" t="str">
        <f>IF(OR(AND(VLOOKUP($B1539,$AM$1:$AX$12,12,FALSE)="C",VLOOKUP($K1539,$AM$1:$AX$12,12,FALSE)="C"),AND(VLOOKUP($B1539,$AM$1:$AX$12,12,FALSE)="W",VLOOKUP($K1539,$AM$1:$AX$12,12,FALSE)="W")),"Official",IF(AND($A1540="",$J1540=""),"","Scrimmage"))</f>
        <v/>
      </c>
      <c r="P1538" s="269"/>
      <c r="R1538" s="1"/>
      <c r="S1538" s="11"/>
      <c r="T1538" s="11"/>
      <c r="U1538" s="11"/>
      <c r="V1538" s="11"/>
      <c r="W1538" s="11"/>
    </row>
    <row r="1539" spans="1:32" ht="12.75" customHeight="1" x14ac:dyDescent="0.25">
      <c r="A1539" s="12" t="s">
        <v>160</v>
      </c>
      <c r="B1539" s="98" t="str">
        <f>CHOOSE(Draw!$T$1,"A","A","B","C","C","C","B","A","E","A","A")</f>
        <v>A</v>
      </c>
      <c r="C1539" s="109">
        <f>VLOOKUP($B1539,$AM$1:$AN$12,2)</f>
        <v>1</v>
      </c>
      <c r="D1539" s="10"/>
      <c r="E1539" s="10"/>
      <c r="F1539" s="8"/>
      <c r="H1539" s="1" t="s">
        <v>164</v>
      </c>
      <c r="J1539" s="12" t="s">
        <v>160</v>
      </c>
      <c r="K1539" s="98" t="str">
        <f>CHOOSE(Draw!$T$1,"G","G","I","D","L","J","L","K","H","C","F")</f>
        <v>G</v>
      </c>
      <c r="L1539" s="109">
        <f>VLOOKUP($K1539,$AM$1:$AN$12,2)</f>
        <v>7</v>
      </c>
      <c r="M1539" s="10"/>
      <c r="N1539" s="10"/>
      <c r="O1539" s="13"/>
      <c r="R1539" s="1"/>
      <c r="S1539" s="11"/>
      <c r="T1539" s="11"/>
      <c r="U1539" s="11"/>
      <c r="V1539" s="11"/>
      <c r="W1539" s="11"/>
    </row>
    <row r="1540" spans="1:32" ht="12.75" customHeight="1" x14ac:dyDescent="0.25">
      <c r="A1540" s="253" t="str">
        <f>IF(VLOOKUP($B1539,Draw!$A$4:$B$27,2)&lt;&gt;0,VLOOKUP($B1539,Draw!$A$4:$B$27,2),"")</f>
        <v/>
      </c>
      <c r="B1540" s="254"/>
      <c r="C1540" s="254"/>
      <c r="D1540" s="254"/>
      <c r="E1540" s="254"/>
      <c r="F1540" s="255"/>
      <c r="G1540" s="273" t="s">
        <v>434</v>
      </c>
      <c r="H1540" s="249"/>
      <c r="I1540" s="274"/>
      <c r="J1540" s="253" t="str">
        <f>IF(VLOOKUP($K1539,Draw!$A$4:$B$27,2)&lt;&gt;0,VLOOKUP($K1539,Draw!$A$4:$B$27,2),"")</f>
        <v/>
      </c>
      <c r="K1540" s="254"/>
      <c r="L1540" s="254"/>
      <c r="M1540" s="254"/>
      <c r="N1540" s="254"/>
      <c r="O1540" s="255"/>
      <c r="P1540"/>
      <c r="R1540" s="1"/>
      <c r="S1540" s="11"/>
      <c r="T1540" s="11"/>
      <c r="U1540" s="11"/>
      <c r="V1540" s="11"/>
      <c r="W1540" s="11"/>
    </row>
    <row r="1541" spans="1:32" ht="12.75" customHeight="1" x14ac:dyDescent="0.25">
      <c r="A1541" s="6"/>
      <c r="B1541"/>
      <c r="C1541"/>
      <c r="D1541"/>
      <c r="E1541"/>
      <c r="F1541" s="6"/>
      <c r="G1541" s="248" t="str">
        <f>"Page "&amp;VALUE(RIGHT($G1540,LEN($G1540)-SEARCH("-",$G1540)))/2</f>
        <v>Page 31</v>
      </c>
      <c r="H1541" s="249"/>
      <c r="I1541" s="249"/>
      <c r="J1541"/>
      <c r="K1541"/>
      <c r="L1541"/>
      <c r="M1541"/>
      <c r="N1541"/>
      <c r="O1541"/>
      <c r="P1541"/>
      <c r="R1541" s="1"/>
      <c r="S1541" s="11"/>
      <c r="T1541" s="11"/>
      <c r="U1541" s="11"/>
      <c r="V1541" s="11"/>
      <c r="W1541" s="11"/>
      <c r="AF1541"/>
    </row>
    <row r="1542" spans="1:32" ht="12.75" customHeight="1" x14ac:dyDescent="0.25">
      <c r="A1542" s="276" t="s">
        <v>177</v>
      </c>
      <c r="B1542" s="276"/>
      <c r="C1542" s="276"/>
      <c r="D1542" s="276"/>
      <c r="E1542" s="276"/>
      <c r="F1542" s="276"/>
      <c r="G1542" s="276"/>
      <c r="H1542" s="276"/>
      <c r="I1542" s="276"/>
      <c r="J1542" s="276"/>
      <c r="K1542" s="276"/>
      <c r="L1542" s="276"/>
      <c r="M1542" s="276"/>
      <c r="N1542" s="276"/>
      <c r="O1542" s="276"/>
      <c r="P1542" s="276"/>
      <c r="Q1542" s="6"/>
      <c r="R1542" s="1"/>
      <c r="S1542" s="11"/>
      <c r="T1542" s="11"/>
      <c r="U1542" s="11"/>
      <c r="V1542" s="11"/>
      <c r="W1542" s="11"/>
      <c r="AF1542" s="14"/>
    </row>
    <row r="1543" spans="1:32" ht="12.75" customHeight="1" x14ac:dyDescent="0.25">
      <c r="A1543" s="15" t="s">
        <v>165</v>
      </c>
      <c r="H1543" s="110" t="str">
        <f>IF($Q1545&lt;&gt;"",IF(AND(AND($H1545&gt;-1,$H1547&gt;-1),OR($H1545&gt;10,$H1547&gt;10),ABS($H1545-$H1547)&gt;1,IF(OR($H1545&gt;11,$H1547&gt;11),ABS($H1545-$H1547)=2,TRUE),$H1545=INT($H1545),$H1547=INT($H1547)),"","Error"),"")</f>
        <v/>
      </c>
      <c r="I1543" s="110" t="str">
        <f>IF($Q1545&lt;&gt;"",IF(AND(AND($I1545&gt;-1,$I1547&gt;-1),OR($I1545&gt;10,$I1547&gt;10),ABS($I1545-$I1547)&gt;1,IF(OR($I1545&gt;11,$I1547&gt;11),ABS($I1545-$I1547)=2,TRUE),$I1545=INT($I1545),$I1547=INT($I1547)),"","Error"),"")</f>
        <v/>
      </c>
      <c r="J1543" s="110" t="str">
        <f>IF($Q1545&lt;&gt;"",IF(AND(AND($J1545&gt;-1,$J1547&gt;-1),OR($J1545&gt;10,$J1547&gt;10),ABS($J1545-$J1547)&gt;1,IF(OR($J1545&gt;11,$J1547&gt;11),ABS($J1545-$J1547)=2,TRUE),$J1545=INT($J1545),$J1547=INT($J1547)),"","Error"),"")</f>
        <v/>
      </c>
      <c r="K1543" s="110" t="str">
        <f>IF($Q1545&lt;&gt;"",IF(AND($K1545&lt;&gt;"",$K1547&lt;&gt;""), IF(AND(AND($K1545&gt;-1,$K1547&gt;-1),OR($K1545&gt;10,$K1547&gt;10),ABS($K1545-$K1547)&gt;1,IF(OR($K1545&gt;11,$K1547&gt;11),ABS($K1545-$K1547)=2,TRUE),$K1545=INT($K1545),$K1547=INT($K1547)),"","Error"),""),"")</f>
        <v/>
      </c>
      <c r="L1543" s="110" t="str">
        <f>IF($Q1545&lt;&gt;"",IF(AND($L1545&lt;&gt;"",$L1547&lt;&gt;""), IF(AND(AND($L1545&gt;-1,$L1547&gt;-1),OR($L1545&gt;10,$L1547&gt;10),ABS($L1545-$L1547)&gt;1,IF(OR($L1545&gt;11,$L1547&gt;11),ABS($L1545-$L1547)=2,TRUE),$L1545=INT($L1545),$L1547=INT($L1547)),"","Error"),""),"")</f>
        <v/>
      </c>
      <c r="R1543" s="1"/>
      <c r="S1543" s="11"/>
      <c r="T1543" s="11"/>
      <c r="U1543" s="11"/>
      <c r="V1543" s="11"/>
      <c r="W1543" s="11"/>
    </row>
    <row r="1544" spans="1:32" ht="12.75" customHeight="1" x14ac:dyDescent="0.25">
      <c r="A1544" s="5" t="s">
        <v>160</v>
      </c>
      <c r="B1544" s="256" t="s">
        <v>58</v>
      </c>
      <c r="C1544" s="257"/>
      <c r="D1544" s="257"/>
      <c r="E1544" s="257"/>
      <c r="F1544" s="257"/>
      <c r="G1544" s="258"/>
      <c r="H1544" s="5">
        <v>1</v>
      </c>
      <c r="I1544" s="5">
        <v>2</v>
      </c>
      <c r="J1544" s="5">
        <v>3</v>
      </c>
      <c r="K1544" s="5">
        <v>4</v>
      </c>
      <c r="L1544" s="5">
        <v>5</v>
      </c>
      <c r="M1544" s="270"/>
      <c r="N1544" s="271"/>
      <c r="O1544" s="271"/>
      <c r="P1544" s="272"/>
      <c r="R1544" s="1"/>
      <c r="S1544" s="11"/>
      <c r="T1544" s="11"/>
      <c r="U1544" s="11"/>
      <c r="V1544" s="11"/>
      <c r="W1544" s="11"/>
    </row>
    <row r="1545" spans="1:32" ht="12.75" customHeight="1" x14ac:dyDescent="0.25">
      <c r="A1545" s="259" t="str">
        <f>B1539</f>
        <v>A</v>
      </c>
      <c r="B1545" s="236" t="str">
        <f ca="1">IF(AND(OFFSET($AO$1,$C1539-1,8,1,1),$A1540&lt;&gt;"",$J1540&lt;&gt;""),CHOOSE($C1539,$AO$1,$AO$2,$AO$3,$AO$4,$AO$5,$AO$6,$AO$7,$AO$8,$AO$9,$AO$10,$AO$11,$AO$12),"")</f>
        <v/>
      </c>
      <c r="C1545" s="237"/>
      <c r="D1545" s="237"/>
      <c r="E1545" s="237"/>
      <c r="F1545" s="237"/>
      <c r="G1545" s="237"/>
      <c r="H1545" s="233"/>
      <c r="I1545" s="233"/>
      <c r="J1545" s="233"/>
      <c r="K1545" s="233"/>
      <c r="L1545" s="233"/>
      <c r="M1545" s="281"/>
      <c r="N1545" s="282"/>
      <c r="O1545" s="282"/>
      <c r="P1545" s="283"/>
      <c r="Q1545" s="40" t="str">
        <f>IF($L1545=$L1547,IF($K1545=$K1547,IF($J1545&lt;&gt;"",IF($J1545&gt;$J1547,"W","L"),""),IF($K1545&gt;$K1547,"W","L")),IF($L1545&gt;$L1547,"W","L"))</f>
        <v/>
      </c>
      <c r="R1545" s="1"/>
      <c r="S1545" s="11"/>
      <c r="T1545" s="11"/>
      <c r="U1545" s="11"/>
      <c r="V1545" s="11"/>
      <c r="W1545" s="11"/>
    </row>
    <row r="1546" spans="1:32" ht="12.75" customHeight="1" x14ac:dyDescent="0.25">
      <c r="A1546" s="260"/>
      <c r="B1546" s="238"/>
      <c r="C1546" s="239"/>
      <c r="D1546" s="239"/>
      <c r="E1546" s="239"/>
      <c r="F1546" s="239"/>
      <c r="G1546" s="239"/>
      <c r="H1546" s="234"/>
      <c r="I1546" s="234"/>
      <c r="J1546" s="234"/>
      <c r="K1546" s="234"/>
      <c r="L1546" s="234"/>
      <c r="M1546" s="281"/>
      <c r="N1546" s="282"/>
      <c r="O1546" s="282"/>
      <c r="P1546" s="283"/>
      <c r="Q1546" s="110" t="str">
        <f>IF($Q1545&lt;&gt;"",IF($Q1545="W",IF(SUM(IF($H1545&gt;$H1547,1,0),IF($I1545&gt;$I1547,1,0),IF($J1545&gt;$J1547,1,0),IF($K1545&gt;$K1547,1,0),IF($L1545&gt;$L1547,1,0))&lt;&gt;3,"Error",""),""),"")</f>
        <v/>
      </c>
      <c r="R1546" s="295" t="str">
        <f>$A1540</f>
        <v/>
      </c>
      <c r="S1546" s="295"/>
      <c r="T1546" s="295"/>
      <c r="U1546" s="295"/>
      <c r="V1546" s="295"/>
      <c r="W1546" s="295"/>
      <c r="X1546" s="219" t="str">
        <f>CONCATENATE("(",$B1539," vs ",$K1539,")")</f>
        <v>(A vs G)</v>
      </c>
      <c r="Y1546" s="219"/>
      <c r="Z1546" s="295" t="str">
        <f>$J1540</f>
        <v/>
      </c>
      <c r="AA1546" s="295"/>
      <c r="AB1546" s="295"/>
      <c r="AC1546" s="295"/>
      <c r="AD1546" s="295"/>
      <c r="AE1546" s="295"/>
      <c r="AF1546"/>
    </row>
    <row r="1547" spans="1:32" ht="12.75" customHeight="1" x14ac:dyDescent="0.25">
      <c r="A1547" s="259" t="str">
        <f>K1539</f>
        <v>G</v>
      </c>
      <c r="B1547" s="236" t="str">
        <f ca="1">IF(AND(OFFSET($AO$1,$L1539-1,8,1,1),$A1540&lt;&gt;"",$J1540&lt;&gt;""),CHOOSE($L1539,$AO$1,$AO$2,$AO$3,$AO$4,$AO$5,$AO$6,$AO$7,$AO$8,$AO$9,$AO$10,$AO$11,$AO$12),"")</f>
        <v/>
      </c>
      <c r="C1547" s="237"/>
      <c r="D1547" s="237"/>
      <c r="E1547" s="237"/>
      <c r="F1547" s="237"/>
      <c r="G1547" s="237"/>
      <c r="H1547" s="233"/>
      <c r="I1547" s="233"/>
      <c r="J1547" s="233"/>
      <c r="K1547" s="233"/>
      <c r="L1547" s="233"/>
      <c r="M1547" s="250" t="s">
        <v>169</v>
      </c>
      <c r="N1547" s="251"/>
      <c r="O1547" s="251"/>
      <c r="P1547" s="252"/>
      <c r="Q1547" s="40" t="str">
        <f>IF($Q1545&lt;&gt;"",IF($Q1545="W","L","W"),"")</f>
        <v/>
      </c>
      <c r="R1547"/>
      <c r="S1547"/>
      <c r="T1547"/>
      <c r="U1547"/>
      <c r="V1547"/>
      <c r="W1547"/>
      <c r="X1547"/>
      <c r="Y1547"/>
      <c r="Z1547"/>
      <c r="AA1547"/>
      <c r="AB1547"/>
      <c r="AC1547"/>
      <c r="AD1547"/>
      <c r="AE1547"/>
      <c r="AF1547"/>
    </row>
    <row r="1548" spans="1:32" ht="12.75" customHeight="1" x14ac:dyDescent="0.25">
      <c r="A1548" s="260"/>
      <c r="B1548" s="238"/>
      <c r="C1548" s="239"/>
      <c r="D1548" s="239"/>
      <c r="E1548" s="239"/>
      <c r="F1548" s="239"/>
      <c r="G1548" s="239"/>
      <c r="H1548" s="234"/>
      <c r="I1548" s="234"/>
      <c r="J1548" s="235"/>
      <c r="K1548" s="235"/>
      <c r="L1548" s="235"/>
      <c r="M1548" s="250"/>
      <c r="N1548" s="251"/>
      <c r="O1548" s="251"/>
      <c r="P1548" s="252"/>
      <c r="Q1548" s="110" t="str">
        <f>IF($Q1547&lt;&gt;"",IF($Q1547="W",IF(SUM(IF($H1547&gt;$H1545,1,0),IF($I1547&gt;$I1545,1,0),IF($J1547&gt;$J1545,1,0),IF($K1547&gt;$K1545,1,0),IF($L1547&gt;$L1545,1,0))&lt;&gt;3,"Error",""),""),"")</f>
        <v/>
      </c>
      <c r="R1548" t="str">
        <f>$A1550</f>
        <v>2nd Singles</v>
      </c>
      <c r="S1548"/>
      <c r="T1548"/>
      <c r="U1548"/>
      <c r="V1548"/>
      <c r="W1548"/>
      <c r="X1548"/>
      <c r="Y1548"/>
      <c r="Z1548"/>
      <c r="AA1548"/>
      <c r="AB1548"/>
      <c r="AC1548"/>
      <c r="AD1548"/>
      <c r="AE1548"/>
      <c r="AF1548"/>
    </row>
    <row r="1549" spans="1:32" ht="12.75" customHeight="1" x14ac:dyDescent="0.25">
      <c r="Q1549" s="6"/>
      <c r="R1549" s="47" t="s">
        <v>160</v>
      </c>
      <c r="S1549" s="304" t="s">
        <v>58</v>
      </c>
      <c r="T1549" s="305"/>
      <c r="U1549" s="305"/>
      <c r="V1549" s="305"/>
      <c r="W1549" s="305"/>
      <c r="X1549" s="306"/>
      <c r="Y1549" s="47">
        <v>1</v>
      </c>
      <c r="Z1549" s="47">
        <v>2</v>
      </c>
      <c r="AA1549" s="47">
        <v>3</v>
      </c>
      <c r="AB1549" s="47">
        <v>4</v>
      </c>
      <c r="AC1549" s="47">
        <v>5</v>
      </c>
      <c r="AD1549" s="286"/>
      <c r="AE1549" s="287"/>
      <c r="AF1549" s="288"/>
    </row>
    <row r="1550" spans="1:32" ht="12.75" customHeight="1" x14ac:dyDescent="0.25">
      <c r="A1550" s="15" t="s">
        <v>166</v>
      </c>
      <c r="H1550" s="110" t="str">
        <f>IF($Q1552&lt;&gt;"",IF(AND(AND($H1552&gt;-1,$H1554&gt;-1),OR($H1552&gt;10,$H1554&gt;10),ABS($H1552-$H1554)&gt;1,IF(OR($H1552&gt;11,$H1554&gt;11),ABS($H1552-$H1554)=2,TRUE),$H1552=INT($H1552),$H1554=INT($H1554)),"","Error"),"")</f>
        <v/>
      </c>
      <c r="I1550" s="110" t="str">
        <f>IF($Q1552&lt;&gt;"",IF(AND(AND($I1552&gt;-1,$I1554&gt;-1),OR($I1552&gt;10,$I1554&gt;10),ABS($I1552-$I1554)&gt;1,IF(OR($I1552&gt;11,$I1554&gt;11),ABS($I1552-$I1554)=2,TRUE),$I1552=INT($I1552),$I1554=INT($I1554)),"","Error"),"")</f>
        <v/>
      </c>
      <c r="J1550" s="110" t="str">
        <f>IF($Q1552&lt;&gt;"",IF(AND(AND($J1552&gt;-1,$J1554&gt;-1),OR($J1552&gt;10,$J1554&gt;10),ABS($J1552-$J1554)&gt;1,IF(OR($J1552&gt;11,$J1554&gt;11),ABS($J1552-$J1554)=2,TRUE),$J1552=INT($J1552),$J1554=INT($J1554)),"","Error"),"")</f>
        <v/>
      </c>
      <c r="K1550" s="110" t="str">
        <f>IF($Q1552&lt;&gt;"",IF(AND($K1552&lt;&gt;"",$K1554&lt;&gt;""), IF(AND(AND($K1552&gt;-1,$K1554&gt;-1),OR($K1552&gt;10,$K1554&gt;10),ABS($K1552-$K1554)&gt;1,IF(OR($K1552&gt;11,$K1554&gt;11),ABS($K1552-$K1554)=2,TRUE),$K1552=INT($K1552),$K1554=INT($K1554)),"","Error"),""),"")</f>
        <v/>
      </c>
      <c r="L1550" s="110" t="str">
        <f>IF($Q1552&lt;&gt;"",IF(AND($L1552&lt;&gt;"",$L1554&lt;&gt;""), IF(AND(AND($L1552&gt;-1,$L1554&gt;-1),OR($L1552&gt;10,$L1554&gt;10),ABS($L1552-$L1554)&gt;1,IF(OR($L1552&gt;11,$L1554&gt;11),ABS($L1552-$L1554)=2,TRUE),$L1552=INT($L1552),$L1554=INT($L1554)),"","Error"),""),"")</f>
        <v/>
      </c>
      <c r="Q1550" s="6"/>
      <c r="R1550" s="259" t="str">
        <f>$B1539</f>
        <v>A</v>
      </c>
      <c r="S1550" s="307" t="str">
        <f ca="1">IF($B1552&lt;&gt;"",$B1552,"")</f>
        <v/>
      </c>
      <c r="T1550" s="308"/>
      <c r="U1550" s="308"/>
      <c r="V1550" s="308"/>
      <c r="W1550" s="308"/>
      <c r="X1550" s="309"/>
      <c r="Y1550" s="284"/>
      <c r="Z1550" s="284"/>
      <c r="AA1550" s="284"/>
      <c r="AB1550" s="284"/>
      <c r="AC1550" s="284"/>
      <c r="AD1550" s="296"/>
      <c r="AE1550" s="290"/>
      <c r="AF1550" s="291"/>
    </row>
    <row r="1551" spans="1:32" ht="12.75" customHeight="1" x14ac:dyDescent="0.25">
      <c r="A1551" s="5" t="s">
        <v>160</v>
      </c>
      <c r="B1551" s="256" t="s">
        <v>58</v>
      </c>
      <c r="C1551" s="257"/>
      <c r="D1551" s="257"/>
      <c r="E1551" s="257"/>
      <c r="F1551" s="257"/>
      <c r="G1551" s="258"/>
      <c r="H1551" s="5">
        <v>1</v>
      </c>
      <c r="I1551" s="5">
        <v>2</v>
      </c>
      <c r="J1551" s="5">
        <v>3</v>
      </c>
      <c r="K1551" s="5">
        <v>4</v>
      </c>
      <c r="L1551" s="5">
        <v>5</v>
      </c>
      <c r="M1551" s="270"/>
      <c r="N1551" s="271"/>
      <c r="O1551" s="271"/>
      <c r="P1551" s="272"/>
      <c r="Q1551" s="6"/>
      <c r="R1551" s="285"/>
      <c r="S1551" s="310"/>
      <c r="T1551" s="311"/>
      <c r="U1551" s="311"/>
      <c r="V1551" s="311"/>
      <c r="W1551" s="311"/>
      <c r="X1551" s="312"/>
      <c r="Y1551" s="285"/>
      <c r="Z1551" s="285"/>
      <c r="AA1551" s="285"/>
      <c r="AB1551" s="285"/>
      <c r="AC1551" s="285"/>
      <c r="AD1551" s="292"/>
      <c r="AE1551" s="293"/>
      <c r="AF1551" s="294"/>
    </row>
    <row r="1552" spans="1:32" ht="12.75" customHeight="1" x14ac:dyDescent="0.25">
      <c r="A1552" s="259" t="str">
        <f>B1539</f>
        <v>A</v>
      </c>
      <c r="B1552" s="236" t="str">
        <f ca="1">IF(AND(OFFSET($AO$1,$C1539-1,8,1,1),$A1540&lt;&gt;"",$J1540&lt;&gt;""),CHOOSE($C1539,$AP$1,$AP$2,$AP$3,$AP$4,$AP$5,$AP$6,$AP$7,$AP$8,$AP$9,$AP$10,$AP$11,$AP$12),"")</f>
        <v/>
      </c>
      <c r="C1552" s="237"/>
      <c r="D1552" s="237"/>
      <c r="E1552" s="237"/>
      <c r="F1552" s="237"/>
      <c r="G1552" s="237"/>
      <c r="H1552" s="233"/>
      <c r="I1552" s="233"/>
      <c r="J1552" s="233"/>
      <c r="K1552" s="233"/>
      <c r="L1552" s="233"/>
      <c r="M1552" s="245" t="str">
        <f ca="1">IF(OR(AND($B1545&lt;&gt;"",$B1552&lt;&gt;"",$C1570&lt;=$B1570),AND($B1547&lt;&gt;"",$B1554&lt;&gt;"",$G1570&lt;=$F1570)),"Invalid Lineup","")</f>
        <v/>
      </c>
      <c r="N1552" s="246"/>
      <c r="O1552" s="246"/>
      <c r="P1552" s="247"/>
      <c r="Q1552" s="40" t="str">
        <f>IF($L1552=$L1554,IF($K1552=$K1554,IF($J1552&lt;&gt;"",IF($J1552&gt;$J1554,"W","L"),""),IF($K1552&gt;$K1554,"W","L")),IF($L1552&gt;$L1554,"W","L"))</f>
        <v/>
      </c>
      <c r="R1552" s="259" t="str">
        <f>$K1539</f>
        <v>G</v>
      </c>
      <c r="S1552" s="307" t="str">
        <f ca="1">IF($B1554&lt;&gt;"",$B1554,"")</f>
        <v/>
      </c>
      <c r="T1552" s="308"/>
      <c r="U1552" s="308"/>
      <c r="V1552" s="308"/>
      <c r="W1552" s="308"/>
      <c r="X1552" s="309"/>
      <c r="Y1552" s="284"/>
      <c r="Z1552" s="284"/>
      <c r="AA1552" s="284"/>
      <c r="AB1552" s="284"/>
      <c r="AC1552" s="297"/>
      <c r="AD1552" s="289" t="s">
        <v>169</v>
      </c>
      <c r="AE1552" s="290"/>
      <c r="AF1552" s="291"/>
    </row>
    <row r="1553" spans="1:32" ht="12.75" customHeight="1" x14ac:dyDescent="0.25">
      <c r="A1553" s="260"/>
      <c r="B1553" s="238"/>
      <c r="C1553" s="239"/>
      <c r="D1553" s="239"/>
      <c r="E1553" s="239"/>
      <c r="F1553" s="239"/>
      <c r="G1553" s="239"/>
      <c r="H1553" s="234"/>
      <c r="I1553" s="234"/>
      <c r="J1553" s="234"/>
      <c r="K1553" s="234"/>
      <c r="L1553" s="234"/>
      <c r="M1553" s="245"/>
      <c r="N1553" s="246"/>
      <c r="O1553" s="246"/>
      <c r="P1553" s="247"/>
      <c r="Q1553" s="110" t="str">
        <f>IF($Q1552&lt;&gt;"",IF($Q1552="W",IF(SUM(IF($H1552&gt;$H1554,1,0),IF($I1552&gt;$I1554,1,0),IF($J1552&gt;$J1554,1,0),IF($K1552&gt;$K1554,1,0),IF($L1552&gt;$L1554,1,0))&lt;&gt;3,"Error",""),""),"")</f>
        <v/>
      </c>
      <c r="R1553" s="285"/>
      <c r="S1553" s="310"/>
      <c r="T1553" s="311"/>
      <c r="U1553" s="311"/>
      <c r="V1553" s="311"/>
      <c r="W1553" s="311"/>
      <c r="X1553" s="312"/>
      <c r="Y1553" s="285"/>
      <c r="Z1553" s="285"/>
      <c r="AA1553" s="285"/>
      <c r="AB1553" s="285"/>
      <c r="AC1553" s="285"/>
      <c r="AD1553" s="292"/>
      <c r="AE1553" s="293"/>
      <c r="AF1553" s="294"/>
    </row>
    <row r="1554" spans="1:32" ht="12.75" customHeight="1" x14ac:dyDescent="0.25">
      <c r="A1554" s="259" t="str">
        <f>K1539</f>
        <v>G</v>
      </c>
      <c r="B1554" s="236" t="str">
        <f ca="1">IF(AND(OFFSET($AO$1,$L1539-1,8,1,1),$A1540&lt;&gt;"",$J1540&lt;&gt;""),CHOOSE($L1539,$AP$1,$AP$2,$AP$3,$AP$4,$AP$5,$AP$6,$AP$7,$AP$8,$AP$9,$AP$10,$AP$11,$AP$12),"")</f>
        <v/>
      </c>
      <c r="C1554" s="237"/>
      <c r="D1554" s="237"/>
      <c r="E1554" s="237"/>
      <c r="F1554" s="237"/>
      <c r="G1554" s="237"/>
      <c r="H1554" s="233"/>
      <c r="I1554" s="233"/>
      <c r="J1554" s="233"/>
      <c r="K1554" s="233"/>
      <c r="L1554" s="233"/>
      <c r="M1554" s="250" t="s">
        <v>169</v>
      </c>
      <c r="N1554" s="251"/>
      <c r="O1554" s="251"/>
      <c r="P1554" s="252"/>
      <c r="Q1554" s="40" t="str">
        <f>IF($Q1552&lt;&gt;"",IF($Q1552="W","L","W"),"")</f>
        <v/>
      </c>
      <c r="R1554" s="14"/>
      <c r="S1554" s="14"/>
      <c r="T1554" s="14"/>
      <c r="U1554" s="14"/>
      <c r="V1554" s="14"/>
      <c r="W1554" s="14"/>
      <c r="X1554" s="7"/>
      <c r="Y1554" s="7"/>
      <c r="Z1554" s="14"/>
      <c r="AA1554" s="14"/>
      <c r="AB1554" s="14"/>
      <c r="AC1554" s="14"/>
      <c r="AD1554" s="14"/>
      <c r="AE1554" s="14"/>
      <c r="AF1554"/>
    </row>
    <row r="1555" spans="1:32" ht="12.75" customHeight="1" x14ac:dyDescent="0.25">
      <c r="A1555" s="260"/>
      <c r="B1555" s="238"/>
      <c r="C1555" s="239"/>
      <c r="D1555" s="239"/>
      <c r="E1555" s="239"/>
      <c r="F1555" s="239"/>
      <c r="G1555" s="239"/>
      <c r="H1555" s="234"/>
      <c r="I1555" s="234"/>
      <c r="J1555" s="235"/>
      <c r="K1555" s="235"/>
      <c r="L1555" s="235"/>
      <c r="M1555" s="250"/>
      <c r="N1555" s="251"/>
      <c r="O1555" s="251"/>
      <c r="P1555" s="252"/>
      <c r="Q1555" s="110" t="str">
        <f>IF($Q1554&lt;&gt;"",IF($Q1554="W",IF(SUM(IF($H1554&gt;$H1552,1,0),IF($I1554&gt;$I1552,1,0),IF($J1554&gt;$J1552,1,0),IF($K1554&gt;$K1552,1,0),IF($L1554&gt;$L1552,1,0))&lt;&gt;3,"Error",""),""),"")</f>
        <v/>
      </c>
      <c r="R1555" s="14"/>
      <c r="S1555" s="14"/>
      <c r="T1555" s="14"/>
      <c r="U1555" s="14"/>
      <c r="V1555" s="14"/>
      <c r="W1555" s="14"/>
      <c r="X1555" s="7"/>
      <c r="Y1555" s="7"/>
      <c r="Z1555" s="14"/>
      <c r="AA1555" s="14"/>
      <c r="AB1555" s="14"/>
      <c r="AC1555" s="14"/>
      <c r="AD1555" s="14"/>
      <c r="AE1555" s="14"/>
      <c r="AF1555"/>
    </row>
    <row r="1556" spans="1:32" ht="12.75" customHeight="1" x14ac:dyDescent="0.25">
      <c r="Q1556" s="6"/>
      <c r="R1556" s="14"/>
      <c r="S1556" s="14"/>
      <c r="T1556" s="14"/>
      <c r="U1556" s="14"/>
      <c r="V1556" s="14"/>
      <c r="W1556" s="14"/>
      <c r="X1556" s="7"/>
      <c r="Y1556" s="7"/>
      <c r="Z1556" s="14"/>
      <c r="AA1556" s="14"/>
      <c r="AB1556" s="14"/>
      <c r="AC1556" s="14"/>
      <c r="AD1556" s="14"/>
      <c r="AE1556" s="14"/>
      <c r="AF1556"/>
    </row>
    <row r="1557" spans="1:32" ht="12.75" customHeight="1" x14ac:dyDescent="0.25">
      <c r="A1557" s="15" t="s">
        <v>167</v>
      </c>
      <c r="H1557" s="110" t="str">
        <f>IF($Q1559&lt;&gt;"",IF(AND(AND($H1559&gt;-1,$H1561&gt;-1),OR($H1559&gt;10,$H1561&gt;10),ABS($H1559-$H1561)&gt;1,IF(OR($H1559&gt;11,$H1561&gt;11),ABS($H1559-$H1561)=2,TRUE),$H1559=INT($H1559),$H1561=INT($H1561)),"","Error"),"")</f>
        <v/>
      </c>
      <c r="I1557" s="110" t="str">
        <f>IF($Q1559&lt;&gt;"",IF(AND(AND($I1559&gt;-1,$I1561&gt;-1),OR($I1559&gt;10,$I1561&gt;10),ABS($I1559-$I1561)&gt;1,IF(OR($I1559&gt;11,$I1561&gt;11),ABS($I1559-$I1561)=2,TRUE),$I1559=INT($I1559),$I1561=INT($I1561)),"","Error"),"")</f>
        <v/>
      </c>
      <c r="J1557" s="110" t="str">
        <f>IF($Q1559&lt;&gt;"",IF(AND(AND($J1559&gt;-1,$J1561&gt;-1),OR($J1559&gt;10,$J1561&gt;10),ABS($J1559-$J1561)&gt;1,IF(OR($J1559&gt;11,$J1561&gt;11),ABS($J1559-$J1561)=2,TRUE),$J1559=INT($J1559),$J1561=INT($J1561)),"","Error"),"")</f>
        <v/>
      </c>
      <c r="K1557" s="110" t="str">
        <f>IF($Q1559&lt;&gt;"",IF(AND($K1559&lt;&gt;"",$K1561&lt;&gt;""), IF(AND(AND($K1559&gt;-1,$K1561&gt;-1),OR($K1559&gt;10,$K1561&gt;10),ABS($K1559-$K1561)&gt;1,IF(OR($K1559&gt;11,$K1561&gt;11),ABS($K1559-$K1561)=2,TRUE),$K1559=INT($K1559),$K1561=INT($K1561)),"","Error"),""),"")</f>
        <v/>
      </c>
      <c r="L1557" s="110" t="str">
        <f>IF($Q1559&lt;&gt;"",IF(AND($L1559&lt;&gt;"",$L1561&lt;&gt;""), IF(AND(AND($L1559&gt;-1,$L1561&gt;-1),OR($L1559&gt;10,$L1561&gt;10),ABS($L1559-$L1561)&gt;1,IF(OR($L1559&gt;11,$L1561&gt;11),ABS($L1559-$L1561)=2,TRUE),$L1559=INT($L1559),$L1561=INT($L1561)),"","Error"),""),"")</f>
        <v/>
      </c>
      <c r="Q1557" s="6"/>
      <c r="R1557" s="14"/>
      <c r="S1557" s="14"/>
      <c r="T1557" s="14"/>
      <c r="U1557" s="14"/>
      <c r="V1557" s="14"/>
      <c r="W1557" s="14"/>
      <c r="X1557" s="7"/>
      <c r="Y1557" s="7"/>
      <c r="Z1557" s="14"/>
      <c r="AA1557" s="14"/>
      <c r="AB1557" s="14"/>
      <c r="AC1557" s="14"/>
      <c r="AD1557" s="14"/>
      <c r="AE1557" s="14"/>
      <c r="AF1557"/>
    </row>
    <row r="1558" spans="1:32" ht="12.75" customHeight="1" x14ac:dyDescent="0.25">
      <c r="A1558" s="5" t="s">
        <v>160</v>
      </c>
      <c r="B1558" s="256" t="s">
        <v>58</v>
      </c>
      <c r="C1558" s="257"/>
      <c r="D1558" s="257"/>
      <c r="E1558" s="257"/>
      <c r="F1558" s="257"/>
      <c r="G1558" s="258"/>
      <c r="H1558" s="5">
        <v>1</v>
      </c>
      <c r="I1558" s="5">
        <v>2</v>
      </c>
      <c r="J1558" s="5">
        <v>3</v>
      </c>
      <c r="K1558" s="5">
        <v>4</v>
      </c>
      <c r="L1558" s="5">
        <v>5</v>
      </c>
      <c r="M1558" s="270"/>
      <c r="N1558" s="271"/>
      <c r="O1558" s="271"/>
      <c r="P1558" s="272"/>
      <c r="Q1558" s="6"/>
      <c r="R1558" s="14"/>
      <c r="S1558" s="14"/>
      <c r="T1558" s="14"/>
      <c r="U1558" s="14"/>
      <c r="V1558" s="14"/>
      <c r="W1558" s="14"/>
      <c r="X1558" s="7"/>
      <c r="Y1558" s="7"/>
      <c r="Z1558" s="14"/>
      <c r="AA1558" s="14"/>
      <c r="AB1558" s="14"/>
      <c r="AC1558" s="14"/>
      <c r="AD1558" s="14"/>
      <c r="AE1558" s="14"/>
      <c r="AF1558"/>
    </row>
    <row r="1559" spans="1:32" ht="12.75" customHeight="1" x14ac:dyDescent="0.25">
      <c r="A1559" s="259" t="str">
        <f>B1539</f>
        <v>A</v>
      </c>
      <c r="B1559" s="236" t="str">
        <f ca="1">IF(AND(OFFSET($AO$1,$C1539-1,8,1,1),$A1540&lt;&gt;"",$J1540&lt;&gt;""),CHOOSE($C1539,$AQ$1,$AQ$2,$AQ$3,$AQ$4,$AQ$5,$AQ$6,$AQ$7,$AQ$8,$AQ$9,$AQ$10,$AQ$11,$AQ$12),"")</f>
        <v/>
      </c>
      <c r="C1559" s="237"/>
      <c r="D1559" s="237"/>
      <c r="E1559" s="237"/>
      <c r="F1559" s="237"/>
      <c r="G1559" s="237"/>
      <c r="H1559" s="233"/>
      <c r="I1559" s="233"/>
      <c r="J1559" s="233"/>
      <c r="K1559" s="233"/>
      <c r="L1559" s="233"/>
      <c r="M1559" s="245" t="str">
        <f ca="1">IF(OR(AND($B1552&lt;&gt;"",$B1559&lt;&gt;"",$D1570&lt;=$C1570),AND($B1554&lt;&gt;"",$B1561&lt;&gt;"",$H1570&lt;=$G1570)),"Invalid Lineup","")</f>
        <v/>
      </c>
      <c r="N1559" s="246"/>
      <c r="O1559" s="246"/>
      <c r="P1559" s="247"/>
      <c r="Q1559" s="40" t="str">
        <f>IF($L1559=$L1561,IF($K1559=$K1561,IF($J1559&lt;&gt;"",IF($J1559&gt;$J1561,"W","L"),""),IF($K1559&gt;$K1561,"W","L")),IF($L1559&gt;$L1561,"W","L"))</f>
        <v/>
      </c>
      <c r="R1559" s="14"/>
      <c r="S1559" s="14"/>
      <c r="T1559" s="14"/>
      <c r="U1559" s="14"/>
      <c r="V1559" s="14"/>
      <c r="W1559" s="14"/>
      <c r="X1559" s="7"/>
      <c r="Y1559" s="7"/>
      <c r="Z1559" s="14"/>
      <c r="AA1559" s="14"/>
      <c r="AB1559" s="14"/>
      <c r="AC1559" s="14"/>
      <c r="AD1559" s="14"/>
      <c r="AE1559" s="14"/>
      <c r="AF1559"/>
    </row>
    <row r="1560" spans="1:32" ht="12.75" customHeight="1" x14ac:dyDescent="0.25">
      <c r="A1560" s="260"/>
      <c r="B1560" s="238"/>
      <c r="C1560" s="239"/>
      <c r="D1560" s="239"/>
      <c r="E1560" s="239"/>
      <c r="F1560" s="239"/>
      <c r="G1560" s="239"/>
      <c r="H1560" s="234"/>
      <c r="I1560" s="234"/>
      <c r="J1560" s="234"/>
      <c r="K1560" s="234"/>
      <c r="L1560" s="234"/>
      <c r="M1560" s="245"/>
      <c r="N1560" s="246"/>
      <c r="O1560" s="246"/>
      <c r="P1560" s="247"/>
      <c r="Q1560" s="110" t="str">
        <f>IF($Q1559&lt;&gt;"",IF($Q1559="W",IF(SUM(IF($H1559&gt;$H1561,1,0),IF($I1559&gt;$I1561,1,0),IF($J1559&gt;$J1561,1,0),IF($K1559&gt;$K1561,1,0),IF($L1559&gt;$L1561,1,0))&lt;&gt;3,"Error",""),""),"")</f>
        <v/>
      </c>
      <c r="R1560" s="295" t="str">
        <f>$A1540</f>
        <v/>
      </c>
      <c r="S1560" s="295"/>
      <c r="T1560" s="295"/>
      <c r="U1560" s="295"/>
      <c r="V1560" s="295"/>
      <c r="W1560" s="295"/>
      <c r="X1560" s="219" t="str">
        <f>CONCATENATE("(",$B1539," vs ",$K1539,")")</f>
        <v>(A vs G)</v>
      </c>
      <c r="Y1560" s="219"/>
      <c r="Z1560" s="295" t="str">
        <f>$J1540</f>
        <v/>
      </c>
      <c r="AA1560" s="295"/>
      <c r="AB1560" s="295"/>
      <c r="AC1560" s="295"/>
      <c r="AD1560" s="295"/>
      <c r="AE1560" s="295"/>
      <c r="AF1560"/>
    </row>
    <row r="1561" spans="1:32" ht="12.75" customHeight="1" x14ac:dyDescent="0.25">
      <c r="A1561" s="259" t="str">
        <f>K1539</f>
        <v>G</v>
      </c>
      <c r="B1561" s="236" t="str">
        <f ca="1">IF(AND(OFFSET($AO$1,$L1539-1,8,1,1),$A1540&lt;&gt;"",$J1540&lt;&gt;""),CHOOSE($L1539,$AQ$1,$AQ$2,$AQ$3,$AQ$4,$AQ$5,$AQ$6,$AQ$7,$AQ$8,$AQ$9,$AQ$10,$AQ$11,$AQ$12),"")</f>
        <v/>
      </c>
      <c r="C1561" s="237"/>
      <c r="D1561" s="237"/>
      <c r="E1561" s="237"/>
      <c r="F1561" s="237"/>
      <c r="G1561" s="237"/>
      <c r="H1561" s="233"/>
      <c r="I1561" s="233"/>
      <c r="J1561" s="233"/>
      <c r="K1561" s="233"/>
      <c r="L1561" s="233"/>
      <c r="M1561" s="250" t="s">
        <v>169</v>
      </c>
      <c r="N1561" s="251"/>
      <c r="O1561" s="251"/>
      <c r="P1561" s="252"/>
      <c r="Q1561" s="40" t="str">
        <f>IF($Q1559&lt;&gt;"",IF($Q1559="W","L","W"),"")</f>
        <v/>
      </c>
      <c r="R1561"/>
      <c r="S1561"/>
      <c r="T1561"/>
      <c r="U1561"/>
      <c r="V1561"/>
      <c r="W1561"/>
      <c r="X1561"/>
      <c r="Y1561"/>
      <c r="Z1561"/>
      <c r="AA1561"/>
      <c r="AB1561"/>
      <c r="AC1561"/>
      <c r="AD1561"/>
      <c r="AE1561"/>
      <c r="AF1561"/>
    </row>
    <row r="1562" spans="1:32" ht="12.75" customHeight="1" x14ac:dyDescent="0.25">
      <c r="A1562" s="260"/>
      <c r="B1562" s="238"/>
      <c r="C1562" s="239"/>
      <c r="D1562" s="239"/>
      <c r="E1562" s="239"/>
      <c r="F1562" s="239"/>
      <c r="G1562" s="239"/>
      <c r="H1562" s="234"/>
      <c r="I1562" s="234"/>
      <c r="J1562" s="235"/>
      <c r="K1562" s="235"/>
      <c r="L1562" s="235"/>
      <c r="M1562" s="250"/>
      <c r="N1562" s="251"/>
      <c r="O1562" s="251"/>
      <c r="P1562" s="252"/>
      <c r="Q1562" s="110" t="str">
        <f>IF($Q1561&lt;&gt;"",IF($Q1561="W",IF(SUM(IF($H1561&gt;$H1559,1,0),IF($I1561&gt;$I1559,1,0),IF($J1561&gt;$J1559,1,0),IF($K1561&gt;$K1559,1,0),IF($L1561&gt;$L1559,1,0))&lt;&gt;3,"Error",""),""),"")</f>
        <v/>
      </c>
      <c r="R1562" t="str">
        <f>$A1557</f>
        <v>3rd Singles</v>
      </c>
      <c r="S1562"/>
      <c r="T1562"/>
      <c r="U1562"/>
      <c r="V1562"/>
      <c r="W1562"/>
      <c r="X1562"/>
      <c r="Y1562"/>
      <c r="Z1562"/>
      <c r="AA1562"/>
      <c r="AB1562"/>
      <c r="AC1562"/>
      <c r="AD1562"/>
      <c r="AE1562"/>
      <c r="AF1562"/>
    </row>
    <row r="1563" spans="1:32" ht="12.75" customHeight="1" x14ac:dyDescent="0.25">
      <c r="Q1563" s="6"/>
      <c r="R1563" s="47" t="s">
        <v>160</v>
      </c>
      <c r="S1563" s="86" t="s">
        <v>58</v>
      </c>
      <c r="T1563" s="87"/>
      <c r="U1563" s="87"/>
      <c r="V1563" s="87"/>
      <c r="W1563" s="87"/>
      <c r="X1563" s="88"/>
      <c r="Y1563" s="47">
        <v>1</v>
      </c>
      <c r="Z1563" s="47">
        <v>2</v>
      </c>
      <c r="AA1563" s="47">
        <v>3</v>
      </c>
      <c r="AB1563" s="47">
        <v>4</v>
      </c>
      <c r="AC1563" s="47">
        <v>5</v>
      </c>
      <c r="AD1563" s="89"/>
      <c r="AE1563" s="90"/>
      <c r="AF1563" s="91"/>
    </row>
    <row r="1564" spans="1:32" ht="12.75" customHeight="1" x14ac:dyDescent="0.25">
      <c r="A1564" s="15" t="s">
        <v>168</v>
      </c>
      <c r="H1564" s="110" t="str">
        <f ca="1">IF($Q1566&lt;&gt;"",IF(AND($B1566&lt;&gt;"Missing Player",$B1568&lt;&gt;"Missing Player"),IF(AND(AND($H1566&gt;-1,$H1568&gt;-1),OR($H1566&gt;10,$H1568&gt;10),ABS($H1566-$H1568)&gt;1,IF(OR($H1566&gt;11,$H1568&gt;11),ABS($H1566-$H1568)=2,TRUE),$H1566=INT($H1566),$H1568=INT($H1568)),"","Error"),""),"")</f>
        <v/>
      </c>
      <c r="I1564" s="110" t="str">
        <f ca="1">IF($Q1566&lt;&gt;"",IF(AND($B1566&lt;&gt;"Missing Player",$B1568&lt;&gt;"Missing Player"),IF(AND(AND($I1566&gt;-1,$I1568&gt;-1),OR($I1566&gt;10,$I1568&gt;10),ABS($I1566-$I1568)&gt;1,IF(OR($I1566&gt;11,$I1568&gt;11),ABS($I1566-$I1568)=2,TRUE),$I1566=INT($I1566),$I1568=INT($I1568)),"","Error"),""),"")</f>
        <v/>
      </c>
      <c r="J1564" s="110" t="str">
        <f ca="1">IF($Q1566&lt;&gt;"",IF(AND($B1566&lt;&gt;"Missing Player",$B1568&lt;&gt;"Missing Player"),IF(AND(AND($J1566&gt;-1,$J1568&gt;-1),OR($J1566&gt;10,$J1568&gt;10),ABS($J1566-$J1568)&gt;1,IF(OR($J1566&gt;11,$J1568&gt;11),ABS($J1566-$J1568)=2,TRUE),$J1566=INT($J1566),$J1568=INT($J1568)),"","Error"),""),"")</f>
        <v/>
      </c>
      <c r="K1564" s="110" t="str">
        <f ca="1">IF($Q1566&lt;&gt;"",IF(AND($K1566&lt;&gt;"",$K1568&lt;&gt;""), IF(AND(AND($K1566&gt;-1,$K1568&gt;-1),OR($K1566&gt;10,$K1568&gt;10),ABS($K1566-$K1568)&gt;1,IF(OR($K1566&gt;11,$K1568&gt;11),ABS($K1566-$K1568)=2,TRUE),$K1566=INT($K1566),$K1568=INT($K1568)),"","Error"),""),"")</f>
        <v/>
      </c>
      <c r="L1564" s="110" t="str">
        <f ca="1">IF($Q1566&lt;&gt;"",IF(AND($L1566&lt;&gt;"",$L1568&lt;&gt;""), IF(AND(AND($L1566&gt;-1,$L1568&gt;-1),OR($L1566&gt;10,$L1568&gt;10),ABS($L1566-$L1568)&gt;1,IF(OR($L1566&gt;11,$L1568&gt;11),ABS($L1566-$L1568)=2,TRUE),$L1566=INT($L1566),$L1568=INT($L1568)),"","Error"),""),"")</f>
        <v/>
      </c>
      <c r="Q1564" s="6"/>
      <c r="R1564" s="259" t="str">
        <f>$B1539</f>
        <v>A</v>
      </c>
      <c r="S1564" s="307" t="str">
        <f ca="1">IF($B1559&lt;&gt;"",$B1559,"")</f>
        <v/>
      </c>
      <c r="T1564" s="308"/>
      <c r="U1564" s="308"/>
      <c r="V1564" s="308"/>
      <c r="W1564" s="308"/>
      <c r="X1564" s="309"/>
      <c r="Y1564" s="284"/>
      <c r="Z1564" s="284"/>
      <c r="AA1564" s="284"/>
      <c r="AB1564" s="284"/>
      <c r="AC1564" s="284"/>
      <c r="AD1564" s="296"/>
      <c r="AE1564" s="290"/>
      <c r="AF1564" s="291"/>
    </row>
    <row r="1565" spans="1:32" ht="12.75" customHeight="1" x14ac:dyDescent="0.25">
      <c r="A1565" s="5" t="s">
        <v>160</v>
      </c>
      <c r="B1565" s="256" t="s">
        <v>58</v>
      </c>
      <c r="C1565" s="257"/>
      <c r="D1565" s="257"/>
      <c r="E1565" s="257"/>
      <c r="F1565" s="257"/>
      <c r="G1565" s="258"/>
      <c r="H1565" s="5">
        <v>1</v>
      </c>
      <c r="I1565" s="5">
        <v>2</v>
      </c>
      <c r="J1565" s="5">
        <v>3</v>
      </c>
      <c r="K1565" s="5">
        <v>4</v>
      </c>
      <c r="L1565" s="5">
        <v>5</v>
      </c>
      <c r="M1565" s="270"/>
      <c r="N1565" s="271"/>
      <c r="O1565" s="271"/>
      <c r="P1565" s="272"/>
      <c r="Q1565" s="6"/>
      <c r="R1565" s="285"/>
      <c r="S1565" s="310"/>
      <c r="T1565" s="311"/>
      <c r="U1565" s="311"/>
      <c r="V1565" s="311"/>
      <c r="W1565" s="311"/>
      <c r="X1565" s="312"/>
      <c r="Y1565" s="285"/>
      <c r="Z1565" s="285"/>
      <c r="AA1565" s="285"/>
      <c r="AB1565" s="285"/>
      <c r="AC1565" s="285"/>
      <c r="AD1565" s="292"/>
      <c r="AE1565" s="293"/>
      <c r="AF1565" s="294"/>
    </row>
    <row r="1566" spans="1:32" ht="12.75" customHeight="1" x14ac:dyDescent="0.25">
      <c r="A1566" s="259" t="str">
        <f>B1539</f>
        <v>A</v>
      </c>
      <c r="B1566" s="236" t="str">
        <f ca="1">IF(AND(OFFSET($AO$1,$C1539-1,8,1,1),$A1540&lt;&gt;"",$J1540&lt;&gt;""),CHOOSE($C1539,$AR$1,$AR$2,$AR$3,$AR$4,$AR$5,$AR$6,$AR$7,$AR$8,$AR$9,$AR$10,$AR$11,$AR$12),"")</f>
        <v/>
      </c>
      <c r="C1566" s="237"/>
      <c r="D1566" s="237"/>
      <c r="E1566" s="237"/>
      <c r="F1566" s="237"/>
      <c r="G1566" s="237"/>
      <c r="H1566" s="233"/>
      <c r="I1566" s="233"/>
      <c r="J1566" s="233"/>
      <c r="K1566" s="233"/>
      <c r="L1566" s="233" t="str">
        <f ca="1">IF(AND($B1566&lt;&gt;"",$Q1545&lt;&gt;""),IF($B1566="Missing Player",0,IF($B1568="Missing Player",11,"")),"")</f>
        <v/>
      </c>
      <c r="M1566" s="245" t="str">
        <f ca="1">IF(OR(AND($B1559&lt;&gt;"",$B1566&lt;&gt;"",$E1570&lt;=$D1570),AND($B1561&lt;&gt;"",$B1568&lt;&gt;"",$I1570&lt;=$H1570)),"Invalid Lineup","")</f>
        <v/>
      </c>
      <c r="N1566" s="246"/>
      <c r="O1566" s="246"/>
      <c r="P1566" s="247"/>
      <c r="Q1566" s="40" t="str">
        <f ca="1">IF($L1566=$L1568,IF($K1566=$K1568,IF($J1566&lt;&gt;"",IF($J1566&gt;$J1568,"W","L"),""),IF($K1566&gt;$K1568,"W","L")),IF($L1566&gt;$L1568,"W","L"))</f>
        <v/>
      </c>
      <c r="R1566" s="259" t="str">
        <f>$K1539</f>
        <v>G</v>
      </c>
      <c r="S1566" s="307" t="str">
        <f ca="1">IF($B1561&lt;&gt;"",$B1561,"")</f>
        <v/>
      </c>
      <c r="T1566" s="308"/>
      <c r="U1566" s="308"/>
      <c r="V1566" s="308"/>
      <c r="W1566" s="308"/>
      <c r="X1566" s="309"/>
      <c r="Y1566" s="284"/>
      <c r="Z1566" s="284"/>
      <c r="AA1566" s="284"/>
      <c r="AB1566" s="284"/>
      <c r="AC1566" s="297"/>
      <c r="AD1566" s="289" t="s">
        <v>169</v>
      </c>
      <c r="AE1566" s="290"/>
      <c r="AF1566" s="291"/>
    </row>
    <row r="1567" spans="1:32" ht="12.75" customHeight="1" x14ac:dyDescent="0.25">
      <c r="A1567" s="260"/>
      <c r="B1567" s="238"/>
      <c r="C1567" s="239"/>
      <c r="D1567" s="239"/>
      <c r="E1567" s="239"/>
      <c r="F1567" s="239"/>
      <c r="G1567" s="239"/>
      <c r="H1567" s="234"/>
      <c r="I1567" s="234"/>
      <c r="J1567" s="234"/>
      <c r="K1567" s="234"/>
      <c r="L1567" s="234"/>
      <c r="M1567" s="245"/>
      <c r="N1567" s="246"/>
      <c r="O1567" s="246"/>
      <c r="P1567" s="247"/>
      <c r="Q1567" s="110" t="str">
        <f ca="1">IF($Q1566&lt;&gt;"",IF($B1568&lt;&gt;"Missing Player",IF($Q1566="W",IF(SUM(IF($H1566&gt;$H1568,1,0),IF($I1566&gt;$I1568,1,0),IF($J1566&gt;$J1568,1,0),IF($K1566&gt;$K1568,1,0),IF($L1566&gt;$L1568,1,0))&lt;&gt;3,"Error",""),""),""),"")</f>
        <v/>
      </c>
      <c r="R1567" s="285"/>
      <c r="S1567" s="310"/>
      <c r="T1567" s="311"/>
      <c r="U1567" s="311"/>
      <c r="V1567" s="311"/>
      <c r="W1567" s="311"/>
      <c r="X1567" s="312"/>
      <c r="Y1567" s="285"/>
      <c r="Z1567" s="285"/>
      <c r="AA1567" s="285"/>
      <c r="AB1567" s="285"/>
      <c r="AC1567" s="285"/>
      <c r="AD1567" s="292"/>
      <c r="AE1567" s="293"/>
      <c r="AF1567" s="294"/>
    </row>
    <row r="1568" spans="1:32" ht="12.75" customHeight="1" x14ac:dyDescent="0.25">
      <c r="A1568" s="259" t="str">
        <f>K1539</f>
        <v>G</v>
      </c>
      <c r="B1568" s="236" t="str">
        <f ca="1">IF(AND(OFFSET($AO$1,$L1539-1,8,1,1),$A1540&lt;&gt;"",$J1540&lt;&gt;""),CHOOSE($L1539,$AR$1,$AR$2,$AR$3,$AR$4,$AR$5,$AR$6,$AR$7,$AR$8,$AR$9,$AR$10,$AR$11,$AR$12),"")</f>
        <v/>
      </c>
      <c r="C1568" s="237"/>
      <c r="D1568" s="237"/>
      <c r="E1568" s="237"/>
      <c r="F1568" s="237"/>
      <c r="G1568" s="237"/>
      <c r="H1568" s="233"/>
      <c r="I1568" s="233"/>
      <c r="J1568" s="233"/>
      <c r="K1568" s="233"/>
      <c r="L1568" s="233" t="str">
        <f ca="1">IF(AND($B1568&lt;&gt;"",$Q1545&lt;&gt;""),IF($B1568="Missing Player",0,IF($B1566="Missing Player",11,"")),"")</f>
        <v/>
      </c>
      <c r="M1568" s="250" t="s">
        <v>169</v>
      </c>
      <c r="N1568" s="251"/>
      <c r="O1568" s="251"/>
      <c r="P1568" s="252"/>
      <c r="Q1568" s="40" t="str">
        <f ca="1">IF($Q1566&lt;&gt;"",IF($Q1566="W","L","W"),"")</f>
        <v/>
      </c>
      <c r="R1568" s="94"/>
      <c r="S1568" s="84"/>
      <c r="T1568" s="84"/>
      <c r="U1568" s="84"/>
      <c r="V1568" s="84"/>
      <c r="W1568" s="84"/>
      <c r="X1568" s="84"/>
      <c r="Y1568" s="93"/>
      <c r="Z1568" s="93"/>
      <c r="AA1568" s="93"/>
      <c r="AB1568" s="93"/>
      <c r="AC1568" s="93"/>
      <c r="AD1568" s="92"/>
      <c r="AE1568" s="93"/>
      <c r="AF1568" s="93"/>
    </row>
    <row r="1569" spans="1:32" ht="12.75" customHeight="1" x14ac:dyDescent="0.25">
      <c r="A1569" s="260"/>
      <c r="B1569" s="238"/>
      <c r="C1569" s="239"/>
      <c r="D1569" s="239"/>
      <c r="E1569" s="239"/>
      <c r="F1569" s="239"/>
      <c r="G1569" s="239"/>
      <c r="H1569" s="234"/>
      <c r="I1569" s="234"/>
      <c r="J1569" s="235"/>
      <c r="K1569" s="235"/>
      <c r="L1569" s="235"/>
      <c r="M1569" s="250"/>
      <c r="N1569" s="251"/>
      <c r="O1569" s="251"/>
      <c r="P1569" s="252"/>
      <c r="Q1569" s="110" t="str">
        <f ca="1">IF($Q1568&lt;&gt;"",IF($B1566&lt;&gt;"Missing Player",IF($Q1568="W",IF(SUM(IF($H1568&gt;$H1566,1,0),IF($I1568&gt;$I1566,1,0),IF($J1568&gt;$J1566,1,0),IF($K1568&gt;$K1566,1,0),IF($L1568&gt;$L1566,1,0))&lt;&gt;3,"Error",""),""),""),"")</f>
        <v/>
      </c>
      <c r="R1569" s="85"/>
      <c r="S1569" s="95"/>
      <c r="T1569" s="95"/>
      <c r="U1569" s="95"/>
      <c r="V1569" s="95"/>
      <c r="W1569" s="95"/>
      <c r="X1569" s="95"/>
      <c r="Y1569" s="85"/>
      <c r="Z1569" s="85"/>
      <c r="AA1569" s="85"/>
      <c r="AB1569" s="85"/>
      <c r="AC1569" s="85"/>
      <c r="AD1569" s="85"/>
      <c r="AE1569" s="85"/>
      <c r="AF1569" s="85"/>
    </row>
    <row r="1570" spans="1:32" ht="12.75" customHeight="1" x14ac:dyDescent="0.25">
      <c r="B1570" s="111" t="str">
        <f ca="1">IF(ISERROR(VLOOKUP($B1545&amp;"("&amp;$B1539&amp;")",Players!$S$4:$T$132,2,FALSE)),"",VLOOKUP($B1545&amp;"("&amp;$B1539&amp;")",Players!$S$4:$T$132,2,FALSE))</f>
        <v>A1</v>
      </c>
      <c r="C1570" s="111" t="str">
        <f ca="1">IF(ISERROR(VLOOKUP($B1552&amp;"("&amp;$B1539&amp;")",Players!$S$4:$T$132,2,FALSE)),"",VLOOKUP($B1552&amp;"("&amp;$B1539&amp;")",Players!$S$4:$T$132,2,FALSE))</f>
        <v>A1</v>
      </c>
      <c r="D1570" s="111" t="str">
        <f ca="1">IF(ISERROR(VLOOKUP($B1559&amp;"("&amp;$B1539&amp;")",Players!$S$4:$T$132,2,FALSE)),"",VLOOKUP($B1559&amp;"("&amp;$B1539&amp;")",Players!$S$4:$T$132,2,FALSE))</f>
        <v>A1</v>
      </c>
      <c r="E1570" s="111" t="str">
        <f ca="1">IF(ISERROR(VLOOKUP($B1566&amp;"("&amp;$B1539&amp;")",Players!$S$4:$T$132,2,FALSE)),"",VLOOKUP($B1566&amp;"("&amp;$B1539&amp;")",Players!$S$4:$T$132,2,FALSE))</f>
        <v>A1</v>
      </c>
      <c r="F1570" s="111" t="str">
        <f ca="1">IF(ISERROR(VLOOKUP($B1547&amp;"("&amp;$K1539&amp;")",Players!$S$4:$T$132,2,FALSE)),"",VLOOKUP($B1547&amp;"("&amp;$K1539&amp;")",Players!$S$4:$T$132,2,FALSE))</f>
        <v>G1</v>
      </c>
      <c r="G1570" s="111" t="str">
        <f ca="1">IF(ISERROR(VLOOKUP($B1554&amp;"("&amp;$K1539&amp;")",Players!$S$4:$T$132,2,FALSE)),"",VLOOKUP($B1554&amp;"("&amp;$K1539&amp;")",Players!$S$4:$T$132,2,FALSE))</f>
        <v>G1</v>
      </c>
      <c r="H1570" s="111" t="str">
        <f ca="1">IF(ISERROR(VLOOKUP($B1561&amp;"("&amp;$K1539&amp;")",Players!$S$4:$T$132,2,FALSE)),"",VLOOKUP($B1561&amp;"("&amp;$K1539&amp;")",Players!$S$4:$T$132,2,FALSE))</f>
        <v>G1</v>
      </c>
      <c r="I1570" s="111" t="str">
        <f ca="1">IF(ISERROR(VLOOKUP($B1568&amp;"("&amp;$K1539&amp;")",Players!$S$4:$T$132,2,FALSE)),"",VLOOKUP($B1568&amp;"("&amp;$K1539&amp;")",Players!$S$4:$T$132,2,FALSE))</f>
        <v>G1</v>
      </c>
      <c r="Q1570" s="6"/>
      <c r="R1570" s="37"/>
      <c r="S1570" s="95"/>
      <c r="T1570" s="95"/>
      <c r="U1570" s="95"/>
      <c r="V1570" s="95"/>
      <c r="W1570" s="95"/>
      <c r="X1570" s="95"/>
      <c r="Y1570" s="85"/>
      <c r="Z1570" s="85"/>
      <c r="AA1570" s="85"/>
      <c r="AB1570" s="85"/>
      <c r="AC1570" s="96"/>
      <c r="AD1570" s="97"/>
      <c r="AE1570" s="85"/>
      <c r="AF1570" s="85"/>
    </row>
    <row r="1571" spans="1:32" ht="12.75" customHeight="1" x14ac:dyDescent="0.25">
      <c r="A1571" s="15" t="s">
        <v>157</v>
      </c>
      <c r="H1571" s="110" t="str">
        <f ca="1">IF($Q1573&lt;&gt;"",IF(AND($B1574&lt;&gt;"Missing Player",$B1576&lt;&gt;"Missing Player"),IF(AND(AND($H1573&gt;-1,$H1575&gt;-1),OR($H1573&gt;10,$H1575&gt;10),ABS($H1573-$H1575)&gt;1,IF(OR($H1573&gt;11,$H1575&gt;11),ABS($H1573-$H1575)=2,TRUE),$H1573=INT($H1573),$H1575=INT($H1575)),"","Error"),""),"")</f>
        <v/>
      </c>
      <c r="I1571" s="110" t="str">
        <f ca="1">IF($Q1573&lt;&gt;"",IF(AND($B1574&lt;&gt;"Missing Player",$B1576&lt;&gt;"Missing Player"),IF(AND(AND($I1573&gt;-1,$I1575&gt;-1),OR($I1573&gt;10,$I1575&gt;10),ABS($I1573-$I1575)&gt;1,IF(OR($I1573&gt;11,$I1575&gt;11),ABS($I1573-$I1575)=2,TRUE),$I1573=INT($I1573),$I1575=INT($I1575)),"","Error"),""),"")</f>
        <v/>
      </c>
      <c r="J1571" s="110" t="str">
        <f ca="1">IF($Q1573&lt;&gt;"",IF(AND($B1574&lt;&gt;"Missing Player",$B1576&lt;&gt;"Missing Player"),IF(AND(AND($J1573&gt;-1,$J1575&gt;-1),OR($J1573&gt;10,$J1575&gt;10),ABS($J1573-$J1575)&gt;1,IF(OR($J1573&gt;11,$J1575&gt;11),ABS($J1573-$J1575)=2,TRUE),$J1573=INT($J1573),$J1575=INT($J1575)),"","Error"),""),"")</f>
        <v/>
      </c>
      <c r="K1571" s="110" t="str">
        <f ca="1">IF($Q1573&lt;&gt;"",IF(AND($K1573&lt;&gt;"",$K1575&lt;&gt;""), IF(AND(AND($K1573&gt;-1,$K1575&gt;-1),OR($K1573&gt;10,$K1575&gt;10),ABS($K1573-$K1575)&gt;1,IF(OR($K1573&gt;11,$K1575&gt;11),ABS($K1573-$K1575)=2,TRUE),$K1573=INT($K1573),$K1575=INT($K1575)),"","Error"),""),"")</f>
        <v/>
      </c>
      <c r="L1571" s="110" t="str">
        <f ca="1">IF($Q1573&lt;&gt;"",IF(AND($L1573&lt;&gt;"",$L1575&lt;&gt;""), IF(AND(AND($L1573&gt;-1,$L1575&gt;-1),OR($L1573&gt;10,$L1575&gt;10),ABS($L1573-$L1575)&gt;1,IF(OR($L1573&gt;11,$L1575&gt;11),ABS($L1573-$L1575)=2,TRUE),$L1573=INT($L1573),$L1575=INT($L1575)),"","Error"),""),"")</f>
        <v/>
      </c>
      <c r="Q1571" s="6"/>
      <c r="R1571" s="85"/>
      <c r="S1571" s="95"/>
      <c r="T1571" s="95"/>
      <c r="U1571" s="95"/>
      <c r="V1571" s="95"/>
      <c r="W1571" s="95"/>
      <c r="X1571" s="95"/>
      <c r="Y1571" s="85"/>
      <c r="Z1571" s="85"/>
      <c r="AA1571" s="85"/>
      <c r="AB1571" s="85"/>
      <c r="AC1571" s="85"/>
      <c r="AD1571" s="85"/>
      <c r="AE1571" s="85"/>
      <c r="AF1571" s="85"/>
    </row>
    <row r="1572" spans="1:32" ht="12.75" customHeight="1" x14ac:dyDescent="0.25">
      <c r="A1572" s="5" t="s">
        <v>160</v>
      </c>
      <c r="B1572" s="256" t="s">
        <v>58</v>
      </c>
      <c r="C1572" s="257"/>
      <c r="D1572" s="257"/>
      <c r="E1572" s="257"/>
      <c r="F1572" s="257"/>
      <c r="G1572" s="258"/>
      <c r="H1572" s="5">
        <v>1</v>
      </c>
      <c r="I1572" s="5">
        <v>2</v>
      </c>
      <c r="J1572" s="5">
        <v>3</v>
      </c>
      <c r="K1572" s="5">
        <v>4</v>
      </c>
      <c r="L1572" s="5">
        <v>5</v>
      </c>
      <c r="M1572" s="270"/>
      <c r="N1572" s="271"/>
      <c r="O1572" s="271"/>
      <c r="P1572" s="272"/>
      <c r="Q1572" s="6"/>
      <c r="T1572" s="7"/>
    </row>
    <row r="1573" spans="1:32" ht="12.75" customHeight="1" x14ac:dyDescent="0.25">
      <c r="A1573" s="259" t="str">
        <f>B1539</f>
        <v>A</v>
      </c>
      <c r="B1573" s="230" t="str">
        <f ca="1">IF($B1545&lt;&gt;"",$B1545,"")</f>
        <v/>
      </c>
      <c r="C1573" s="231"/>
      <c r="D1573" s="231"/>
      <c r="E1573" s="231"/>
      <c r="F1573" s="231"/>
      <c r="G1573" s="232"/>
      <c r="H1573" s="233"/>
      <c r="I1573" s="233"/>
      <c r="J1573" s="233"/>
      <c r="K1573" s="233"/>
      <c r="L1573" s="233" t="str">
        <f ca="1">IF($B1566&lt;&gt;"",IF(AND($B1566="Missing Player",$G1577=2,$J1577=2),0,IF(AND($B1568="Missing Player",$G1577=2,$J1577=2),11,"")),"")</f>
        <v/>
      </c>
      <c r="M1573" s="245" t="str">
        <f ca="1">IF(OR(AND($B1573&lt;&gt;"",$B1574&lt;&gt;"",$B1573=$B1574),AND($B1575&lt;&gt;"",$B1576&lt;&gt;"",$B1575=$B1576)),"Invalid Partner","")</f>
        <v/>
      </c>
      <c r="N1573" s="246"/>
      <c r="O1573" s="246"/>
      <c r="P1573" s="247"/>
      <c r="Q1573" s="37" t="str">
        <f ca="1">IF(L1573=L1575,IF(K1573=K1575,IF(J1573&lt;&gt;"",IF(J1573&gt;J1575,"W","L"),""),IF(K1573&gt;K1575,"W","L")),IF(L1573&gt;L1575,"W","L"))</f>
        <v/>
      </c>
      <c r="T1573" s="7"/>
    </row>
    <row r="1574" spans="1:32" ht="12.75" customHeight="1" x14ac:dyDescent="0.25">
      <c r="A1574" s="260"/>
      <c r="B1574" s="266" t="str">
        <f ca="1">IF($B1566="Missing Player",$B1566,"")</f>
        <v/>
      </c>
      <c r="C1574" s="267"/>
      <c r="D1574" s="267"/>
      <c r="E1574" s="267"/>
      <c r="F1574" s="267"/>
      <c r="G1574" s="268"/>
      <c r="H1574" s="234"/>
      <c r="I1574" s="234"/>
      <c r="J1574" s="234"/>
      <c r="K1574" s="234"/>
      <c r="L1574" s="234"/>
      <c r="M1574" s="245"/>
      <c r="N1574" s="246"/>
      <c r="O1574" s="246"/>
      <c r="P1574" s="247"/>
      <c r="Q1574" s="110" t="str">
        <f ca="1">IF($Q1573&lt;&gt;"",IF($B1576&lt;&gt;"Missing Player",IF($Q1573="W",IF(SUM(IF($H1573&gt;$H1575,1,0),IF($I1573&gt;$I1575,1,0),IF($J1573&gt;$J1575,1,0),IF($K1573&gt;$K1575,1,0),IF($L1573&gt;$L1575,1,0))&lt;&gt;3,"Error",""),""),""),"")</f>
        <v/>
      </c>
      <c r="R1574" s="295" t="str">
        <f>$A1540</f>
        <v/>
      </c>
      <c r="S1574" s="295"/>
      <c r="T1574" s="295"/>
      <c r="U1574" s="295"/>
      <c r="V1574" s="295"/>
      <c r="W1574" s="295"/>
      <c r="X1574" s="219" t="str">
        <f>CONCATENATE("(",$B1539," vs ",$K1539,")")</f>
        <v>(A vs G)</v>
      </c>
      <c r="Y1574" s="219"/>
      <c r="Z1574" s="295" t="str">
        <f>$J1540</f>
        <v/>
      </c>
      <c r="AA1574" s="295"/>
      <c r="AB1574" s="295"/>
      <c r="AC1574" s="295"/>
      <c r="AD1574" s="295"/>
      <c r="AE1574" s="295"/>
      <c r="AF1574"/>
    </row>
    <row r="1575" spans="1:32" ht="12.75" customHeight="1" x14ac:dyDescent="0.25">
      <c r="A1575" s="265" t="str">
        <f>K1539</f>
        <v>G</v>
      </c>
      <c r="B1575" s="230" t="str">
        <f ca="1">IF($B1547&lt;&gt;"",$B1547,"")</f>
        <v/>
      </c>
      <c r="C1575" s="231"/>
      <c r="D1575" s="231"/>
      <c r="E1575" s="231"/>
      <c r="F1575" s="231"/>
      <c r="G1575" s="232"/>
      <c r="H1575" s="233"/>
      <c r="I1575" s="233"/>
      <c r="J1575" s="233"/>
      <c r="K1575" s="233"/>
      <c r="L1575" s="233" t="str">
        <f ca="1">IF($B1568&lt;&gt;"",IF(AND($B1568="Missing Player",$G1577=2,$J1577=2),0,IF(AND($B1566="Missing Player",$G1577=2,$J1577=2),11,"")),"")</f>
        <v/>
      </c>
      <c r="M1575" s="250" t="s">
        <v>169</v>
      </c>
      <c r="N1575" s="251"/>
      <c r="O1575" s="251"/>
      <c r="P1575" s="252"/>
      <c r="Q1575" s="37" t="str">
        <f ca="1">IF(Q1573&lt;&gt;"",IF(Q1573="W","L","W"),"")</f>
        <v/>
      </c>
      <c r="R1575"/>
      <c r="S1575"/>
      <c r="T1575"/>
      <c r="U1575"/>
      <c r="V1575"/>
      <c r="W1575"/>
      <c r="X1575"/>
      <c r="Y1575"/>
      <c r="Z1575"/>
      <c r="AA1575"/>
      <c r="AB1575"/>
      <c r="AC1575"/>
      <c r="AD1575"/>
      <c r="AE1575"/>
      <c r="AF1575"/>
    </row>
    <row r="1576" spans="1:32" ht="12.75" customHeight="1" x14ac:dyDescent="0.25">
      <c r="A1576" s="260"/>
      <c r="B1576" s="266" t="str">
        <f ca="1">IF($B1568="Missing Player",$B1568,"")</f>
        <v/>
      </c>
      <c r="C1576" s="267"/>
      <c r="D1576" s="267"/>
      <c r="E1576" s="267"/>
      <c r="F1576" s="267"/>
      <c r="G1576" s="268"/>
      <c r="H1576" s="234"/>
      <c r="I1576" s="234"/>
      <c r="J1576" s="235"/>
      <c r="K1576" s="235"/>
      <c r="L1576" s="235"/>
      <c r="M1576" s="250"/>
      <c r="N1576" s="251"/>
      <c r="O1576" s="251"/>
      <c r="P1576" s="252"/>
      <c r="Q1576" s="110" t="str">
        <f ca="1">IF($Q1575&lt;&gt;"",IF($B1574&lt;&gt;"Missing Player",IF($Q1575="W",IF(SUM(IF($H1575&gt;$H1573,1,0),IF($I1575&gt;$I1573,1,0),IF($J1575&gt;$J1573,1,0),IF($K1575&gt;$K1573,1,0),IF($L1575&gt;$L1573,1,0))&lt;&gt;3,"Error",""),""),""),"")</f>
        <v/>
      </c>
      <c r="R1576" t="str">
        <f>A1564</f>
        <v>4th Singles</v>
      </c>
      <c r="S1576"/>
      <c r="T1576"/>
      <c r="U1576"/>
      <c r="V1576"/>
      <c r="W1576"/>
      <c r="X1576"/>
      <c r="Y1576"/>
      <c r="Z1576"/>
      <c r="AA1576"/>
      <c r="AB1576"/>
      <c r="AC1576"/>
      <c r="AD1576"/>
      <c r="AE1576"/>
      <c r="AF1576"/>
    </row>
    <row r="1577" spans="1:32" ht="12.75" customHeight="1" x14ac:dyDescent="0.25">
      <c r="G1577" s="53">
        <f ca="1">COUNTIF($Q1545:$Q1545,"W")+COUNTIF($Q1552:$Q1552,"W")+COUNTIF($Q1559:$Q1559,"W")+COUNTIF($Q1566:$Q1566,"W")</f>
        <v>0</v>
      </c>
      <c r="J1577" s="53">
        <f ca="1">COUNTIF($Q1547:$Q1547,"W")+COUNTIF($Q1554:$Q1554,"W")+COUNTIF($Q1561:$Q1561,"W")+COUNTIF($Q1568:$Q1568,"W")</f>
        <v>0</v>
      </c>
      <c r="R1577" s="47" t="s">
        <v>160</v>
      </c>
      <c r="S1577" s="304" t="s">
        <v>58</v>
      </c>
      <c r="T1577" s="305"/>
      <c r="U1577" s="305"/>
      <c r="V1577" s="305"/>
      <c r="W1577" s="305"/>
      <c r="X1577" s="306"/>
      <c r="Y1577" s="47">
        <v>1</v>
      </c>
      <c r="Z1577" s="47">
        <v>2</v>
      </c>
      <c r="AA1577" s="47">
        <v>3</v>
      </c>
      <c r="AB1577" s="47">
        <v>4</v>
      </c>
      <c r="AC1577" s="47">
        <v>5</v>
      </c>
      <c r="AD1577" s="286"/>
      <c r="AE1577" s="287"/>
      <c r="AF1577" s="288"/>
    </row>
    <row r="1578" spans="1:32" ht="12.75" customHeight="1" thickBot="1" x14ac:dyDescent="0.3">
      <c r="F1578" s="212" t="s">
        <v>170</v>
      </c>
      <c r="G1578" s="212"/>
      <c r="H1578" s="212"/>
      <c r="I1578" s="212"/>
      <c r="J1578" s="212"/>
      <c r="K1578" s="212"/>
      <c r="R1578" s="259" t="str">
        <f>B1539</f>
        <v>A</v>
      </c>
      <c r="S1578" s="307" t="str">
        <f ca="1">IF($B1566&lt;&gt;"",$B1566,"")</f>
        <v/>
      </c>
      <c r="T1578" s="308"/>
      <c r="U1578" s="308"/>
      <c r="V1578" s="308"/>
      <c r="W1578" s="308"/>
      <c r="X1578" s="309"/>
      <c r="Y1578" s="284"/>
      <c r="Z1578" s="284"/>
      <c r="AA1578" s="297"/>
      <c r="AB1578" s="297"/>
      <c r="AC1578" s="297"/>
      <c r="AD1578" s="296"/>
      <c r="AE1578" s="298"/>
      <c r="AF1578" s="299"/>
    </row>
    <row r="1579" spans="1:32" ht="12.75" customHeight="1" x14ac:dyDescent="0.25">
      <c r="A1579" s="16"/>
      <c r="B1579" s="16"/>
      <c r="C1579" s="16"/>
      <c r="D1579" s="16"/>
      <c r="E1579" s="16"/>
      <c r="G1579" s="261" t="str">
        <f>B1539</f>
        <v>A</v>
      </c>
      <c r="H1579" s="262"/>
      <c r="I1579" s="263" t="str">
        <f>K1539</f>
        <v>G</v>
      </c>
      <c r="J1579" s="264"/>
      <c r="L1579" s="16"/>
      <c r="M1579" s="16"/>
      <c r="N1579" s="16"/>
      <c r="O1579" s="16"/>
      <c r="P1579" s="16"/>
      <c r="R1579" s="260"/>
      <c r="S1579" s="310"/>
      <c r="T1579" s="311"/>
      <c r="U1579" s="311"/>
      <c r="V1579" s="311"/>
      <c r="W1579" s="311"/>
      <c r="X1579" s="312"/>
      <c r="Y1579" s="285"/>
      <c r="Z1579" s="285"/>
      <c r="AA1579" s="303"/>
      <c r="AB1579" s="303"/>
      <c r="AC1579" s="303"/>
      <c r="AD1579" s="300"/>
      <c r="AE1579" s="301"/>
      <c r="AF1579" s="302"/>
    </row>
    <row r="1580" spans="1:32" ht="12.75" customHeight="1" thickBot="1" x14ac:dyDescent="0.3">
      <c r="A1580" s="2" t="s">
        <v>160</v>
      </c>
      <c r="B1580" s="40" t="str">
        <f>B1539</f>
        <v>A</v>
      </c>
      <c r="C1580" s="3" t="s">
        <v>158</v>
      </c>
      <c r="F1580" s="53" t="str">
        <f>CONCATENATE($B1539,"-",$K1539)</f>
        <v>A-G</v>
      </c>
      <c r="G1580" s="240" t="str">
        <f ca="1">IF(OR(Q1545&lt;&gt;"",Q1552&lt;&gt;"",Q1559&lt;&gt;"",Q1566&lt;&gt;"",Q1573&lt;&gt;""),COUNTIF(Q1545:Q1545,"W")+COUNTIF(Q1552:Q1552,"W")+COUNTIF(Q1559:Q1559,"W")+COUNTIF(Q1566:Q1566,"W")+COUNTIF(Q1573:Q1573,"W"),"")</f>
        <v/>
      </c>
      <c r="H1580" s="241"/>
      <c r="I1580" s="242" t="str">
        <f ca="1">IF(OR(Q1547&lt;&gt;"",Q1554&lt;&gt;"",Q1561&lt;&gt;"",Q1568&lt;&gt;"",Q1575&lt;&gt;""),COUNTIF(Q1547:Q1547,"W")+COUNTIF(Q1554:Q1554,"W")+COUNTIF(Q1561:Q1561,"W")+COUNTIF(Q1568:Q1568,"W")+COUNTIF(Q1575:Q1575,"W"),"")</f>
        <v/>
      </c>
      <c r="J1580" s="243"/>
      <c r="L1580" s="2" t="s">
        <v>160</v>
      </c>
      <c r="M1580" s="40" t="str">
        <f>K1539</f>
        <v>G</v>
      </c>
      <c r="N1580" s="3" t="s">
        <v>158</v>
      </c>
      <c r="R1580" s="259" t="str">
        <f>K1539</f>
        <v>G</v>
      </c>
      <c r="S1580" s="307" t="str">
        <f ca="1">IF($B1568&lt;&gt;"",$B1568,"")</f>
        <v/>
      </c>
      <c r="T1580" s="308"/>
      <c r="U1580" s="308"/>
      <c r="V1580" s="308"/>
      <c r="W1580" s="308"/>
      <c r="X1580" s="309"/>
      <c r="Y1580" s="284"/>
      <c r="Z1580" s="284"/>
      <c r="AA1580" s="297"/>
      <c r="AB1580" s="297"/>
      <c r="AC1580" s="297"/>
      <c r="AD1580" s="289" t="s">
        <v>169</v>
      </c>
      <c r="AE1580" s="290"/>
      <c r="AF1580" s="291"/>
    </row>
    <row r="1581" spans="1:32" ht="12.75" customHeight="1" x14ac:dyDescent="0.35">
      <c r="F1581" s="18" t="s">
        <v>403</v>
      </c>
      <c r="G1581" s="17"/>
      <c r="H1581" s="17"/>
      <c r="I1581" s="17"/>
      <c r="J1581" s="17"/>
      <c r="R1581" s="285"/>
      <c r="S1581" s="310"/>
      <c r="T1581" s="311"/>
      <c r="U1581" s="311"/>
      <c r="V1581" s="311"/>
      <c r="W1581" s="311"/>
      <c r="X1581" s="312"/>
      <c r="Y1581" s="285"/>
      <c r="Z1581" s="285"/>
      <c r="AA1581" s="285"/>
      <c r="AB1581" s="285"/>
      <c r="AC1581" s="285"/>
      <c r="AD1581" s="292"/>
      <c r="AE1581" s="293"/>
      <c r="AF1581" s="294"/>
    </row>
    <row r="1582" spans="1:32" ht="12.75" customHeight="1" x14ac:dyDescent="0.25">
      <c r="R1582" s="1"/>
      <c r="S1582" s="11"/>
      <c r="T1582" s="11"/>
      <c r="U1582" s="11"/>
      <c r="V1582" s="11"/>
      <c r="W1582" s="11"/>
    </row>
    <row r="1583" spans="1:32" ht="12.75" customHeight="1" x14ac:dyDescent="0.25">
      <c r="F1583" s="212"/>
      <c r="G1583" s="212"/>
      <c r="H1583" s="212"/>
      <c r="I1583" s="212"/>
      <c r="R1583" s="1"/>
      <c r="S1583" s="11"/>
      <c r="T1583" s="11"/>
      <c r="U1583" s="11"/>
      <c r="V1583" s="11"/>
      <c r="W1583" s="11"/>
    </row>
    <row r="1584" spans="1:32" ht="12.75" customHeight="1" x14ac:dyDescent="0.25">
      <c r="F1584" s="212"/>
      <c r="G1584" s="212"/>
      <c r="H1584" s="212"/>
      <c r="I1584" s="212"/>
      <c r="R1584" s="1"/>
      <c r="S1584" s="11"/>
      <c r="T1584" s="11"/>
      <c r="U1584" s="11"/>
      <c r="V1584" s="11"/>
      <c r="W1584" s="11"/>
    </row>
    <row r="1585" spans="1:32" ht="12.75" customHeight="1" x14ac:dyDescent="0.25">
      <c r="K1585" s="219" t="s">
        <v>176</v>
      </c>
      <c r="L1585" s="219"/>
      <c r="M1585" s="219"/>
      <c r="N1585" s="219"/>
      <c r="O1585" s="219"/>
      <c r="P1585" s="219"/>
      <c r="R1585" s="1"/>
      <c r="S1585" s="11"/>
      <c r="T1585" s="11"/>
      <c r="U1585" s="11"/>
      <c r="V1585" s="11"/>
      <c r="W1585" s="11"/>
    </row>
    <row r="1586" spans="1:32" ht="12.75" customHeight="1" x14ac:dyDescent="0.25">
      <c r="A1586" s="9" t="s">
        <v>161</v>
      </c>
      <c r="B1586"/>
      <c r="C1586"/>
      <c r="D1586" t="str">
        <f>Draw!$B$1</f>
        <v>Enter Division Name</v>
      </c>
      <c r="E1586"/>
      <c r="F1586" s="6"/>
      <c r="G1586" s="6"/>
      <c r="H1586" s="6"/>
      <c r="I1586"/>
      <c r="J1586"/>
      <c r="K1586"/>
      <c r="L1586"/>
      <c r="M1586" s="219"/>
      <c r="N1586" s="219"/>
      <c r="O1586" s="219"/>
      <c r="P1586" s="219"/>
      <c r="R1586" s="1"/>
      <c r="S1586" s="11"/>
      <c r="T1586" s="11"/>
      <c r="U1586" s="11"/>
      <c r="V1586" s="11"/>
      <c r="W1586" s="11"/>
    </row>
    <row r="1587" spans="1:32" ht="12.75" customHeight="1" x14ac:dyDescent="0.25">
      <c r="A1587" s="2" t="s">
        <v>162</v>
      </c>
      <c r="D1587" t="str">
        <f>Draw!$D$1</f>
        <v>Enter Hosting Location (City, ST)</v>
      </c>
      <c r="J1587" t="str">
        <f ca="1">$J$6</f>
        <v>[NCTTA Teams Template (v3.4).xlsx]</v>
      </c>
      <c r="R1587" s="1"/>
      <c r="S1587" s="11"/>
      <c r="T1587" s="11"/>
      <c r="U1587" s="11"/>
      <c r="V1587" s="11"/>
      <c r="W1587" s="11"/>
    </row>
    <row r="1588" spans="1:32" ht="12.75" customHeight="1" x14ac:dyDescent="0.25">
      <c r="A1588" s="2" t="s">
        <v>163</v>
      </c>
      <c r="D1588" s="275" t="str">
        <f>Draw!$P$1</f>
        <v>Enter Date</v>
      </c>
      <c r="E1588" s="275"/>
      <c r="F1588" s="275"/>
      <c r="G1588" s="275"/>
      <c r="J1588" s="244" t="str">
        <f>CHOOSE(Draw!$T$1,"Round 6, Match 2","","","","","","","","Round 8, Match 4","Round 7, Match 2","Round 7, Match 2")</f>
        <v>Round 6, Match 2</v>
      </c>
      <c r="K1588" s="244"/>
      <c r="L1588" s="244"/>
      <c r="M1588" s="277" t="str">
        <f>IF(AND($J1588&lt;&gt;"",Draw!$AC$10&lt;&gt;"",Draw!$AC$13&lt;&gt;""),Draw!$AC$10+TIME(0,VALUE(MID($J1588,7,FIND(",",$J1588)-FIND(" ",$J1588)-1)-1)*Draw!$AC$13,0),"")</f>
        <v/>
      </c>
      <c r="N1588" s="277"/>
      <c r="O1588" s="125" t="str">
        <f>$F1631</f>
        <v>F-H</v>
      </c>
      <c r="R1588" s="1"/>
      <c r="S1588" s="11"/>
      <c r="T1588" s="11"/>
      <c r="U1588" s="11"/>
      <c r="V1588" s="11"/>
      <c r="W1588" s="11"/>
    </row>
    <row r="1589" spans="1:32" ht="12.75" customHeight="1" x14ac:dyDescent="0.25">
      <c r="A1589" s="6"/>
      <c r="B1589"/>
      <c r="C1589"/>
      <c r="D1589"/>
      <c r="E1589"/>
      <c r="F1589" s="6"/>
      <c r="G1589" s="6"/>
      <c r="H1589" s="11"/>
      <c r="I1589" s="6"/>
      <c r="J1589"/>
      <c r="K1589"/>
      <c r="L1589"/>
      <c r="M1589"/>
      <c r="N1589"/>
      <c r="O1589" s="269" t="str">
        <f>IF(OR(AND(VLOOKUP($B1590,$AM$1:$AX$12,12,FALSE)="C",VLOOKUP($K1590,$AM$1:$AX$12,12,FALSE)="C"),AND(VLOOKUP($B1590,$AM$1:$AX$12,12,FALSE)="W",VLOOKUP($K1590,$AM$1:$AX$12,12,FALSE)="W")),"Official",IF(AND($A1591="",$J1591=""),"","Scrimmage"))</f>
        <v/>
      </c>
      <c r="P1589" s="269"/>
      <c r="R1589" s="1"/>
      <c r="S1589" s="11"/>
      <c r="T1589" s="11"/>
      <c r="U1589" s="11"/>
      <c r="V1589" s="11"/>
      <c r="W1589" s="11"/>
    </row>
    <row r="1590" spans="1:32" ht="12.75" customHeight="1" x14ac:dyDescent="0.25">
      <c r="A1590" s="12" t="s">
        <v>160</v>
      </c>
      <c r="B1590" s="98" t="str">
        <f>CHOOSE(Draw!$T$1,"F","A","B","C","D","C","C","A","F","B","E")</f>
        <v>F</v>
      </c>
      <c r="C1590" s="109">
        <f>VLOOKUP($B1590,$AM$1:$AN$12,2)</f>
        <v>6</v>
      </c>
      <c r="D1590" s="10"/>
      <c r="E1590" s="10"/>
      <c r="F1590" s="8"/>
      <c r="H1590" s="1" t="s">
        <v>164</v>
      </c>
      <c r="J1590" s="12" t="s">
        <v>160</v>
      </c>
      <c r="K1590" s="98" t="str">
        <f>CHOOSE(Draw!$T$1,"H","H","J","E","F","K","H","L","G","D","G")</f>
        <v>H</v>
      </c>
      <c r="L1590" s="109">
        <f>VLOOKUP($K1590,$AM$1:$AN$12,2)</f>
        <v>8</v>
      </c>
      <c r="M1590" s="10"/>
      <c r="N1590" s="10"/>
      <c r="O1590" s="13"/>
      <c r="R1590" s="1"/>
      <c r="S1590" s="11"/>
      <c r="T1590" s="11"/>
      <c r="U1590" s="11"/>
      <c r="V1590" s="11"/>
      <c r="W1590" s="11"/>
    </row>
    <row r="1591" spans="1:32" ht="12.75" customHeight="1" x14ac:dyDescent="0.25">
      <c r="A1591" s="253" t="str">
        <f>IF(VLOOKUP($B1590,Draw!$A$4:$B$27,2)&lt;&gt;0,VLOOKUP($B1590,Draw!$A$4:$B$27,2),"")</f>
        <v/>
      </c>
      <c r="B1591" s="254"/>
      <c r="C1591" s="254"/>
      <c r="D1591" s="254"/>
      <c r="E1591" s="254"/>
      <c r="F1591" s="255"/>
      <c r="G1591" s="273" t="s">
        <v>435</v>
      </c>
      <c r="H1591" s="249"/>
      <c r="I1591" s="274"/>
      <c r="J1591" s="253" t="str">
        <f>IF(VLOOKUP($K1590,Draw!$A$4:$B$27,2)&lt;&gt;0,VLOOKUP($K1590,Draw!$A$4:$B$27,2),"")</f>
        <v/>
      </c>
      <c r="K1591" s="254"/>
      <c r="L1591" s="254"/>
      <c r="M1591" s="254"/>
      <c r="N1591" s="254"/>
      <c r="O1591" s="255"/>
      <c r="P1591"/>
      <c r="R1591" s="1"/>
      <c r="S1591" s="11"/>
      <c r="T1591" s="11"/>
      <c r="U1591" s="11"/>
      <c r="V1591" s="11"/>
      <c r="W1591" s="11"/>
    </row>
    <row r="1592" spans="1:32" ht="12.75" customHeight="1" x14ac:dyDescent="0.25">
      <c r="A1592" s="6"/>
      <c r="B1592"/>
      <c r="C1592"/>
      <c r="D1592"/>
      <c r="E1592"/>
      <c r="F1592" s="6"/>
      <c r="G1592" s="248" t="str">
        <f>"Page "&amp;VALUE(RIGHT($G1591,LEN($G1591)-SEARCH("-",$G1591)))/2</f>
        <v>Page 32</v>
      </c>
      <c r="H1592" s="249"/>
      <c r="I1592" s="249"/>
      <c r="J1592"/>
      <c r="K1592"/>
      <c r="L1592"/>
      <c r="M1592"/>
      <c r="N1592"/>
      <c r="O1592"/>
      <c r="P1592"/>
      <c r="R1592" s="1"/>
      <c r="S1592" s="11"/>
      <c r="T1592" s="11"/>
      <c r="U1592" s="11"/>
      <c r="V1592" s="11"/>
      <c r="W1592" s="11"/>
      <c r="AF1592"/>
    </row>
    <row r="1593" spans="1:32" ht="12.75" customHeight="1" x14ac:dyDescent="0.25">
      <c r="A1593" s="276" t="s">
        <v>177</v>
      </c>
      <c r="B1593" s="276"/>
      <c r="C1593" s="276"/>
      <c r="D1593" s="276"/>
      <c r="E1593" s="276"/>
      <c r="F1593" s="276"/>
      <c r="G1593" s="276"/>
      <c r="H1593" s="276"/>
      <c r="I1593" s="276"/>
      <c r="J1593" s="276"/>
      <c r="K1593" s="276"/>
      <c r="L1593" s="276"/>
      <c r="M1593" s="276"/>
      <c r="N1593" s="276"/>
      <c r="O1593" s="276"/>
      <c r="P1593" s="276"/>
      <c r="Q1593" s="6"/>
      <c r="R1593" s="1"/>
      <c r="S1593" s="11"/>
      <c r="T1593" s="11"/>
      <c r="U1593" s="11"/>
      <c r="V1593" s="11"/>
      <c r="W1593" s="11"/>
      <c r="AF1593" s="14"/>
    </row>
    <row r="1594" spans="1:32" ht="12.75" customHeight="1" x14ac:dyDescent="0.25">
      <c r="A1594" s="15" t="s">
        <v>165</v>
      </c>
      <c r="H1594" s="110" t="str">
        <f>IF($Q1596&lt;&gt;"",IF(AND(AND($H1596&gt;-1,$H1598&gt;-1),OR($H1596&gt;10,$H1598&gt;10),ABS($H1596-$H1598)&gt;1,IF(OR($H1596&gt;11,$H1598&gt;11),ABS($H1596-$H1598)=2,TRUE),$H1596=INT($H1596),$H1598=INT($H1598)),"","Error"),"")</f>
        <v/>
      </c>
      <c r="I1594" s="110" t="str">
        <f>IF($Q1596&lt;&gt;"",IF(AND(AND($I1596&gt;-1,$I1598&gt;-1),OR($I1596&gt;10,$I1598&gt;10),ABS($I1596-$I1598)&gt;1,IF(OR($I1596&gt;11,$I1598&gt;11),ABS($I1596-$I1598)=2,TRUE),$I1596=INT($I1596),$I1598=INT($I1598)),"","Error"),"")</f>
        <v/>
      </c>
      <c r="J1594" s="110" t="str">
        <f>IF($Q1596&lt;&gt;"",IF(AND(AND($J1596&gt;-1,$J1598&gt;-1),OR($J1596&gt;10,$J1598&gt;10),ABS($J1596-$J1598)&gt;1,IF(OR($J1596&gt;11,$J1598&gt;11),ABS($J1596-$J1598)=2,TRUE),$J1596=INT($J1596),$J1598=INT($J1598)),"","Error"),"")</f>
        <v/>
      </c>
      <c r="K1594" s="110" t="str">
        <f>IF($Q1596&lt;&gt;"",IF(AND($K1596&lt;&gt;"",$K1598&lt;&gt;""), IF(AND(AND($K1596&gt;-1,$K1598&gt;-1),OR($K1596&gt;10,$K1598&gt;10),ABS($K1596-$K1598)&gt;1,IF(OR($K1596&gt;11,$K1598&gt;11),ABS($K1596-$K1598)=2,TRUE),$K1596=INT($K1596),$K1598=INT($K1598)),"","Error"),""),"")</f>
        <v/>
      </c>
      <c r="L1594" s="110" t="str">
        <f>IF($Q1596&lt;&gt;"",IF(AND($L1596&lt;&gt;"",$L1598&lt;&gt;""), IF(AND(AND($L1596&gt;-1,$L1598&gt;-1),OR($L1596&gt;10,$L1598&gt;10),ABS($L1596-$L1598)&gt;1,IF(OR($L1596&gt;11,$L1598&gt;11),ABS($L1596-$L1598)=2,TRUE),$L1596=INT($L1596),$L1598=INT($L1598)),"","Error"),""),"")</f>
        <v/>
      </c>
      <c r="R1594" s="1"/>
      <c r="S1594" s="11"/>
      <c r="T1594" s="11"/>
      <c r="U1594" s="11"/>
      <c r="V1594" s="11"/>
      <c r="W1594" s="11"/>
    </row>
    <row r="1595" spans="1:32" ht="12.75" customHeight="1" x14ac:dyDescent="0.25">
      <c r="A1595" s="5" t="s">
        <v>160</v>
      </c>
      <c r="B1595" s="256" t="s">
        <v>58</v>
      </c>
      <c r="C1595" s="257"/>
      <c r="D1595" s="257"/>
      <c r="E1595" s="257"/>
      <c r="F1595" s="257"/>
      <c r="G1595" s="258"/>
      <c r="H1595" s="5">
        <v>1</v>
      </c>
      <c r="I1595" s="5">
        <v>2</v>
      </c>
      <c r="J1595" s="5">
        <v>3</v>
      </c>
      <c r="K1595" s="5">
        <v>4</v>
      </c>
      <c r="L1595" s="5">
        <v>5</v>
      </c>
      <c r="M1595" s="270"/>
      <c r="N1595" s="271"/>
      <c r="O1595" s="271"/>
      <c r="P1595" s="272"/>
      <c r="R1595" s="1"/>
      <c r="S1595" s="11"/>
      <c r="T1595" s="11"/>
      <c r="U1595" s="11"/>
      <c r="V1595" s="11"/>
      <c r="W1595" s="11"/>
    </row>
    <row r="1596" spans="1:32" ht="12.75" customHeight="1" x14ac:dyDescent="0.25">
      <c r="A1596" s="259" t="str">
        <f>B1590</f>
        <v>F</v>
      </c>
      <c r="B1596" s="236" t="str">
        <f ca="1">IF(AND(OFFSET($AO$1,$C1590-1,8,1,1),$A1591&lt;&gt;"",$J1591&lt;&gt;""),CHOOSE($C1590,$AO$1,$AO$2,$AO$3,$AO$4,$AO$5,$AO$6,$AO$7,$AO$8,$AO$9,$AO$10,$AO$11,$AO$12),"")</f>
        <v/>
      </c>
      <c r="C1596" s="237"/>
      <c r="D1596" s="237"/>
      <c r="E1596" s="237"/>
      <c r="F1596" s="237"/>
      <c r="G1596" s="237"/>
      <c r="H1596" s="233"/>
      <c r="I1596" s="233"/>
      <c r="J1596" s="233"/>
      <c r="K1596" s="233"/>
      <c r="L1596" s="233"/>
      <c r="M1596" s="281"/>
      <c r="N1596" s="282"/>
      <c r="O1596" s="282"/>
      <c r="P1596" s="283"/>
      <c r="Q1596" s="40" t="str">
        <f>IF($L1596=$L1598,IF($K1596=$K1598,IF($J1596&lt;&gt;"",IF($J1596&gt;$J1598,"W","L"),""),IF($K1596&gt;$K1598,"W","L")),IF($L1596&gt;$L1598,"W","L"))</f>
        <v/>
      </c>
      <c r="R1596" s="1"/>
      <c r="S1596" s="11"/>
      <c r="T1596" s="11"/>
      <c r="U1596" s="11"/>
      <c r="V1596" s="11"/>
      <c r="W1596" s="11"/>
    </row>
    <row r="1597" spans="1:32" ht="12.75" customHeight="1" x14ac:dyDescent="0.25">
      <c r="A1597" s="260"/>
      <c r="B1597" s="238"/>
      <c r="C1597" s="239"/>
      <c r="D1597" s="239"/>
      <c r="E1597" s="239"/>
      <c r="F1597" s="239"/>
      <c r="G1597" s="239"/>
      <c r="H1597" s="234"/>
      <c r="I1597" s="234"/>
      <c r="J1597" s="234"/>
      <c r="K1597" s="234"/>
      <c r="L1597" s="234"/>
      <c r="M1597" s="281"/>
      <c r="N1597" s="282"/>
      <c r="O1597" s="282"/>
      <c r="P1597" s="283"/>
      <c r="Q1597" s="110" t="str">
        <f>IF($Q1596&lt;&gt;"",IF($Q1596="W",IF(SUM(IF($H1596&gt;$H1598,1,0),IF($I1596&gt;$I1598,1,0),IF($J1596&gt;$J1598,1,0),IF($K1596&gt;$K1598,1,0),IF($L1596&gt;$L1598,1,0))&lt;&gt;3,"Error",""),""),"")</f>
        <v/>
      </c>
      <c r="R1597" s="295" t="str">
        <f>$A1591</f>
        <v/>
      </c>
      <c r="S1597" s="295"/>
      <c r="T1597" s="295"/>
      <c r="U1597" s="295"/>
      <c r="V1597" s="295"/>
      <c r="W1597" s="295"/>
      <c r="X1597" s="219" t="str">
        <f>CONCATENATE("(",$B1590," vs ",$K1590,")")</f>
        <v>(F vs H)</v>
      </c>
      <c r="Y1597" s="219"/>
      <c r="Z1597" s="295" t="str">
        <f>$J1591</f>
        <v/>
      </c>
      <c r="AA1597" s="295"/>
      <c r="AB1597" s="295"/>
      <c r="AC1597" s="295"/>
      <c r="AD1597" s="295"/>
      <c r="AE1597" s="295"/>
      <c r="AF1597"/>
    </row>
    <row r="1598" spans="1:32" ht="12.75" customHeight="1" x14ac:dyDescent="0.25">
      <c r="A1598" s="259" t="str">
        <f>K1590</f>
        <v>H</v>
      </c>
      <c r="B1598" s="236" t="str">
        <f ca="1">IF(AND(OFFSET($AO$1,$L1590-1,8,1,1),$A1591&lt;&gt;"",$J1591&lt;&gt;""),CHOOSE($L1590,$AO$1,$AO$2,$AO$3,$AO$4,$AO$5,$AO$6,$AO$7,$AO$8,$AO$9,$AO$10,$AO$11,$AO$12),"")</f>
        <v/>
      </c>
      <c r="C1598" s="237"/>
      <c r="D1598" s="237"/>
      <c r="E1598" s="237"/>
      <c r="F1598" s="237"/>
      <c r="G1598" s="237"/>
      <c r="H1598" s="233"/>
      <c r="I1598" s="233"/>
      <c r="J1598" s="233"/>
      <c r="K1598" s="233"/>
      <c r="L1598" s="233"/>
      <c r="M1598" s="250" t="s">
        <v>169</v>
      </c>
      <c r="N1598" s="251"/>
      <c r="O1598" s="251"/>
      <c r="P1598" s="252"/>
      <c r="Q1598" s="40" t="str">
        <f>IF($Q1596&lt;&gt;"",IF($Q1596="W","L","W"),"")</f>
        <v/>
      </c>
      <c r="R1598"/>
      <c r="S1598"/>
      <c r="T1598"/>
      <c r="U1598"/>
      <c r="V1598"/>
      <c r="W1598"/>
      <c r="X1598"/>
      <c r="Y1598"/>
      <c r="Z1598"/>
      <c r="AA1598"/>
      <c r="AB1598"/>
      <c r="AC1598"/>
      <c r="AD1598"/>
      <c r="AE1598"/>
      <c r="AF1598"/>
    </row>
    <row r="1599" spans="1:32" ht="12.75" customHeight="1" x14ac:dyDescent="0.25">
      <c r="A1599" s="260"/>
      <c r="B1599" s="238"/>
      <c r="C1599" s="239"/>
      <c r="D1599" s="239"/>
      <c r="E1599" s="239"/>
      <c r="F1599" s="239"/>
      <c r="G1599" s="239"/>
      <c r="H1599" s="234"/>
      <c r="I1599" s="234"/>
      <c r="J1599" s="235"/>
      <c r="K1599" s="235"/>
      <c r="L1599" s="235"/>
      <c r="M1599" s="250"/>
      <c r="N1599" s="251"/>
      <c r="O1599" s="251"/>
      <c r="P1599" s="252"/>
      <c r="Q1599" s="110" t="str">
        <f>IF($Q1598&lt;&gt;"",IF($Q1598="W",IF(SUM(IF($H1598&gt;$H1596,1,0),IF($I1598&gt;$I1596,1,0),IF($J1598&gt;$J1596,1,0),IF($K1598&gt;$K1596,1,0),IF($L1598&gt;$L1596,1,0))&lt;&gt;3,"Error",""),""),"")</f>
        <v/>
      </c>
      <c r="R1599" t="str">
        <f>$A1601</f>
        <v>2nd Singles</v>
      </c>
      <c r="S1599"/>
      <c r="T1599"/>
      <c r="U1599"/>
      <c r="V1599"/>
      <c r="W1599"/>
      <c r="X1599"/>
      <c r="Y1599"/>
      <c r="Z1599"/>
      <c r="AA1599"/>
      <c r="AB1599"/>
      <c r="AC1599"/>
      <c r="AD1599"/>
      <c r="AE1599"/>
      <c r="AF1599"/>
    </row>
    <row r="1600" spans="1:32" ht="12.75" customHeight="1" x14ac:dyDescent="0.25">
      <c r="Q1600" s="6"/>
      <c r="R1600" s="47" t="s">
        <v>160</v>
      </c>
      <c r="S1600" s="304" t="s">
        <v>58</v>
      </c>
      <c r="T1600" s="305"/>
      <c r="U1600" s="305"/>
      <c r="V1600" s="305"/>
      <c r="W1600" s="305"/>
      <c r="X1600" s="306"/>
      <c r="Y1600" s="47">
        <v>1</v>
      </c>
      <c r="Z1600" s="47">
        <v>2</v>
      </c>
      <c r="AA1600" s="47">
        <v>3</v>
      </c>
      <c r="AB1600" s="47">
        <v>4</v>
      </c>
      <c r="AC1600" s="47">
        <v>5</v>
      </c>
      <c r="AD1600" s="286"/>
      <c r="AE1600" s="287"/>
      <c r="AF1600" s="288"/>
    </row>
    <row r="1601" spans="1:32" ht="12.75" customHeight="1" x14ac:dyDescent="0.25">
      <c r="A1601" s="15" t="s">
        <v>166</v>
      </c>
      <c r="H1601" s="110" t="str">
        <f>IF($Q1603&lt;&gt;"",IF(AND(AND($H1603&gt;-1,$H1605&gt;-1),OR($H1603&gt;10,$H1605&gt;10),ABS($H1603-$H1605)&gt;1,IF(OR($H1603&gt;11,$H1605&gt;11),ABS($H1603-$H1605)=2,TRUE),$H1603=INT($H1603),$H1605=INT($H1605)),"","Error"),"")</f>
        <v/>
      </c>
      <c r="I1601" s="110" t="str">
        <f>IF($Q1603&lt;&gt;"",IF(AND(AND($I1603&gt;-1,$I1605&gt;-1),OR($I1603&gt;10,$I1605&gt;10),ABS($I1603-$I1605)&gt;1,IF(OR($I1603&gt;11,$I1605&gt;11),ABS($I1603-$I1605)=2,TRUE),$I1603=INT($I1603),$I1605=INT($I1605)),"","Error"),"")</f>
        <v/>
      </c>
      <c r="J1601" s="110" t="str">
        <f>IF($Q1603&lt;&gt;"",IF(AND(AND($J1603&gt;-1,$J1605&gt;-1),OR($J1603&gt;10,$J1605&gt;10),ABS($J1603-$J1605)&gt;1,IF(OR($J1603&gt;11,$J1605&gt;11),ABS($J1603-$J1605)=2,TRUE),$J1603=INT($J1603),$J1605=INT($J1605)),"","Error"),"")</f>
        <v/>
      </c>
      <c r="K1601" s="110" t="str">
        <f>IF($Q1603&lt;&gt;"",IF(AND($K1603&lt;&gt;"",$K1605&lt;&gt;""), IF(AND(AND($K1603&gt;-1,$K1605&gt;-1),OR($K1603&gt;10,$K1605&gt;10),ABS($K1603-$K1605)&gt;1,IF(OR($K1603&gt;11,$K1605&gt;11),ABS($K1603-$K1605)=2,TRUE),$K1603=INT($K1603),$K1605=INT($K1605)),"","Error"),""),"")</f>
        <v/>
      </c>
      <c r="L1601" s="110" t="str">
        <f>IF($Q1603&lt;&gt;"",IF(AND($L1603&lt;&gt;"",$L1605&lt;&gt;""), IF(AND(AND($L1603&gt;-1,$L1605&gt;-1),OR($L1603&gt;10,$L1605&gt;10),ABS($L1603-$L1605)&gt;1,IF(OR($L1603&gt;11,$L1605&gt;11),ABS($L1603-$L1605)=2,TRUE),$L1603=INT($L1603),$L1605=INT($L1605)),"","Error"),""),"")</f>
        <v/>
      </c>
      <c r="Q1601" s="6"/>
      <c r="R1601" s="259" t="str">
        <f>$B1590</f>
        <v>F</v>
      </c>
      <c r="S1601" s="307" t="str">
        <f ca="1">IF($B1603&lt;&gt;"",$B1603,"")</f>
        <v/>
      </c>
      <c r="T1601" s="308"/>
      <c r="U1601" s="308"/>
      <c r="V1601" s="308"/>
      <c r="W1601" s="308"/>
      <c r="X1601" s="309"/>
      <c r="Y1601" s="284"/>
      <c r="Z1601" s="284"/>
      <c r="AA1601" s="284"/>
      <c r="AB1601" s="284"/>
      <c r="AC1601" s="284"/>
      <c r="AD1601" s="296"/>
      <c r="AE1601" s="290"/>
      <c r="AF1601" s="291"/>
    </row>
    <row r="1602" spans="1:32" ht="12.75" customHeight="1" x14ac:dyDescent="0.25">
      <c r="A1602" s="5" t="s">
        <v>160</v>
      </c>
      <c r="B1602" s="256" t="s">
        <v>58</v>
      </c>
      <c r="C1602" s="257"/>
      <c r="D1602" s="257"/>
      <c r="E1602" s="257"/>
      <c r="F1602" s="257"/>
      <c r="G1602" s="258"/>
      <c r="H1602" s="5">
        <v>1</v>
      </c>
      <c r="I1602" s="5">
        <v>2</v>
      </c>
      <c r="J1602" s="5">
        <v>3</v>
      </c>
      <c r="K1602" s="5">
        <v>4</v>
      </c>
      <c r="L1602" s="5">
        <v>5</v>
      </c>
      <c r="M1602" s="270"/>
      <c r="N1602" s="271"/>
      <c r="O1602" s="271"/>
      <c r="P1602" s="272"/>
      <c r="Q1602" s="6"/>
      <c r="R1602" s="285"/>
      <c r="S1602" s="310"/>
      <c r="T1602" s="311"/>
      <c r="U1602" s="311"/>
      <c r="V1602" s="311"/>
      <c r="W1602" s="311"/>
      <c r="X1602" s="312"/>
      <c r="Y1602" s="285"/>
      <c r="Z1602" s="285"/>
      <c r="AA1602" s="285"/>
      <c r="AB1602" s="285"/>
      <c r="AC1602" s="285"/>
      <c r="AD1602" s="292"/>
      <c r="AE1602" s="293"/>
      <c r="AF1602" s="294"/>
    </row>
    <row r="1603" spans="1:32" ht="12.75" customHeight="1" x14ac:dyDescent="0.25">
      <c r="A1603" s="259" t="str">
        <f>B1590</f>
        <v>F</v>
      </c>
      <c r="B1603" s="236" t="str">
        <f ca="1">IF(AND(OFFSET($AO$1,$C1590-1,8,1,1),$A1591&lt;&gt;"",$J1591&lt;&gt;""),CHOOSE($C1590,$AP$1,$AP$2,$AP$3,$AP$4,$AP$5,$AP$6,$AP$7,$AP$8,$AP$9,$AP$10,$AP$11,$AP$12),"")</f>
        <v/>
      </c>
      <c r="C1603" s="237"/>
      <c r="D1603" s="237"/>
      <c r="E1603" s="237"/>
      <c r="F1603" s="237"/>
      <c r="G1603" s="237"/>
      <c r="H1603" s="233"/>
      <c r="I1603" s="233"/>
      <c r="J1603" s="233"/>
      <c r="K1603" s="233"/>
      <c r="L1603" s="233"/>
      <c r="M1603" s="245" t="str">
        <f ca="1">IF(OR(AND($B1596&lt;&gt;"",$B1603&lt;&gt;"",$C1621&lt;=$B1621),AND($B1598&lt;&gt;"",$B1605&lt;&gt;"",$G1621&lt;=$F1621)),"Invalid Lineup","")</f>
        <v/>
      </c>
      <c r="N1603" s="246"/>
      <c r="O1603" s="246"/>
      <c r="P1603" s="247"/>
      <c r="Q1603" s="40" t="str">
        <f>IF($L1603=$L1605,IF($K1603=$K1605,IF($J1603&lt;&gt;"",IF($J1603&gt;$J1605,"W","L"),""),IF($K1603&gt;$K1605,"W","L")),IF($L1603&gt;$L1605,"W","L"))</f>
        <v/>
      </c>
      <c r="R1603" s="259" t="str">
        <f>$K1590</f>
        <v>H</v>
      </c>
      <c r="S1603" s="307" t="str">
        <f ca="1">IF($B1605&lt;&gt;"",$B1605,"")</f>
        <v/>
      </c>
      <c r="T1603" s="308"/>
      <c r="U1603" s="308"/>
      <c r="V1603" s="308"/>
      <c r="W1603" s="308"/>
      <c r="X1603" s="309"/>
      <c r="Y1603" s="284"/>
      <c r="Z1603" s="284"/>
      <c r="AA1603" s="284"/>
      <c r="AB1603" s="284"/>
      <c r="AC1603" s="297"/>
      <c r="AD1603" s="289" t="s">
        <v>169</v>
      </c>
      <c r="AE1603" s="290"/>
      <c r="AF1603" s="291"/>
    </row>
    <row r="1604" spans="1:32" ht="12.75" customHeight="1" x14ac:dyDescent="0.25">
      <c r="A1604" s="260"/>
      <c r="B1604" s="238"/>
      <c r="C1604" s="239"/>
      <c r="D1604" s="239"/>
      <c r="E1604" s="239"/>
      <c r="F1604" s="239"/>
      <c r="G1604" s="239"/>
      <c r="H1604" s="234"/>
      <c r="I1604" s="234"/>
      <c r="J1604" s="234"/>
      <c r="K1604" s="234"/>
      <c r="L1604" s="234"/>
      <c r="M1604" s="245"/>
      <c r="N1604" s="246"/>
      <c r="O1604" s="246"/>
      <c r="P1604" s="247"/>
      <c r="Q1604" s="110" t="str">
        <f>IF($Q1603&lt;&gt;"",IF($Q1603="W",IF(SUM(IF($H1603&gt;$H1605,1,0),IF($I1603&gt;$I1605,1,0),IF($J1603&gt;$J1605,1,0),IF($K1603&gt;$K1605,1,0),IF($L1603&gt;$L1605,1,0))&lt;&gt;3,"Error",""),""),"")</f>
        <v/>
      </c>
      <c r="R1604" s="285"/>
      <c r="S1604" s="310"/>
      <c r="T1604" s="311"/>
      <c r="U1604" s="311"/>
      <c r="V1604" s="311"/>
      <c r="W1604" s="311"/>
      <c r="X1604" s="312"/>
      <c r="Y1604" s="285"/>
      <c r="Z1604" s="285"/>
      <c r="AA1604" s="285"/>
      <c r="AB1604" s="285"/>
      <c r="AC1604" s="285"/>
      <c r="AD1604" s="292"/>
      <c r="AE1604" s="293"/>
      <c r="AF1604" s="294"/>
    </row>
    <row r="1605" spans="1:32" ht="12.75" customHeight="1" x14ac:dyDescent="0.25">
      <c r="A1605" s="259" t="str">
        <f>K1590</f>
        <v>H</v>
      </c>
      <c r="B1605" s="236" t="str">
        <f ca="1">IF(AND(OFFSET($AO$1,$L1590-1,8,1,1),$A1591&lt;&gt;"",$J1591&lt;&gt;""),CHOOSE($L1590,$AP$1,$AP$2,$AP$3,$AP$4,$AP$5,$AP$6,$AP$7,$AP$8,$AP$9,$AP$10,$AP$11,$AP$12),"")</f>
        <v/>
      </c>
      <c r="C1605" s="237"/>
      <c r="D1605" s="237"/>
      <c r="E1605" s="237"/>
      <c r="F1605" s="237"/>
      <c r="G1605" s="237"/>
      <c r="H1605" s="233"/>
      <c r="I1605" s="233"/>
      <c r="J1605" s="233"/>
      <c r="K1605" s="233"/>
      <c r="L1605" s="233"/>
      <c r="M1605" s="250" t="s">
        <v>169</v>
      </c>
      <c r="N1605" s="251"/>
      <c r="O1605" s="251"/>
      <c r="P1605" s="252"/>
      <c r="Q1605" s="40" t="str">
        <f>IF($Q1603&lt;&gt;"",IF($Q1603="W","L","W"),"")</f>
        <v/>
      </c>
      <c r="R1605" s="14"/>
      <c r="S1605" s="14"/>
      <c r="T1605" s="14"/>
      <c r="U1605" s="14"/>
      <c r="V1605" s="14"/>
      <c r="W1605" s="14"/>
      <c r="X1605" s="7"/>
      <c r="Y1605" s="7"/>
      <c r="Z1605" s="14"/>
      <c r="AA1605" s="14"/>
      <c r="AB1605" s="14"/>
      <c r="AC1605" s="14"/>
      <c r="AD1605" s="14"/>
      <c r="AE1605" s="14"/>
      <c r="AF1605"/>
    </row>
    <row r="1606" spans="1:32" ht="12.75" customHeight="1" x14ac:dyDescent="0.25">
      <c r="A1606" s="260"/>
      <c r="B1606" s="238"/>
      <c r="C1606" s="239"/>
      <c r="D1606" s="239"/>
      <c r="E1606" s="239"/>
      <c r="F1606" s="239"/>
      <c r="G1606" s="239"/>
      <c r="H1606" s="234"/>
      <c r="I1606" s="234"/>
      <c r="J1606" s="235"/>
      <c r="K1606" s="235"/>
      <c r="L1606" s="235"/>
      <c r="M1606" s="250"/>
      <c r="N1606" s="251"/>
      <c r="O1606" s="251"/>
      <c r="P1606" s="252"/>
      <c r="Q1606" s="110" t="str">
        <f>IF($Q1605&lt;&gt;"",IF($Q1605="W",IF(SUM(IF($H1605&gt;$H1603,1,0),IF($I1605&gt;$I1603,1,0),IF($J1605&gt;$J1603,1,0),IF($K1605&gt;$K1603,1,0),IF($L1605&gt;$L1603,1,0))&lt;&gt;3,"Error",""),""),"")</f>
        <v/>
      </c>
      <c r="R1606" s="14"/>
      <c r="S1606" s="14"/>
      <c r="T1606" s="14"/>
      <c r="U1606" s="14"/>
      <c r="V1606" s="14"/>
      <c r="W1606" s="14"/>
      <c r="X1606" s="7"/>
      <c r="Y1606" s="7"/>
      <c r="Z1606" s="14"/>
      <c r="AA1606" s="14"/>
      <c r="AB1606" s="14"/>
      <c r="AC1606" s="14"/>
      <c r="AD1606" s="14"/>
      <c r="AE1606" s="14"/>
      <c r="AF1606"/>
    </row>
    <row r="1607" spans="1:32" ht="12.75" customHeight="1" x14ac:dyDescent="0.25">
      <c r="Q1607" s="6"/>
      <c r="R1607" s="14"/>
      <c r="S1607" s="14"/>
      <c r="T1607" s="14"/>
      <c r="U1607" s="14"/>
      <c r="V1607" s="14"/>
      <c r="W1607" s="14"/>
      <c r="X1607" s="7"/>
      <c r="Y1607" s="7"/>
      <c r="Z1607" s="14"/>
      <c r="AA1607" s="14"/>
      <c r="AB1607" s="14"/>
      <c r="AC1607" s="14"/>
      <c r="AD1607" s="14"/>
      <c r="AE1607" s="14"/>
      <c r="AF1607"/>
    </row>
    <row r="1608" spans="1:32" ht="12.75" customHeight="1" x14ac:dyDescent="0.25">
      <c r="A1608" s="15" t="s">
        <v>167</v>
      </c>
      <c r="H1608" s="110" t="str">
        <f>IF($Q1610&lt;&gt;"",IF(AND(AND($H1610&gt;-1,$H1612&gt;-1),OR($H1610&gt;10,$H1612&gt;10),ABS($H1610-$H1612)&gt;1,IF(OR($H1610&gt;11,$H1612&gt;11),ABS($H1610-$H1612)=2,TRUE),$H1610=INT($H1610),$H1612=INT($H1612)),"","Error"),"")</f>
        <v/>
      </c>
      <c r="I1608" s="110" t="str">
        <f>IF($Q1610&lt;&gt;"",IF(AND(AND($I1610&gt;-1,$I1612&gt;-1),OR($I1610&gt;10,$I1612&gt;10),ABS($I1610-$I1612)&gt;1,IF(OR($I1610&gt;11,$I1612&gt;11),ABS($I1610-$I1612)=2,TRUE),$I1610=INT($I1610),$I1612=INT($I1612)),"","Error"),"")</f>
        <v/>
      </c>
      <c r="J1608" s="110" t="str">
        <f>IF($Q1610&lt;&gt;"",IF(AND(AND($J1610&gt;-1,$J1612&gt;-1),OR($J1610&gt;10,$J1612&gt;10),ABS($J1610-$J1612)&gt;1,IF(OR($J1610&gt;11,$J1612&gt;11),ABS($J1610-$J1612)=2,TRUE),$J1610=INT($J1610),$J1612=INT($J1612)),"","Error"),"")</f>
        <v/>
      </c>
      <c r="K1608" s="110" t="str">
        <f>IF($Q1610&lt;&gt;"",IF(AND($K1610&lt;&gt;"",$K1612&lt;&gt;""), IF(AND(AND($K1610&gt;-1,$K1612&gt;-1),OR($K1610&gt;10,$K1612&gt;10),ABS($K1610-$K1612)&gt;1,IF(OR($K1610&gt;11,$K1612&gt;11),ABS($K1610-$K1612)=2,TRUE),$K1610=INT($K1610),$K1612=INT($K1612)),"","Error"),""),"")</f>
        <v/>
      </c>
      <c r="L1608" s="110" t="str">
        <f>IF($Q1610&lt;&gt;"",IF(AND($L1610&lt;&gt;"",$L1612&lt;&gt;""), IF(AND(AND($L1610&gt;-1,$L1612&gt;-1),OR($L1610&gt;10,$L1612&gt;10),ABS($L1610-$L1612)&gt;1,IF(OR($L1610&gt;11,$L1612&gt;11),ABS($L1610-$L1612)=2,TRUE),$L1610=INT($L1610),$L1612=INT($L1612)),"","Error"),""),"")</f>
        <v/>
      </c>
      <c r="Q1608" s="6"/>
      <c r="R1608" s="14"/>
      <c r="S1608" s="14"/>
      <c r="T1608" s="14"/>
      <c r="U1608" s="14"/>
      <c r="V1608" s="14"/>
      <c r="W1608" s="14"/>
      <c r="X1608" s="7"/>
      <c r="Y1608" s="7"/>
      <c r="Z1608" s="14"/>
      <c r="AA1608" s="14"/>
      <c r="AB1608" s="14"/>
      <c r="AC1608" s="14"/>
      <c r="AD1608" s="14"/>
      <c r="AE1608" s="14"/>
      <c r="AF1608"/>
    </row>
    <row r="1609" spans="1:32" ht="12.75" customHeight="1" x14ac:dyDescent="0.25">
      <c r="A1609" s="5" t="s">
        <v>160</v>
      </c>
      <c r="B1609" s="256" t="s">
        <v>58</v>
      </c>
      <c r="C1609" s="257"/>
      <c r="D1609" s="257"/>
      <c r="E1609" s="257"/>
      <c r="F1609" s="257"/>
      <c r="G1609" s="258"/>
      <c r="H1609" s="5">
        <v>1</v>
      </c>
      <c r="I1609" s="5">
        <v>2</v>
      </c>
      <c r="J1609" s="5">
        <v>3</v>
      </c>
      <c r="K1609" s="5">
        <v>4</v>
      </c>
      <c r="L1609" s="5">
        <v>5</v>
      </c>
      <c r="M1609" s="270"/>
      <c r="N1609" s="271"/>
      <c r="O1609" s="271"/>
      <c r="P1609" s="272"/>
      <c r="Q1609" s="6"/>
      <c r="R1609" s="14"/>
      <c r="S1609" s="14"/>
      <c r="T1609" s="14"/>
      <c r="U1609" s="14"/>
      <c r="V1609" s="14"/>
      <c r="W1609" s="14"/>
      <c r="X1609" s="7"/>
      <c r="Y1609" s="7"/>
      <c r="Z1609" s="14"/>
      <c r="AA1609" s="14"/>
      <c r="AB1609" s="14"/>
      <c r="AC1609" s="14"/>
      <c r="AD1609" s="14"/>
      <c r="AE1609" s="14"/>
      <c r="AF1609"/>
    </row>
    <row r="1610" spans="1:32" ht="12.75" customHeight="1" x14ac:dyDescent="0.25">
      <c r="A1610" s="259" t="str">
        <f>B1590</f>
        <v>F</v>
      </c>
      <c r="B1610" s="236" t="str">
        <f ca="1">IF(AND(OFFSET($AO$1,$C1590-1,8,1,1),$A1591&lt;&gt;"",$J1591&lt;&gt;""),CHOOSE($C1590,$AQ$1,$AQ$2,$AQ$3,$AQ$4,$AQ$5,$AQ$6,$AQ$7,$AQ$8,$AQ$9,$AQ$10,$AQ$11,$AQ$12),"")</f>
        <v/>
      </c>
      <c r="C1610" s="237"/>
      <c r="D1610" s="237"/>
      <c r="E1610" s="237"/>
      <c r="F1610" s="237"/>
      <c r="G1610" s="237"/>
      <c r="H1610" s="233"/>
      <c r="I1610" s="233"/>
      <c r="J1610" s="233"/>
      <c r="K1610" s="233"/>
      <c r="L1610" s="233"/>
      <c r="M1610" s="245" t="str">
        <f ca="1">IF(OR(AND($B1603&lt;&gt;"",$B1610&lt;&gt;"",$D1621&lt;=$C1621),AND($B1605&lt;&gt;"",$B1612&lt;&gt;"",$H1621&lt;=$G1621)),"Invalid Lineup","")</f>
        <v/>
      </c>
      <c r="N1610" s="246"/>
      <c r="O1610" s="246"/>
      <c r="P1610" s="247"/>
      <c r="Q1610" s="40" t="str">
        <f>IF($L1610=$L1612,IF($K1610=$K1612,IF($J1610&lt;&gt;"",IF($J1610&gt;$J1612,"W","L"),""),IF($K1610&gt;$K1612,"W","L")),IF($L1610&gt;$L1612,"W","L"))</f>
        <v/>
      </c>
      <c r="R1610" s="14"/>
      <c r="S1610" s="14"/>
      <c r="T1610" s="14"/>
      <c r="U1610" s="14"/>
      <c r="V1610" s="14"/>
      <c r="W1610" s="14"/>
      <c r="X1610" s="7"/>
      <c r="Y1610" s="7"/>
      <c r="Z1610" s="14"/>
      <c r="AA1610" s="14"/>
      <c r="AB1610" s="14"/>
      <c r="AC1610" s="14"/>
      <c r="AD1610" s="14"/>
      <c r="AE1610" s="14"/>
      <c r="AF1610"/>
    </row>
    <row r="1611" spans="1:32" ht="12.75" customHeight="1" x14ac:dyDescent="0.25">
      <c r="A1611" s="260"/>
      <c r="B1611" s="238"/>
      <c r="C1611" s="239"/>
      <c r="D1611" s="239"/>
      <c r="E1611" s="239"/>
      <c r="F1611" s="239"/>
      <c r="G1611" s="239"/>
      <c r="H1611" s="234"/>
      <c r="I1611" s="234"/>
      <c r="J1611" s="234"/>
      <c r="K1611" s="234"/>
      <c r="L1611" s="234"/>
      <c r="M1611" s="245"/>
      <c r="N1611" s="246"/>
      <c r="O1611" s="246"/>
      <c r="P1611" s="247"/>
      <c r="Q1611" s="110" t="str">
        <f>IF($Q1610&lt;&gt;"",IF($Q1610="W",IF(SUM(IF($H1610&gt;$H1612,1,0),IF($I1610&gt;$I1612,1,0),IF($J1610&gt;$J1612,1,0),IF($K1610&gt;$K1612,1,0),IF($L1610&gt;$L1612,1,0))&lt;&gt;3,"Error",""),""),"")</f>
        <v/>
      </c>
      <c r="R1611" s="295" t="str">
        <f>$A1591</f>
        <v/>
      </c>
      <c r="S1611" s="295"/>
      <c r="T1611" s="295"/>
      <c r="U1611" s="295"/>
      <c r="V1611" s="295"/>
      <c r="W1611" s="295"/>
      <c r="X1611" s="219" t="str">
        <f>CONCATENATE("(",$B1590," vs ",$K1590,")")</f>
        <v>(F vs H)</v>
      </c>
      <c r="Y1611" s="219"/>
      <c r="Z1611" s="295" t="str">
        <f>$J1591</f>
        <v/>
      </c>
      <c r="AA1611" s="295"/>
      <c r="AB1611" s="295"/>
      <c r="AC1611" s="295"/>
      <c r="AD1611" s="295"/>
      <c r="AE1611" s="295"/>
      <c r="AF1611"/>
    </row>
    <row r="1612" spans="1:32" ht="12.75" customHeight="1" x14ac:dyDescent="0.25">
      <c r="A1612" s="259" t="str">
        <f>K1590</f>
        <v>H</v>
      </c>
      <c r="B1612" s="236" t="str">
        <f ca="1">IF(AND(OFFSET($AO$1,$L1590-1,8,1,1),$A1591&lt;&gt;"",$J1591&lt;&gt;""),CHOOSE($L1590,$AQ$1,$AQ$2,$AQ$3,$AQ$4,$AQ$5,$AQ$6,$AQ$7,$AQ$8,$AQ$9,$AQ$10,$AQ$11,$AQ$12),"")</f>
        <v/>
      </c>
      <c r="C1612" s="237"/>
      <c r="D1612" s="237"/>
      <c r="E1612" s="237"/>
      <c r="F1612" s="237"/>
      <c r="G1612" s="237"/>
      <c r="H1612" s="233"/>
      <c r="I1612" s="233"/>
      <c r="J1612" s="233"/>
      <c r="K1612" s="233"/>
      <c r="L1612" s="233"/>
      <c r="M1612" s="250" t="s">
        <v>169</v>
      </c>
      <c r="N1612" s="251"/>
      <c r="O1612" s="251"/>
      <c r="P1612" s="252"/>
      <c r="Q1612" s="40" t="str">
        <f>IF($Q1610&lt;&gt;"",IF($Q1610="W","L","W"),"")</f>
        <v/>
      </c>
      <c r="R1612"/>
      <c r="S1612"/>
      <c r="T1612"/>
      <c r="U1612"/>
      <c r="V1612"/>
      <c r="W1612"/>
      <c r="X1612"/>
      <c r="Y1612"/>
      <c r="Z1612"/>
      <c r="AA1612"/>
      <c r="AB1612"/>
      <c r="AC1612"/>
      <c r="AD1612"/>
      <c r="AE1612"/>
      <c r="AF1612"/>
    </row>
    <row r="1613" spans="1:32" ht="12.75" customHeight="1" x14ac:dyDescent="0.25">
      <c r="A1613" s="260"/>
      <c r="B1613" s="238"/>
      <c r="C1613" s="239"/>
      <c r="D1613" s="239"/>
      <c r="E1613" s="239"/>
      <c r="F1613" s="239"/>
      <c r="G1613" s="239"/>
      <c r="H1613" s="234"/>
      <c r="I1613" s="234"/>
      <c r="J1613" s="235"/>
      <c r="K1613" s="235"/>
      <c r="L1613" s="235"/>
      <c r="M1613" s="250"/>
      <c r="N1613" s="251"/>
      <c r="O1613" s="251"/>
      <c r="P1613" s="252"/>
      <c r="Q1613" s="110" t="str">
        <f>IF($Q1612&lt;&gt;"",IF($Q1612="W",IF(SUM(IF($H1612&gt;$H1610,1,0),IF($I1612&gt;$I1610,1,0),IF($J1612&gt;$J1610,1,0),IF($K1612&gt;$K1610,1,0),IF($L1612&gt;$L1610,1,0))&lt;&gt;3,"Error",""),""),"")</f>
        <v/>
      </c>
      <c r="R1613" t="str">
        <f>$A1608</f>
        <v>3rd Singles</v>
      </c>
      <c r="S1613"/>
      <c r="T1613"/>
      <c r="U1613"/>
      <c r="V1613"/>
      <c r="W1613"/>
      <c r="X1613"/>
      <c r="Y1613"/>
      <c r="Z1613"/>
      <c r="AA1613"/>
      <c r="AB1613"/>
      <c r="AC1613"/>
      <c r="AD1613"/>
      <c r="AE1613"/>
      <c r="AF1613"/>
    </row>
    <row r="1614" spans="1:32" ht="12.75" customHeight="1" x14ac:dyDescent="0.25">
      <c r="Q1614" s="6"/>
      <c r="R1614" s="47" t="s">
        <v>160</v>
      </c>
      <c r="S1614" s="86" t="s">
        <v>58</v>
      </c>
      <c r="T1614" s="87"/>
      <c r="U1614" s="87"/>
      <c r="V1614" s="87"/>
      <c r="W1614" s="87"/>
      <c r="X1614" s="88"/>
      <c r="Y1614" s="47">
        <v>1</v>
      </c>
      <c r="Z1614" s="47">
        <v>2</v>
      </c>
      <c r="AA1614" s="47">
        <v>3</v>
      </c>
      <c r="AB1614" s="47">
        <v>4</v>
      </c>
      <c r="AC1614" s="47">
        <v>5</v>
      </c>
      <c r="AD1614" s="89"/>
      <c r="AE1614" s="90"/>
      <c r="AF1614" s="91"/>
    </row>
    <row r="1615" spans="1:32" ht="12.75" customHeight="1" x14ac:dyDescent="0.25">
      <c r="A1615" s="15" t="s">
        <v>168</v>
      </c>
      <c r="H1615" s="110" t="str">
        <f ca="1">IF($Q1617&lt;&gt;"",IF(AND($B1617&lt;&gt;"Missing Player",$B1619&lt;&gt;"Missing Player"),IF(AND(AND($H1617&gt;-1,$H1619&gt;-1),OR($H1617&gt;10,$H1619&gt;10),ABS($H1617-$H1619)&gt;1,IF(OR($H1617&gt;11,$H1619&gt;11),ABS($H1617-$H1619)=2,TRUE),$H1617=INT($H1617),$H1619=INT($H1619)),"","Error"),""),"")</f>
        <v/>
      </c>
      <c r="I1615" s="110" t="str">
        <f ca="1">IF($Q1617&lt;&gt;"",IF(AND($B1617&lt;&gt;"Missing Player",$B1619&lt;&gt;"Missing Player"),IF(AND(AND($I1617&gt;-1,$I1619&gt;-1),OR($I1617&gt;10,$I1619&gt;10),ABS($I1617-$I1619)&gt;1,IF(OR($I1617&gt;11,$I1619&gt;11),ABS($I1617-$I1619)=2,TRUE),$I1617=INT($I1617),$I1619=INT($I1619)),"","Error"),""),"")</f>
        <v/>
      </c>
      <c r="J1615" s="110" t="str">
        <f ca="1">IF($Q1617&lt;&gt;"",IF(AND($B1617&lt;&gt;"Missing Player",$B1619&lt;&gt;"Missing Player"),IF(AND(AND($J1617&gt;-1,$J1619&gt;-1),OR($J1617&gt;10,$J1619&gt;10),ABS($J1617-$J1619)&gt;1,IF(OR($J1617&gt;11,$J1619&gt;11),ABS($J1617-$J1619)=2,TRUE),$J1617=INT($J1617),$J1619=INT($J1619)),"","Error"),""),"")</f>
        <v/>
      </c>
      <c r="K1615" s="110" t="str">
        <f ca="1">IF($Q1617&lt;&gt;"",IF(AND($K1617&lt;&gt;"",$K1619&lt;&gt;""), IF(AND(AND($K1617&gt;-1,$K1619&gt;-1),OR($K1617&gt;10,$K1619&gt;10),ABS($K1617-$K1619)&gt;1,IF(OR($K1617&gt;11,$K1619&gt;11),ABS($K1617-$K1619)=2,TRUE),$K1617=INT($K1617),$K1619=INT($K1619)),"","Error"),""),"")</f>
        <v/>
      </c>
      <c r="L1615" s="110" t="str">
        <f ca="1">IF($Q1617&lt;&gt;"",IF(AND($L1617&lt;&gt;"",$L1619&lt;&gt;""), IF(AND(AND($L1617&gt;-1,$L1619&gt;-1),OR($L1617&gt;10,$L1619&gt;10),ABS($L1617-$L1619)&gt;1,IF(OR($L1617&gt;11,$L1619&gt;11),ABS($L1617-$L1619)=2,TRUE),$L1617=INT($L1617),$L1619=INT($L1619)),"","Error"),""),"")</f>
        <v/>
      </c>
      <c r="Q1615" s="6"/>
      <c r="R1615" s="259" t="str">
        <f>$B1590</f>
        <v>F</v>
      </c>
      <c r="S1615" s="307" t="str">
        <f ca="1">IF($B1610&lt;&gt;"",$B1610,"")</f>
        <v/>
      </c>
      <c r="T1615" s="308"/>
      <c r="U1615" s="308"/>
      <c r="V1615" s="308"/>
      <c r="W1615" s="308"/>
      <c r="X1615" s="309"/>
      <c r="Y1615" s="284"/>
      <c r="Z1615" s="284"/>
      <c r="AA1615" s="284"/>
      <c r="AB1615" s="284"/>
      <c r="AC1615" s="284"/>
      <c r="AD1615" s="296"/>
      <c r="AE1615" s="290"/>
      <c r="AF1615" s="291"/>
    </row>
    <row r="1616" spans="1:32" ht="12.75" customHeight="1" x14ac:dyDescent="0.25">
      <c r="A1616" s="5" t="s">
        <v>160</v>
      </c>
      <c r="B1616" s="256" t="s">
        <v>58</v>
      </c>
      <c r="C1616" s="257"/>
      <c r="D1616" s="257"/>
      <c r="E1616" s="257"/>
      <c r="F1616" s="257"/>
      <c r="G1616" s="258"/>
      <c r="H1616" s="5">
        <v>1</v>
      </c>
      <c r="I1616" s="5">
        <v>2</v>
      </c>
      <c r="J1616" s="5">
        <v>3</v>
      </c>
      <c r="K1616" s="5">
        <v>4</v>
      </c>
      <c r="L1616" s="5">
        <v>5</v>
      </c>
      <c r="M1616" s="270"/>
      <c r="N1616" s="271"/>
      <c r="O1616" s="271"/>
      <c r="P1616" s="272"/>
      <c r="Q1616" s="6"/>
      <c r="R1616" s="285"/>
      <c r="S1616" s="310"/>
      <c r="T1616" s="311"/>
      <c r="U1616" s="311"/>
      <c r="V1616" s="311"/>
      <c r="W1616" s="311"/>
      <c r="X1616" s="312"/>
      <c r="Y1616" s="285"/>
      <c r="Z1616" s="285"/>
      <c r="AA1616" s="285"/>
      <c r="AB1616" s="285"/>
      <c r="AC1616" s="285"/>
      <c r="AD1616" s="292"/>
      <c r="AE1616" s="293"/>
      <c r="AF1616" s="294"/>
    </row>
    <row r="1617" spans="1:32" ht="12.75" customHeight="1" x14ac:dyDescent="0.25">
      <c r="A1617" s="259" t="str">
        <f>B1590</f>
        <v>F</v>
      </c>
      <c r="B1617" s="236" t="str">
        <f ca="1">IF(AND(OFFSET($AO$1,$C1590-1,8,1,1),$A1591&lt;&gt;"",$J1591&lt;&gt;""),CHOOSE($C1590,$AR$1,$AR$2,$AR$3,$AR$4,$AR$5,$AR$6,$AR$7,$AR$8,$AR$9,$AR$10,$AR$11,$AR$12),"")</f>
        <v/>
      </c>
      <c r="C1617" s="237"/>
      <c r="D1617" s="237"/>
      <c r="E1617" s="237"/>
      <c r="F1617" s="237"/>
      <c r="G1617" s="237"/>
      <c r="H1617" s="233"/>
      <c r="I1617" s="233"/>
      <c r="J1617" s="233"/>
      <c r="K1617" s="233"/>
      <c r="L1617" s="233" t="str">
        <f ca="1">IF(AND($B1617&lt;&gt;"",$Q1596&lt;&gt;""),IF($B1617="Missing Player",0,IF($B1619="Missing Player",11,"")),"")</f>
        <v/>
      </c>
      <c r="M1617" s="245" t="str">
        <f ca="1">IF(OR(AND($B1610&lt;&gt;"",$B1617&lt;&gt;"",$E1621&lt;=$D1621),AND($B1612&lt;&gt;"",$B1619&lt;&gt;"",$I1621&lt;=$H1621)),"Invalid Lineup","")</f>
        <v/>
      </c>
      <c r="N1617" s="246"/>
      <c r="O1617" s="246"/>
      <c r="P1617" s="247"/>
      <c r="Q1617" s="40" t="str">
        <f ca="1">IF($L1617=$L1619,IF($K1617=$K1619,IF($J1617&lt;&gt;"",IF($J1617&gt;$J1619,"W","L"),""),IF($K1617&gt;$K1619,"W","L")),IF($L1617&gt;$L1619,"W","L"))</f>
        <v/>
      </c>
      <c r="R1617" s="259" t="str">
        <f>$K1590</f>
        <v>H</v>
      </c>
      <c r="S1617" s="307" t="str">
        <f ca="1">IF($B1612&lt;&gt;"",$B1612,"")</f>
        <v/>
      </c>
      <c r="T1617" s="308"/>
      <c r="U1617" s="308"/>
      <c r="V1617" s="308"/>
      <c r="W1617" s="308"/>
      <c r="X1617" s="309"/>
      <c r="Y1617" s="284"/>
      <c r="Z1617" s="284"/>
      <c r="AA1617" s="284"/>
      <c r="AB1617" s="284"/>
      <c r="AC1617" s="297"/>
      <c r="AD1617" s="289" t="s">
        <v>169</v>
      </c>
      <c r="AE1617" s="290"/>
      <c r="AF1617" s="291"/>
    </row>
    <row r="1618" spans="1:32" ht="12.75" customHeight="1" x14ac:dyDescent="0.25">
      <c r="A1618" s="260"/>
      <c r="B1618" s="238"/>
      <c r="C1618" s="239"/>
      <c r="D1618" s="239"/>
      <c r="E1618" s="239"/>
      <c r="F1618" s="239"/>
      <c r="G1618" s="239"/>
      <c r="H1618" s="234"/>
      <c r="I1618" s="234"/>
      <c r="J1618" s="234"/>
      <c r="K1618" s="234"/>
      <c r="L1618" s="234"/>
      <c r="M1618" s="245"/>
      <c r="N1618" s="246"/>
      <c r="O1618" s="246"/>
      <c r="P1618" s="247"/>
      <c r="Q1618" s="110" t="str">
        <f ca="1">IF($Q1617&lt;&gt;"",IF($B1619&lt;&gt;"Missing Player",IF($Q1617="W",IF(SUM(IF($H1617&gt;$H1619,1,0),IF($I1617&gt;$I1619,1,0),IF($J1617&gt;$J1619,1,0),IF($K1617&gt;$K1619,1,0),IF($L1617&gt;$L1619,1,0))&lt;&gt;3,"Error",""),""),""),"")</f>
        <v/>
      </c>
      <c r="R1618" s="285"/>
      <c r="S1618" s="310"/>
      <c r="T1618" s="311"/>
      <c r="U1618" s="311"/>
      <c r="V1618" s="311"/>
      <c r="W1618" s="311"/>
      <c r="X1618" s="312"/>
      <c r="Y1618" s="285"/>
      <c r="Z1618" s="285"/>
      <c r="AA1618" s="285"/>
      <c r="AB1618" s="285"/>
      <c r="AC1618" s="285"/>
      <c r="AD1618" s="292"/>
      <c r="AE1618" s="293"/>
      <c r="AF1618" s="294"/>
    </row>
    <row r="1619" spans="1:32" ht="12.75" customHeight="1" x14ac:dyDescent="0.25">
      <c r="A1619" s="259" t="str">
        <f>K1590</f>
        <v>H</v>
      </c>
      <c r="B1619" s="236" t="str">
        <f ca="1">IF(AND(OFFSET($AO$1,$L1590-1,8,1,1),$A1591&lt;&gt;"",$J1591&lt;&gt;""),CHOOSE($L1590,$AR$1,$AR$2,$AR$3,$AR$4,$AR$5,$AR$6,$AR$7,$AR$8,$AR$9,$AR$10,$AR$11,$AR$12),"")</f>
        <v/>
      </c>
      <c r="C1619" s="237"/>
      <c r="D1619" s="237"/>
      <c r="E1619" s="237"/>
      <c r="F1619" s="237"/>
      <c r="G1619" s="237"/>
      <c r="H1619" s="233"/>
      <c r="I1619" s="233"/>
      <c r="J1619" s="233"/>
      <c r="K1619" s="233"/>
      <c r="L1619" s="233" t="str">
        <f ca="1">IF(AND($B1619&lt;&gt;"",$Q1596&lt;&gt;""),IF($B1619="Missing Player",0,IF($B1617="Missing Player",11,"")),"")</f>
        <v/>
      </c>
      <c r="M1619" s="250" t="s">
        <v>169</v>
      </c>
      <c r="N1619" s="251"/>
      <c r="O1619" s="251"/>
      <c r="P1619" s="252"/>
      <c r="Q1619" s="40" t="str">
        <f ca="1">IF($Q1617&lt;&gt;"",IF($Q1617="W","L","W"),"")</f>
        <v/>
      </c>
      <c r="R1619" s="94"/>
      <c r="S1619" s="84"/>
      <c r="T1619" s="84"/>
      <c r="U1619" s="84"/>
      <c r="V1619" s="84"/>
      <c r="W1619" s="84"/>
      <c r="X1619" s="84"/>
      <c r="Y1619" s="93"/>
      <c r="Z1619" s="93"/>
      <c r="AA1619" s="93"/>
      <c r="AB1619" s="93"/>
      <c r="AC1619" s="93"/>
      <c r="AD1619" s="92"/>
      <c r="AE1619" s="93"/>
      <c r="AF1619" s="93"/>
    </row>
    <row r="1620" spans="1:32" ht="12.75" customHeight="1" x14ac:dyDescent="0.25">
      <c r="A1620" s="260"/>
      <c r="B1620" s="238"/>
      <c r="C1620" s="239"/>
      <c r="D1620" s="239"/>
      <c r="E1620" s="239"/>
      <c r="F1620" s="239"/>
      <c r="G1620" s="239"/>
      <c r="H1620" s="234"/>
      <c r="I1620" s="234"/>
      <c r="J1620" s="235"/>
      <c r="K1620" s="235"/>
      <c r="L1620" s="235"/>
      <c r="M1620" s="250"/>
      <c r="N1620" s="251"/>
      <c r="O1620" s="251"/>
      <c r="P1620" s="252"/>
      <c r="Q1620" s="110" t="str">
        <f ca="1">IF($Q1619&lt;&gt;"",IF($B1617&lt;&gt;"Missing Player",IF($Q1619="W",IF(SUM(IF($H1619&gt;$H1617,1,0),IF($I1619&gt;$I1617,1,0),IF($J1619&gt;$J1617,1,0),IF($K1619&gt;$K1617,1,0),IF($L1619&gt;$L1617,1,0))&lt;&gt;3,"Error",""),""),""),"")</f>
        <v/>
      </c>
      <c r="R1620" s="85"/>
      <c r="S1620" s="95"/>
      <c r="T1620" s="95"/>
      <c r="U1620" s="95"/>
      <c r="V1620" s="95"/>
      <c r="W1620" s="95"/>
      <c r="X1620" s="95"/>
      <c r="Y1620" s="85"/>
      <c r="Z1620" s="85"/>
      <c r="AA1620" s="85"/>
      <c r="AB1620" s="85"/>
      <c r="AC1620" s="85"/>
      <c r="AD1620" s="85"/>
      <c r="AE1620" s="85"/>
      <c r="AF1620" s="85"/>
    </row>
    <row r="1621" spans="1:32" ht="12.75" customHeight="1" x14ac:dyDescent="0.25">
      <c r="B1621" s="111" t="str">
        <f ca="1">IF(ISERROR(VLOOKUP($B1596&amp;"("&amp;$B1590&amp;")",Players!$S$4:$T$132,2,FALSE)),"",VLOOKUP($B1596&amp;"("&amp;$B1590&amp;")",Players!$S$4:$T$132,2,FALSE))</f>
        <v>F1</v>
      </c>
      <c r="C1621" s="111" t="str">
        <f ca="1">IF(ISERROR(VLOOKUP($B1603&amp;"("&amp;$B1590&amp;")",Players!$S$4:$T$132,2,FALSE)),"",VLOOKUP($B1603&amp;"("&amp;$B1590&amp;")",Players!$S$4:$T$132,2,FALSE))</f>
        <v>F1</v>
      </c>
      <c r="D1621" s="111" t="str">
        <f ca="1">IF(ISERROR(VLOOKUP($B1610&amp;"("&amp;$B1590&amp;")",Players!$S$4:$T$132,2,FALSE)),"",VLOOKUP($B1610&amp;"("&amp;$B1590&amp;")",Players!$S$4:$T$132,2,FALSE))</f>
        <v>F1</v>
      </c>
      <c r="E1621" s="111" t="str">
        <f ca="1">IF(ISERROR(VLOOKUP($B1617&amp;"("&amp;$B1590&amp;")",Players!$S$4:$T$132,2,FALSE)),"",VLOOKUP($B1617&amp;"("&amp;$B1590&amp;")",Players!$S$4:$T$132,2,FALSE))</f>
        <v>F1</v>
      </c>
      <c r="F1621" s="111" t="str">
        <f ca="1">IF(ISERROR(VLOOKUP($B1598&amp;"("&amp;$K1590&amp;")",Players!$S$4:$T$132,2,FALSE)),"",VLOOKUP($B1598&amp;"("&amp;$K1590&amp;")",Players!$S$4:$T$132,2,FALSE))</f>
        <v>H1</v>
      </c>
      <c r="G1621" s="111" t="str">
        <f ca="1">IF(ISERROR(VLOOKUP($B1605&amp;"("&amp;$K1590&amp;")",Players!$S$4:$T$132,2,FALSE)),"",VLOOKUP($B1605&amp;"("&amp;$K1590&amp;")",Players!$S$4:$T$132,2,FALSE))</f>
        <v>H1</v>
      </c>
      <c r="H1621" s="111" t="str">
        <f ca="1">IF(ISERROR(VLOOKUP($B1612&amp;"("&amp;$K1590&amp;")",Players!$S$4:$T$132,2,FALSE)),"",VLOOKUP($B1612&amp;"("&amp;$K1590&amp;")",Players!$S$4:$T$132,2,FALSE))</f>
        <v>H1</v>
      </c>
      <c r="I1621" s="111" t="str">
        <f ca="1">IF(ISERROR(VLOOKUP($B1619&amp;"("&amp;$K1590&amp;")",Players!$S$4:$T$132,2,FALSE)),"",VLOOKUP($B1619&amp;"("&amp;$K1590&amp;")",Players!$S$4:$T$132,2,FALSE))</f>
        <v>H1</v>
      </c>
      <c r="Q1621" s="6"/>
      <c r="R1621" s="37"/>
      <c r="S1621" s="95"/>
      <c r="T1621" s="95"/>
      <c r="U1621" s="95"/>
      <c r="V1621" s="95"/>
      <c r="W1621" s="95"/>
      <c r="X1621" s="95"/>
      <c r="Y1621" s="85"/>
      <c r="Z1621" s="85"/>
      <c r="AA1621" s="85"/>
      <c r="AB1621" s="85"/>
      <c r="AC1621" s="96"/>
      <c r="AD1621" s="97"/>
      <c r="AE1621" s="85"/>
      <c r="AF1621" s="85"/>
    </row>
    <row r="1622" spans="1:32" ht="12.75" customHeight="1" x14ac:dyDescent="0.25">
      <c r="A1622" s="15" t="s">
        <v>157</v>
      </c>
      <c r="H1622" s="110" t="str">
        <f ca="1">IF($Q1624&lt;&gt;"",IF(AND($B1625&lt;&gt;"Missing Player",$B1627&lt;&gt;"Missing Player"),IF(AND(AND($H1624&gt;-1,$H1626&gt;-1),OR($H1624&gt;10,$H1626&gt;10),ABS($H1624-$H1626)&gt;1,IF(OR($H1624&gt;11,$H1626&gt;11),ABS($H1624-$H1626)=2,TRUE),$H1624=INT($H1624),$H1626=INT($H1626)),"","Error"),""),"")</f>
        <v/>
      </c>
      <c r="I1622" s="110" t="str">
        <f ca="1">IF($Q1624&lt;&gt;"",IF(AND($B1625&lt;&gt;"Missing Player",$B1627&lt;&gt;"Missing Player"),IF(AND(AND($I1624&gt;-1,$I1626&gt;-1),OR($I1624&gt;10,$I1626&gt;10),ABS($I1624-$I1626)&gt;1,IF(OR($I1624&gt;11,$I1626&gt;11),ABS($I1624-$I1626)=2,TRUE),$I1624=INT($I1624),$I1626=INT($I1626)),"","Error"),""),"")</f>
        <v/>
      </c>
      <c r="J1622" s="110" t="str">
        <f ca="1">IF($Q1624&lt;&gt;"",IF(AND($B1625&lt;&gt;"Missing Player",$B1627&lt;&gt;"Missing Player"),IF(AND(AND($J1624&gt;-1,$J1626&gt;-1),OR($J1624&gt;10,$J1626&gt;10),ABS($J1624-$J1626)&gt;1,IF(OR($J1624&gt;11,$J1626&gt;11),ABS($J1624-$J1626)=2,TRUE),$J1624=INT($J1624),$J1626=INT($J1626)),"","Error"),""),"")</f>
        <v/>
      </c>
      <c r="K1622" s="110" t="str">
        <f ca="1">IF($Q1624&lt;&gt;"",IF(AND($K1624&lt;&gt;"",$K1626&lt;&gt;""), IF(AND(AND($K1624&gt;-1,$K1626&gt;-1),OR($K1624&gt;10,$K1626&gt;10),ABS($K1624-$K1626)&gt;1,IF(OR($K1624&gt;11,$K1626&gt;11),ABS($K1624-$K1626)=2,TRUE),$K1624=INT($K1624),$K1626=INT($K1626)),"","Error"),""),"")</f>
        <v/>
      </c>
      <c r="L1622" s="110" t="str">
        <f ca="1">IF($Q1624&lt;&gt;"",IF(AND($L1624&lt;&gt;"",$L1626&lt;&gt;""), IF(AND(AND($L1624&gt;-1,$L1626&gt;-1),OR($L1624&gt;10,$L1626&gt;10),ABS($L1624-$L1626)&gt;1,IF(OR($L1624&gt;11,$L1626&gt;11),ABS($L1624-$L1626)=2,TRUE),$L1624=INT($L1624),$L1626=INT($L1626)),"","Error"),""),"")</f>
        <v/>
      </c>
      <c r="Q1622" s="6"/>
      <c r="R1622" s="85"/>
      <c r="S1622" s="95"/>
      <c r="T1622" s="95"/>
      <c r="U1622" s="95"/>
      <c r="V1622" s="95"/>
      <c r="W1622" s="95"/>
      <c r="X1622" s="95"/>
      <c r="Y1622" s="85"/>
      <c r="Z1622" s="85"/>
      <c r="AA1622" s="85"/>
      <c r="AB1622" s="85"/>
      <c r="AC1622" s="85"/>
      <c r="AD1622" s="85"/>
      <c r="AE1622" s="85"/>
      <c r="AF1622" s="85"/>
    </row>
    <row r="1623" spans="1:32" ht="12.75" customHeight="1" x14ac:dyDescent="0.25">
      <c r="A1623" s="5" t="s">
        <v>160</v>
      </c>
      <c r="B1623" s="256" t="s">
        <v>58</v>
      </c>
      <c r="C1623" s="257"/>
      <c r="D1623" s="257"/>
      <c r="E1623" s="257"/>
      <c r="F1623" s="257"/>
      <c r="G1623" s="258"/>
      <c r="H1623" s="5">
        <v>1</v>
      </c>
      <c r="I1623" s="5">
        <v>2</v>
      </c>
      <c r="J1623" s="5">
        <v>3</v>
      </c>
      <c r="K1623" s="5">
        <v>4</v>
      </c>
      <c r="L1623" s="5">
        <v>5</v>
      </c>
      <c r="M1623" s="270"/>
      <c r="N1623" s="271"/>
      <c r="O1623" s="271"/>
      <c r="P1623" s="272"/>
      <c r="Q1623" s="6"/>
      <c r="T1623" s="7"/>
    </row>
    <row r="1624" spans="1:32" ht="12.75" customHeight="1" x14ac:dyDescent="0.25">
      <c r="A1624" s="259" t="str">
        <f>B1590</f>
        <v>F</v>
      </c>
      <c r="B1624" s="230" t="str">
        <f ca="1">IF($B1596&lt;&gt;"",$B1596,"")</f>
        <v/>
      </c>
      <c r="C1624" s="231"/>
      <c r="D1624" s="231"/>
      <c r="E1624" s="231"/>
      <c r="F1624" s="231"/>
      <c r="G1624" s="232"/>
      <c r="H1624" s="233"/>
      <c r="I1624" s="233"/>
      <c r="J1624" s="233"/>
      <c r="K1624" s="233"/>
      <c r="L1624" s="233" t="str">
        <f ca="1">IF($B1617&lt;&gt;"",IF(AND($B1617="Missing Player",$G1628=2,$J1628=2),0,IF(AND($B1619="Missing Player",$G1628=2,$J1628=2),11,"")),"")</f>
        <v/>
      </c>
      <c r="M1624" s="245" t="str">
        <f ca="1">IF(OR(AND($B1624&lt;&gt;"",$B1625&lt;&gt;"",$B1624=$B1625),AND($B1626&lt;&gt;"",$B1627&lt;&gt;"",$B1626=$B1627)),"Invalid Partner","")</f>
        <v/>
      </c>
      <c r="N1624" s="246"/>
      <c r="O1624" s="246"/>
      <c r="P1624" s="247"/>
      <c r="Q1624" s="37" t="str">
        <f ca="1">IF(L1624=L1626,IF(K1624=K1626,IF(J1624&lt;&gt;"",IF(J1624&gt;J1626,"W","L"),""),IF(K1624&gt;K1626,"W","L")),IF(L1624&gt;L1626,"W","L"))</f>
        <v/>
      </c>
      <c r="T1624" s="7"/>
    </row>
    <row r="1625" spans="1:32" ht="12.75" customHeight="1" x14ac:dyDescent="0.25">
      <c r="A1625" s="260"/>
      <c r="B1625" s="266" t="str">
        <f ca="1">IF($B1617="Missing Player",$B1617,"")</f>
        <v/>
      </c>
      <c r="C1625" s="267"/>
      <c r="D1625" s="267"/>
      <c r="E1625" s="267"/>
      <c r="F1625" s="267"/>
      <c r="G1625" s="268"/>
      <c r="H1625" s="234"/>
      <c r="I1625" s="234"/>
      <c r="J1625" s="234"/>
      <c r="K1625" s="234"/>
      <c r="L1625" s="234"/>
      <c r="M1625" s="245"/>
      <c r="N1625" s="246"/>
      <c r="O1625" s="246"/>
      <c r="P1625" s="247"/>
      <c r="Q1625" s="110" t="str">
        <f ca="1">IF($Q1624&lt;&gt;"",IF($B1627&lt;&gt;"Missing Player",IF($Q1624="W",IF(SUM(IF($H1624&gt;$H1626,1,0),IF($I1624&gt;$I1626,1,0),IF($J1624&gt;$J1626,1,0),IF($K1624&gt;$K1626,1,0),IF($L1624&gt;$L1626,1,0))&lt;&gt;3,"Error",""),""),""),"")</f>
        <v/>
      </c>
      <c r="R1625" s="295" t="str">
        <f>$A1591</f>
        <v/>
      </c>
      <c r="S1625" s="295"/>
      <c r="T1625" s="295"/>
      <c r="U1625" s="295"/>
      <c r="V1625" s="295"/>
      <c r="W1625" s="295"/>
      <c r="X1625" s="219" t="str">
        <f>CONCATENATE("(",$B1590," vs ",$K1590,")")</f>
        <v>(F vs H)</v>
      </c>
      <c r="Y1625" s="219"/>
      <c r="Z1625" s="295" t="str">
        <f>$J1591</f>
        <v/>
      </c>
      <c r="AA1625" s="295"/>
      <c r="AB1625" s="295"/>
      <c r="AC1625" s="295"/>
      <c r="AD1625" s="295"/>
      <c r="AE1625" s="295"/>
      <c r="AF1625"/>
    </row>
    <row r="1626" spans="1:32" ht="12.75" customHeight="1" x14ac:dyDescent="0.25">
      <c r="A1626" s="265" t="str">
        <f>K1590</f>
        <v>H</v>
      </c>
      <c r="B1626" s="230" t="str">
        <f ca="1">IF($B1598&lt;&gt;"",$B1598,"")</f>
        <v/>
      </c>
      <c r="C1626" s="231"/>
      <c r="D1626" s="231"/>
      <c r="E1626" s="231"/>
      <c r="F1626" s="231"/>
      <c r="G1626" s="232"/>
      <c r="H1626" s="233"/>
      <c r="I1626" s="233"/>
      <c r="J1626" s="233"/>
      <c r="K1626" s="233"/>
      <c r="L1626" s="233" t="str">
        <f ca="1">IF($B1619&lt;&gt;"",IF(AND($B1619="Missing Player",$G1628=2,$J1628=2),0,IF(AND($B1617="Missing Player",$G1628=2,$J1628=2),11,"")),"")</f>
        <v/>
      </c>
      <c r="M1626" s="250" t="s">
        <v>169</v>
      </c>
      <c r="N1626" s="251"/>
      <c r="O1626" s="251"/>
      <c r="P1626" s="252"/>
      <c r="Q1626" s="37" t="str">
        <f ca="1">IF(Q1624&lt;&gt;"",IF(Q1624="W","L","W"),"")</f>
        <v/>
      </c>
      <c r="R1626"/>
      <c r="S1626"/>
      <c r="T1626"/>
      <c r="U1626"/>
      <c r="V1626"/>
      <c r="W1626"/>
      <c r="X1626"/>
      <c r="Y1626"/>
      <c r="Z1626"/>
      <c r="AA1626"/>
      <c r="AB1626"/>
      <c r="AC1626"/>
      <c r="AD1626"/>
      <c r="AE1626"/>
      <c r="AF1626"/>
    </row>
    <row r="1627" spans="1:32" ht="12.75" customHeight="1" x14ac:dyDescent="0.25">
      <c r="A1627" s="260"/>
      <c r="B1627" s="266" t="str">
        <f ca="1">IF($B1619="Missing Player",$B1619,"")</f>
        <v/>
      </c>
      <c r="C1627" s="267"/>
      <c r="D1627" s="267"/>
      <c r="E1627" s="267"/>
      <c r="F1627" s="267"/>
      <c r="G1627" s="268"/>
      <c r="H1627" s="234"/>
      <c r="I1627" s="234"/>
      <c r="J1627" s="235"/>
      <c r="K1627" s="235"/>
      <c r="L1627" s="235"/>
      <c r="M1627" s="250"/>
      <c r="N1627" s="251"/>
      <c r="O1627" s="251"/>
      <c r="P1627" s="252"/>
      <c r="Q1627" s="110" t="str">
        <f ca="1">IF($Q1626&lt;&gt;"",IF($B1625&lt;&gt;"Missing Player",IF($Q1626="W",IF(SUM(IF($H1626&gt;$H1624,1,0),IF($I1626&gt;$I1624,1,0),IF($J1626&gt;$J1624,1,0),IF($K1626&gt;$K1624,1,0),IF($L1626&gt;$L1624,1,0))&lt;&gt;3,"Error",""),""),""),"")</f>
        <v/>
      </c>
      <c r="R1627" t="str">
        <f>A1615</f>
        <v>4th Singles</v>
      </c>
      <c r="S1627"/>
      <c r="T1627"/>
      <c r="U1627"/>
      <c r="V1627"/>
      <c r="W1627"/>
      <c r="X1627"/>
      <c r="Y1627"/>
      <c r="Z1627"/>
      <c r="AA1627"/>
      <c r="AB1627"/>
      <c r="AC1627"/>
      <c r="AD1627"/>
      <c r="AE1627"/>
      <c r="AF1627"/>
    </row>
    <row r="1628" spans="1:32" ht="12.75" customHeight="1" x14ac:dyDescent="0.25">
      <c r="G1628" s="53">
        <f ca="1">COUNTIF($Q1596:$Q1596,"W")+COUNTIF($Q1603:$Q1603,"W")+COUNTIF($Q1610:$Q1610,"W")+COUNTIF($Q1617:$Q1617,"W")</f>
        <v>0</v>
      </c>
      <c r="J1628" s="53">
        <f ca="1">COUNTIF($Q1598:$Q1598,"W")+COUNTIF($Q1605:$Q1605,"W")+COUNTIF($Q1612:$Q1612,"W")+COUNTIF($Q1619:$Q1619,"W")</f>
        <v>0</v>
      </c>
      <c r="R1628" s="47" t="s">
        <v>160</v>
      </c>
      <c r="S1628" s="304" t="s">
        <v>58</v>
      </c>
      <c r="T1628" s="305"/>
      <c r="U1628" s="305"/>
      <c r="V1628" s="305"/>
      <c r="W1628" s="305"/>
      <c r="X1628" s="306"/>
      <c r="Y1628" s="47">
        <v>1</v>
      </c>
      <c r="Z1628" s="47">
        <v>2</v>
      </c>
      <c r="AA1628" s="47">
        <v>3</v>
      </c>
      <c r="AB1628" s="47">
        <v>4</v>
      </c>
      <c r="AC1628" s="47">
        <v>5</v>
      </c>
      <c r="AD1628" s="286"/>
      <c r="AE1628" s="287"/>
      <c r="AF1628" s="288"/>
    </row>
    <row r="1629" spans="1:32" ht="12.75" customHeight="1" thickBot="1" x14ac:dyDescent="0.3">
      <c r="F1629" s="212" t="s">
        <v>170</v>
      </c>
      <c r="G1629" s="212"/>
      <c r="H1629" s="212"/>
      <c r="I1629" s="212"/>
      <c r="J1629" s="212"/>
      <c r="K1629" s="212"/>
      <c r="R1629" s="259" t="str">
        <f>B1590</f>
        <v>F</v>
      </c>
      <c r="S1629" s="307" t="str">
        <f ca="1">IF($B1617&lt;&gt;"",$B1617,"")</f>
        <v/>
      </c>
      <c r="T1629" s="308"/>
      <c r="U1629" s="308"/>
      <c r="V1629" s="308"/>
      <c r="W1629" s="308"/>
      <c r="X1629" s="309"/>
      <c r="Y1629" s="284"/>
      <c r="Z1629" s="284"/>
      <c r="AA1629" s="297"/>
      <c r="AB1629" s="297"/>
      <c r="AC1629" s="297"/>
      <c r="AD1629" s="296"/>
      <c r="AE1629" s="298"/>
      <c r="AF1629" s="299"/>
    </row>
    <row r="1630" spans="1:32" ht="12.75" customHeight="1" x14ac:dyDescent="0.25">
      <c r="A1630" s="16"/>
      <c r="B1630" s="16"/>
      <c r="C1630" s="16"/>
      <c r="D1630" s="16"/>
      <c r="E1630" s="16"/>
      <c r="G1630" s="261" t="str">
        <f>B1590</f>
        <v>F</v>
      </c>
      <c r="H1630" s="262"/>
      <c r="I1630" s="263" t="str">
        <f>K1590</f>
        <v>H</v>
      </c>
      <c r="J1630" s="264"/>
      <c r="L1630" s="16"/>
      <c r="M1630" s="16"/>
      <c r="N1630" s="16"/>
      <c r="O1630" s="16"/>
      <c r="P1630" s="16"/>
      <c r="R1630" s="260"/>
      <c r="S1630" s="310"/>
      <c r="T1630" s="311"/>
      <c r="U1630" s="311"/>
      <c r="V1630" s="311"/>
      <c r="W1630" s="311"/>
      <c r="X1630" s="312"/>
      <c r="Y1630" s="285"/>
      <c r="Z1630" s="285"/>
      <c r="AA1630" s="303"/>
      <c r="AB1630" s="303"/>
      <c r="AC1630" s="303"/>
      <c r="AD1630" s="300"/>
      <c r="AE1630" s="301"/>
      <c r="AF1630" s="302"/>
    </row>
    <row r="1631" spans="1:32" ht="12.75" customHeight="1" thickBot="1" x14ac:dyDescent="0.3">
      <c r="A1631" s="2" t="s">
        <v>160</v>
      </c>
      <c r="B1631" s="40" t="str">
        <f>B1590</f>
        <v>F</v>
      </c>
      <c r="C1631" s="3" t="s">
        <v>158</v>
      </c>
      <c r="F1631" s="53" t="str">
        <f>CONCATENATE($B1590,"-",$K1590)</f>
        <v>F-H</v>
      </c>
      <c r="G1631" s="240" t="str">
        <f ca="1">IF(OR(Q1596&lt;&gt;"",Q1603&lt;&gt;"",Q1610&lt;&gt;"",Q1617&lt;&gt;"",Q1624&lt;&gt;""),COUNTIF(Q1596:Q1596,"W")+COUNTIF(Q1603:Q1603,"W")+COUNTIF(Q1610:Q1610,"W")+COUNTIF(Q1617:Q1617,"W")+COUNTIF(Q1624:Q1624,"W"),"")</f>
        <v/>
      </c>
      <c r="H1631" s="241"/>
      <c r="I1631" s="242" t="str">
        <f ca="1">IF(OR(Q1598&lt;&gt;"",Q1605&lt;&gt;"",Q1612&lt;&gt;"",Q1619&lt;&gt;"",Q1626&lt;&gt;""),COUNTIF(Q1598:Q1598,"W")+COUNTIF(Q1605:Q1605,"W")+COUNTIF(Q1612:Q1612,"W")+COUNTIF(Q1619:Q1619,"W")+COUNTIF(Q1626:Q1626,"W"),"")</f>
        <v/>
      </c>
      <c r="J1631" s="243"/>
      <c r="L1631" s="2" t="s">
        <v>160</v>
      </c>
      <c r="M1631" s="40" t="str">
        <f>K1590</f>
        <v>H</v>
      </c>
      <c r="N1631" s="3" t="s">
        <v>158</v>
      </c>
      <c r="R1631" s="259" t="str">
        <f>K1590</f>
        <v>H</v>
      </c>
      <c r="S1631" s="307" t="str">
        <f ca="1">IF($B1619&lt;&gt;"",$B1619,"")</f>
        <v/>
      </c>
      <c r="T1631" s="308"/>
      <c r="U1631" s="308"/>
      <c r="V1631" s="308"/>
      <c r="W1631" s="308"/>
      <c r="X1631" s="309"/>
      <c r="Y1631" s="284"/>
      <c r="Z1631" s="284"/>
      <c r="AA1631" s="297"/>
      <c r="AB1631" s="297"/>
      <c r="AC1631" s="297"/>
      <c r="AD1631" s="289" t="s">
        <v>169</v>
      </c>
      <c r="AE1631" s="290"/>
      <c r="AF1631" s="291"/>
    </row>
    <row r="1632" spans="1:32" ht="12.75" customHeight="1" x14ac:dyDescent="0.35">
      <c r="F1632" s="18" t="s">
        <v>403</v>
      </c>
      <c r="G1632" s="17"/>
      <c r="H1632" s="17"/>
      <c r="I1632" s="17"/>
      <c r="J1632" s="17"/>
      <c r="R1632" s="285"/>
      <c r="S1632" s="310"/>
      <c r="T1632" s="311"/>
      <c r="U1632" s="311"/>
      <c r="V1632" s="311"/>
      <c r="W1632" s="311"/>
      <c r="X1632" s="312"/>
      <c r="Y1632" s="285"/>
      <c r="Z1632" s="285"/>
      <c r="AA1632" s="285"/>
      <c r="AB1632" s="285"/>
      <c r="AC1632" s="285"/>
      <c r="AD1632" s="292"/>
      <c r="AE1632" s="293"/>
      <c r="AF1632" s="294"/>
    </row>
    <row r="1633" spans="1:32" ht="12.75" customHeight="1" x14ac:dyDescent="0.25">
      <c r="R1633" s="1"/>
      <c r="S1633" s="11"/>
      <c r="T1633" s="11"/>
      <c r="U1633" s="11"/>
      <c r="V1633" s="11"/>
      <c r="W1633" s="11"/>
    </row>
    <row r="1634" spans="1:32" ht="12.75" customHeight="1" x14ac:dyDescent="0.25">
      <c r="F1634" s="212"/>
      <c r="G1634" s="212"/>
      <c r="H1634" s="212"/>
      <c r="I1634" s="212"/>
      <c r="R1634" s="1"/>
      <c r="S1634" s="11"/>
      <c r="T1634" s="11"/>
      <c r="U1634" s="11"/>
      <c r="V1634" s="11"/>
      <c r="W1634" s="11"/>
    </row>
    <row r="1635" spans="1:32" ht="12.75" customHeight="1" x14ac:dyDescent="0.25">
      <c r="F1635" s="212"/>
      <c r="G1635" s="212"/>
      <c r="H1635" s="212"/>
      <c r="I1635" s="212"/>
      <c r="R1635" s="1"/>
      <c r="S1635" s="11"/>
      <c r="T1635" s="11"/>
      <c r="U1635" s="11"/>
      <c r="V1635" s="11"/>
      <c r="W1635" s="11"/>
    </row>
    <row r="1636" spans="1:32" ht="12.75" customHeight="1" x14ac:dyDescent="0.25">
      <c r="K1636" s="219" t="s">
        <v>176</v>
      </c>
      <c r="L1636" s="219"/>
      <c r="M1636" s="219"/>
      <c r="N1636" s="219"/>
      <c r="O1636" s="219"/>
      <c r="P1636" s="219"/>
      <c r="R1636" s="1"/>
      <c r="S1636" s="11"/>
      <c r="T1636" s="11"/>
      <c r="U1636" s="11"/>
      <c r="V1636" s="11"/>
      <c r="W1636" s="11"/>
    </row>
    <row r="1637" spans="1:32" ht="12.75" customHeight="1" x14ac:dyDescent="0.25">
      <c r="A1637" s="9" t="s">
        <v>161</v>
      </c>
      <c r="B1637"/>
      <c r="C1637"/>
      <c r="D1637" t="str">
        <f>Draw!$B$1</f>
        <v>Enter Division Name</v>
      </c>
      <c r="E1637"/>
      <c r="F1637" s="6"/>
      <c r="G1637" s="6"/>
      <c r="H1637" s="6"/>
      <c r="I1637"/>
      <c r="J1637"/>
      <c r="K1637"/>
      <c r="L1637"/>
      <c r="M1637" s="219"/>
      <c r="N1637" s="219"/>
      <c r="O1637" s="219"/>
      <c r="P1637" s="219"/>
      <c r="R1637" s="1"/>
      <c r="S1637" s="11"/>
      <c r="T1637" s="11"/>
      <c r="U1637" s="11"/>
      <c r="V1637" s="11"/>
      <c r="W1637" s="11"/>
    </row>
    <row r="1638" spans="1:32" ht="12.75" customHeight="1" x14ac:dyDescent="0.25">
      <c r="A1638" s="2" t="s">
        <v>162</v>
      </c>
      <c r="D1638" t="str">
        <f>Draw!$D$1</f>
        <v>Enter Hosting Location (City, ST)</v>
      </c>
      <c r="J1638" t="str">
        <f ca="1">$J$6</f>
        <v>[NCTTA Teams Template (v3.4).xlsx]</v>
      </c>
      <c r="R1638" s="1"/>
      <c r="S1638" s="11"/>
      <c r="T1638" s="11"/>
      <c r="U1638" s="11"/>
      <c r="V1638" s="11"/>
      <c r="W1638" s="11"/>
    </row>
    <row r="1639" spans="1:32" ht="12.75" customHeight="1" x14ac:dyDescent="0.25">
      <c r="A1639" s="2" t="s">
        <v>163</v>
      </c>
      <c r="D1639" s="275" t="str">
        <f>Draw!$P$1</f>
        <v>Enter Date</v>
      </c>
      <c r="E1639" s="275"/>
      <c r="F1639" s="275"/>
      <c r="G1639" s="275"/>
      <c r="J1639" s="244" t="str">
        <f>CHOOSE(Draw!$T$1,"Round 6, Match 3","","","","","","","","Round 9, Match 1","Round 7, Match 3","Round 7, Match 3")</f>
        <v>Round 6, Match 3</v>
      </c>
      <c r="K1639" s="244"/>
      <c r="L1639" s="244"/>
      <c r="M1639" s="277" t="str">
        <f>IF(AND($J1639&lt;&gt;"",Draw!$AC$10&lt;&gt;"",Draw!$AC$13&lt;&gt;""),Draw!$AC$10+TIME(0,VALUE(MID($J1639,7,FIND(",",$J1639)-FIND(" ",$J1639)-1)-1)*Draw!$AC$13,0),"")</f>
        <v/>
      </c>
      <c r="N1639" s="277"/>
      <c r="O1639" s="125" t="str">
        <f>$F1682</f>
        <v>E-I</v>
      </c>
      <c r="R1639" s="1"/>
      <c r="S1639" s="11"/>
      <c r="T1639" s="11"/>
      <c r="U1639" s="11"/>
      <c r="V1639" s="11"/>
      <c r="W1639" s="11"/>
    </row>
    <row r="1640" spans="1:32" ht="12.75" customHeight="1" x14ac:dyDescent="0.25">
      <c r="A1640" s="6"/>
      <c r="B1640"/>
      <c r="C1640"/>
      <c r="D1640"/>
      <c r="E1640"/>
      <c r="F1640" s="6"/>
      <c r="G1640" s="6"/>
      <c r="H1640" s="11"/>
      <c r="I1640" s="6"/>
      <c r="J1640"/>
      <c r="K1640"/>
      <c r="L1640"/>
      <c r="M1640"/>
      <c r="N1640"/>
      <c r="O1640" s="269" t="str">
        <f>IF(OR(AND(VLOOKUP($B1641,$AM$1:$AX$12,12,FALSE)="C",VLOOKUP($K1641,$AM$1:$AX$12,12,FALSE)="C"),AND(VLOOKUP($B1641,$AM$1:$AX$12,12,FALSE)="W",VLOOKUP($K1641,$AM$1:$AX$12,12,FALSE)="W")),"Official",IF(AND($A1642="",$J1642=""),"","Scrimmage"))</f>
        <v/>
      </c>
      <c r="P1640" s="269"/>
      <c r="R1640" s="1"/>
      <c r="S1640" s="11"/>
      <c r="T1640" s="11"/>
      <c r="U1640" s="11"/>
      <c r="V1640" s="11"/>
      <c r="W1640" s="11"/>
    </row>
    <row r="1641" spans="1:32" ht="12.75" customHeight="1" x14ac:dyDescent="0.25">
      <c r="A1641" s="12" t="s">
        <v>160</v>
      </c>
      <c r="B1641" s="98" t="str">
        <f>CHOOSE(Draw!$T$1,"E","A","B","C","D","C","C","B","A","E","D")</f>
        <v>E</v>
      </c>
      <c r="C1641" s="109">
        <f>VLOOKUP($B1641,$AM$1:$AN$12,2)</f>
        <v>5</v>
      </c>
      <c r="D1641" s="10"/>
      <c r="E1641" s="10"/>
      <c r="F1641" s="8"/>
      <c r="H1641" s="1" t="s">
        <v>164</v>
      </c>
      <c r="J1641" s="12" t="s">
        <v>160</v>
      </c>
      <c r="K1641" s="98" t="str">
        <f>CHOOSE(Draw!$T$1,"I","I","K","F","G","L","I","I","G","J","H")</f>
        <v>I</v>
      </c>
      <c r="L1641" s="109">
        <f>VLOOKUP($K1641,$AM$1:$AN$12,2)</f>
        <v>9</v>
      </c>
      <c r="M1641" s="10"/>
      <c r="N1641" s="10"/>
      <c r="O1641" s="13"/>
      <c r="R1641" s="1"/>
      <c r="S1641" s="11"/>
      <c r="T1641" s="11"/>
      <c r="U1641" s="11"/>
      <c r="V1641" s="11"/>
      <c r="W1641" s="11"/>
    </row>
    <row r="1642" spans="1:32" ht="12.75" customHeight="1" x14ac:dyDescent="0.25">
      <c r="A1642" s="253" t="str">
        <f>IF(VLOOKUP($B1641,Draw!$A$4:$B$27,2)&lt;&gt;0,VLOOKUP($B1641,Draw!$A$4:$B$27,2),"")</f>
        <v/>
      </c>
      <c r="B1642" s="254"/>
      <c r="C1642" s="254"/>
      <c r="D1642" s="254"/>
      <c r="E1642" s="254"/>
      <c r="F1642" s="255"/>
      <c r="G1642" s="273" t="s">
        <v>436</v>
      </c>
      <c r="H1642" s="249"/>
      <c r="I1642" s="274"/>
      <c r="J1642" s="253" t="str">
        <f>IF(VLOOKUP($K1641,Draw!$A$4:$B$27,2)&lt;&gt;0,VLOOKUP($K1641,Draw!$A$4:$B$27,2),"")</f>
        <v/>
      </c>
      <c r="K1642" s="254"/>
      <c r="L1642" s="254"/>
      <c r="M1642" s="254"/>
      <c r="N1642" s="254"/>
      <c r="O1642" s="255"/>
      <c r="P1642"/>
      <c r="R1642" s="1"/>
      <c r="S1642" s="11"/>
      <c r="T1642" s="11"/>
      <c r="U1642" s="11"/>
      <c r="V1642" s="11"/>
      <c r="W1642" s="11"/>
    </row>
    <row r="1643" spans="1:32" ht="12.75" customHeight="1" x14ac:dyDescent="0.25">
      <c r="A1643" s="6"/>
      <c r="B1643"/>
      <c r="C1643"/>
      <c r="D1643"/>
      <c r="E1643"/>
      <c r="F1643" s="6"/>
      <c r="G1643" s="248" t="str">
        <f>"Page "&amp;VALUE(RIGHT($G1642,LEN($G1642)-SEARCH("-",$G1642)))/2</f>
        <v>Page 33</v>
      </c>
      <c r="H1643" s="249"/>
      <c r="I1643" s="249"/>
      <c r="J1643"/>
      <c r="K1643"/>
      <c r="L1643"/>
      <c r="M1643"/>
      <c r="N1643"/>
      <c r="O1643"/>
      <c r="P1643"/>
      <c r="R1643" s="1"/>
      <c r="S1643" s="11"/>
      <c r="T1643" s="11"/>
      <c r="U1643" s="11"/>
      <c r="V1643" s="11"/>
      <c r="W1643" s="11"/>
      <c r="AF1643"/>
    </row>
    <row r="1644" spans="1:32" ht="12.75" customHeight="1" x14ac:dyDescent="0.25">
      <c r="A1644" s="276" t="s">
        <v>177</v>
      </c>
      <c r="B1644" s="276"/>
      <c r="C1644" s="276"/>
      <c r="D1644" s="276"/>
      <c r="E1644" s="276"/>
      <c r="F1644" s="276"/>
      <c r="G1644" s="276"/>
      <c r="H1644" s="276"/>
      <c r="I1644" s="276"/>
      <c r="J1644" s="276"/>
      <c r="K1644" s="276"/>
      <c r="L1644" s="276"/>
      <c r="M1644" s="276"/>
      <c r="N1644" s="276"/>
      <c r="O1644" s="276"/>
      <c r="P1644" s="276"/>
      <c r="Q1644" s="6"/>
      <c r="R1644" s="1"/>
      <c r="S1644" s="11"/>
      <c r="T1644" s="11"/>
      <c r="U1644" s="11"/>
      <c r="V1644" s="11"/>
      <c r="W1644" s="11"/>
      <c r="AF1644" s="14"/>
    </row>
    <row r="1645" spans="1:32" ht="12.75" customHeight="1" x14ac:dyDescent="0.25">
      <c r="A1645" s="15" t="s">
        <v>165</v>
      </c>
      <c r="H1645" s="110" t="str">
        <f>IF($Q1647&lt;&gt;"",IF(AND(AND($H1647&gt;-1,$H1649&gt;-1),OR($H1647&gt;10,$H1649&gt;10),ABS($H1647-$H1649)&gt;1,IF(OR($H1647&gt;11,$H1649&gt;11),ABS($H1647-$H1649)=2,TRUE),$H1647=INT($H1647),$H1649=INT($H1649)),"","Error"),"")</f>
        <v/>
      </c>
      <c r="I1645" s="110" t="str">
        <f>IF($Q1647&lt;&gt;"",IF(AND(AND($I1647&gt;-1,$I1649&gt;-1),OR($I1647&gt;10,$I1649&gt;10),ABS($I1647-$I1649)&gt;1,IF(OR($I1647&gt;11,$I1649&gt;11),ABS($I1647-$I1649)=2,TRUE),$I1647=INT($I1647),$I1649=INT($I1649)),"","Error"),"")</f>
        <v/>
      </c>
      <c r="J1645" s="110" t="str">
        <f>IF($Q1647&lt;&gt;"",IF(AND(AND($J1647&gt;-1,$J1649&gt;-1),OR($J1647&gt;10,$J1649&gt;10),ABS($J1647-$J1649)&gt;1,IF(OR($J1647&gt;11,$J1649&gt;11),ABS($J1647-$J1649)=2,TRUE),$J1647=INT($J1647),$J1649=INT($J1649)),"","Error"),"")</f>
        <v/>
      </c>
      <c r="K1645" s="110" t="str">
        <f>IF($Q1647&lt;&gt;"",IF(AND($K1647&lt;&gt;"",$K1649&lt;&gt;""), IF(AND(AND($K1647&gt;-1,$K1649&gt;-1),OR($K1647&gt;10,$K1649&gt;10),ABS($K1647-$K1649)&gt;1,IF(OR($K1647&gt;11,$K1649&gt;11),ABS($K1647-$K1649)=2,TRUE),$K1647=INT($K1647),$K1649=INT($K1649)),"","Error"),""),"")</f>
        <v/>
      </c>
      <c r="L1645" s="110" t="str">
        <f>IF($Q1647&lt;&gt;"",IF(AND($L1647&lt;&gt;"",$L1649&lt;&gt;""), IF(AND(AND($L1647&gt;-1,$L1649&gt;-1),OR($L1647&gt;10,$L1649&gt;10),ABS($L1647-$L1649)&gt;1,IF(OR($L1647&gt;11,$L1649&gt;11),ABS($L1647-$L1649)=2,TRUE),$L1647=INT($L1647),$L1649=INT($L1649)),"","Error"),""),"")</f>
        <v/>
      </c>
      <c r="R1645" s="1"/>
      <c r="S1645" s="11"/>
      <c r="T1645" s="11"/>
      <c r="U1645" s="11"/>
      <c r="V1645" s="11"/>
      <c r="W1645" s="11"/>
    </row>
    <row r="1646" spans="1:32" ht="12.75" customHeight="1" x14ac:dyDescent="0.25">
      <c r="A1646" s="5" t="s">
        <v>160</v>
      </c>
      <c r="B1646" s="256" t="s">
        <v>58</v>
      </c>
      <c r="C1646" s="257"/>
      <c r="D1646" s="257"/>
      <c r="E1646" s="257"/>
      <c r="F1646" s="257"/>
      <c r="G1646" s="258"/>
      <c r="H1646" s="5">
        <v>1</v>
      </c>
      <c r="I1646" s="5">
        <v>2</v>
      </c>
      <c r="J1646" s="5">
        <v>3</v>
      </c>
      <c r="K1646" s="5">
        <v>4</v>
      </c>
      <c r="L1646" s="5">
        <v>5</v>
      </c>
      <c r="M1646" s="270"/>
      <c r="N1646" s="271"/>
      <c r="O1646" s="271"/>
      <c r="P1646" s="272"/>
      <c r="R1646" s="1"/>
      <c r="S1646" s="11"/>
      <c r="T1646" s="11"/>
      <c r="U1646" s="11"/>
      <c r="V1646" s="11"/>
      <c r="W1646" s="11"/>
    </row>
    <row r="1647" spans="1:32" ht="12.75" customHeight="1" x14ac:dyDescent="0.25">
      <c r="A1647" s="259" t="str">
        <f>B1641</f>
        <v>E</v>
      </c>
      <c r="B1647" s="236" t="str">
        <f ca="1">IF(AND(OFFSET($AO$1,$C1641-1,8,1,1),$A1642&lt;&gt;"",$J1642&lt;&gt;""),CHOOSE($C1641,$AO$1,$AO$2,$AO$3,$AO$4,$AO$5,$AO$6,$AO$7,$AO$8,$AO$9,$AO$10,$AO$11,$AO$12),"")</f>
        <v/>
      </c>
      <c r="C1647" s="237"/>
      <c r="D1647" s="237"/>
      <c r="E1647" s="237"/>
      <c r="F1647" s="237"/>
      <c r="G1647" s="237"/>
      <c r="H1647" s="233"/>
      <c r="I1647" s="233"/>
      <c r="J1647" s="233"/>
      <c r="K1647" s="233"/>
      <c r="L1647" s="233"/>
      <c r="M1647" s="281"/>
      <c r="N1647" s="282"/>
      <c r="O1647" s="282"/>
      <c r="P1647" s="283"/>
      <c r="Q1647" s="40" t="str">
        <f>IF($L1647=$L1649,IF($K1647=$K1649,IF($J1647&lt;&gt;"",IF($J1647&gt;$J1649,"W","L"),""),IF($K1647&gt;$K1649,"W","L")),IF($L1647&gt;$L1649,"W","L"))</f>
        <v/>
      </c>
      <c r="R1647" s="1"/>
      <c r="S1647" s="11"/>
      <c r="T1647" s="11"/>
      <c r="U1647" s="11"/>
      <c r="V1647" s="11"/>
      <c r="W1647" s="11"/>
    </row>
    <row r="1648" spans="1:32" ht="12.75" customHeight="1" x14ac:dyDescent="0.25">
      <c r="A1648" s="260"/>
      <c r="B1648" s="238"/>
      <c r="C1648" s="239"/>
      <c r="D1648" s="239"/>
      <c r="E1648" s="239"/>
      <c r="F1648" s="239"/>
      <c r="G1648" s="239"/>
      <c r="H1648" s="234"/>
      <c r="I1648" s="234"/>
      <c r="J1648" s="234"/>
      <c r="K1648" s="234"/>
      <c r="L1648" s="234"/>
      <c r="M1648" s="281"/>
      <c r="N1648" s="282"/>
      <c r="O1648" s="282"/>
      <c r="P1648" s="283"/>
      <c r="Q1648" s="110" t="str">
        <f>IF($Q1647&lt;&gt;"",IF($Q1647="W",IF(SUM(IF($H1647&gt;$H1649,1,0),IF($I1647&gt;$I1649,1,0),IF($J1647&gt;$J1649,1,0),IF($K1647&gt;$K1649,1,0),IF($L1647&gt;$L1649,1,0))&lt;&gt;3,"Error",""),""),"")</f>
        <v/>
      </c>
      <c r="R1648" s="295" t="str">
        <f>$A1642</f>
        <v/>
      </c>
      <c r="S1648" s="295"/>
      <c r="T1648" s="295"/>
      <c r="U1648" s="295"/>
      <c r="V1648" s="295"/>
      <c r="W1648" s="295"/>
      <c r="X1648" s="219" t="str">
        <f>CONCATENATE("(",$B1641," vs ",$K1641,")")</f>
        <v>(E vs I)</v>
      </c>
      <c r="Y1648" s="219"/>
      <c r="Z1648" s="295" t="str">
        <f>$J1642</f>
        <v/>
      </c>
      <c r="AA1648" s="295"/>
      <c r="AB1648" s="295"/>
      <c r="AC1648" s="295"/>
      <c r="AD1648" s="295"/>
      <c r="AE1648" s="295"/>
      <c r="AF1648"/>
    </row>
    <row r="1649" spans="1:32" ht="12.75" customHeight="1" x14ac:dyDescent="0.25">
      <c r="A1649" s="259" t="str">
        <f>K1641</f>
        <v>I</v>
      </c>
      <c r="B1649" s="236" t="str">
        <f ca="1">IF(AND(OFFSET($AO$1,$L1641-1,8,1,1),$A1642&lt;&gt;"",$J1642&lt;&gt;""),CHOOSE($L1641,$AO$1,$AO$2,$AO$3,$AO$4,$AO$5,$AO$6,$AO$7,$AO$8,$AO$9,$AO$10,$AO$11,$AO$12),"")</f>
        <v/>
      </c>
      <c r="C1649" s="237"/>
      <c r="D1649" s="237"/>
      <c r="E1649" s="237"/>
      <c r="F1649" s="237"/>
      <c r="G1649" s="237"/>
      <c r="H1649" s="233"/>
      <c r="I1649" s="233"/>
      <c r="J1649" s="233"/>
      <c r="K1649" s="233"/>
      <c r="L1649" s="233"/>
      <c r="M1649" s="250" t="s">
        <v>169</v>
      </c>
      <c r="N1649" s="251"/>
      <c r="O1649" s="251"/>
      <c r="P1649" s="252"/>
      <c r="Q1649" s="40" t="str">
        <f>IF($Q1647&lt;&gt;"",IF($Q1647="W","L","W"),"")</f>
        <v/>
      </c>
      <c r="R1649"/>
      <c r="S1649"/>
      <c r="T1649"/>
      <c r="U1649"/>
      <c r="V1649"/>
      <c r="W1649"/>
      <c r="X1649"/>
      <c r="Y1649"/>
      <c r="Z1649"/>
      <c r="AA1649"/>
      <c r="AB1649"/>
      <c r="AC1649"/>
      <c r="AD1649"/>
      <c r="AE1649"/>
      <c r="AF1649"/>
    </row>
    <row r="1650" spans="1:32" ht="12.75" customHeight="1" x14ac:dyDescent="0.25">
      <c r="A1650" s="260"/>
      <c r="B1650" s="238"/>
      <c r="C1650" s="239"/>
      <c r="D1650" s="239"/>
      <c r="E1650" s="239"/>
      <c r="F1650" s="239"/>
      <c r="G1650" s="239"/>
      <c r="H1650" s="234"/>
      <c r="I1650" s="234"/>
      <c r="J1650" s="235"/>
      <c r="K1650" s="235"/>
      <c r="L1650" s="235"/>
      <c r="M1650" s="250"/>
      <c r="N1650" s="251"/>
      <c r="O1650" s="251"/>
      <c r="P1650" s="252"/>
      <c r="Q1650" s="110" t="str">
        <f>IF($Q1649&lt;&gt;"",IF($Q1649="W",IF(SUM(IF($H1649&gt;$H1647,1,0),IF($I1649&gt;$I1647,1,0),IF($J1649&gt;$J1647,1,0),IF($K1649&gt;$K1647,1,0),IF($L1649&gt;$L1647,1,0))&lt;&gt;3,"Error",""),""),"")</f>
        <v/>
      </c>
      <c r="R1650" t="str">
        <f>$A1652</f>
        <v>2nd Singles</v>
      </c>
      <c r="S1650"/>
      <c r="T1650"/>
      <c r="U1650"/>
      <c r="V1650"/>
      <c r="W1650"/>
      <c r="X1650"/>
      <c r="Y1650"/>
      <c r="Z1650"/>
      <c r="AA1650"/>
      <c r="AB1650"/>
      <c r="AC1650"/>
      <c r="AD1650"/>
      <c r="AE1650"/>
      <c r="AF1650"/>
    </row>
    <row r="1651" spans="1:32" ht="12.75" customHeight="1" x14ac:dyDescent="0.25">
      <c r="Q1651" s="6"/>
      <c r="R1651" s="47" t="s">
        <v>160</v>
      </c>
      <c r="S1651" s="304" t="s">
        <v>58</v>
      </c>
      <c r="T1651" s="305"/>
      <c r="U1651" s="305"/>
      <c r="V1651" s="305"/>
      <c r="W1651" s="305"/>
      <c r="X1651" s="306"/>
      <c r="Y1651" s="47">
        <v>1</v>
      </c>
      <c r="Z1651" s="47">
        <v>2</v>
      </c>
      <c r="AA1651" s="47">
        <v>3</v>
      </c>
      <c r="AB1651" s="47">
        <v>4</v>
      </c>
      <c r="AC1651" s="47">
        <v>5</v>
      </c>
      <c r="AD1651" s="286"/>
      <c r="AE1651" s="287"/>
      <c r="AF1651" s="288"/>
    </row>
    <row r="1652" spans="1:32" ht="12.75" customHeight="1" x14ac:dyDescent="0.25">
      <c r="A1652" s="15" t="s">
        <v>166</v>
      </c>
      <c r="H1652" s="110" t="str">
        <f>IF($Q1654&lt;&gt;"",IF(AND(AND($H1654&gt;-1,$H1656&gt;-1),OR($H1654&gt;10,$H1656&gt;10),ABS($H1654-$H1656)&gt;1,IF(OR($H1654&gt;11,$H1656&gt;11),ABS($H1654-$H1656)=2,TRUE),$H1654=INT($H1654),$H1656=INT($H1656)),"","Error"),"")</f>
        <v/>
      </c>
      <c r="I1652" s="110" t="str">
        <f>IF($Q1654&lt;&gt;"",IF(AND(AND($I1654&gt;-1,$I1656&gt;-1),OR($I1654&gt;10,$I1656&gt;10),ABS($I1654-$I1656)&gt;1,IF(OR($I1654&gt;11,$I1656&gt;11),ABS($I1654-$I1656)=2,TRUE),$I1654=INT($I1654),$I1656=INT($I1656)),"","Error"),"")</f>
        <v/>
      </c>
      <c r="J1652" s="110" t="str">
        <f>IF($Q1654&lt;&gt;"",IF(AND(AND($J1654&gt;-1,$J1656&gt;-1),OR($J1654&gt;10,$J1656&gt;10),ABS($J1654-$J1656)&gt;1,IF(OR($J1654&gt;11,$J1656&gt;11),ABS($J1654-$J1656)=2,TRUE),$J1654=INT($J1654),$J1656=INT($J1656)),"","Error"),"")</f>
        <v/>
      </c>
      <c r="K1652" s="110" t="str">
        <f>IF($Q1654&lt;&gt;"",IF(AND($K1654&lt;&gt;"",$K1656&lt;&gt;""), IF(AND(AND($K1654&gt;-1,$K1656&gt;-1),OR($K1654&gt;10,$K1656&gt;10),ABS($K1654-$K1656)&gt;1,IF(OR($K1654&gt;11,$K1656&gt;11),ABS($K1654-$K1656)=2,TRUE),$K1654=INT($K1654),$K1656=INT($K1656)),"","Error"),""),"")</f>
        <v/>
      </c>
      <c r="L1652" s="110" t="str">
        <f>IF($Q1654&lt;&gt;"",IF(AND($L1654&lt;&gt;"",$L1656&lt;&gt;""), IF(AND(AND($L1654&gt;-1,$L1656&gt;-1),OR($L1654&gt;10,$L1656&gt;10),ABS($L1654-$L1656)&gt;1,IF(OR($L1654&gt;11,$L1656&gt;11),ABS($L1654-$L1656)=2,TRUE),$L1654=INT($L1654),$L1656=INT($L1656)),"","Error"),""),"")</f>
        <v/>
      </c>
      <c r="Q1652" s="6"/>
      <c r="R1652" s="259" t="str">
        <f>$B1641</f>
        <v>E</v>
      </c>
      <c r="S1652" s="307" t="str">
        <f ca="1">IF($B1654&lt;&gt;"",$B1654,"")</f>
        <v/>
      </c>
      <c r="T1652" s="308"/>
      <c r="U1652" s="308"/>
      <c r="V1652" s="308"/>
      <c r="W1652" s="308"/>
      <c r="X1652" s="309"/>
      <c r="Y1652" s="284"/>
      <c r="Z1652" s="284"/>
      <c r="AA1652" s="284"/>
      <c r="AB1652" s="284"/>
      <c r="AC1652" s="284"/>
      <c r="AD1652" s="296"/>
      <c r="AE1652" s="290"/>
      <c r="AF1652" s="291"/>
    </row>
    <row r="1653" spans="1:32" ht="12.75" customHeight="1" x14ac:dyDescent="0.25">
      <c r="A1653" s="5" t="s">
        <v>160</v>
      </c>
      <c r="B1653" s="256" t="s">
        <v>58</v>
      </c>
      <c r="C1653" s="257"/>
      <c r="D1653" s="257"/>
      <c r="E1653" s="257"/>
      <c r="F1653" s="257"/>
      <c r="G1653" s="258"/>
      <c r="H1653" s="5">
        <v>1</v>
      </c>
      <c r="I1653" s="5">
        <v>2</v>
      </c>
      <c r="J1653" s="5">
        <v>3</v>
      </c>
      <c r="K1653" s="5">
        <v>4</v>
      </c>
      <c r="L1653" s="5">
        <v>5</v>
      </c>
      <c r="M1653" s="270"/>
      <c r="N1653" s="271"/>
      <c r="O1653" s="271"/>
      <c r="P1653" s="272"/>
      <c r="Q1653" s="6"/>
      <c r="R1653" s="285"/>
      <c r="S1653" s="310"/>
      <c r="T1653" s="311"/>
      <c r="U1653" s="311"/>
      <c r="V1653" s="311"/>
      <c r="W1653" s="311"/>
      <c r="X1653" s="312"/>
      <c r="Y1653" s="285"/>
      <c r="Z1653" s="285"/>
      <c r="AA1653" s="285"/>
      <c r="AB1653" s="285"/>
      <c r="AC1653" s="285"/>
      <c r="AD1653" s="292"/>
      <c r="AE1653" s="293"/>
      <c r="AF1653" s="294"/>
    </row>
    <row r="1654" spans="1:32" ht="12.75" customHeight="1" x14ac:dyDescent="0.25">
      <c r="A1654" s="259" t="str">
        <f>B1641</f>
        <v>E</v>
      </c>
      <c r="B1654" s="236" t="str">
        <f ca="1">IF(AND(OFFSET($AO$1,$C1641-1,8,1,1),$A1642&lt;&gt;"",$J1642&lt;&gt;""),CHOOSE($C1641,$AP$1,$AP$2,$AP$3,$AP$4,$AP$5,$AP$6,$AP$7,$AP$8,$AP$9,$AP$10,$AP$11,$AP$12),"")</f>
        <v/>
      </c>
      <c r="C1654" s="237"/>
      <c r="D1654" s="237"/>
      <c r="E1654" s="237"/>
      <c r="F1654" s="237"/>
      <c r="G1654" s="237"/>
      <c r="H1654" s="233"/>
      <c r="I1654" s="233"/>
      <c r="J1654" s="233"/>
      <c r="K1654" s="233"/>
      <c r="L1654" s="233"/>
      <c r="M1654" s="245" t="str">
        <f ca="1">IF(OR(AND($B1647&lt;&gt;"",$B1654&lt;&gt;"",$C1672&lt;=$B1672),AND($B1649&lt;&gt;"",$B1656&lt;&gt;"",$G1672&lt;=$F1672)),"Invalid Lineup","")</f>
        <v/>
      </c>
      <c r="N1654" s="246"/>
      <c r="O1654" s="246"/>
      <c r="P1654" s="247"/>
      <c r="Q1654" s="40" t="str">
        <f>IF($L1654=$L1656,IF($K1654=$K1656,IF($J1654&lt;&gt;"",IF($J1654&gt;$J1656,"W","L"),""),IF($K1654&gt;$K1656,"W","L")),IF($L1654&gt;$L1656,"W","L"))</f>
        <v/>
      </c>
      <c r="R1654" s="259" t="str">
        <f>$K1641</f>
        <v>I</v>
      </c>
      <c r="S1654" s="307" t="str">
        <f ca="1">IF($B1656&lt;&gt;"",$B1656,"")</f>
        <v/>
      </c>
      <c r="T1654" s="308"/>
      <c r="U1654" s="308"/>
      <c r="V1654" s="308"/>
      <c r="W1654" s="308"/>
      <c r="X1654" s="309"/>
      <c r="Y1654" s="284"/>
      <c r="Z1654" s="284"/>
      <c r="AA1654" s="284"/>
      <c r="AB1654" s="284"/>
      <c r="AC1654" s="297"/>
      <c r="AD1654" s="289" t="s">
        <v>169</v>
      </c>
      <c r="AE1654" s="290"/>
      <c r="AF1654" s="291"/>
    </row>
    <row r="1655" spans="1:32" ht="12.75" customHeight="1" x14ac:dyDescent="0.25">
      <c r="A1655" s="260"/>
      <c r="B1655" s="238"/>
      <c r="C1655" s="239"/>
      <c r="D1655" s="239"/>
      <c r="E1655" s="239"/>
      <c r="F1655" s="239"/>
      <c r="G1655" s="239"/>
      <c r="H1655" s="234"/>
      <c r="I1655" s="234"/>
      <c r="J1655" s="234"/>
      <c r="K1655" s="234"/>
      <c r="L1655" s="234"/>
      <c r="M1655" s="245"/>
      <c r="N1655" s="246"/>
      <c r="O1655" s="246"/>
      <c r="P1655" s="247"/>
      <c r="Q1655" s="110" t="str">
        <f>IF($Q1654&lt;&gt;"",IF($Q1654="W",IF(SUM(IF($H1654&gt;$H1656,1,0),IF($I1654&gt;$I1656,1,0),IF($J1654&gt;$J1656,1,0),IF($K1654&gt;$K1656,1,0),IF($L1654&gt;$L1656,1,0))&lt;&gt;3,"Error",""),""),"")</f>
        <v/>
      </c>
      <c r="R1655" s="285"/>
      <c r="S1655" s="310"/>
      <c r="T1655" s="311"/>
      <c r="U1655" s="311"/>
      <c r="V1655" s="311"/>
      <c r="W1655" s="311"/>
      <c r="X1655" s="312"/>
      <c r="Y1655" s="285"/>
      <c r="Z1655" s="285"/>
      <c r="AA1655" s="285"/>
      <c r="AB1655" s="285"/>
      <c r="AC1655" s="285"/>
      <c r="AD1655" s="292"/>
      <c r="AE1655" s="293"/>
      <c r="AF1655" s="294"/>
    </row>
    <row r="1656" spans="1:32" ht="12.75" customHeight="1" x14ac:dyDescent="0.25">
      <c r="A1656" s="259" t="str">
        <f>K1641</f>
        <v>I</v>
      </c>
      <c r="B1656" s="236" t="str">
        <f ca="1">IF(AND(OFFSET($AO$1,$L1641-1,8,1,1),$A1642&lt;&gt;"",$J1642&lt;&gt;""),CHOOSE($L1641,$AP$1,$AP$2,$AP$3,$AP$4,$AP$5,$AP$6,$AP$7,$AP$8,$AP$9,$AP$10,$AP$11,$AP$12),"")</f>
        <v/>
      </c>
      <c r="C1656" s="237"/>
      <c r="D1656" s="237"/>
      <c r="E1656" s="237"/>
      <c r="F1656" s="237"/>
      <c r="G1656" s="237"/>
      <c r="H1656" s="233"/>
      <c r="I1656" s="233"/>
      <c r="J1656" s="233"/>
      <c r="K1656" s="233"/>
      <c r="L1656" s="233"/>
      <c r="M1656" s="250" t="s">
        <v>169</v>
      </c>
      <c r="N1656" s="251"/>
      <c r="O1656" s="251"/>
      <c r="P1656" s="252"/>
      <c r="Q1656" s="40" t="str">
        <f>IF($Q1654&lt;&gt;"",IF($Q1654="W","L","W"),"")</f>
        <v/>
      </c>
      <c r="R1656" s="14"/>
      <c r="S1656" s="14"/>
      <c r="T1656" s="14"/>
      <c r="U1656" s="14"/>
      <c r="V1656" s="14"/>
      <c r="W1656" s="14"/>
      <c r="X1656" s="7"/>
      <c r="Y1656" s="7"/>
      <c r="Z1656" s="14"/>
      <c r="AA1656" s="14"/>
      <c r="AB1656" s="14"/>
      <c r="AC1656" s="14"/>
      <c r="AD1656" s="14"/>
      <c r="AE1656" s="14"/>
      <c r="AF1656"/>
    </row>
    <row r="1657" spans="1:32" ht="12.75" customHeight="1" x14ac:dyDescent="0.25">
      <c r="A1657" s="260"/>
      <c r="B1657" s="238"/>
      <c r="C1657" s="239"/>
      <c r="D1657" s="239"/>
      <c r="E1657" s="239"/>
      <c r="F1657" s="239"/>
      <c r="G1657" s="239"/>
      <c r="H1657" s="234"/>
      <c r="I1657" s="234"/>
      <c r="J1657" s="235"/>
      <c r="K1657" s="235"/>
      <c r="L1657" s="235"/>
      <c r="M1657" s="250"/>
      <c r="N1657" s="251"/>
      <c r="O1657" s="251"/>
      <c r="P1657" s="252"/>
      <c r="Q1657" s="110" t="str">
        <f>IF($Q1656&lt;&gt;"",IF($Q1656="W",IF(SUM(IF($H1656&gt;$H1654,1,0),IF($I1656&gt;$I1654,1,0),IF($J1656&gt;$J1654,1,0),IF($K1656&gt;$K1654,1,0),IF($L1656&gt;$L1654,1,0))&lt;&gt;3,"Error",""),""),"")</f>
        <v/>
      </c>
      <c r="R1657" s="14"/>
      <c r="S1657" s="14"/>
      <c r="T1657" s="14"/>
      <c r="U1657" s="14"/>
      <c r="V1657" s="14"/>
      <c r="W1657" s="14"/>
      <c r="X1657" s="7"/>
      <c r="Y1657" s="7"/>
      <c r="Z1657" s="14"/>
      <c r="AA1657" s="14"/>
      <c r="AB1657" s="14"/>
      <c r="AC1657" s="14"/>
      <c r="AD1657" s="14"/>
      <c r="AE1657" s="14"/>
      <c r="AF1657"/>
    </row>
    <row r="1658" spans="1:32" ht="12.75" customHeight="1" x14ac:dyDescent="0.25">
      <c r="Q1658" s="6"/>
      <c r="R1658" s="14"/>
      <c r="S1658" s="14"/>
      <c r="T1658" s="14"/>
      <c r="U1658" s="14"/>
      <c r="V1658" s="14"/>
      <c r="W1658" s="14"/>
      <c r="X1658" s="7"/>
      <c r="Y1658" s="7"/>
      <c r="Z1658" s="14"/>
      <c r="AA1658" s="14"/>
      <c r="AB1658" s="14"/>
      <c r="AC1658" s="14"/>
      <c r="AD1658" s="14"/>
      <c r="AE1658" s="14"/>
      <c r="AF1658"/>
    </row>
    <row r="1659" spans="1:32" ht="12.75" customHeight="1" x14ac:dyDescent="0.25">
      <c r="A1659" s="15" t="s">
        <v>167</v>
      </c>
      <c r="H1659" s="110" t="str">
        <f>IF($Q1661&lt;&gt;"",IF(AND(AND($H1661&gt;-1,$H1663&gt;-1),OR($H1661&gt;10,$H1663&gt;10),ABS($H1661-$H1663)&gt;1,IF(OR($H1661&gt;11,$H1663&gt;11),ABS($H1661-$H1663)=2,TRUE),$H1661=INT($H1661),$H1663=INT($H1663)),"","Error"),"")</f>
        <v/>
      </c>
      <c r="I1659" s="110" t="str">
        <f>IF($Q1661&lt;&gt;"",IF(AND(AND($I1661&gt;-1,$I1663&gt;-1),OR($I1661&gt;10,$I1663&gt;10),ABS($I1661-$I1663)&gt;1,IF(OR($I1661&gt;11,$I1663&gt;11),ABS($I1661-$I1663)=2,TRUE),$I1661=INT($I1661),$I1663=INT($I1663)),"","Error"),"")</f>
        <v/>
      </c>
      <c r="J1659" s="110" t="str">
        <f>IF($Q1661&lt;&gt;"",IF(AND(AND($J1661&gt;-1,$J1663&gt;-1),OR($J1661&gt;10,$J1663&gt;10),ABS($J1661-$J1663)&gt;1,IF(OR($J1661&gt;11,$J1663&gt;11),ABS($J1661-$J1663)=2,TRUE),$J1661=INT($J1661),$J1663=INT($J1663)),"","Error"),"")</f>
        <v/>
      </c>
      <c r="K1659" s="110" t="str">
        <f>IF($Q1661&lt;&gt;"",IF(AND($K1661&lt;&gt;"",$K1663&lt;&gt;""), IF(AND(AND($K1661&gt;-1,$K1663&gt;-1),OR($K1661&gt;10,$K1663&gt;10),ABS($K1661-$K1663)&gt;1,IF(OR($K1661&gt;11,$K1663&gt;11),ABS($K1661-$K1663)=2,TRUE),$K1661=INT($K1661),$K1663=INT($K1663)),"","Error"),""),"")</f>
        <v/>
      </c>
      <c r="L1659" s="110" t="str">
        <f>IF($Q1661&lt;&gt;"",IF(AND($L1661&lt;&gt;"",$L1663&lt;&gt;""), IF(AND(AND($L1661&gt;-1,$L1663&gt;-1),OR($L1661&gt;10,$L1663&gt;10),ABS($L1661-$L1663)&gt;1,IF(OR($L1661&gt;11,$L1663&gt;11),ABS($L1661-$L1663)=2,TRUE),$L1661=INT($L1661),$L1663=INT($L1663)),"","Error"),""),"")</f>
        <v/>
      </c>
      <c r="Q1659" s="6"/>
      <c r="R1659" s="14"/>
      <c r="S1659" s="14"/>
      <c r="T1659" s="14"/>
      <c r="U1659" s="14"/>
      <c r="V1659" s="14"/>
      <c r="W1659" s="14"/>
      <c r="X1659" s="7"/>
      <c r="Y1659" s="7"/>
      <c r="Z1659" s="14"/>
      <c r="AA1659" s="14"/>
      <c r="AB1659" s="14"/>
      <c r="AC1659" s="14"/>
      <c r="AD1659" s="14"/>
      <c r="AE1659" s="14"/>
      <c r="AF1659"/>
    </row>
    <row r="1660" spans="1:32" ht="12.75" customHeight="1" x14ac:dyDescent="0.25">
      <c r="A1660" s="5" t="s">
        <v>160</v>
      </c>
      <c r="B1660" s="256" t="s">
        <v>58</v>
      </c>
      <c r="C1660" s="257"/>
      <c r="D1660" s="257"/>
      <c r="E1660" s="257"/>
      <c r="F1660" s="257"/>
      <c r="G1660" s="258"/>
      <c r="H1660" s="5">
        <v>1</v>
      </c>
      <c r="I1660" s="5">
        <v>2</v>
      </c>
      <c r="J1660" s="5">
        <v>3</v>
      </c>
      <c r="K1660" s="5">
        <v>4</v>
      </c>
      <c r="L1660" s="5">
        <v>5</v>
      </c>
      <c r="M1660" s="270"/>
      <c r="N1660" s="271"/>
      <c r="O1660" s="271"/>
      <c r="P1660" s="272"/>
      <c r="Q1660" s="6"/>
      <c r="R1660" s="14"/>
      <c r="S1660" s="14"/>
      <c r="T1660" s="14"/>
      <c r="U1660" s="14"/>
      <c r="V1660" s="14"/>
      <c r="W1660" s="14"/>
      <c r="X1660" s="7"/>
      <c r="Y1660" s="7"/>
      <c r="Z1660" s="14"/>
      <c r="AA1660" s="14"/>
      <c r="AB1660" s="14"/>
      <c r="AC1660" s="14"/>
      <c r="AD1660" s="14"/>
      <c r="AE1660" s="14"/>
      <c r="AF1660"/>
    </row>
    <row r="1661" spans="1:32" ht="12.75" customHeight="1" x14ac:dyDescent="0.25">
      <c r="A1661" s="259" t="str">
        <f>B1641</f>
        <v>E</v>
      </c>
      <c r="B1661" s="236" t="str">
        <f ca="1">IF(AND(OFFSET($AO$1,$C1641-1,8,1,1),$A1642&lt;&gt;"",$J1642&lt;&gt;""),CHOOSE($C1641,$AQ$1,$AQ$2,$AQ$3,$AQ$4,$AQ$5,$AQ$6,$AQ$7,$AQ$8,$AQ$9,$AQ$10,$AQ$11,$AQ$12),"")</f>
        <v/>
      </c>
      <c r="C1661" s="237"/>
      <c r="D1661" s="237"/>
      <c r="E1661" s="237"/>
      <c r="F1661" s="237"/>
      <c r="G1661" s="237"/>
      <c r="H1661" s="233"/>
      <c r="I1661" s="233"/>
      <c r="J1661" s="233"/>
      <c r="K1661" s="233"/>
      <c r="L1661" s="233"/>
      <c r="M1661" s="245" t="str">
        <f ca="1">IF(OR(AND($B1654&lt;&gt;"",$B1661&lt;&gt;"",$D1672&lt;=$C1672),AND($B1656&lt;&gt;"",$B1663&lt;&gt;"",$H1672&lt;=$G1672)),"Invalid Lineup","")</f>
        <v/>
      </c>
      <c r="N1661" s="246"/>
      <c r="O1661" s="246"/>
      <c r="P1661" s="247"/>
      <c r="Q1661" s="40" t="str">
        <f>IF($L1661=$L1663,IF($K1661=$K1663,IF($J1661&lt;&gt;"",IF($J1661&gt;$J1663,"W","L"),""),IF($K1661&gt;$K1663,"W","L")),IF($L1661&gt;$L1663,"W","L"))</f>
        <v/>
      </c>
      <c r="R1661" s="14"/>
      <c r="S1661" s="14"/>
      <c r="T1661" s="14"/>
      <c r="U1661" s="14"/>
      <c r="V1661" s="14"/>
      <c r="W1661" s="14"/>
      <c r="X1661" s="7"/>
      <c r="Y1661" s="7"/>
      <c r="Z1661" s="14"/>
      <c r="AA1661" s="14"/>
      <c r="AB1661" s="14"/>
      <c r="AC1661" s="14"/>
      <c r="AD1661" s="14"/>
      <c r="AE1661" s="14"/>
      <c r="AF1661"/>
    </row>
    <row r="1662" spans="1:32" ht="12.75" customHeight="1" x14ac:dyDescent="0.25">
      <c r="A1662" s="260"/>
      <c r="B1662" s="238"/>
      <c r="C1662" s="239"/>
      <c r="D1662" s="239"/>
      <c r="E1662" s="239"/>
      <c r="F1662" s="239"/>
      <c r="G1662" s="239"/>
      <c r="H1662" s="234"/>
      <c r="I1662" s="234"/>
      <c r="J1662" s="234"/>
      <c r="K1662" s="234"/>
      <c r="L1662" s="234"/>
      <c r="M1662" s="245"/>
      <c r="N1662" s="246"/>
      <c r="O1662" s="246"/>
      <c r="P1662" s="247"/>
      <c r="Q1662" s="110" t="str">
        <f>IF($Q1661&lt;&gt;"",IF($Q1661="W",IF(SUM(IF($H1661&gt;$H1663,1,0),IF($I1661&gt;$I1663,1,0),IF($J1661&gt;$J1663,1,0),IF($K1661&gt;$K1663,1,0),IF($L1661&gt;$L1663,1,0))&lt;&gt;3,"Error",""),""),"")</f>
        <v/>
      </c>
      <c r="R1662" s="295" t="str">
        <f>$A1642</f>
        <v/>
      </c>
      <c r="S1662" s="295"/>
      <c r="T1662" s="295"/>
      <c r="U1662" s="295"/>
      <c r="V1662" s="295"/>
      <c r="W1662" s="295"/>
      <c r="X1662" s="219" t="str">
        <f>CONCATENATE("(",$B1641," vs ",$K1641,")")</f>
        <v>(E vs I)</v>
      </c>
      <c r="Y1662" s="219"/>
      <c r="Z1662" s="295" t="str">
        <f>$J1642</f>
        <v/>
      </c>
      <c r="AA1662" s="295"/>
      <c r="AB1662" s="295"/>
      <c r="AC1662" s="295"/>
      <c r="AD1662" s="295"/>
      <c r="AE1662" s="295"/>
      <c r="AF1662"/>
    </row>
    <row r="1663" spans="1:32" ht="12.75" customHeight="1" x14ac:dyDescent="0.25">
      <c r="A1663" s="259" t="str">
        <f>K1641</f>
        <v>I</v>
      </c>
      <c r="B1663" s="236" t="str">
        <f ca="1">IF(AND(OFFSET($AO$1,$L1641-1,8,1,1),$A1642&lt;&gt;"",$J1642&lt;&gt;""),CHOOSE($L1641,$AQ$1,$AQ$2,$AQ$3,$AQ$4,$AQ$5,$AQ$6,$AQ$7,$AQ$8,$AQ$9,$AQ$10,$AQ$11,$AQ$12),"")</f>
        <v/>
      </c>
      <c r="C1663" s="237"/>
      <c r="D1663" s="237"/>
      <c r="E1663" s="237"/>
      <c r="F1663" s="237"/>
      <c r="G1663" s="237"/>
      <c r="H1663" s="233"/>
      <c r="I1663" s="233"/>
      <c r="J1663" s="233"/>
      <c r="K1663" s="233"/>
      <c r="L1663" s="233"/>
      <c r="M1663" s="250" t="s">
        <v>169</v>
      </c>
      <c r="N1663" s="251"/>
      <c r="O1663" s="251"/>
      <c r="P1663" s="252"/>
      <c r="Q1663" s="40" t="str">
        <f>IF($Q1661&lt;&gt;"",IF($Q1661="W","L","W"),"")</f>
        <v/>
      </c>
      <c r="R1663"/>
      <c r="S1663"/>
      <c r="T1663"/>
      <c r="U1663"/>
      <c r="V1663"/>
      <c r="W1663"/>
      <c r="X1663"/>
      <c r="Y1663"/>
      <c r="Z1663"/>
      <c r="AA1663"/>
      <c r="AB1663"/>
      <c r="AC1663"/>
      <c r="AD1663"/>
      <c r="AE1663"/>
      <c r="AF1663"/>
    </row>
    <row r="1664" spans="1:32" ht="12.75" customHeight="1" x14ac:dyDescent="0.25">
      <c r="A1664" s="260"/>
      <c r="B1664" s="238"/>
      <c r="C1664" s="239"/>
      <c r="D1664" s="239"/>
      <c r="E1664" s="239"/>
      <c r="F1664" s="239"/>
      <c r="G1664" s="239"/>
      <c r="H1664" s="234"/>
      <c r="I1664" s="234"/>
      <c r="J1664" s="235"/>
      <c r="K1664" s="235"/>
      <c r="L1664" s="235"/>
      <c r="M1664" s="250"/>
      <c r="N1664" s="251"/>
      <c r="O1664" s="251"/>
      <c r="P1664" s="252"/>
      <c r="Q1664" s="110" t="str">
        <f>IF($Q1663&lt;&gt;"",IF($Q1663="W",IF(SUM(IF($H1663&gt;$H1661,1,0),IF($I1663&gt;$I1661,1,0),IF($J1663&gt;$J1661,1,0),IF($K1663&gt;$K1661,1,0),IF($L1663&gt;$L1661,1,0))&lt;&gt;3,"Error",""),""),"")</f>
        <v/>
      </c>
      <c r="R1664" t="str">
        <f>$A1659</f>
        <v>3rd Singles</v>
      </c>
      <c r="S1664"/>
      <c r="T1664"/>
      <c r="U1664"/>
      <c r="V1664"/>
      <c r="W1664"/>
      <c r="X1664"/>
      <c r="Y1664"/>
      <c r="Z1664"/>
      <c r="AA1664"/>
      <c r="AB1664"/>
      <c r="AC1664"/>
      <c r="AD1664"/>
      <c r="AE1664"/>
      <c r="AF1664"/>
    </row>
    <row r="1665" spans="1:32" ht="12.75" customHeight="1" x14ac:dyDescent="0.25">
      <c r="Q1665" s="6"/>
      <c r="R1665" s="47" t="s">
        <v>160</v>
      </c>
      <c r="S1665" s="86" t="s">
        <v>58</v>
      </c>
      <c r="T1665" s="87"/>
      <c r="U1665" s="87"/>
      <c r="V1665" s="87"/>
      <c r="W1665" s="87"/>
      <c r="X1665" s="88"/>
      <c r="Y1665" s="47">
        <v>1</v>
      </c>
      <c r="Z1665" s="47">
        <v>2</v>
      </c>
      <c r="AA1665" s="47">
        <v>3</v>
      </c>
      <c r="AB1665" s="47">
        <v>4</v>
      </c>
      <c r="AC1665" s="47">
        <v>5</v>
      </c>
      <c r="AD1665" s="89"/>
      <c r="AE1665" s="90"/>
      <c r="AF1665" s="91"/>
    </row>
    <row r="1666" spans="1:32" ht="12.75" customHeight="1" x14ac:dyDescent="0.25">
      <c r="A1666" s="15" t="s">
        <v>168</v>
      </c>
      <c r="H1666" s="110" t="str">
        <f ca="1">IF($Q1668&lt;&gt;"",IF(AND($B1668&lt;&gt;"Missing Player",$B1670&lt;&gt;"Missing Player"),IF(AND(AND($H1668&gt;-1,$H1670&gt;-1),OR($H1668&gt;10,$H1670&gt;10),ABS($H1668-$H1670)&gt;1,IF(OR($H1668&gt;11,$H1670&gt;11),ABS($H1668-$H1670)=2,TRUE),$H1668=INT($H1668),$H1670=INT($H1670)),"","Error"),""),"")</f>
        <v/>
      </c>
      <c r="I1666" s="110" t="str">
        <f ca="1">IF($Q1668&lt;&gt;"",IF(AND($B1668&lt;&gt;"Missing Player",$B1670&lt;&gt;"Missing Player"),IF(AND(AND($I1668&gt;-1,$I1670&gt;-1),OR($I1668&gt;10,$I1670&gt;10),ABS($I1668-$I1670)&gt;1,IF(OR($I1668&gt;11,$I1670&gt;11),ABS($I1668-$I1670)=2,TRUE),$I1668=INT($I1668),$I1670=INT($I1670)),"","Error"),""),"")</f>
        <v/>
      </c>
      <c r="J1666" s="110" t="str">
        <f ca="1">IF($Q1668&lt;&gt;"",IF(AND($B1668&lt;&gt;"Missing Player",$B1670&lt;&gt;"Missing Player"),IF(AND(AND($J1668&gt;-1,$J1670&gt;-1),OR($J1668&gt;10,$J1670&gt;10),ABS($J1668-$J1670)&gt;1,IF(OR($J1668&gt;11,$J1670&gt;11),ABS($J1668-$J1670)=2,TRUE),$J1668=INT($J1668),$J1670=INT($J1670)),"","Error"),""),"")</f>
        <v/>
      </c>
      <c r="K1666" s="110" t="str">
        <f ca="1">IF($Q1668&lt;&gt;"",IF(AND($K1668&lt;&gt;"",$K1670&lt;&gt;""), IF(AND(AND($K1668&gt;-1,$K1670&gt;-1),OR($K1668&gt;10,$K1670&gt;10),ABS($K1668-$K1670)&gt;1,IF(OR($K1668&gt;11,$K1670&gt;11),ABS($K1668-$K1670)=2,TRUE),$K1668=INT($K1668),$K1670=INT($K1670)),"","Error"),""),"")</f>
        <v/>
      </c>
      <c r="L1666" s="110" t="str">
        <f ca="1">IF($Q1668&lt;&gt;"",IF(AND($L1668&lt;&gt;"",$L1670&lt;&gt;""), IF(AND(AND($L1668&gt;-1,$L1670&gt;-1),OR($L1668&gt;10,$L1670&gt;10),ABS($L1668-$L1670)&gt;1,IF(OR($L1668&gt;11,$L1670&gt;11),ABS($L1668-$L1670)=2,TRUE),$L1668=INT($L1668),$L1670=INT($L1670)),"","Error"),""),"")</f>
        <v/>
      </c>
      <c r="Q1666" s="6"/>
      <c r="R1666" s="259" t="str">
        <f>$B1641</f>
        <v>E</v>
      </c>
      <c r="S1666" s="307" t="str">
        <f ca="1">IF($B1661&lt;&gt;"",$B1661,"")</f>
        <v/>
      </c>
      <c r="T1666" s="308"/>
      <c r="U1666" s="308"/>
      <c r="V1666" s="308"/>
      <c r="W1666" s="308"/>
      <c r="X1666" s="309"/>
      <c r="Y1666" s="284"/>
      <c r="Z1666" s="284"/>
      <c r="AA1666" s="284"/>
      <c r="AB1666" s="284"/>
      <c r="AC1666" s="284"/>
      <c r="AD1666" s="296"/>
      <c r="AE1666" s="290"/>
      <c r="AF1666" s="291"/>
    </row>
    <row r="1667" spans="1:32" ht="12.75" customHeight="1" x14ac:dyDescent="0.25">
      <c r="A1667" s="5" t="s">
        <v>160</v>
      </c>
      <c r="B1667" s="256" t="s">
        <v>58</v>
      </c>
      <c r="C1667" s="257"/>
      <c r="D1667" s="257"/>
      <c r="E1667" s="257"/>
      <c r="F1667" s="257"/>
      <c r="G1667" s="258"/>
      <c r="H1667" s="5">
        <v>1</v>
      </c>
      <c r="I1667" s="5">
        <v>2</v>
      </c>
      <c r="J1667" s="5">
        <v>3</v>
      </c>
      <c r="K1667" s="5">
        <v>4</v>
      </c>
      <c r="L1667" s="5">
        <v>5</v>
      </c>
      <c r="M1667" s="270"/>
      <c r="N1667" s="271"/>
      <c r="O1667" s="271"/>
      <c r="P1667" s="272"/>
      <c r="Q1667" s="6"/>
      <c r="R1667" s="285"/>
      <c r="S1667" s="310"/>
      <c r="T1667" s="311"/>
      <c r="U1667" s="311"/>
      <c r="V1667" s="311"/>
      <c r="W1667" s="311"/>
      <c r="X1667" s="312"/>
      <c r="Y1667" s="285"/>
      <c r="Z1667" s="285"/>
      <c r="AA1667" s="285"/>
      <c r="AB1667" s="285"/>
      <c r="AC1667" s="285"/>
      <c r="AD1667" s="292"/>
      <c r="AE1667" s="293"/>
      <c r="AF1667" s="294"/>
    </row>
    <row r="1668" spans="1:32" ht="12.75" customHeight="1" x14ac:dyDescent="0.25">
      <c r="A1668" s="259" t="str">
        <f>B1641</f>
        <v>E</v>
      </c>
      <c r="B1668" s="236" t="str">
        <f ca="1">IF(AND(OFFSET($AO$1,$C1641-1,8,1,1),$A1642&lt;&gt;"",$J1642&lt;&gt;""),CHOOSE($C1641,$AR$1,$AR$2,$AR$3,$AR$4,$AR$5,$AR$6,$AR$7,$AR$8,$AR$9,$AR$10,$AR$11,$AR$12),"")</f>
        <v/>
      </c>
      <c r="C1668" s="237"/>
      <c r="D1668" s="237"/>
      <c r="E1668" s="237"/>
      <c r="F1668" s="237"/>
      <c r="G1668" s="237"/>
      <c r="H1668" s="233"/>
      <c r="I1668" s="233"/>
      <c r="J1668" s="233"/>
      <c r="K1668" s="233"/>
      <c r="L1668" s="233" t="str">
        <f ca="1">IF(AND($B1668&lt;&gt;"",$Q1647&lt;&gt;""),IF($B1668="Missing Player",0,IF($B1670="Missing Player",11,"")),"")</f>
        <v/>
      </c>
      <c r="M1668" s="245" t="str">
        <f ca="1">IF(OR(AND($B1661&lt;&gt;"",$B1668&lt;&gt;"",$E1672&lt;=$D1672),AND($B1663&lt;&gt;"",$B1670&lt;&gt;"",$I1672&lt;=$H1672)),"Invalid Lineup","")</f>
        <v/>
      </c>
      <c r="N1668" s="246"/>
      <c r="O1668" s="246"/>
      <c r="P1668" s="247"/>
      <c r="Q1668" s="40" t="str">
        <f ca="1">IF($L1668=$L1670,IF($K1668=$K1670,IF($J1668&lt;&gt;"",IF($J1668&gt;$J1670,"W","L"),""),IF($K1668&gt;$K1670,"W","L")),IF($L1668&gt;$L1670,"W","L"))</f>
        <v/>
      </c>
      <c r="R1668" s="259" t="str">
        <f>$K1641</f>
        <v>I</v>
      </c>
      <c r="S1668" s="307" t="str">
        <f ca="1">IF($B1663&lt;&gt;"",$B1663,"")</f>
        <v/>
      </c>
      <c r="T1668" s="308"/>
      <c r="U1668" s="308"/>
      <c r="V1668" s="308"/>
      <c r="W1668" s="308"/>
      <c r="X1668" s="309"/>
      <c r="Y1668" s="284"/>
      <c r="Z1668" s="284"/>
      <c r="AA1668" s="284"/>
      <c r="AB1668" s="284"/>
      <c r="AC1668" s="297"/>
      <c r="AD1668" s="289" t="s">
        <v>169</v>
      </c>
      <c r="AE1668" s="290"/>
      <c r="AF1668" s="291"/>
    </row>
    <row r="1669" spans="1:32" ht="12.75" customHeight="1" x14ac:dyDescent="0.25">
      <c r="A1669" s="260"/>
      <c r="B1669" s="238"/>
      <c r="C1669" s="239"/>
      <c r="D1669" s="239"/>
      <c r="E1669" s="239"/>
      <c r="F1669" s="239"/>
      <c r="G1669" s="239"/>
      <c r="H1669" s="234"/>
      <c r="I1669" s="234"/>
      <c r="J1669" s="234"/>
      <c r="K1669" s="234"/>
      <c r="L1669" s="234"/>
      <c r="M1669" s="245"/>
      <c r="N1669" s="246"/>
      <c r="O1669" s="246"/>
      <c r="P1669" s="247"/>
      <c r="Q1669" s="110" t="str">
        <f ca="1">IF($Q1668&lt;&gt;"",IF($B1670&lt;&gt;"Missing Player",IF($Q1668="W",IF(SUM(IF($H1668&gt;$H1670,1,0),IF($I1668&gt;$I1670,1,0),IF($J1668&gt;$J1670,1,0),IF($K1668&gt;$K1670,1,0),IF($L1668&gt;$L1670,1,0))&lt;&gt;3,"Error",""),""),""),"")</f>
        <v/>
      </c>
      <c r="R1669" s="285"/>
      <c r="S1669" s="310"/>
      <c r="T1669" s="311"/>
      <c r="U1669" s="311"/>
      <c r="V1669" s="311"/>
      <c r="W1669" s="311"/>
      <c r="X1669" s="312"/>
      <c r="Y1669" s="285"/>
      <c r="Z1669" s="285"/>
      <c r="AA1669" s="285"/>
      <c r="AB1669" s="285"/>
      <c r="AC1669" s="285"/>
      <c r="AD1669" s="292"/>
      <c r="AE1669" s="293"/>
      <c r="AF1669" s="294"/>
    </row>
    <row r="1670" spans="1:32" ht="12.75" customHeight="1" x14ac:dyDescent="0.25">
      <c r="A1670" s="259" t="str">
        <f>K1641</f>
        <v>I</v>
      </c>
      <c r="B1670" s="236" t="str">
        <f ca="1">IF(AND(OFFSET($AO$1,$L1641-1,8,1,1),$A1642&lt;&gt;"",$J1642&lt;&gt;""),CHOOSE($L1641,$AR$1,$AR$2,$AR$3,$AR$4,$AR$5,$AR$6,$AR$7,$AR$8,$AR$9,$AR$10,$AR$11,$AR$12),"")</f>
        <v/>
      </c>
      <c r="C1670" s="237"/>
      <c r="D1670" s="237"/>
      <c r="E1670" s="237"/>
      <c r="F1670" s="237"/>
      <c r="G1670" s="237"/>
      <c r="H1670" s="233"/>
      <c r="I1670" s="233"/>
      <c r="J1670" s="233"/>
      <c r="K1670" s="233"/>
      <c r="L1670" s="233" t="str">
        <f ca="1">IF(AND($B1670&lt;&gt;"",$Q1647&lt;&gt;""),IF($B1670="Missing Player",0,IF($B1668="Missing Player",11,"")),"")</f>
        <v/>
      </c>
      <c r="M1670" s="250" t="s">
        <v>169</v>
      </c>
      <c r="N1670" s="251"/>
      <c r="O1670" s="251"/>
      <c r="P1670" s="252"/>
      <c r="Q1670" s="40" t="str">
        <f ca="1">IF($Q1668&lt;&gt;"",IF($Q1668="W","L","W"),"")</f>
        <v/>
      </c>
      <c r="R1670" s="94"/>
      <c r="S1670" s="84"/>
      <c r="T1670" s="84"/>
      <c r="U1670" s="84"/>
      <c r="V1670" s="84"/>
      <c r="W1670" s="84"/>
      <c r="X1670" s="84"/>
      <c r="Y1670" s="93"/>
      <c r="Z1670" s="93"/>
      <c r="AA1670" s="93"/>
      <c r="AB1670" s="93"/>
      <c r="AC1670" s="93"/>
      <c r="AD1670" s="92"/>
      <c r="AE1670" s="93"/>
      <c r="AF1670" s="93"/>
    </row>
    <row r="1671" spans="1:32" ht="12.75" customHeight="1" x14ac:dyDescent="0.25">
      <c r="A1671" s="260"/>
      <c r="B1671" s="238"/>
      <c r="C1671" s="239"/>
      <c r="D1671" s="239"/>
      <c r="E1671" s="239"/>
      <c r="F1671" s="239"/>
      <c r="G1671" s="239"/>
      <c r="H1671" s="234"/>
      <c r="I1671" s="234"/>
      <c r="J1671" s="235"/>
      <c r="K1671" s="235"/>
      <c r="L1671" s="235"/>
      <c r="M1671" s="250"/>
      <c r="N1671" s="251"/>
      <c r="O1671" s="251"/>
      <c r="P1671" s="252"/>
      <c r="Q1671" s="110" t="str">
        <f ca="1">IF($Q1670&lt;&gt;"",IF($B1668&lt;&gt;"Missing Player",IF($Q1670="W",IF(SUM(IF($H1670&gt;$H1668,1,0),IF($I1670&gt;$I1668,1,0),IF($J1670&gt;$J1668,1,0),IF($K1670&gt;$K1668,1,0),IF($L1670&gt;$L1668,1,0))&lt;&gt;3,"Error",""),""),""),"")</f>
        <v/>
      </c>
      <c r="R1671" s="85"/>
      <c r="S1671" s="95"/>
      <c r="T1671" s="95"/>
      <c r="U1671" s="95"/>
      <c r="V1671" s="95"/>
      <c r="W1671" s="95"/>
      <c r="X1671" s="95"/>
      <c r="Y1671" s="85"/>
      <c r="Z1671" s="85"/>
      <c r="AA1671" s="85"/>
      <c r="AB1671" s="85"/>
      <c r="AC1671" s="85"/>
      <c r="AD1671" s="85"/>
      <c r="AE1671" s="85"/>
      <c r="AF1671" s="85"/>
    </row>
    <row r="1672" spans="1:32" ht="12.75" customHeight="1" x14ac:dyDescent="0.25">
      <c r="B1672" s="111" t="str">
        <f ca="1">IF(ISERROR(VLOOKUP($B1647&amp;"("&amp;$B1641&amp;")",Players!$S$4:$T$132,2,FALSE)),"",VLOOKUP($B1647&amp;"("&amp;$B1641&amp;")",Players!$S$4:$T$132,2,FALSE))</f>
        <v>E1</v>
      </c>
      <c r="C1672" s="111" t="str">
        <f ca="1">IF(ISERROR(VLOOKUP($B1654&amp;"("&amp;$B1641&amp;")",Players!$S$4:$T$132,2,FALSE)),"",VLOOKUP($B1654&amp;"("&amp;$B1641&amp;")",Players!$S$4:$T$132,2,FALSE))</f>
        <v>E1</v>
      </c>
      <c r="D1672" s="111" t="str">
        <f ca="1">IF(ISERROR(VLOOKUP($B1661&amp;"("&amp;$B1641&amp;")",Players!$S$4:$T$132,2,FALSE)),"",VLOOKUP($B1661&amp;"("&amp;$B1641&amp;")",Players!$S$4:$T$132,2,FALSE))</f>
        <v>E1</v>
      </c>
      <c r="E1672" s="111" t="str">
        <f ca="1">IF(ISERROR(VLOOKUP($B1668&amp;"("&amp;$B1641&amp;")",Players!$S$4:$T$132,2,FALSE)),"",VLOOKUP($B1668&amp;"("&amp;$B1641&amp;")",Players!$S$4:$T$132,2,FALSE))</f>
        <v>E1</v>
      </c>
      <c r="F1672" s="111" t="str">
        <f ca="1">IF(ISERROR(VLOOKUP($B1649&amp;"("&amp;$K1641&amp;")",Players!$S$4:$T$132,2,FALSE)),"",VLOOKUP($B1649&amp;"("&amp;$K1641&amp;")",Players!$S$4:$T$132,2,FALSE))</f>
        <v>I1</v>
      </c>
      <c r="G1672" s="111" t="str">
        <f ca="1">IF(ISERROR(VLOOKUP($B1656&amp;"("&amp;$K1641&amp;")",Players!$S$4:$T$132,2,FALSE)),"",VLOOKUP($B1656&amp;"("&amp;$K1641&amp;")",Players!$S$4:$T$132,2,FALSE))</f>
        <v>I1</v>
      </c>
      <c r="H1672" s="111" t="str">
        <f ca="1">IF(ISERROR(VLOOKUP($B1663&amp;"("&amp;$K1641&amp;")",Players!$S$4:$T$132,2,FALSE)),"",VLOOKUP($B1663&amp;"("&amp;$K1641&amp;")",Players!$S$4:$T$132,2,FALSE))</f>
        <v>I1</v>
      </c>
      <c r="I1672" s="111" t="str">
        <f ca="1">IF(ISERROR(VLOOKUP($B1670&amp;"("&amp;$K1641&amp;")",Players!$S$4:$T$132,2,FALSE)),"",VLOOKUP($B1670&amp;"("&amp;$K1641&amp;")",Players!$S$4:$T$132,2,FALSE))</f>
        <v>I1</v>
      </c>
      <c r="Q1672" s="6"/>
      <c r="R1672" s="37"/>
      <c r="S1672" s="95"/>
      <c r="T1672" s="95"/>
      <c r="U1672" s="95"/>
      <c r="V1672" s="95"/>
      <c r="W1672" s="95"/>
      <c r="X1672" s="95"/>
      <c r="Y1672" s="85"/>
      <c r="Z1672" s="85"/>
      <c r="AA1672" s="85"/>
      <c r="AB1672" s="85"/>
      <c r="AC1672" s="96"/>
      <c r="AD1672" s="97"/>
      <c r="AE1672" s="85"/>
      <c r="AF1672" s="85"/>
    </row>
    <row r="1673" spans="1:32" ht="12.75" customHeight="1" x14ac:dyDescent="0.25">
      <c r="A1673" s="15" t="s">
        <v>157</v>
      </c>
      <c r="H1673" s="110" t="str">
        <f ca="1">IF($Q1675&lt;&gt;"",IF(AND($B1676&lt;&gt;"Missing Player",$B1678&lt;&gt;"Missing Player"),IF(AND(AND($H1675&gt;-1,$H1677&gt;-1),OR($H1675&gt;10,$H1677&gt;10),ABS($H1675-$H1677)&gt;1,IF(OR($H1675&gt;11,$H1677&gt;11),ABS($H1675-$H1677)=2,TRUE),$H1675=INT($H1675),$H1677=INT($H1677)),"","Error"),""),"")</f>
        <v/>
      </c>
      <c r="I1673" s="110" t="str">
        <f ca="1">IF($Q1675&lt;&gt;"",IF(AND($B1676&lt;&gt;"Missing Player",$B1678&lt;&gt;"Missing Player"),IF(AND(AND($I1675&gt;-1,$I1677&gt;-1),OR($I1675&gt;10,$I1677&gt;10),ABS($I1675-$I1677)&gt;1,IF(OR($I1675&gt;11,$I1677&gt;11),ABS($I1675-$I1677)=2,TRUE),$I1675=INT($I1675),$I1677=INT($I1677)),"","Error"),""),"")</f>
        <v/>
      </c>
      <c r="J1673" s="110" t="str">
        <f ca="1">IF($Q1675&lt;&gt;"",IF(AND($B1676&lt;&gt;"Missing Player",$B1678&lt;&gt;"Missing Player"),IF(AND(AND($J1675&gt;-1,$J1677&gt;-1),OR($J1675&gt;10,$J1677&gt;10),ABS($J1675-$J1677)&gt;1,IF(OR($J1675&gt;11,$J1677&gt;11),ABS($J1675-$J1677)=2,TRUE),$J1675=INT($J1675),$J1677=INT($J1677)),"","Error"),""),"")</f>
        <v/>
      </c>
      <c r="K1673" s="110" t="str">
        <f ca="1">IF($Q1675&lt;&gt;"",IF(AND($K1675&lt;&gt;"",$K1677&lt;&gt;""), IF(AND(AND($K1675&gt;-1,$K1677&gt;-1),OR($K1675&gt;10,$K1677&gt;10),ABS($K1675-$K1677)&gt;1,IF(OR($K1675&gt;11,$K1677&gt;11),ABS($K1675-$K1677)=2,TRUE),$K1675=INT($K1675),$K1677=INT($K1677)),"","Error"),""),"")</f>
        <v/>
      </c>
      <c r="L1673" s="110" t="str">
        <f ca="1">IF($Q1675&lt;&gt;"",IF(AND($L1675&lt;&gt;"",$L1677&lt;&gt;""), IF(AND(AND($L1675&gt;-1,$L1677&gt;-1),OR($L1675&gt;10,$L1677&gt;10),ABS($L1675-$L1677)&gt;1,IF(OR($L1675&gt;11,$L1677&gt;11),ABS($L1675-$L1677)=2,TRUE),$L1675=INT($L1675),$L1677=INT($L1677)),"","Error"),""),"")</f>
        <v/>
      </c>
      <c r="Q1673" s="6"/>
      <c r="R1673" s="85"/>
      <c r="S1673" s="95"/>
      <c r="T1673" s="95"/>
      <c r="U1673" s="95"/>
      <c r="V1673" s="95"/>
      <c r="W1673" s="95"/>
      <c r="X1673" s="95"/>
      <c r="Y1673" s="85"/>
      <c r="Z1673" s="85"/>
      <c r="AA1673" s="85"/>
      <c r="AB1673" s="85"/>
      <c r="AC1673" s="85"/>
      <c r="AD1673" s="85"/>
      <c r="AE1673" s="85"/>
      <c r="AF1673" s="85"/>
    </row>
    <row r="1674" spans="1:32" ht="12.75" customHeight="1" x14ac:dyDescent="0.25">
      <c r="A1674" s="5" t="s">
        <v>160</v>
      </c>
      <c r="B1674" s="256" t="s">
        <v>58</v>
      </c>
      <c r="C1674" s="257"/>
      <c r="D1674" s="257"/>
      <c r="E1674" s="257"/>
      <c r="F1674" s="257"/>
      <c r="G1674" s="258"/>
      <c r="H1674" s="5">
        <v>1</v>
      </c>
      <c r="I1674" s="5">
        <v>2</v>
      </c>
      <c r="J1674" s="5">
        <v>3</v>
      </c>
      <c r="K1674" s="5">
        <v>4</v>
      </c>
      <c r="L1674" s="5">
        <v>5</v>
      </c>
      <c r="M1674" s="270"/>
      <c r="N1674" s="271"/>
      <c r="O1674" s="271"/>
      <c r="P1674" s="272"/>
      <c r="Q1674" s="6"/>
      <c r="T1674" s="7"/>
    </row>
    <row r="1675" spans="1:32" ht="12.75" customHeight="1" x14ac:dyDescent="0.25">
      <c r="A1675" s="259" t="str">
        <f>B1641</f>
        <v>E</v>
      </c>
      <c r="B1675" s="230" t="str">
        <f ca="1">IF($B1647&lt;&gt;"",$B1647,"")</f>
        <v/>
      </c>
      <c r="C1675" s="231"/>
      <c r="D1675" s="231"/>
      <c r="E1675" s="231"/>
      <c r="F1675" s="231"/>
      <c r="G1675" s="232"/>
      <c r="H1675" s="233"/>
      <c r="I1675" s="233"/>
      <c r="J1675" s="233"/>
      <c r="K1675" s="233"/>
      <c r="L1675" s="233" t="str">
        <f ca="1">IF($B1668&lt;&gt;"",IF(AND($B1668="Missing Player",$G1679=2,$J1679=2),0,IF(AND($B1670="Missing Player",$G1679=2,$J1679=2),11,"")),"")</f>
        <v/>
      </c>
      <c r="M1675" s="245" t="str">
        <f ca="1">IF(OR(AND($B1675&lt;&gt;"",$B1676&lt;&gt;"",$B1675=$B1676),AND($B1677&lt;&gt;"",$B1678&lt;&gt;"",$B1677=$B1678)),"Invalid Partner","")</f>
        <v/>
      </c>
      <c r="N1675" s="246"/>
      <c r="O1675" s="246"/>
      <c r="P1675" s="247"/>
      <c r="Q1675" s="37" t="str">
        <f ca="1">IF(L1675=L1677,IF(K1675=K1677,IF(J1675&lt;&gt;"",IF(J1675&gt;J1677,"W","L"),""),IF(K1675&gt;K1677,"W","L")),IF(L1675&gt;L1677,"W","L"))</f>
        <v/>
      </c>
      <c r="T1675" s="7"/>
    </row>
    <row r="1676" spans="1:32" ht="12.75" customHeight="1" x14ac:dyDescent="0.25">
      <c r="A1676" s="260"/>
      <c r="B1676" s="266" t="str">
        <f ca="1">IF($B1668="Missing Player",$B1668,"")</f>
        <v/>
      </c>
      <c r="C1676" s="267"/>
      <c r="D1676" s="267"/>
      <c r="E1676" s="267"/>
      <c r="F1676" s="267"/>
      <c r="G1676" s="268"/>
      <c r="H1676" s="234"/>
      <c r="I1676" s="234"/>
      <c r="J1676" s="234"/>
      <c r="K1676" s="234"/>
      <c r="L1676" s="234"/>
      <c r="M1676" s="245"/>
      <c r="N1676" s="246"/>
      <c r="O1676" s="246"/>
      <c r="P1676" s="247"/>
      <c r="Q1676" s="110" t="str">
        <f ca="1">IF($Q1675&lt;&gt;"",IF($B1678&lt;&gt;"Missing Player",IF($Q1675="W",IF(SUM(IF($H1675&gt;$H1677,1,0),IF($I1675&gt;$I1677,1,0),IF($J1675&gt;$J1677,1,0),IF($K1675&gt;$K1677,1,0),IF($L1675&gt;$L1677,1,0))&lt;&gt;3,"Error",""),""),""),"")</f>
        <v/>
      </c>
      <c r="R1676" s="295" t="str">
        <f>$A1642</f>
        <v/>
      </c>
      <c r="S1676" s="295"/>
      <c r="T1676" s="295"/>
      <c r="U1676" s="295"/>
      <c r="V1676" s="295"/>
      <c r="W1676" s="295"/>
      <c r="X1676" s="219" t="str">
        <f>CONCATENATE("(",$B1641," vs ",$K1641,")")</f>
        <v>(E vs I)</v>
      </c>
      <c r="Y1676" s="219"/>
      <c r="Z1676" s="295" t="str">
        <f>$J1642</f>
        <v/>
      </c>
      <c r="AA1676" s="295"/>
      <c r="AB1676" s="295"/>
      <c r="AC1676" s="295"/>
      <c r="AD1676" s="295"/>
      <c r="AE1676" s="295"/>
      <c r="AF1676"/>
    </row>
    <row r="1677" spans="1:32" ht="12.75" customHeight="1" x14ac:dyDescent="0.25">
      <c r="A1677" s="265" t="str">
        <f>K1641</f>
        <v>I</v>
      </c>
      <c r="B1677" s="230" t="str">
        <f ca="1">IF($B1649&lt;&gt;"",$B1649,"")</f>
        <v/>
      </c>
      <c r="C1677" s="231"/>
      <c r="D1677" s="231"/>
      <c r="E1677" s="231"/>
      <c r="F1677" s="231"/>
      <c r="G1677" s="232"/>
      <c r="H1677" s="233"/>
      <c r="I1677" s="233"/>
      <c r="J1677" s="233"/>
      <c r="K1677" s="233"/>
      <c r="L1677" s="233" t="str">
        <f ca="1">IF($B1670&lt;&gt;"",IF(AND($B1670="Missing Player",$G1679=2,$J1679=2),0,IF(AND($B1668="Missing Player",$G1679=2,$J1679=2),11,"")),"")</f>
        <v/>
      </c>
      <c r="M1677" s="250" t="s">
        <v>169</v>
      </c>
      <c r="N1677" s="251"/>
      <c r="O1677" s="251"/>
      <c r="P1677" s="252"/>
      <c r="Q1677" s="37" t="str">
        <f ca="1">IF(Q1675&lt;&gt;"",IF(Q1675="W","L","W"),"")</f>
        <v/>
      </c>
      <c r="R1677"/>
      <c r="S1677"/>
      <c r="T1677"/>
      <c r="U1677"/>
      <c r="V1677"/>
      <c r="W1677"/>
      <c r="X1677"/>
      <c r="Y1677"/>
      <c r="Z1677"/>
      <c r="AA1677"/>
      <c r="AB1677"/>
      <c r="AC1677"/>
      <c r="AD1677"/>
      <c r="AE1677"/>
      <c r="AF1677"/>
    </row>
    <row r="1678" spans="1:32" ht="12.75" customHeight="1" x14ac:dyDescent="0.25">
      <c r="A1678" s="260"/>
      <c r="B1678" s="266" t="str">
        <f ca="1">IF($B1670="Missing Player",$B1670,"")</f>
        <v/>
      </c>
      <c r="C1678" s="267"/>
      <c r="D1678" s="267"/>
      <c r="E1678" s="267"/>
      <c r="F1678" s="267"/>
      <c r="G1678" s="268"/>
      <c r="H1678" s="234"/>
      <c r="I1678" s="234"/>
      <c r="J1678" s="235"/>
      <c r="K1678" s="235"/>
      <c r="L1678" s="235"/>
      <c r="M1678" s="250"/>
      <c r="N1678" s="251"/>
      <c r="O1678" s="251"/>
      <c r="P1678" s="252"/>
      <c r="Q1678" s="110" t="str">
        <f ca="1">IF($Q1677&lt;&gt;"",IF($B1676&lt;&gt;"Missing Player",IF($Q1677="W",IF(SUM(IF($H1677&gt;$H1675,1,0),IF($I1677&gt;$I1675,1,0),IF($J1677&gt;$J1675,1,0),IF($K1677&gt;$K1675,1,0),IF($L1677&gt;$L1675,1,0))&lt;&gt;3,"Error",""),""),""),"")</f>
        <v/>
      </c>
      <c r="R1678" t="str">
        <f>A1666</f>
        <v>4th Singles</v>
      </c>
      <c r="S1678"/>
      <c r="T1678"/>
      <c r="U1678"/>
      <c r="V1678"/>
      <c r="W1678"/>
      <c r="X1678"/>
      <c r="Y1678"/>
      <c r="Z1678"/>
      <c r="AA1678"/>
      <c r="AB1678"/>
      <c r="AC1678"/>
      <c r="AD1678"/>
      <c r="AE1678"/>
      <c r="AF1678"/>
    </row>
    <row r="1679" spans="1:32" ht="12.75" customHeight="1" x14ac:dyDescent="0.25">
      <c r="G1679" s="53">
        <f ca="1">COUNTIF($Q1647:$Q1647,"W")+COUNTIF($Q1654:$Q1654,"W")+COUNTIF($Q1661:$Q1661,"W")+COUNTIF($Q1668:$Q1668,"W")</f>
        <v>0</v>
      </c>
      <c r="J1679" s="53">
        <f ca="1">COUNTIF($Q1649:$Q1649,"W")+COUNTIF($Q1656:$Q1656,"W")+COUNTIF($Q1663:$Q1663,"W")+COUNTIF($Q1670:$Q1670,"W")</f>
        <v>0</v>
      </c>
      <c r="R1679" s="47" t="s">
        <v>160</v>
      </c>
      <c r="S1679" s="304" t="s">
        <v>58</v>
      </c>
      <c r="T1679" s="305"/>
      <c r="U1679" s="305"/>
      <c r="V1679" s="305"/>
      <c r="W1679" s="305"/>
      <c r="X1679" s="306"/>
      <c r="Y1679" s="47">
        <v>1</v>
      </c>
      <c r="Z1679" s="47">
        <v>2</v>
      </c>
      <c r="AA1679" s="47">
        <v>3</v>
      </c>
      <c r="AB1679" s="47">
        <v>4</v>
      </c>
      <c r="AC1679" s="47">
        <v>5</v>
      </c>
      <c r="AD1679" s="286"/>
      <c r="AE1679" s="287"/>
      <c r="AF1679" s="288"/>
    </row>
    <row r="1680" spans="1:32" ht="12.75" customHeight="1" thickBot="1" x14ac:dyDescent="0.3">
      <c r="F1680" s="212" t="s">
        <v>170</v>
      </c>
      <c r="G1680" s="212"/>
      <c r="H1680" s="212"/>
      <c r="I1680" s="212"/>
      <c r="J1680" s="212"/>
      <c r="K1680" s="212"/>
      <c r="R1680" s="259" t="str">
        <f>B1641</f>
        <v>E</v>
      </c>
      <c r="S1680" s="307" t="str">
        <f ca="1">IF($B1668&lt;&gt;"",$B1668,"")</f>
        <v/>
      </c>
      <c r="T1680" s="308"/>
      <c r="U1680" s="308"/>
      <c r="V1680" s="308"/>
      <c r="W1680" s="308"/>
      <c r="X1680" s="309"/>
      <c r="Y1680" s="284"/>
      <c r="Z1680" s="284"/>
      <c r="AA1680" s="297"/>
      <c r="AB1680" s="297"/>
      <c r="AC1680" s="297"/>
      <c r="AD1680" s="296"/>
      <c r="AE1680" s="298"/>
      <c r="AF1680" s="299"/>
    </row>
    <row r="1681" spans="1:32" ht="12.75" customHeight="1" x14ac:dyDescent="0.25">
      <c r="A1681" s="16"/>
      <c r="B1681" s="16"/>
      <c r="C1681" s="16"/>
      <c r="D1681" s="16"/>
      <c r="E1681" s="16"/>
      <c r="G1681" s="261" t="str">
        <f>B1641</f>
        <v>E</v>
      </c>
      <c r="H1681" s="262"/>
      <c r="I1681" s="263" t="str">
        <f>K1641</f>
        <v>I</v>
      </c>
      <c r="J1681" s="264"/>
      <c r="L1681" s="16"/>
      <c r="M1681" s="16"/>
      <c r="N1681" s="16"/>
      <c r="O1681" s="16"/>
      <c r="P1681" s="16"/>
      <c r="R1681" s="260"/>
      <c r="S1681" s="310"/>
      <c r="T1681" s="311"/>
      <c r="U1681" s="311"/>
      <c r="V1681" s="311"/>
      <c r="W1681" s="311"/>
      <c r="X1681" s="312"/>
      <c r="Y1681" s="285"/>
      <c r="Z1681" s="285"/>
      <c r="AA1681" s="303"/>
      <c r="AB1681" s="303"/>
      <c r="AC1681" s="303"/>
      <c r="AD1681" s="300"/>
      <c r="AE1681" s="301"/>
      <c r="AF1681" s="302"/>
    </row>
    <row r="1682" spans="1:32" ht="12.75" customHeight="1" thickBot="1" x14ac:dyDescent="0.3">
      <c r="A1682" s="2" t="s">
        <v>160</v>
      </c>
      <c r="B1682" s="40" t="str">
        <f>B1641</f>
        <v>E</v>
      </c>
      <c r="C1682" s="3" t="s">
        <v>158</v>
      </c>
      <c r="F1682" s="53" t="str">
        <f>CONCATENATE($B1641,"-",$K1641)</f>
        <v>E-I</v>
      </c>
      <c r="G1682" s="240" t="str">
        <f ca="1">IF(OR(Q1647&lt;&gt;"",Q1654&lt;&gt;"",Q1661&lt;&gt;"",Q1668&lt;&gt;"",Q1675&lt;&gt;""),COUNTIF(Q1647:Q1647,"W")+COUNTIF(Q1654:Q1654,"W")+COUNTIF(Q1661:Q1661,"W")+COUNTIF(Q1668:Q1668,"W")+COUNTIF(Q1675:Q1675,"W"),"")</f>
        <v/>
      </c>
      <c r="H1682" s="241"/>
      <c r="I1682" s="242" t="str">
        <f ca="1">IF(OR(Q1649&lt;&gt;"",Q1656&lt;&gt;"",Q1663&lt;&gt;"",Q1670&lt;&gt;"",Q1677&lt;&gt;""),COUNTIF(Q1649:Q1649,"W")+COUNTIF(Q1656:Q1656,"W")+COUNTIF(Q1663:Q1663,"W")+COUNTIF(Q1670:Q1670,"W")+COUNTIF(Q1677:Q1677,"W"),"")</f>
        <v/>
      </c>
      <c r="J1682" s="243"/>
      <c r="L1682" s="2" t="s">
        <v>160</v>
      </c>
      <c r="M1682" s="40" t="str">
        <f>K1641</f>
        <v>I</v>
      </c>
      <c r="N1682" s="3" t="s">
        <v>158</v>
      </c>
      <c r="R1682" s="259" t="str">
        <f>K1641</f>
        <v>I</v>
      </c>
      <c r="S1682" s="307" t="str">
        <f ca="1">IF($B1670&lt;&gt;"",$B1670,"")</f>
        <v/>
      </c>
      <c r="T1682" s="308"/>
      <c r="U1682" s="308"/>
      <c r="V1682" s="308"/>
      <c r="W1682" s="308"/>
      <c r="X1682" s="309"/>
      <c r="Y1682" s="284"/>
      <c r="Z1682" s="284"/>
      <c r="AA1682" s="297"/>
      <c r="AB1682" s="297"/>
      <c r="AC1682" s="297"/>
      <c r="AD1682" s="289" t="s">
        <v>169</v>
      </c>
      <c r="AE1682" s="290"/>
      <c r="AF1682" s="291"/>
    </row>
    <row r="1683" spans="1:32" ht="12.75" customHeight="1" x14ac:dyDescent="0.35">
      <c r="F1683" s="18" t="s">
        <v>403</v>
      </c>
      <c r="G1683" s="17"/>
      <c r="H1683" s="17"/>
      <c r="I1683" s="17"/>
      <c r="J1683" s="17"/>
      <c r="R1683" s="285"/>
      <c r="S1683" s="310"/>
      <c r="T1683" s="311"/>
      <c r="U1683" s="311"/>
      <c r="V1683" s="311"/>
      <c r="W1683" s="311"/>
      <c r="X1683" s="312"/>
      <c r="Y1683" s="285"/>
      <c r="Z1683" s="285"/>
      <c r="AA1683" s="285"/>
      <c r="AB1683" s="285"/>
      <c r="AC1683" s="285"/>
      <c r="AD1683" s="292"/>
      <c r="AE1683" s="293"/>
      <c r="AF1683" s="294"/>
    </row>
    <row r="1684" spans="1:32" ht="12.75" customHeight="1" x14ac:dyDescent="0.25">
      <c r="R1684" s="1"/>
      <c r="S1684" s="11"/>
      <c r="T1684" s="11"/>
      <c r="U1684" s="11"/>
      <c r="V1684" s="11"/>
      <c r="W1684" s="11"/>
    </row>
    <row r="1685" spans="1:32" ht="12.75" customHeight="1" x14ac:dyDescent="0.25">
      <c r="F1685" s="212"/>
      <c r="G1685" s="212"/>
      <c r="H1685" s="212"/>
      <c r="I1685" s="212"/>
      <c r="R1685" s="1"/>
      <c r="S1685" s="11"/>
      <c r="T1685" s="11"/>
      <c r="U1685" s="11"/>
      <c r="V1685" s="11"/>
      <c r="W1685" s="11"/>
    </row>
    <row r="1686" spans="1:32" ht="12.75" customHeight="1" x14ac:dyDescent="0.25">
      <c r="F1686" s="212"/>
      <c r="G1686" s="212"/>
      <c r="H1686" s="212"/>
      <c r="I1686" s="212"/>
      <c r="R1686" s="1"/>
      <c r="S1686" s="11"/>
      <c r="T1686" s="11"/>
      <c r="U1686" s="11"/>
      <c r="V1686" s="11"/>
      <c r="W1686" s="11"/>
    </row>
    <row r="1687" spans="1:32" ht="12.75" customHeight="1" x14ac:dyDescent="0.25">
      <c r="K1687" s="219" t="s">
        <v>176</v>
      </c>
      <c r="L1687" s="219"/>
      <c r="M1687" s="219"/>
      <c r="N1687" s="219"/>
      <c r="O1687" s="219"/>
      <c r="P1687" s="219"/>
      <c r="R1687" s="1"/>
      <c r="S1687" s="11"/>
      <c r="T1687" s="11"/>
      <c r="U1687" s="11"/>
      <c r="V1687" s="11"/>
      <c r="W1687" s="11"/>
    </row>
    <row r="1688" spans="1:32" ht="12.75" customHeight="1" x14ac:dyDescent="0.25">
      <c r="A1688" s="9" t="s">
        <v>161</v>
      </c>
      <c r="B1688"/>
      <c r="C1688"/>
      <c r="D1688" t="str">
        <f>Draw!$B$1</f>
        <v>Enter Division Name</v>
      </c>
      <c r="E1688"/>
      <c r="F1688" s="6"/>
      <c r="G1688" s="6"/>
      <c r="H1688" s="6"/>
      <c r="I1688"/>
      <c r="J1688"/>
      <c r="K1688"/>
      <c r="L1688"/>
      <c r="M1688" s="219"/>
      <c r="N1688" s="219"/>
      <c r="O1688" s="219"/>
      <c r="P1688" s="219"/>
      <c r="R1688" s="1"/>
      <c r="S1688" s="11"/>
      <c r="T1688" s="11"/>
      <c r="U1688" s="11"/>
      <c r="V1688" s="11"/>
      <c r="W1688" s="11"/>
    </row>
    <row r="1689" spans="1:32" ht="12.75" customHeight="1" x14ac:dyDescent="0.25">
      <c r="A1689" s="2" t="s">
        <v>162</v>
      </c>
      <c r="D1689" t="str">
        <f>Draw!$D$1</f>
        <v>Enter Hosting Location (City, ST)</v>
      </c>
      <c r="J1689" t="str">
        <f ca="1">$J$6</f>
        <v>[NCTTA Teams Template (v3.4).xlsx]</v>
      </c>
      <c r="R1689" s="1"/>
      <c r="S1689" s="11"/>
      <c r="T1689" s="11"/>
      <c r="U1689" s="11"/>
      <c r="V1689" s="11"/>
      <c r="W1689" s="11"/>
    </row>
    <row r="1690" spans="1:32" ht="12.75" customHeight="1" x14ac:dyDescent="0.25">
      <c r="A1690" s="2" t="s">
        <v>163</v>
      </c>
      <c r="D1690" s="275" t="str">
        <f>Draw!$P$1</f>
        <v>Enter Date</v>
      </c>
      <c r="E1690" s="275"/>
      <c r="F1690" s="275"/>
      <c r="G1690" s="275"/>
      <c r="J1690" s="244" t="str">
        <f>CHOOSE(Draw!$T$1,"Round 6, Match 4","","","","","","","","Round 9, Match 2","Round 7, Match 4","Round 7, Match 4")</f>
        <v>Round 6, Match 4</v>
      </c>
      <c r="K1690" s="244"/>
      <c r="L1690" s="244"/>
      <c r="M1690" s="277" t="str">
        <f>IF(AND($J1690&lt;&gt;"",Draw!$AC$10&lt;&gt;"",Draw!$AC$13&lt;&gt;""),Draw!$AC$10+TIME(0,VALUE(MID($J1690,7,FIND(",",$J1690)-FIND(" ",$J1690)-1)-1)*Draw!$AC$13,0),"")</f>
        <v/>
      </c>
      <c r="N1690" s="277"/>
      <c r="O1690" s="125" t="str">
        <f>$F1733</f>
        <v>D-J</v>
      </c>
      <c r="R1690" s="1"/>
      <c r="S1690" s="11"/>
      <c r="T1690" s="11"/>
      <c r="U1690" s="11"/>
      <c r="V1690" s="11"/>
      <c r="W1690" s="11"/>
    </row>
    <row r="1691" spans="1:32" ht="12.75" customHeight="1" x14ac:dyDescent="0.25">
      <c r="A1691" s="6"/>
      <c r="B1691"/>
      <c r="C1691"/>
      <c r="D1691"/>
      <c r="E1691"/>
      <c r="F1691" s="6"/>
      <c r="G1691" s="6"/>
      <c r="H1691" s="11"/>
      <c r="I1691" s="6"/>
      <c r="J1691"/>
      <c r="K1691"/>
      <c r="L1691"/>
      <c r="M1691"/>
      <c r="N1691"/>
      <c r="O1691" s="269" t="str">
        <f>IF(OR(AND(VLOOKUP($B1692,$AM$1:$AX$12,12,FALSE)="C",VLOOKUP($K1692,$AM$1:$AX$12,12,FALSE)="C"),AND(VLOOKUP($B1692,$AM$1:$AX$12,12,FALSE)="W",VLOOKUP($K1692,$AM$1:$AX$12,12,FALSE)="W")),"Official",IF(AND($A1693="",$J1693=""),"","Scrimmage"))</f>
        <v/>
      </c>
      <c r="P1691" s="269"/>
      <c r="R1691" s="1"/>
      <c r="S1691" s="11"/>
      <c r="T1691" s="11"/>
      <c r="U1691" s="11"/>
      <c r="V1691" s="11"/>
      <c r="W1691" s="11"/>
    </row>
    <row r="1692" spans="1:32" ht="12.75" customHeight="1" x14ac:dyDescent="0.25">
      <c r="A1692" s="12" t="s">
        <v>160</v>
      </c>
      <c r="B1692" s="98" t="str">
        <f>CHOOSE(Draw!$T$1,"D","A","B","C","D","D","C","B","F","F","C")</f>
        <v>D</v>
      </c>
      <c r="C1692" s="109">
        <f>VLOOKUP($B1692,$AM$1:$AN$12,2)</f>
        <v>4</v>
      </c>
      <c r="D1692" s="10"/>
      <c r="E1692" s="10"/>
      <c r="F1692" s="8"/>
      <c r="H1692" s="1" t="s">
        <v>164</v>
      </c>
      <c r="J1692" s="12" t="s">
        <v>160</v>
      </c>
      <c r="K1692" s="98" t="str">
        <f>CHOOSE(Draw!$T$1,"J","J","L","G","H","G","J","J","H","I","I")</f>
        <v>J</v>
      </c>
      <c r="L1692" s="109">
        <f>VLOOKUP($K1692,$AM$1:$AN$12,2)</f>
        <v>10</v>
      </c>
      <c r="M1692" s="10"/>
      <c r="N1692" s="10"/>
      <c r="O1692" s="13"/>
      <c r="R1692" s="1"/>
      <c r="S1692" s="11"/>
      <c r="T1692" s="11"/>
      <c r="U1692" s="11"/>
      <c r="V1692" s="11"/>
      <c r="W1692" s="11"/>
    </row>
    <row r="1693" spans="1:32" ht="12.75" customHeight="1" x14ac:dyDescent="0.25">
      <c r="A1693" s="253" t="str">
        <f>IF(VLOOKUP($B1692,Draw!$A$4:$B$27,2)&lt;&gt;0,VLOOKUP($B1692,Draw!$A$4:$B$27,2),"")</f>
        <v/>
      </c>
      <c r="B1693" s="254"/>
      <c r="C1693" s="254"/>
      <c r="D1693" s="254"/>
      <c r="E1693" s="254"/>
      <c r="F1693" s="255"/>
      <c r="G1693" s="273" t="s">
        <v>437</v>
      </c>
      <c r="H1693" s="249"/>
      <c r="I1693" s="274"/>
      <c r="J1693" s="253" t="str">
        <f>IF(VLOOKUP($K1692,Draw!$A$4:$B$27,2)&lt;&gt;0,VLOOKUP($K1692,Draw!$A$4:$B$27,2),"")</f>
        <v/>
      </c>
      <c r="K1693" s="254"/>
      <c r="L1693" s="254"/>
      <c r="M1693" s="254"/>
      <c r="N1693" s="254"/>
      <c r="O1693" s="255"/>
      <c r="P1693"/>
      <c r="R1693" s="1"/>
      <c r="S1693" s="11"/>
      <c r="T1693" s="11"/>
      <c r="U1693" s="11"/>
      <c r="V1693" s="11"/>
      <c r="W1693" s="11"/>
    </row>
    <row r="1694" spans="1:32" ht="12.75" customHeight="1" x14ac:dyDescent="0.25">
      <c r="A1694" s="6"/>
      <c r="B1694"/>
      <c r="C1694"/>
      <c r="D1694"/>
      <c r="E1694"/>
      <c r="F1694" s="6"/>
      <c r="G1694" s="248" t="str">
        <f>"Page "&amp;VALUE(RIGHT($G1693,LEN($G1693)-SEARCH("-",$G1693)))/2</f>
        <v>Page 34</v>
      </c>
      <c r="H1694" s="249"/>
      <c r="I1694" s="249"/>
      <c r="J1694"/>
      <c r="K1694"/>
      <c r="L1694"/>
      <c r="M1694"/>
      <c r="N1694"/>
      <c r="O1694"/>
      <c r="P1694"/>
      <c r="R1694" s="1"/>
      <c r="S1694" s="11"/>
      <c r="T1694" s="11"/>
      <c r="U1694" s="11"/>
      <c r="V1694" s="11"/>
      <c r="W1694" s="11"/>
      <c r="AF1694"/>
    </row>
    <row r="1695" spans="1:32" ht="12.75" customHeight="1" x14ac:dyDescent="0.25">
      <c r="A1695" s="276" t="s">
        <v>177</v>
      </c>
      <c r="B1695" s="276"/>
      <c r="C1695" s="276"/>
      <c r="D1695" s="276"/>
      <c r="E1695" s="276"/>
      <c r="F1695" s="276"/>
      <c r="G1695" s="276"/>
      <c r="H1695" s="276"/>
      <c r="I1695" s="276"/>
      <c r="J1695" s="276"/>
      <c r="K1695" s="276"/>
      <c r="L1695" s="276"/>
      <c r="M1695" s="276"/>
      <c r="N1695" s="276"/>
      <c r="O1695" s="276"/>
      <c r="P1695" s="276"/>
      <c r="Q1695" s="6"/>
      <c r="R1695" s="1"/>
      <c r="S1695" s="11"/>
      <c r="T1695" s="11"/>
      <c r="U1695" s="11"/>
      <c r="V1695" s="11"/>
      <c r="W1695" s="11"/>
      <c r="AF1695" s="14"/>
    </row>
    <row r="1696" spans="1:32" ht="12.75" customHeight="1" x14ac:dyDescent="0.25">
      <c r="A1696" s="15" t="s">
        <v>165</v>
      </c>
      <c r="H1696" s="110" t="str">
        <f>IF($Q1698&lt;&gt;"",IF(AND(AND($H1698&gt;-1,$H1700&gt;-1),OR($H1698&gt;10,$H1700&gt;10),ABS($H1698-$H1700)&gt;1,IF(OR($H1698&gt;11,$H1700&gt;11),ABS($H1698-$H1700)=2,TRUE),$H1698=INT($H1698),$H1700=INT($H1700)),"","Error"),"")</f>
        <v/>
      </c>
      <c r="I1696" s="110" t="str">
        <f>IF($Q1698&lt;&gt;"",IF(AND(AND($I1698&gt;-1,$I1700&gt;-1),OR($I1698&gt;10,$I1700&gt;10),ABS($I1698-$I1700)&gt;1,IF(OR($I1698&gt;11,$I1700&gt;11),ABS($I1698-$I1700)=2,TRUE),$I1698=INT($I1698),$I1700=INT($I1700)),"","Error"),"")</f>
        <v/>
      </c>
      <c r="J1696" s="110" t="str">
        <f>IF($Q1698&lt;&gt;"",IF(AND(AND($J1698&gt;-1,$J1700&gt;-1),OR($J1698&gt;10,$J1700&gt;10),ABS($J1698-$J1700)&gt;1,IF(OR($J1698&gt;11,$J1700&gt;11),ABS($J1698-$J1700)=2,TRUE),$J1698=INT($J1698),$J1700=INT($J1700)),"","Error"),"")</f>
        <v/>
      </c>
      <c r="K1696" s="110" t="str">
        <f>IF($Q1698&lt;&gt;"",IF(AND($K1698&lt;&gt;"",$K1700&lt;&gt;""), IF(AND(AND($K1698&gt;-1,$K1700&gt;-1),OR($K1698&gt;10,$K1700&gt;10),ABS($K1698-$K1700)&gt;1,IF(OR($K1698&gt;11,$K1700&gt;11),ABS($K1698-$K1700)=2,TRUE),$K1698=INT($K1698),$K1700=INT($K1700)),"","Error"),""),"")</f>
        <v/>
      </c>
      <c r="L1696" s="110" t="str">
        <f>IF($Q1698&lt;&gt;"",IF(AND($L1698&lt;&gt;"",$L1700&lt;&gt;""), IF(AND(AND($L1698&gt;-1,$L1700&gt;-1),OR($L1698&gt;10,$L1700&gt;10),ABS($L1698-$L1700)&gt;1,IF(OR($L1698&gt;11,$L1700&gt;11),ABS($L1698-$L1700)=2,TRUE),$L1698=INT($L1698),$L1700=INT($L1700)),"","Error"),""),"")</f>
        <v/>
      </c>
      <c r="R1696" s="1"/>
      <c r="S1696" s="11"/>
      <c r="T1696" s="11"/>
      <c r="U1696" s="11"/>
      <c r="V1696" s="11"/>
      <c r="W1696" s="11"/>
    </row>
    <row r="1697" spans="1:32" ht="12.75" customHeight="1" x14ac:dyDescent="0.25">
      <c r="A1697" s="5" t="s">
        <v>160</v>
      </c>
      <c r="B1697" s="256" t="s">
        <v>58</v>
      </c>
      <c r="C1697" s="257"/>
      <c r="D1697" s="257"/>
      <c r="E1697" s="257"/>
      <c r="F1697" s="257"/>
      <c r="G1697" s="258"/>
      <c r="H1697" s="5">
        <v>1</v>
      </c>
      <c r="I1697" s="5">
        <v>2</v>
      </c>
      <c r="J1697" s="5">
        <v>3</v>
      </c>
      <c r="K1697" s="5">
        <v>4</v>
      </c>
      <c r="L1697" s="5">
        <v>5</v>
      </c>
      <c r="M1697" s="270"/>
      <c r="N1697" s="271"/>
      <c r="O1697" s="271"/>
      <c r="P1697" s="272"/>
      <c r="R1697" s="1"/>
      <c r="S1697" s="11"/>
      <c r="T1697" s="11"/>
      <c r="U1697" s="11"/>
      <c r="V1697" s="11"/>
      <c r="W1697" s="11"/>
    </row>
    <row r="1698" spans="1:32" ht="12.75" customHeight="1" x14ac:dyDescent="0.25">
      <c r="A1698" s="259" t="str">
        <f>B1692</f>
        <v>D</v>
      </c>
      <c r="B1698" s="236" t="str">
        <f ca="1">IF(AND(OFFSET($AO$1,$C1692-1,8,1,1),$A1693&lt;&gt;"",$J1693&lt;&gt;""),CHOOSE($C1692,$AO$1,$AO$2,$AO$3,$AO$4,$AO$5,$AO$6,$AO$7,$AO$8,$AO$9,$AO$10,$AO$11,$AO$12),"")</f>
        <v/>
      </c>
      <c r="C1698" s="237"/>
      <c r="D1698" s="237"/>
      <c r="E1698" s="237"/>
      <c r="F1698" s="237"/>
      <c r="G1698" s="237"/>
      <c r="H1698" s="233"/>
      <c r="I1698" s="233"/>
      <c r="J1698" s="233"/>
      <c r="K1698" s="233"/>
      <c r="L1698" s="233"/>
      <c r="M1698" s="281"/>
      <c r="N1698" s="282"/>
      <c r="O1698" s="282"/>
      <c r="P1698" s="283"/>
      <c r="Q1698" s="40" t="str">
        <f>IF($L1698=$L1700,IF($K1698=$K1700,IF($J1698&lt;&gt;"",IF($J1698&gt;$J1700,"W","L"),""),IF($K1698&gt;$K1700,"W","L")),IF($L1698&gt;$L1700,"W","L"))</f>
        <v/>
      </c>
      <c r="R1698" s="1"/>
      <c r="S1698" s="11"/>
      <c r="T1698" s="11"/>
      <c r="U1698" s="11"/>
      <c r="V1698" s="11"/>
      <c r="W1698" s="11"/>
    </row>
    <row r="1699" spans="1:32" ht="12.75" customHeight="1" x14ac:dyDescent="0.25">
      <c r="A1699" s="260"/>
      <c r="B1699" s="238"/>
      <c r="C1699" s="239"/>
      <c r="D1699" s="239"/>
      <c r="E1699" s="239"/>
      <c r="F1699" s="239"/>
      <c r="G1699" s="239"/>
      <c r="H1699" s="234"/>
      <c r="I1699" s="234"/>
      <c r="J1699" s="234"/>
      <c r="K1699" s="234"/>
      <c r="L1699" s="234"/>
      <c r="M1699" s="281"/>
      <c r="N1699" s="282"/>
      <c r="O1699" s="282"/>
      <c r="P1699" s="283"/>
      <c r="Q1699" s="110" t="str">
        <f>IF($Q1698&lt;&gt;"",IF($Q1698="W",IF(SUM(IF($H1698&gt;$H1700,1,0),IF($I1698&gt;$I1700,1,0),IF($J1698&gt;$J1700,1,0),IF($K1698&gt;$K1700,1,0),IF($L1698&gt;$L1700,1,0))&lt;&gt;3,"Error",""),""),"")</f>
        <v/>
      </c>
      <c r="R1699" s="295" t="str">
        <f>$A1693</f>
        <v/>
      </c>
      <c r="S1699" s="295"/>
      <c r="T1699" s="295"/>
      <c r="U1699" s="295"/>
      <c r="V1699" s="295"/>
      <c r="W1699" s="295"/>
      <c r="X1699" s="219" t="str">
        <f>CONCATENATE("(",$B1692," vs ",$K1692,")")</f>
        <v>(D vs J)</v>
      </c>
      <c r="Y1699" s="219"/>
      <c r="Z1699" s="295" t="str">
        <f>$J1693</f>
        <v/>
      </c>
      <c r="AA1699" s="295"/>
      <c r="AB1699" s="295"/>
      <c r="AC1699" s="295"/>
      <c r="AD1699" s="295"/>
      <c r="AE1699" s="295"/>
      <c r="AF1699"/>
    </row>
    <row r="1700" spans="1:32" ht="12.75" customHeight="1" x14ac:dyDescent="0.25">
      <c r="A1700" s="259" t="str">
        <f>K1692</f>
        <v>J</v>
      </c>
      <c r="B1700" s="236" t="str">
        <f ca="1">IF(AND(OFFSET($AO$1,$L1692-1,8,1,1),$A1693&lt;&gt;"",$J1693&lt;&gt;""),CHOOSE($L1692,$AO$1,$AO$2,$AO$3,$AO$4,$AO$5,$AO$6,$AO$7,$AO$8,$AO$9,$AO$10,$AO$11,$AO$12),"")</f>
        <v/>
      </c>
      <c r="C1700" s="237"/>
      <c r="D1700" s="237"/>
      <c r="E1700" s="237"/>
      <c r="F1700" s="237"/>
      <c r="G1700" s="237"/>
      <c r="H1700" s="233"/>
      <c r="I1700" s="233"/>
      <c r="J1700" s="233"/>
      <c r="K1700" s="233"/>
      <c r="L1700" s="233"/>
      <c r="M1700" s="250" t="s">
        <v>169</v>
      </c>
      <c r="N1700" s="251"/>
      <c r="O1700" s="251"/>
      <c r="P1700" s="252"/>
      <c r="Q1700" s="40" t="str">
        <f>IF($Q1698&lt;&gt;"",IF($Q1698="W","L","W"),"")</f>
        <v/>
      </c>
      <c r="R1700"/>
      <c r="S1700"/>
      <c r="T1700"/>
      <c r="U1700"/>
      <c r="V1700"/>
      <c r="W1700"/>
      <c r="X1700"/>
      <c r="Y1700"/>
      <c r="Z1700"/>
      <c r="AA1700"/>
      <c r="AB1700"/>
      <c r="AC1700"/>
      <c r="AD1700"/>
      <c r="AE1700"/>
      <c r="AF1700"/>
    </row>
    <row r="1701" spans="1:32" ht="12.75" customHeight="1" x14ac:dyDescent="0.25">
      <c r="A1701" s="260"/>
      <c r="B1701" s="238"/>
      <c r="C1701" s="239"/>
      <c r="D1701" s="239"/>
      <c r="E1701" s="239"/>
      <c r="F1701" s="239"/>
      <c r="G1701" s="239"/>
      <c r="H1701" s="234"/>
      <c r="I1701" s="234"/>
      <c r="J1701" s="235"/>
      <c r="K1701" s="235"/>
      <c r="L1701" s="235"/>
      <c r="M1701" s="250"/>
      <c r="N1701" s="251"/>
      <c r="O1701" s="251"/>
      <c r="P1701" s="252"/>
      <c r="Q1701" s="110" t="str">
        <f>IF($Q1700&lt;&gt;"",IF($Q1700="W",IF(SUM(IF($H1700&gt;$H1698,1,0),IF($I1700&gt;$I1698,1,0),IF($J1700&gt;$J1698,1,0),IF($K1700&gt;$K1698,1,0),IF($L1700&gt;$L1698,1,0))&lt;&gt;3,"Error",""),""),"")</f>
        <v/>
      </c>
      <c r="R1701" t="str">
        <f>$A1703</f>
        <v>2nd Singles</v>
      </c>
      <c r="S1701"/>
      <c r="T1701"/>
      <c r="U1701"/>
      <c r="V1701"/>
      <c r="W1701"/>
      <c r="X1701"/>
      <c r="Y1701"/>
      <c r="Z1701"/>
      <c r="AA1701"/>
      <c r="AB1701"/>
      <c r="AC1701"/>
      <c r="AD1701"/>
      <c r="AE1701"/>
      <c r="AF1701"/>
    </row>
    <row r="1702" spans="1:32" ht="12.75" customHeight="1" x14ac:dyDescent="0.25">
      <c r="Q1702" s="6"/>
      <c r="R1702" s="47" t="s">
        <v>160</v>
      </c>
      <c r="S1702" s="304" t="s">
        <v>58</v>
      </c>
      <c r="T1702" s="305"/>
      <c r="U1702" s="305"/>
      <c r="V1702" s="305"/>
      <c r="W1702" s="305"/>
      <c r="X1702" s="306"/>
      <c r="Y1702" s="47">
        <v>1</v>
      </c>
      <c r="Z1702" s="47">
        <v>2</v>
      </c>
      <c r="AA1702" s="47">
        <v>3</v>
      </c>
      <c r="AB1702" s="47">
        <v>4</v>
      </c>
      <c r="AC1702" s="47">
        <v>5</v>
      </c>
      <c r="AD1702" s="286"/>
      <c r="AE1702" s="287"/>
      <c r="AF1702" s="288"/>
    </row>
    <row r="1703" spans="1:32" ht="12.75" customHeight="1" x14ac:dyDescent="0.25">
      <c r="A1703" s="15" t="s">
        <v>166</v>
      </c>
      <c r="H1703" s="110" t="str">
        <f>IF($Q1705&lt;&gt;"",IF(AND(AND($H1705&gt;-1,$H1707&gt;-1),OR($H1705&gt;10,$H1707&gt;10),ABS($H1705-$H1707)&gt;1,IF(OR($H1705&gt;11,$H1707&gt;11),ABS($H1705-$H1707)=2,TRUE),$H1705=INT($H1705),$H1707=INT($H1707)),"","Error"),"")</f>
        <v/>
      </c>
      <c r="I1703" s="110" t="str">
        <f>IF($Q1705&lt;&gt;"",IF(AND(AND($I1705&gt;-1,$I1707&gt;-1),OR($I1705&gt;10,$I1707&gt;10),ABS($I1705-$I1707)&gt;1,IF(OR($I1705&gt;11,$I1707&gt;11),ABS($I1705-$I1707)=2,TRUE),$I1705=INT($I1705),$I1707=INT($I1707)),"","Error"),"")</f>
        <v/>
      </c>
      <c r="J1703" s="110" t="str">
        <f>IF($Q1705&lt;&gt;"",IF(AND(AND($J1705&gt;-1,$J1707&gt;-1),OR($J1705&gt;10,$J1707&gt;10),ABS($J1705-$J1707)&gt;1,IF(OR($J1705&gt;11,$J1707&gt;11),ABS($J1705-$J1707)=2,TRUE),$J1705=INT($J1705),$J1707=INT($J1707)),"","Error"),"")</f>
        <v/>
      </c>
      <c r="K1703" s="110" t="str">
        <f>IF($Q1705&lt;&gt;"",IF(AND($K1705&lt;&gt;"",$K1707&lt;&gt;""), IF(AND(AND($K1705&gt;-1,$K1707&gt;-1),OR($K1705&gt;10,$K1707&gt;10),ABS($K1705-$K1707)&gt;1,IF(OR($K1705&gt;11,$K1707&gt;11),ABS($K1705-$K1707)=2,TRUE),$K1705=INT($K1705),$K1707=INT($K1707)),"","Error"),""),"")</f>
        <v/>
      </c>
      <c r="L1703" s="110" t="str">
        <f>IF($Q1705&lt;&gt;"",IF(AND($L1705&lt;&gt;"",$L1707&lt;&gt;""), IF(AND(AND($L1705&gt;-1,$L1707&gt;-1),OR($L1705&gt;10,$L1707&gt;10),ABS($L1705-$L1707)&gt;1,IF(OR($L1705&gt;11,$L1707&gt;11),ABS($L1705-$L1707)=2,TRUE),$L1705=INT($L1705),$L1707=INT($L1707)),"","Error"),""),"")</f>
        <v/>
      </c>
      <c r="Q1703" s="6"/>
      <c r="R1703" s="259" t="str">
        <f>$B1692</f>
        <v>D</v>
      </c>
      <c r="S1703" s="307" t="str">
        <f ca="1">IF($B1705&lt;&gt;"",$B1705,"")</f>
        <v/>
      </c>
      <c r="T1703" s="308"/>
      <c r="U1703" s="308"/>
      <c r="V1703" s="308"/>
      <c r="W1703" s="308"/>
      <c r="X1703" s="309"/>
      <c r="Y1703" s="284"/>
      <c r="Z1703" s="284"/>
      <c r="AA1703" s="284"/>
      <c r="AB1703" s="284"/>
      <c r="AC1703" s="284"/>
      <c r="AD1703" s="296"/>
      <c r="AE1703" s="290"/>
      <c r="AF1703" s="291"/>
    </row>
    <row r="1704" spans="1:32" ht="12.75" customHeight="1" x14ac:dyDescent="0.25">
      <c r="A1704" s="5" t="s">
        <v>160</v>
      </c>
      <c r="B1704" s="256" t="s">
        <v>58</v>
      </c>
      <c r="C1704" s="257"/>
      <c r="D1704" s="257"/>
      <c r="E1704" s="257"/>
      <c r="F1704" s="257"/>
      <c r="G1704" s="258"/>
      <c r="H1704" s="5">
        <v>1</v>
      </c>
      <c r="I1704" s="5">
        <v>2</v>
      </c>
      <c r="J1704" s="5">
        <v>3</v>
      </c>
      <c r="K1704" s="5">
        <v>4</v>
      </c>
      <c r="L1704" s="5">
        <v>5</v>
      </c>
      <c r="M1704" s="270"/>
      <c r="N1704" s="271"/>
      <c r="O1704" s="271"/>
      <c r="P1704" s="272"/>
      <c r="Q1704" s="6"/>
      <c r="R1704" s="285"/>
      <c r="S1704" s="310"/>
      <c r="T1704" s="311"/>
      <c r="U1704" s="311"/>
      <c r="V1704" s="311"/>
      <c r="W1704" s="311"/>
      <c r="X1704" s="312"/>
      <c r="Y1704" s="285"/>
      <c r="Z1704" s="285"/>
      <c r="AA1704" s="285"/>
      <c r="AB1704" s="285"/>
      <c r="AC1704" s="285"/>
      <c r="AD1704" s="292"/>
      <c r="AE1704" s="293"/>
      <c r="AF1704" s="294"/>
    </row>
    <row r="1705" spans="1:32" ht="12.75" customHeight="1" x14ac:dyDescent="0.25">
      <c r="A1705" s="259" t="str">
        <f>B1692</f>
        <v>D</v>
      </c>
      <c r="B1705" s="236" t="str">
        <f ca="1">IF(AND(OFFSET($AO$1,$C1692-1,8,1,1),$A1693&lt;&gt;"",$J1693&lt;&gt;""),CHOOSE($C1692,$AP$1,$AP$2,$AP$3,$AP$4,$AP$5,$AP$6,$AP$7,$AP$8,$AP$9,$AP$10,$AP$11,$AP$12),"")</f>
        <v/>
      </c>
      <c r="C1705" s="237"/>
      <c r="D1705" s="237"/>
      <c r="E1705" s="237"/>
      <c r="F1705" s="237"/>
      <c r="G1705" s="237"/>
      <c r="H1705" s="233"/>
      <c r="I1705" s="233"/>
      <c r="J1705" s="233"/>
      <c r="K1705" s="233"/>
      <c r="L1705" s="233"/>
      <c r="M1705" s="245" t="str">
        <f ca="1">IF(OR(AND($B1698&lt;&gt;"",$B1705&lt;&gt;"",$C1723&lt;=$B1723),AND($B1700&lt;&gt;"",$B1707&lt;&gt;"",$G1723&lt;=$F1723)),"Invalid Lineup","")</f>
        <v/>
      </c>
      <c r="N1705" s="246"/>
      <c r="O1705" s="246"/>
      <c r="P1705" s="247"/>
      <c r="Q1705" s="40" t="str">
        <f>IF($L1705=$L1707,IF($K1705=$K1707,IF($J1705&lt;&gt;"",IF($J1705&gt;$J1707,"W","L"),""),IF($K1705&gt;$K1707,"W","L")),IF($L1705&gt;$L1707,"W","L"))</f>
        <v/>
      </c>
      <c r="R1705" s="259" t="str">
        <f>$K1692</f>
        <v>J</v>
      </c>
      <c r="S1705" s="307" t="str">
        <f ca="1">IF($B1707&lt;&gt;"",$B1707,"")</f>
        <v/>
      </c>
      <c r="T1705" s="308"/>
      <c r="U1705" s="308"/>
      <c r="V1705" s="308"/>
      <c r="W1705" s="308"/>
      <c r="X1705" s="309"/>
      <c r="Y1705" s="284"/>
      <c r="Z1705" s="284"/>
      <c r="AA1705" s="284"/>
      <c r="AB1705" s="284"/>
      <c r="AC1705" s="297"/>
      <c r="AD1705" s="289" t="s">
        <v>169</v>
      </c>
      <c r="AE1705" s="290"/>
      <c r="AF1705" s="291"/>
    </row>
    <row r="1706" spans="1:32" ht="12.75" customHeight="1" x14ac:dyDescent="0.25">
      <c r="A1706" s="260"/>
      <c r="B1706" s="238"/>
      <c r="C1706" s="239"/>
      <c r="D1706" s="239"/>
      <c r="E1706" s="239"/>
      <c r="F1706" s="239"/>
      <c r="G1706" s="239"/>
      <c r="H1706" s="234"/>
      <c r="I1706" s="234"/>
      <c r="J1706" s="234"/>
      <c r="K1706" s="234"/>
      <c r="L1706" s="234"/>
      <c r="M1706" s="245"/>
      <c r="N1706" s="246"/>
      <c r="O1706" s="246"/>
      <c r="P1706" s="247"/>
      <c r="Q1706" s="110" t="str">
        <f>IF($Q1705&lt;&gt;"",IF($Q1705="W",IF(SUM(IF($H1705&gt;$H1707,1,0),IF($I1705&gt;$I1707,1,0),IF($J1705&gt;$J1707,1,0),IF($K1705&gt;$K1707,1,0),IF($L1705&gt;$L1707,1,0))&lt;&gt;3,"Error",""),""),"")</f>
        <v/>
      </c>
      <c r="R1706" s="285"/>
      <c r="S1706" s="310"/>
      <c r="T1706" s="311"/>
      <c r="U1706" s="311"/>
      <c r="V1706" s="311"/>
      <c r="W1706" s="311"/>
      <c r="X1706" s="312"/>
      <c r="Y1706" s="285"/>
      <c r="Z1706" s="285"/>
      <c r="AA1706" s="285"/>
      <c r="AB1706" s="285"/>
      <c r="AC1706" s="285"/>
      <c r="AD1706" s="292"/>
      <c r="AE1706" s="293"/>
      <c r="AF1706" s="294"/>
    </row>
    <row r="1707" spans="1:32" ht="12.75" customHeight="1" x14ac:dyDescent="0.25">
      <c r="A1707" s="259" t="str">
        <f>K1692</f>
        <v>J</v>
      </c>
      <c r="B1707" s="236" t="str">
        <f ca="1">IF(AND(OFFSET($AO$1,$L1692-1,8,1,1),$A1693&lt;&gt;"",$J1693&lt;&gt;""),CHOOSE($L1692,$AP$1,$AP$2,$AP$3,$AP$4,$AP$5,$AP$6,$AP$7,$AP$8,$AP$9,$AP$10,$AP$11,$AP$12),"")</f>
        <v/>
      </c>
      <c r="C1707" s="237"/>
      <c r="D1707" s="237"/>
      <c r="E1707" s="237"/>
      <c r="F1707" s="237"/>
      <c r="G1707" s="237"/>
      <c r="H1707" s="233"/>
      <c r="I1707" s="233"/>
      <c r="J1707" s="233"/>
      <c r="K1707" s="233"/>
      <c r="L1707" s="233"/>
      <c r="M1707" s="250" t="s">
        <v>169</v>
      </c>
      <c r="N1707" s="251"/>
      <c r="O1707" s="251"/>
      <c r="P1707" s="252"/>
      <c r="Q1707" s="40" t="str">
        <f>IF($Q1705&lt;&gt;"",IF($Q1705="W","L","W"),"")</f>
        <v/>
      </c>
      <c r="R1707" s="14"/>
      <c r="S1707" s="14"/>
      <c r="T1707" s="14"/>
      <c r="U1707" s="14"/>
      <c r="V1707" s="14"/>
      <c r="W1707" s="14"/>
      <c r="X1707" s="7"/>
      <c r="Y1707" s="7"/>
      <c r="Z1707" s="14"/>
      <c r="AA1707" s="14"/>
      <c r="AB1707" s="14"/>
      <c r="AC1707" s="14"/>
      <c r="AD1707" s="14"/>
      <c r="AE1707" s="14"/>
      <c r="AF1707"/>
    </row>
    <row r="1708" spans="1:32" ht="12.75" customHeight="1" x14ac:dyDescent="0.25">
      <c r="A1708" s="260"/>
      <c r="B1708" s="238"/>
      <c r="C1708" s="239"/>
      <c r="D1708" s="239"/>
      <c r="E1708" s="239"/>
      <c r="F1708" s="239"/>
      <c r="G1708" s="239"/>
      <c r="H1708" s="234"/>
      <c r="I1708" s="234"/>
      <c r="J1708" s="235"/>
      <c r="K1708" s="235"/>
      <c r="L1708" s="235"/>
      <c r="M1708" s="250"/>
      <c r="N1708" s="251"/>
      <c r="O1708" s="251"/>
      <c r="P1708" s="252"/>
      <c r="Q1708" s="110" t="str">
        <f>IF($Q1707&lt;&gt;"",IF($Q1707="W",IF(SUM(IF($H1707&gt;$H1705,1,0),IF($I1707&gt;$I1705,1,0),IF($J1707&gt;$J1705,1,0),IF($K1707&gt;$K1705,1,0),IF($L1707&gt;$L1705,1,0))&lt;&gt;3,"Error",""),""),"")</f>
        <v/>
      </c>
      <c r="R1708" s="14"/>
      <c r="S1708" s="14"/>
      <c r="T1708" s="14"/>
      <c r="U1708" s="14"/>
      <c r="V1708" s="14"/>
      <c r="W1708" s="14"/>
      <c r="X1708" s="7"/>
      <c r="Y1708" s="7"/>
      <c r="Z1708" s="14"/>
      <c r="AA1708" s="14"/>
      <c r="AB1708" s="14"/>
      <c r="AC1708" s="14"/>
      <c r="AD1708" s="14"/>
      <c r="AE1708" s="14"/>
      <c r="AF1708"/>
    </row>
    <row r="1709" spans="1:32" ht="12.75" customHeight="1" x14ac:dyDescent="0.25">
      <c r="Q1709" s="6"/>
      <c r="R1709" s="14"/>
      <c r="S1709" s="14"/>
      <c r="T1709" s="14"/>
      <c r="U1709" s="14"/>
      <c r="V1709" s="14"/>
      <c r="W1709" s="14"/>
      <c r="X1709" s="7"/>
      <c r="Y1709" s="7"/>
      <c r="Z1709" s="14"/>
      <c r="AA1709" s="14"/>
      <c r="AB1709" s="14"/>
      <c r="AC1709" s="14"/>
      <c r="AD1709" s="14"/>
      <c r="AE1709" s="14"/>
      <c r="AF1709"/>
    </row>
    <row r="1710" spans="1:32" ht="12.75" customHeight="1" x14ac:dyDescent="0.25">
      <c r="A1710" s="15" t="s">
        <v>167</v>
      </c>
      <c r="H1710" s="110" t="str">
        <f>IF($Q1712&lt;&gt;"",IF(AND(AND($H1712&gt;-1,$H1714&gt;-1),OR($H1712&gt;10,$H1714&gt;10),ABS($H1712-$H1714)&gt;1,IF(OR($H1712&gt;11,$H1714&gt;11),ABS($H1712-$H1714)=2,TRUE),$H1712=INT($H1712),$H1714=INT($H1714)),"","Error"),"")</f>
        <v/>
      </c>
      <c r="I1710" s="110" t="str">
        <f>IF($Q1712&lt;&gt;"",IF(AND(AND($I1712&gt;-1,$I1714&gt;-1),OR($I1712&gt;10,$I1714&gt;10),ABS($I1712-$I1714)&gt;1,IF(OR($I1712&gt;11,$I1714&gt;11),ABS($I1712-$I1714)=2,TRUE),$I1712=INT($I1712),$I1714=INT($I1714)),"","Error"),"")</f>
        <v/>
      </c>
      <c r="J1710" s="110" t="str">
        <f>IF($Q1712&lt;&gt;"",IF(AND(AND($J1712&gt;-1,$J1714&gt;-1),OR($J1712&gt;10,$J1714&gt;10),ABS($J1712-$J1714)&gt;1,IF(OR($J1712&gt;11,$J1714&gt;11),ABS($J1712-$J1714)=2,TRUE),$J1712=INT($J1712),$J1714=INT($J1714)),"","Error"),"")</f>
        <v/>
      </c>
      <c r="K1710" s="110" t="str">
        <f>IF($Q1712&lt;&gt;"",IF(AND($K1712&lt;&gt;"",$K1714&lt;&gt;""), IF(AND(AND($K1712&gt;-1,$K1714&gt;-1),OR($K1712&gt;10,$K1714&gt;10),ABS($K1712-$K1714)&gt;1,IF(OR($K1712&gt;11,$K1714&gt;11),ABS($K1712-$K1714)=2,TRUE),$K1712=INT($K1712),$K1714=INT($K1714)),"","Error"),""),"")</f>
        <v/>
      </c>
      <c r="L1710" s="110" t="str">
        <f>IF($Q1712&lt;&gt;"",IF(AND($L1712&lt;&gt;"",$L1714&lt;&gt;""), IF(AND(AND($L1712&gt;-1,$L1714&gt;-1),OR($L1712&gt;10,$L1714&gt;10),ABS($L1712-$L1714)&gt;1,IF(OR($L1712&gt;11,$L1714&gt;11),ABS($L1712-$L1714)=2,TRUE),$L1712=INT($L1712),$L1714=INT($L1714)),"","Error"),""),"")</f>
        <v/>
      </c>
      <c r="Q1710" s="6"/>
      <c r="R1710" s="14"/>
      <c r="S1710" s="14"/>
      <c r="T1710" s="14"/>
      <c r="U1710" s="14"/>
      <c r="V1710" s="14"/>
      <c r="W1710" s="14"/>
      <c r="X1710" s="7"/>
      <c r="Y1710" s="7"/>
      <c r="Z1710" s="14"/>
      <c r="AA1710" s="14"/>
      <c r="AB1710" s="14"/>
      <c r="AC1710" s="14"/>
      <c r="AD1710" s="14"/>
      <c r="AE1710" s="14"/>
      <c r="AF1710"/>
    </row>
    <row r="1711" spans="1:32" ht="12.75" customHeight="1" x14ac:dyDescent="0.25">
      <c r="A1711" s="5" t="s">
        <v>160</v>
      </c>
      <c r="B1711" s="256" t="s">
        <v>58</v>
      </c>
      <c r="C1711" s="257"/>
      <c r="D1711" s="257"/>
      <c r="E1711" s="257"/>
      <c r="F1711" s="257"/>
      <c r="G1711" s="258"/>
      <c r="H1711" s="5">
        <v>1</v>
      </c>
      <c r="I1711" s="5">
        <v>2</v>
      </c>
      <c r="J1711" s="5">
        <v>3</v>
      </c>
      <c r="K1711" s="5">
        <v>4</v>
      </c>
      <c r="L1711" s="5">
        <v>5</v>
      </c>
      <c r="M1711" s="270"/>
      <c r="N1711" s="271"/>
      <c r="O1711" s="271"/>
      <c r="P1711" s="272"/>
      <c r="Q1711" s="6"/>
      <c r="R1711" s="14"/>
      <c r="S1711" s="14"/>
      <c r="T1711" s="14"/>
      <c r="U1711" s="14"/>
      <c r="V1711" s="14"/>
      <c r="W1711" s="14"/>
      <c r="X1711" s="7"/>
      <c r="Y1711" s="7"/>
      <c r="Z1711" s="14"/>
      <c r="AA1711" s="14"/>
      <c r="AB1711" s="14"/>
      <c r="AC1711" s="14"/>
      <c r="AD1711" s="14"/>
      <c r="AE1711" s="14"/>
      <c r="AF1711"/>
    </row>
    <row r="1712" spans="1:32" ht="12.75" customHeight="1" x14ac:dyDescent="0.25">
      <c r="A1712" s="259" t="str">
        <f>B1692</f>
        <v>D</v>
      </c>
      <c r="B1712" s="236" t="str">
        <f ca="1">IF(AND(OFFSET($AO$1,$C1692-1,8,1,1),$A1693&lt;&gt;"",$J1693&lt;&gt;""),CHOOSE($C1692,$AQ$1,$AQ$2,$AQ$3,$AQ$4,$AQ$5,$AQ$6,$AQ$7,$AQ$8,$AQ$9,$AQ$10,$AQ$11,$AQ$12),"")</f>
        <v/>
      </c>
      <c r="C1712" s="237"/>
      <c r="D1712" s="237"/>
      <c r="E1712" s="237"/>
      <c r="F1712" s="237"/>
      <c r="G1712" s="237"/>
      <c r="H1712" s="233"/>
      <c r="I1712" s="233"/>
      <c r="J1712" s="233"/>
      <c r="K1712" s="233"/>
      <c r="L1712" s="233"/>
      <c r="M1712" s="245" t="str">
        <f ca="1">IF(OR(AND($B1705&lt;&gt;"",$B1712&lt;&gt;"",$D1723&lt;=$C1723),AND($B1707&lt;&gt;"",$B1714&lt;&gt;"",$H1723&lt;=$G1723)),"Invalid Lineup","")</f>
        <v/>
      </c>
      <c r="N1712" s="246"/>
      <c r="O1712" s="246"/>
      <c r="P1712" s="247"/>
      <c r="Q1712" s="40" t="str">
        <f>IF($L1712=$L1714,IF($K1712=$K1714,IF($J1712&lt;&gt;"",IF($J1712&gt;$J1714,"W","L"),""),IF($K1712&gt;$K1714,"W","L")),IF($L1712&gt;$L1714,"W","L"))</f>
        <v/>
      </c>
      <c r="R1712" s="14"/>
      <c r="S1712" s="14"/>
      <c r="T1712" s="14"/>
      <c r="U1712" s="14"/>
      <c r="V1712" s="14"/>
      <c r="W1712" s="14"/>
      <c r="X1712" s="7"/>
      <c r="Y1712" s="7"/>
      <c r="Z1712" s="14"/>
      <c r="AA1712" s="14"/>
      <c r="AB1712" s="14"/>
      <c r="AC1712" s="14"/>
      <c r="AD1712" s="14"/>
      <c r="AE1712" s="14"/>
      <c r="AF1712"/>
    </row>
    <row r="1713" spans="1:32" ht="12.75" customHeight="1" x14ac:dyDescent="0.25">
      <c r="A1713" s="260"/>
      <c r="B1713" s="238"/>
      <c r="C1713" s="239"/>
      <c r="D1713" s="239"/>
      <c r="E1713" s="239"/>
      <c r="F1713" s="239"/>
      <c r="G1713" s="239"/>
      <c r="H1713" s="234"/>
      <c r="I1713" s="234"/>
      <c r="J1713" s="234"/>
      <c r="K1713" s="234"/>
      <c r="L1713" s="234"/>
      <c r="M1713" s="245"/>
      <c r="N1713" s="246"/>
      <c r="O1713" s="246"/>
      <c r="P1713" s="247"/>
      <c r="Q1713" s="110" t="str">
        <f>IF($Q1712&lt;&gt;"",IF($Q1712="W",IF(SUM(IF($H1712&gt;$H1714,1,0),IF($I1712&gt;$I1714,1,0),IF($J1712&gt;$J1714,1,0),IF($K1712&gt;$K1714,1,0),IF($L1712&gt;$L1714,1,0))&lt;&gt;3,"Error",""),""),"")</f>
        <v/>
      </c>
      <c r="R1713" s="295" t="str">
        <f>$A1693</f>
        <v/>
      </c>
      <c r="S1713" s="295"/>
      <c r="T1713" s="295"/>
      <c r="U1713" s="295"/>
      <c r="V1713" s="295"/>
      <c r="W1713" s="295"/>
      <c r="X1713" s="219" t="str">
        <f>CONCATENATE("(",$B1692," vs ",$K1692,")")</f>
        <v>(D vs J)</v>
      </c>
      <c r="Y1713" s="219"/>
      <c r="Z1713" s="295" t="str">
        <f>$J1693</f>
        <v/>
      </c>
      <c r="AA1713" s="295"/>
      <c r="AB1713" s="295"/>
      <c r="AC1713" s="295"/>
      <c r="AD1713" s="295"/>
      <c r="AE1713" s="295"/>
      <c r="AF1713"/>
    </row>
    <row r="1714" spans="1:32" ht="12.75" customHeight="1" x14ac:dyDescent="0.25">
      <c r="A1714" s="259" t="str">
        <f>K1692</f>
        <v>J</v>
      </c>
      <c r="B1714" s="236" t="str">
        <f ca="1">IF(AND(OFFSET($AO$1,$L1692-1,8,1,1),$A1693&lt;&gt;"",$J1693&lt;&gt;""),CHOOSE($L1692,$AQ$1,$AQ$2,$AQ$3,$AQ$4,$AQ$5,$AQ$6,$AQ$7,$AQ$8,$AQ$9,$AQ$10,$AQ$11,$AQ$12),"")</f>
        <v/>
      </c>
      <c r="C1714" s="237"/>
      <c r="D1714" s="237"/>
      <c r="E1714" s="237"/>
      <c r="F1714" s="237"/>
      <c r="G1714" s="237"/>
      <c r="H1714" s="233"/>
      <c r="I1714" s="233"/>
      <c r="J1714" s="233"/>
      <c r="K1714" s="233"/>
      <c r="L1714" s="233"/>
      <c r="M1714" s="250" t="s">
        <v>169</v>
      </c>
      <c r="N1714" s="251"/>
      <c r="O1714" s="251"/>
      <c r="P1714" s="252"/>
      <c r="Q1714" s="40" t="str">
        <f>IF($Q1712&lt;&gt;"",IF($Q1712="W","L","W"),"")</f>
        <v/>
      </c>
      <c r="R1714"/>
      <c r="S1714"/>
      <c r="T1714"/>
      <c r="U1714"/>
      <c r="V1714"/>
      <c r="W1714"/>
      <c r="X1714"/>
      <c r="Y1714"/>
      <c r="Z1714"/>
      <c r="AA1714"/>
      <c r="AB1714"/>
      <c r="AC1714"/>
      <c r="AD1714"/>
      <c r="AE1714"/>
      <c r="AF1714"/>
    </row>
    <row r="1715" spans="1:32" ht="12.75" customHeight="1" x14ac:dyDescent="0.25">
      <c r="A1715" s="260"/>
      <c r="B1715" s="238"/>
      <c r="C1715" s="239"/>
      <c r="D1715" s="239"/>
      <c r="E1715" s="239"/>
      <c r="F1715" s="239"/>
      <c r="G1715" s="239"/>
      <c r="H1715" s="234"/>
      <c r="I1715" s="234"/>
      <c r="J1715" s="235"/>
      <c r="K1715" s="235"/>
      <c r="L1715" s="235"/>
      <c r="M1715" s="250"/>
      <c r="N1715" s="251"/>
      <c r="O1715" s="251"/>
      <c r="P1715" s="252"/>
      <c r="Q1715" s="110" t="str">
        <f>IF($Q1714&lt;&gt;"",IF($Q1714="W",IF(SUM(IF($H1714&gt;$H1712,1,0),IF($I1714&gt;$I1712,1,0),IF($J1714&gt;$J1712,1,0),IF($K1714&gt;$K1712,1,0),IF($L1714&gt;$L1712,1,0))&lt;&gt;3,"Error",""),""),"")</f>
        <v/>
      </c>
      <c r="R1715" t="str">
        <f>$A1710</f>
        <v>3rd Singles</v>
      </c>
      <c r="S1715"/>
      <c r="T1715"/>
      <c r="U1715"/>
      <c r="V1715"/>
      <c r="W1715"/>
      <c r="X1715"/>
      <c r="Y1715"/>
      <c r="Z1715"/>
      <c r="AA1715"/>
      <c r="AB1715"/>
      <c r="AC1715"/>
      <c r="AD1715"/>
      <c r="AE1715"/>
      <c r="AF1715"/>
    </row>
    <row r="1716" spans="1:32" ht="12.75" customHeight="1" x14ac:dyDescent="0.25">
      <c r="Q1716" s="6"/>
      <c r="R1716" s="47" t="s">
        <v>160</v>
      </c>
      <c r="S1716" s="86" t="s">
        <v>58</v>
      </c>
      <c r="T1716" s="87"/>
      <c r="U1716" s="87"/>
      <c r="V1716" s="87"/>
      <c r="W1716" s="87"/>
      <c r="X1716" s="88"/>
      <c r="Y1716" s="47">
        <v>1</v>
      </c>
      <c r="Z1716" s="47">
        <v>2</v>
      </c>
      <c r="AA1716" s="47">
        <v>3</v>
      </c>
      <c r="AB1716" s="47">
        <v>4</v>
      </c>
      <c r="AC1716" s="47">
        <v>5</v>
      </c>
      <c r="AD1716" s="89"/>
      <c r="AE1716" s="90"/>
      <c r="AF1716" s="91"/>
    </row>
    <row r="1717" spans="1:32" ht="12.75" customHeight="1" x14ac:dyDescent="0.25">
      <c r="A1717" s="15" t="s">
        <v>168</v>
      </c>
      <c r="H1717" s="110" t="str">
        <f ca="1">IF($Q1719&lt;&gt;"",IF(AND($B1719&lt;&gt;"Missing Player",$B1721&lt;&gt;"Missing Player"),IF(AND(AND($H1719&gt;-1,$H1721&gt;-1),OR($H1719&gt;10,$H1721&gt;10),ABS($H1719-$H1721)&gt;1,IF(OR($H1719&gt;11,$H1721&gt;11),ABS($H1719-$H1721)=2,TRUE),$H1719=INT($H1719),$H1721=INT($H1721)),"","Error"),""),"")</f>
        <v/>
      </c>
      <c r="I1717" s="110" t="str">
        <f ca="1">IF($Q1719&lt;&gt;"",IF(AND($B1719&lt;&gt;"Missing Player",$B1721&lt;&gt;"Missing Player"),IF(AND(AND($I1719&gt;-1,$I1721&gt;-1),OR($I1719&gt;10,$I1721&gt;10),ABS($I1719-$I1721)&gt;1,IF(OR($I1719&gt;11,$I1721&gt;11),ABS($I1719-$I1721)=2,TRUE),$I1719=INT($I1719),$I1721=INT($I1721)),"","Error"),""),"")</f>
        <v/>
      </c>
      <c r="J1717" s="110" t="str">
        <f ca="1">IF($Q1719&lt;&gt;"",IF(AND($B1719&lt;&gt;"Missing Player",$B1721&lt;&gt;"Missing Player"),IF(AND(AND($J1719&gt;-1,$J1721&gt;-1),OR($J1719&gt;10,$J1721&gt;10),ABS($J1719-$J1721)&gt;1,IF(OR($J1719&gt;11,$J1721&gt;11),ABS($J1719-$J1721)=2,TRUE),$J1719=INT($J1719),$J1721=INT($J1721)),"","Error"),""),"")</f>
        <v/>
      </c>
      <c r="K1717" s="110" t="str">
        <f ca="1">IF($Q1719&lt;&gt;"",IF(AND($K1719&lt;&gt;"",$K1721&lt;&gt;""), IF(AND(AND($K1719&gt;-1,$K1721&gt;-1),OR($K1719&gt;10,$K1721&gt;10),ABS($K1719-$K1721)&gt;1,IF(OR($K1719&gt;11,$K1721&gt;11),ABS($K1719-$K1721)=2,TRUE),$K1719=INT($K1719),$K1721=INT($K1721)),"","Error"),""),"")</f>
        <v/>
      </c>
      <c r="L1717" s="110" t="str">
        <f ca="1">IF($Q1719&lt;&gt;"",IF(AND($L1719&lt;&gt;"",$L1721&lt;&gt;""), IF(AND(AND($L1719&gt;-1,$L1721&gt;-1),OR($L1719&gt;10,$L1721&gt;10),ABS($L1719-$L1721)&gt;1,IF(OR($L1719&gt;11,$L1721&gt;11),ABS($L1719-$L1721)=2,TRUE),$L1719=INT($L1719),$L1721=INT($L1721)),"","Error"),""),"")</f>
        <v/>
      </c>
      <c r="Q1717" s="6"/>
      <c r="R1717" s="259" t="str">
        <f>$B1692</f>
        <v>D</v>
      </c>
      <c r="S1717" s="307" t="str">
        <f ca="1">IF($B1712&lt;&gt;"",$B1712,"")</f>
        <v/>
      </c>
      <c r="T1717" s="308"/>
      <c r="U1717" s="308"/>
      <c r="V1717" s="308"/>
      <c r="W1717" s="308"/>
      <c r="X1717" s="309"/>
      <c r="Y1717" s="284"/>
      <c r="Z1717" s="284"/>
      <c r="AA1717" s="284"/>
      <c r="AB1717" s="284"/>
      <c r="AC1717" s="284"/>
      <c r="AD1717" s="296"/>
      <c r="AE1717" s="290"/>
      <c r="AF1717" s="291"/>
    </row>
    <row r="1718" spans="1:32" ht="12.75" customHeight="1" x14ac:dyDescent="0.25">
      <c r="A1718" s="5" t="s">
        <v>160</v>
      </c>
      <c r="B1718" s="256" t="s">
        <v>58</v>
      </c>
      <c r="C1718" s="257"/>
      <c r="D1718" s="257"/>
      <c r="E1718" s="257"/>
      <c r="F1718" s="257"/>
      <c r="G1718" s="258"/>
      <c r="H1718" s="5">
        <v>1</v>
      </c>
      <c r="I1718" s="5">
        <v>2</v>
      </c>
      <c r="J1718" s="5">
        <v>3</v>
      </c>
      <c r="K1718" s="5">
        <v>4</v>
      </c>
      <c r="L1718" s="5">
        <v>5</v>
      </c>
      <c r="M1718" s="270"/>
      <c r="N1718" s="271"/>
      <c r="O1718" s="271"/>
      <c r="P1718" s="272"/>
      <c r="Q1718" s="6"/>
      <c r="R1718" s="285"/>
      <c r="S1718" s="310"/>
      <c r="T1718" s="311"/>
      <c r="U1718" s="311"/>
      <c r="V1718" s="311"/>
      <c r="W1718" s="311"/>
      <c r="X1718" s="312"/>
      <c r="Y1718" s="285"/>
      <c r="Z1718" s="285"/>
      <c r="AA1718" s="285"/>
      <c r="AB1718" s="285"/>
      <c r="AC1718" s="285"/>
      <c r="AD1718" s="292"/>
      <c r="AE1718" s="293"/>
      <c r="AF1718" s="294"/>
    </row>
    <row r="1719" spans="1:32" ht="12.75" customHeight="1" x14ac:dyDescent="0.25">
      <c r="A1719" s="259" t="str">
        <f>B1692</f>
        <v>D</v>
      </c>
      <c r="B1719" s="236" t="str">
        <f ca="1">IF(AND(OFFSET($AO$1,$C1692-1,8,1,1),$A1693&lt;&gt;"",$J1693&lt;&gt;""),CHOOSE($C1692,$AR$1,$AR$2,$AR$3,$AR$4,$AR$5,$AR$6,$AR$7,$AR$8,$AR$9,$AR$10,$AR$11,$AR$12),"")</f>
        <v/>
      </c>
      <c r="C1719" s="237"/>
      <c r="D1719" s="237"/>
      <c r="E1719" s="237"/>
      <c r="F1719" s="237"/>
      <c r="G1719" s="237"/>
      <c r="H1719" s="233"/>
      <c r="I1719" s="233"/>
      <c r="J1719" s="233"/>
      <c r="K1719" s="233"/>
      <c r="L1719" s="233" t="str">
        <f ca="1">IF(AND($B1719&lt;&gt;"",$Q1698&lt;&gt;""),IF($B1719="Missing Player",0,IF($B1721="Missing Player",11,"")),"")</f>
        <v/>
      </c>
      <c r="M1719" s="245" t="str">
        <f ca="1">IF(OR(AND($B1712&lt;&gt;"",$B1719&lt;&gt;"",$E1723&lt;=$D1723),AND($B1714&lt;&gt;"",$B1721&lt;&gt;"",$I1723&lt;=$H1723)),"Invalid Lineup","")</f>
        <v/>
      </c>
      <c r="N1719" s="246"/>
      <c r="O1719" s="246"/>
      <c r="P1719" s="247"/>
      <c r="Q1719" s="40" t="str">
        <f ca="1">IF($L1719=$L1721,IF($K1719=$K1721,IF($J1719&lt;&gt;"",IF($J1719&gt;$J1721,"W","L"),""),IF($K1719&gt;$K1721,"W","L")),IF($L1719&gt;$L1721,"W","L"))</f>
        <v/>
      </c>
      <c r="R1719" s="259" t="str">
        <f>$K1692</f>
        <v>J</v>
      </c>
      <c r="S1719" s="307" t="str">
        <f ca="1">IF($B1714&lt;&gt;"",$B1714,"")</f>
        <v/>
      </c>
      <c r="T1719" s="308"/>
      <c r="U1719" s="308"/>
      <c r="V1719" s="308"/>
      <c r="W1719" s="308"/>
      <c r="X1719" s="309"/>
      <c r="Y1719" s="284"/>
      <c r="Z1719" s="284"/>
      <c r="AA1719" s="284"/>
      <c r="AB1719" s="284"/>
      <c r="AC1719" s="297"/>
      <c r="AD1719" s="289" t="s">
        <v>169</v>
      </c>
      <c r="AE1719" s="290"/>
      <c r="AF1719" s="291"/>
    </row>
    <row r="1720" spans="1:32" ht="12.75" customHeight="1" x14ac:dyDescent="0.25">
      <c r="A1720" s="260"/>
      <c r="B1720" s="238"/>
      <c r="C1720" s="239"/>
      <c r="D1720" s="239"/>
      <c r="E1720" s="239"/>
      <c r="F1720" s="239"/>
      <c r="G1720" s="239"/>
      <c r="H1720" s="234"/>
      <c r="I1720" s="234"/>
      <c r="J1720" s="234"/>
      <c r="K1720" s="234"/>
      <c r="L1720" s="234"/>
      <c r="M1720" s="245"/>
      <c r="N1720" s="246"/>
      <c r="O1720" s="246"/>
      <c r="P1720" s="247"/>
      <c r="Q1720" s="110" t="str">
        <f ca="1">IF($Q1719&lt;&gt;"",IF($B1721&lt;&gt;"Missing Player",IF($Q1719="W",IF(SUM(IF($H1719&gt;$H1721,1,0),IF($I1719&gt;$I1721,1,0),IF($J1719&gt;$J1721,1,0),IF($K1719&gt;$K1721,1,0),IF($L1719&gt;$L1721,1,0))&lt;&gt;3,"Error",""),""),""),"")</f>
        <v/>
      </c>
      <c r="R1720" s="285"/>
      <c r="S1720" s="310"/>
      <c r="T1720" s="311"/>
      <c r="U1720" s="311"/>
      <c r="V1720" s="311"/>
      <c r="W1720" s="311"/>
      <c r="X1720" s="312"/>
      <c r="Y1720" s="285"/>
      <c r="Z1720" s="285"/>
      <c r="AA1720" s="285"/>
      <c r="AB1720" s="285"/>
      <c r="AC1720" s="285"/>
      <c r="AD1720" s="292"/>
      <c r="AE1720" s="293"/>
      <c r="AF1720" s="294"/>
    </row>
    <row r="1721" spans="1:32" ht="12.75" customHeight="1" x14ac:dyDescent="0.25">
      <c r="A1721" s="259" t="str">
        <f>K1692</f>
        <v>J</v>
      </c>
      <c r="B1721" s="236" t="str">
        <f ca="1">IF(AND(OFFSET($AO$1,$L1692-1,8,1,1),$A1693&lt;&gt;"",$J1693&lt;&gt;""),CHOOSE($L1692,$AR$1,$AR$2,$AR$3,$AR$4,$AR$5,$AR$6,$AR$7,$AR$8,$AR$9,$AR$10,$AR$11,$AR$12),"")</f>
        <v/>
      </c>
      <c r="C1721" s="237"/>
      <c r="D1721" s="237"/>
      <c r="E1721" s="237"/>
      <c r="F1721" s="237"/>
      <c r="G1721" s="237"/>
      <c r="H1721" s="233"/>
      <c r="I1721" s="233"/>
      <c r="J1721" s="233"/>
      <c r="K1721" s="233"/>
      <c r="L1721" s="233" t="str">
        <f ca="1">IF(AND($B1721&lt;&gt;"",$Q1698&lt;&gt;""),IF($B1721="Missing Player",0,IF($B1719="Missing Player",11,"")),"")</f>
        <v/>
      </c>
      <c r="M1721" s="250" t="s">
        <v>169</v>
      </c>
      <c r="N1721" s="251"/>
      <c r="O1721" s="251"/>
      <c r="P1721" s="252"/>
      <c r="Q1721" s="40" t="str">
        <f ca="1">IF($Q1719&lt;&gt;"",IF($Q1719="W","L","W"),"")</f>
        <v/>
      </c>
      <c r="R1721" s="94"/>
      <c r="S1721" s="84"/>
      <c r="T1721" s="84"/>
      <c r="U1721" s="84"/>
      <c r="V1721" s="84"/>
      <c r="W1721" s="84"/>
      <c r="X1721" s="84"/>
      <c r="Y1721" s="93"/>
      <c r="Z1721" s="93"/>
      <c r="AA1721" s="93"/>
      <c r="AB1721" s="93"/>
      <c r="AC1721" s="93"/>
      <c r="AD1721" s="92"/>
      <c r="AE1721" s="93"/>
      <c r="AF1721" s="93"/>
    </row>
    <row r="1722" spans="1:32" ht="12.75" customHeight="1" x14ac:dyDescent="0.25">
      <c r="A1722" s="260"/>
      <c r="B1722" s="238"/>
      <c r="C1722" s="239"/>
      <c r="D1722" s="239"/>
      <c r="E1722" s="239"/>
      <c r="F1722" s="239"/>
      <c r="G1722" s="239"/>
      <c r="H1722" s="234"/>
      <c r="I1722" s="234"/>
      <c r="J1722" s="235"/>
      <c r="K1722" s="235"/>
      <c r="L1722" s="235"/>
      <c r="M1722" s="250"/>
      <c r="N1722" s="251"/>
      <c r="O1722" s="251"/>
      <c r="P1722" s="252"/>
      <c r="Q1722" s="110" t="str">
        <f ca="1">IF($Q1721&lt;&gt;"",IF($B1719&lt;&gt;"Missing Player",IF($Q1721="W",IF(SUM(IF($H1721&gt;$H1719,1,0),IF($I1721&gt;$I1719,1,0),IF($J1721&gt;$J1719,1,0),IF($K1721&gt;$K1719,1,0),IF($L1721&gt;$L1719,1,0))&lt;&gt;3,"Error",""),""),""),"")</f>
        <v/>
      </c>
      <c r="R1722" s="85"/>
      <c r="S1722" s="95"/>
      <c r="T1722" s="95"/>
      <c r="U1722" s="95"/>
      <c r="V1722" s="95"/>
      <c r="W1722" s="95"/>
      <c r="X1722" s="95"/>
      <c r="Y1722" s="85"/>
      <c r="Z1722" s="85"/>
      <c r="AA1722" s="85"/>
      <c r="AB1722" s="85"/>
      <c r="AC1722" s="85"/>
      <c r="AD1722" s="85"/>
      <c r="AE1722" s="85"/>
      <c r="AF1722" s="85"/>
    </row>
    <row r="1723" spans="1:32" ht="12.75" customHeight="1" x14ac:dyDescent="0.25">
      <c r="B1723" s="111" t="str">
        <f ca="1">IF(ISERROR(VLOOKUP($B1698&amp;"("&amp;$B1692&amp;")",Players!$S$4:$T$132,2,FALSE)),"",VLOOKUP($B1698&amp;"("&amp;$B1692&amp;")",Players!$S$4:$T$132,2,FALSE))</f>
        <v>D1</v>
      </c>
      <c r="C1723" s="111" t="str">
        <f ca="1">IF(ISERROR(VLOOKUP($B1705&amp;"("&amp;$B1692&amp;")",Players!$S$4:$T$132,2,FALSE)),"",VLOOKUP($B1705&amp;"("&amp;$B1692&amp;")",Players!$S$4:$T$132,2,FALSE))</f>
        <v>D1</v>
      </c>
      <c r="D1723" s="111" t="str">
        <f ca="1">IF(ISERROR(VLOOKUP($B1712&amp;"("&amp;$B1692&amp;")",Players!$S$4:$T$132,2,FALSE)),"",VLOOKUP($B1712&amp;"("&amp;$B1692&amp;")",Players!$S$4:$T$132,2,FALSE))</f>
        <v>D1</v>
      </c>
      <c r="E1723" s="111" t="str">
        <f ca="1">IF(ISERROR(VLOOKUP($B1719&amp;"("&amp;$B1692&amp;")",Players!$S$4:$T$132,2,FALSE)),"",VLOOKUP($B1719&amp;"("&amp;$B1692&amp;")",Players!$S$4:$T$132,2,FALSE))</f>
        <v>D1</v>
      </c>
      <c r="F1723" s="111" t="str">
        <f ca="1">IF(ISERROR(VLOOKUP($B1700&amp;"("&amp;$K1692&amp;")",Players!$S$4:$T$132,2,FALSE)),"",VLOOKUP($B1700&amp;"("&amp;$K1692&amp;")",Players!$S$4:$T$132,2,FALSE))</f>
        <v>J1</v>
      </c>
      <c r="G1723" s="111" t="str">
        <f ca="1">IF(ISERROR(VLOOKUP($B1707&amp;"("&amp;$K1692&amp;")",Players!$S$4:$T$132,2,FALSE)),"",VLOOKUP($B1707&amp;"("&amp;$K1692&amp;")",Players!$S$4:$T$132,2,FALSE))</f>
        <v>J1</v>
      </c>
      <c r="H1723" s="111" t="str">
        <f ca="1">IF(ISERROR(VLOOKUP($B1714&amp;"("&amp;$K1692&amp;")",Players!$S$4:$T$132,2,FALSE)),"",VLOOKUP($B1714&amp;"("&amp;$K1692&amp;")",Players!$S$4:$T$132,2,FALSE))</f>
        <v>J1</v>
      </c>
      <c r="I1723" s="111" t="str">
        <f ca="1">IF(ISERROR(VLOOKUP($B1721&amp;"("&amp;$K1692&amp;")",Players!$S$4:$T$132,2,FALSE)),"",VLOOKUP($B1721&amp;"("&amp;$K1692&amp;")",Players!$S$4:$T$132,2,FALSE))</f>
        <v>J1</v>
      </c>
      <c r="Q1723" s="6"/>
      <c r="R1723" s="37"/>
      <c r="S1723" s="95"/>
      <c r="T1723" s="95"/>
      <c r="U1723" s="95"/>
      <c r="V1723" s="95"/>
      <c r="W1723" s="95"/>
      <c r="X1723" s="95"/>
      <c r="Y1723" s="85"/>
      <c r="Z1723" s="85"/>
      <c r="AA1723" s="85"/>
      <c r="AB1723" s="85"/>
      <c r="AC1723" s="96"/>
      <c r="AD1723" s="97"/>
      <c r="AE1723" s="85"/>
      <c r="AF1723" s="85"/>
    </row>
    <row r="1724" spans="1:32" ht="12.75" customHeight="1" x14ac:dyDescent="0.25">
      <c r="A1724" s="15" t="s">
        <v>157</v>
      </c>
      <c r="H1724" s="110" t="str">
        <f ca="1">IF($Q1726&lt;&gt;"",IF(AND($B1727&lt;&gt;"Missing Player",$B1729&lt;&gt;"Missing Player"),IF(AND(AND($H1726&gt;-1,$H1728&gt;-1),OR($H1726&gt;10,$H1728&gt;10),ABS($H1726-$H1728)&gt;1,IF(OR($H1726&gt;11,$H1728&gt;11),ABS($H1726-$H1728)=2,TRUE),$H1726=INT($H1726),$H1728=INT($H1728)),"","Error"),""),"")</f>
        <v/>
      </c>
      <c r="I1724" s="110" t="str">
        <f ca="1">IF($Q1726&lt;&gt;"",IF(AND($B1727&lt;&gt;"Missing Player",$B1729&lt;&gt;"Missing Player"),IF(AND(AND($I1726&gt;-1,$I1728&gt;-1),OR($I1726&gt;10,$I1728&gt;10),ABS($I1726-$I1728)&gt;1,IF(OR($I1726&gt;11,$I1728&gt;11),ABS($I1726-$I1728)=2,TRUE),$I1726=INT($I1726),$I1728=INT($I1728)),"","Error"),""),"")</f>
        <v/>
      </c>
      <c r="J1724" s="110" t="str">
        <f ca="1">IF($Q1726&lt;&gt;"",IF(AND($B1727&lt;&gt;"Missing Player",$B1729&lt;&gt;"Missing Player"),IF(AND(AND($J1726&gt;-1,$J1728&gt;-1),OR($J1726&gt;10,$J1728&gt;10),ABS($J1726-$J1728)&gt;1,IF(OR($J1726&gt;11,$J1728&gt;11),ABS($J1726-$J1728)=2,TRUE),$J1726=INT($J1726),$J1728=INT($J1728)),"","Error"),""),"")</f>
        <v/>
      </c>
      <c r="K1724" s="110" t="str">
        <f ca="1">IF($Q1726&lt;&gt;"",IF(AND($K1726&lt;&gt;"",$K1728&lt;&gt;""), IF(AND(AND($K1726&gt;-1,$K1728&gt;-1),OR($K1726&gt;10,$K1728&gt;10),ABS($K1726-$K1728)&gt;1,IF(OR($K1726&gt;11,$K1728&gt;11),ABS($K1726-$K1728)=2,TRUE),$K1726=INT($K1726),$K1728=INT($K1728)),"","Error"),""),"")</f>
        <v/>
      </c>
      <c r="L1724" s="110" t="str">
        <f ca="1">IF($Q1726&lt;&gt;"",IF(AND($L1726&lt;&gt;"",$L1728&lt;&gt;""), IF(AND(AND($L1726&gt;-1,$L1728&gt;-1),OR($L1726&gt;10,$L1728&gt;10),ABS($L1726-$L1728)&gt;1,IF(OR($L1726&gt;11,$L1728&gt;11),ABS($L1726-$L1728)=2,TRUE),$L1726=INT($L1726),$L1728=INT($L1728)),"","Error"),""),"")</f>
        <v/>
      </c>
      <c r="Q1724" s="6"/>
      <c r="R1724" s="85"/>
      <c r="S1724" s="95"/>
      <c r="T1724" s="95"/>
      <c r="U1724" s="95"/>
      <c r="V1724" s="95"/>
      <c r="W1724" s="95"/>
      <c r="X1724" s="95"/>
      <c r="Y1724" s="85"/>
      <c r="Z1724" s="85"/>
      <c r="AA1724" s="85"/>
      <c r="AB1724" s="85"/>
      <c r="AC1724" s="85"/>
      <c r="AD1724" s="85"/>
      <c r="AE1724" s="85"/>
      <c r="AF1724" s="85"/>
    </row>
    <row r="1725" spans="1:32" ht="12.75" customHeight="1" x14ac:dyDescent="0.25">
      <c r="A1725" s="5" t="s">
        <v>160</v>
      </c>
      <c r="B1725" s="256" t="s">
        <v>58</v>
      </c>
      <c r="C1725" s="257"/>
      <c r="D1725" s="257"/>
      <c r="E1725" s="257"/>
      <c r="F1725" s="257"/>
      <c r="G1725" s="258"/>
      <c r="H1725" s="5">
        <v>1</v>
      </c>
      <c r="I1725" s="5">
        <v>2</v>
      </c>
      <c r="J1725" s="5">
        <v>3</v>
      </c>
      <c r="K1725" s="5">
        <v>4</v>
      </c>
      <c r="L1725" s="5">
        <v>5</v>
      </c>
      <c r="M1725" s="270"/>
      <c r="N1725" s="271"/>
      <c r="O1725" s="271"/>
      <c r="P1725" s="272"/>
      <c r="Q1725" s="6"/>
      <c r="T1725" s="7"/>
    </row>
    <row r="1726" spans="1:32" ht="12.75" customHeight="1" x14ac:dyDescent="0.25">
      <c r="A1726" s="259" t="str">
        <f>B1692</f>
        <v>D</v>
      </c>
      <c r="B1726" s="230" t="str">
        <f ca="1">IF($B1698&lt;&gt;"",$B1698,"")</f>
        <v/>
      </c>
      <c r="C1726" s="231"/>
      <c r="D1726" s="231"/>
      <c r="E1726" s="231"/>
      <c r="F1726" s="231"/>
      <c r="G1726" s="232"/>
      <c r="H1726" s="233"/>
      <c r="I1726" s="233"/>
      <c r="J1726" s="233"/>
      <c r="K1726" s="233"/>
      <c r="L1726" s="233" t="str">
        <f ca="1">IF($B1719&lt;&gt;"",IF(AND($B1719="Missing Player",$G1730=2,$J1730=2),0,IF(AND($B1721="Missing Player",$G1730=2,$J1730=2),11,"")),"")</f>
        <v/>
      </c>
      <c r="M1726" s="245" t="str">
        <f ca="1">IF(OR(AND($B1726&lt;&gt;"",$B1727&lt;&gt;"",$B1726=$B1727),AND($B1728&lt;&gt;"",$B1729&lt;&gt;"",$B1728=$B1729)),"Invalid Partner","")</f>
        <v/>
      </c>
      <c r="N1726" s="246"/>
      <c r="O1726" s="246"/>
      <c r="P1726" s="247"/>
      <c r="Q1726" s="37" t="str">
        <f ca="1">IF(L1726=L1728,IF(K1726=K1728,IF(J1726&lt;&gt;"",IF(J1726&gt;J1728,"W","L"),""),IF(K1726&gt;K1728,"W","L")),IF(L1726&gt;L1728,"W","L"))</f>
        <v/>
      </c>
      <c r="T1726" s="7"/>
    </row>
    <row r="1727" spans="1:32" ht="12.75" customHeight="1" x14ac:dyDescent="0.25">
      <c r="A1727" s="260"/>
      <c r="B1727" s="266" t="str">
        <f ca="1">IF($B1719="Missing Player",$B1719,"")</f>
        <v/>
      </c>
      <c r="C1727" s="267"/>
      <c r="D1727" s="267"/>
      <c r="E1727" s="267"/>
      <c r="F1727" s="267"/>
      <c r="G1727" s="268"/>
      <c r="H1727" s="234"/>
      <c r="I1727" s="234"/>
      <c r="J1727" s="234"/>
      <c r="K1727" s="234"/>
      <c r="L1727" s="234"/>
      <c r="M1727" s="245"/>
      <c r="N1727" s="246"/>
      <c r="O1727" s="246"/>
      <c r="P1727" s="247"/>
      <c r="Q1727" s="110" t="str">
        <f ca="1">IF($Q1726&lt;&gt;"",IF($B1729&lt;&gt;"Missing Player",IF($Q1726="W",IF(SUM(IF($H1726&gt;$H1728,1,0),IF($I1726&gt;$I1728,1,0),IF($J1726&gt;$J1728,1,0),IF($K1726&gt;$K1728,1,0),IF($L1726&gt;$L1728,1,0))&lt;&gt;3,"Error",""),""),""),"")</f>
        <v/>
      </c>
      <c r="R1727" s="295" t="str">
        <f>$A1693</f>
        <v/>
      </c>
      <c r="S1727" s="295"/>
      <c r="T1727" s="295"/>
      <c r="U1727" s="295"/>
      <c r="V1727" s="295"/>
      <c r="W1727" s="295"/>
      <c r="X1727" s="219" t="str">
        <f>CONCATENATE("(",$B1692," vs ",$K1692,")")</f>
        <v>(D vs J)</v>
      </c>
      <c r="Y1727" s="219"/>
      <c r="Z1727" s="295" t="str">
        <f>$J1693</f>
        <v/>
      </c>
      <c r="AA1727" s="295"/>
      <c r="AB1727" s="295"/>
      <c r="AC1727" s="295"/>
      <c r="AD1727" s="295"/>
      <c r="AE1727" s="295"/>
      <c r="AF1727"/>
    </row>
    <row r="1728" spans="1:32" ht="12.75" customHeight="1" x14ac:dyDescent="0.25">
      <c r="A1728" s="265" t="str">
        <f>K1692</f>
        <v>J</v>
      </c>
      <c r="B1728" s="230" t="str">
        <f ca="1">IF($B1700&lt;&gt;"",$B1700,"")</f>
        <v/>
      </c>
      <c r="C1728" s="231"/>
      <c r="D1728" s="231"/>
      <c r="E1728" s="231"/>
      <c r="F1728" s="231"/>
      <c r="G1728" s="232"/>
      <c r="H1728" s="233"/>
      <c r="I1728" s="233"/>
      <c r="J1728" s="233"/>
      <c r="K1728" s="233"/>
      <c r="L1728" s="233" t="str">
        <f ca="1">IF($B1721&lt;&gt;"",IF(AND($B1721="Missing Player",$G1730=2,$J1730=2),0,IF(AND($B1719="Missing Player",$G1730=2,$J1730=2),11,"")),"")</f>
        <v/>
      </c>
      <c r="M1728" s="250" t="s">
        <v>169</v>
      </c>
      <c r="N1728" s="251"/>
      <c r="O1728" s="251"/>
      <c r="P1728" s="252"/>
      <c r="Q1728" s="37" t="str">
        <f ca="1">IF(Q1726&lt;&gt;"",IF(Q1726="W","L","W"),"")</f>
        <v/>
      </c>
      <c r="R1728"/>
      <c r="S1728"/>
      <c r="T1728"/>
      <c r="U1728"/>
      <c r="V1728"/>
      <c r="W1728"/>
      <c r="X1728"/>
      <c r="Y1728"/>
      <c r="Z1728"/>
      <c r="AA1728"/>
      <c r="AB1728"/>
      <c r="AC1728"/>
      <c r="AD1728"/>
      <c r="AE1728"/>
      <c r="AF1728"/>
    </row>
    <row r="1729" spans="1:32" ht="12.75" customHeight="1" x14ac:dyDescent="0.25">
      <c r="A1729" s="260"/>
      <c r="B1729" s="266" t="str">
        <f ca="1">IF($B1721="Missing Player",$B1721,"")</f>
        <v/>
      </c>
      <c r="C1729" s="267"/>
      <c r="D1729" s="267"/>
      <c r="E1729" s="267"/>
      <c r="F1729" s="267"/>
      <c r="G1729" s="268"/>
      <c r="H1729" s="234"/>
      <c r="I1729" s="234"/>
      <c r="J1729" s="235"/>
      <c r="K1729" s="235"/>
      <c r="L1729" s="235"/>
      <c r="M1729" s="250"/>
      <c r="N1729" s="251"/>
      <c r="O1729" s="251"/>
      <c r="P1729" s="252"/>
      <c r="Q1729" s="110" t="str">
        <f ca="1">IF($Q1728&lt;&gt;"",IF($B1727&lt;&gt;"Missing Player",IF($Q1728="W",IF(SUM(IF($H1728&gt;$H1726,1,0),IF($I1728&gt;$I1726,1,0),IF($J1728&gt;$J1726,1,0),IF($K1728&gt;$K1726,1,0),IF($L1728&gt;$L1726,1,0))&lt;&gt;3,"Error",""),""),""),"")</f>
        <v/>
      </c>
      <c r="R1729" t="str">
        <f>A1717</f>
        <v>4th Singles</v>
      </c>
      <c r="S1729"/>
      <c r="T1729"/>
      <c r="U1729"/>
      <c r="V1729"/>
      <c r="W1729"/>
      <c r="X1729"/>
      <c r="Y1729"/>
      <c r="Z1729"/>
      <c r="AA1729"/>
      <c r="AB1729"/>
      <c r="AC1729"/>
      <c r="AD1729"/>
      <c r="AE1729"/>
      <c r="AF1729"/>
    </row>
    <row r="1730" spans="1:32" ht="12.75" customHeight="1" x14ac:dyDescent="0.25">
      <c r="G1730" s="53">
        <f ca="1">COUNTIF($Q1698:$Q1698,"W")+COUNTIF($Q1705:$Q1705,"W")+COUNTIF($Q1712:$Q1712,"W")+COUNTIF($Q1719:$Q1719,"W")</f>
        <v>0</v>
      </c>
      <c r="J1730" s="53">
        <f ca="1">COUNTIF($Q1700:$Q1700,"W")+COUNTIF($Q1707:$Q1707,"W")+COUNTIF($Q1714:$Q1714,"W")+COUNTIF($Q1721:$Q1721,"W")</f>
        <v>0</v>
      </c>
      <c r="R1730" s="47" t="s">
        <v>160</v>
      </c>
      <c r="S1730" s="304" t="s">
        <v>58</v>
      </c>
      <c r="T1730" s="305"/>
      <c r="U1730" s="305"/>
      <c r="V1730" s="305"/>
      <c r="W1730" s="305"/>
      <c r="X1730" s="306"/>
      <c r="Y1730" s="47">
        <v>1</v>
      </c>
      <c r="Z1730" s="47">
        <v>2</v>
      </c>
      <c r="AA1730" s="47">
        <v>3</v>
      </c>
      <c r="AB1730" s="47">
        <v>4</v>
      </c>
      <c r="AC1730" s="47">
        <v>5</v>
      </c>
      <c r="AD1730" s="286"/>
      <c r="AE1730" s="287"/>
      <c r="AF1730" s="288"/>
    </row>
    <row r="1731" spans="1:32" ht="12.75" customHeight="1" thickBot="1" x14ac:dyDescent="0.3">
      <c r="F1731" s="212" t="s">
        <v>170</v>
      </c>
      <c r="G1731" s="212"/>
      <c r="H1731" s="212"/>
      <c r="I1731" s="212"/>
      <c r="J1731" s="212"/>
      <c r="K1731" s="212"/>
      <c r="R1731" s="259" t="str">
        <f>B1692</f>
        <v>D</v>
      </c>
      <c r="S1731" s="307" t="str">
        <f ca="1">IF($B1719&lt;&gt;"",$B1719,"")</f>
        <v/>
      </c>
      <c r="T1731" s="308"/>
      <c r="U1731" s="308"/>
      <c r="V1731" s="308"/>
      <c r="W1731" s="308"/>
      <c r="X1731" s="309"/>
      <c r="Y1731" s="284"/>
      <c r="Z1731" s="284"/>
      <c r="AA1731" s="297"/>
      <c r="AB1731" s="297"/>
      <c r="AC1731" s="297"/>
      <c r="AD1731" s="296"/>
      <c r="AE1731" s="298"/>
      <c r="AF1731" s="299"/>
    </row>
    <row r="1732" spans="1:32" ht="12.75" customHeight="1" x14ac:dyDescent="0.25">
      <c r="A1732" s="16"/>
      <c r="B1732" s="16"/>
      <c r="C1732" s="16"/>
      <c r="D1732" s="16"/>
      <c r="E1732" s="16"/>
      <c r="G1732" s="261" t="str">
        <f>B1692</f>
        <v>D</v>
      </c>
      <c r="H1732" s="262"/>
      <c r="I1732" s="263" t="str">
        <f>K1692</f>
        <v>J</v>
      </c>
      <c r="J1732" s="264"/>
      <c r="L1732" s="16"/>
      <c r="M1732" s="16"/>
      <c r="N1732" s="16"/>
      <c r="O1732" s="16"/>
      <c r="P1732" s="16"/>
      <c r="R1732" s="260"/>
      <c r="S1732" s="310"/>
      <c r="T1732" s="311"/>
      <c r="U1732" s="311"/>
      <c r="V1732" s="311"/>
      <c r="W1732" s="311"/>
      <c r="X1732" s="312"/>
      <c r="Y1732" s="285"/>
      <c r="Z1732" s="285"/>
      <c r="AA1732" s="303"/>
      <c r="AB1732" s="303"/>
      <c r="AC1732" s="303"/>
      <c r="AD1732" s="300"/>
      <c r="AE1732" s="301"/>
      <c r="AF1732" s="302"/>
    </row>
    <row r="1733" spans="1:32" ht="12.75" customHeight="1" thickBot="1" x14ac:dyDescent="0.3">
      <c r="A1733" s="2" t="s">
        <v>160</v>
      </c>
      <c r="B1733" s="40" t="str">
        <f>B1692</f>
        <v>D</v>
      </c>
      <c r="C1733" s="3" t="s">
        <v>158</v>
      </c>
      <c r="F1733" s="53" t="str">
        <f>CONCATENATE($B1692,"-",$K1692)</f>
        <v>D-J</v>
      </c>
      <c r="G1733" s="240" t="str">
        <f ca="1">IF(OR(Q1698&lt;&gt;"",Q1705&lt;&gt;"",Q1712&lt;&gt;"",Q1719&lt;&gt;"",Q1726&lt;&gt;""),COUNTIF(Q1698:Q1698,"W")+COUNTIF(Q1705:Q1705,"W")+COUNTIF(Q1712:Q1712,"W")+COUNTIF(Q1719:Q1719,"W")+COUNTIF(Q1726:Q1726,"W"),"")</f>
        <v/>
      </c>
      <c r="H1733" s="241"/>
      <c r="I1733" s="242" t="str">
        <f ca="1">IF(OR(Q1700&lt;&gt;"",Q1707&lt;&gt;"",Q1714&lt;&gt;"",Q1721&lt;&gt;"",Q1728&lt;&gt;""),COUNTIF(Q1700:Q1700,"W")+COUNTIF(Q1707:Q1707,"W")+COUNTIF(Q1714:Q1714,"W")+COUNTIF(Q1721:Q1721,"W")+COUNTIF(Q1728:Q1728,"W"),"")</f>
        <v/>
      </c>
      <c r="J1733" s="243"/>
      <c r="L1733" s="2" t="s">
        <v>160</v>
      </c>
      <c r="M1733" s="40" t="str">
        <f>K1692</f>
        <v>J</v>
      </c>
      <c r="N1733" s="3" t="s">
        <v>158</v>
      </c>
      <c r="R1733" s="259" t="str">
        <f>K1692</f>
        <v>J</v>
      </c>
      <c r="S1733" s="307" t="str">
        <f ca="1">IF($B1721&lt;&gt;"",$B1721,"")</f>
        <v/>
      </c>
      <c r="T1733" s="308"/>
      <c r="U1733" s="308"/>
      <c r="V1733" s="308"/>
      <c r="W1733" s="308"/>
      <c r="X1733" s="309"/>
      <c r="Y1733" s="284"/>
      <c r="Z1733" s="284"/>
      <c r="AA1733" s="297"/>
      <c r="AB1733" s="297"/>
      <c r="AC1733" s="297"/>
      <c r="AD1733" s="289" t="s">
        <v>169</v>
      </c>
      <c r="AE1733" s="290"/>
      <c r="AF1733" s="291"/>
    </row>
    <row r="1734" spans="1:32" ht="12.75" customHeight="1" x14ac:dyDescent="0.35">
      <c r="F1734" s="18" t="s">
        <v>403</v>
      </c>
      <c r="G1734" s="17"/>
      <c r="H1734" s="17"/>
      <c r="I1734" s="17"/>
      <c r="J1734" s="17"/>
      <c r="R1734" s="285"/>
      <c r="S1734" s="310"/>
      <c r="T1734" s="311"/>
      <c r="U1734" s="311"/>
      <c r="V1734" s="311"/>
      <c r="W1734" s="311"/>
      <c r="X1734" s="312"/>
      <c r="Y1734" s="285"/>
      <c r="Z1734" s="285"/>
      <c r="AA1734" s="285"/>
      <c r="AB1734" s="285"/>
      <c r="AC1734" s="285"/>
      <c r="AD1734" s="292"/>
      <c r="AE1734" s="293"/>
      <c r="AF1734" s="294"/>
    </row>
    <row r="1735" spans="1:32" ht="12.75" customHeight="1" x14ac:dyDescent="0.25">
      <c r="R1735" s="1"/>
      <c r="S1735" s="11"/>
      <c r="T1735" s="11"/>
      <c r="U1735" s="11"/>
      <c r="V1735" s="11"/>
      <c r="W1735" s="11"/>
    </row>
    <row r="1736" spans="1:32" ht="12.75" customHeight="1" x14ac:dyDescent="0.25">
      <c r="F1736" s="212"/>
      <c r="G1736" s="212"/>
      <c r="H1736" s="212"/>
      <c r="I1736" s="212"/>
      <c r="R1736" s="1"/>
      <c r="S1736" s="11"/>
      <c r="T1736" s="11"/>
      <c r="U1736" s="11"/>
      <c r="V1736" s="11"/>
      <c r="W1736" s="11"/>
    </row>
    <row r="1737" spans="1:32" ht="12.75" customHeight="1" x14ac:dyDescent="0.25">
      <c r="F1737" s="212"/>
      <c r="G1737" s="212"/>
      <c r="H1737" s="212"/>
      <c r="I1737" s="212"/>
      <c r="R1737" s="1"/>
      <c r="S1737" s="11"/>
      <c r="T1737" s="11"/>
      <c r="U1737" s="11"/>
      <c r="V1737" s="11"/>
      <c r="W1737" s="11"/>
    </row>
    <row r="1738" spans="1:32" ht="12.75" customHeight="1" x14ac:dyDescent="0.25">
      <c r="K1738" s="219" t="s">
        <v>176</v>
      </c>
      <c r="L1738" s="219"/>
      <c r="M1738" s="219"/>
      <c r="N1738" s="219"/>
      <c r="O1738" s="219"/>
      <c r="P1738" s="219"/>
      <c r="R1738" s="1"/>
      <c r="S1738" s="11"/>
      <c r="T1738" s="11"/>
      <c r="U1738" s="11"/>
      <c r="V1738" s="11"/>
      <c r="W1738" s="11"/>
    </row>
    <row r="1739" spans="1:32" ht="12.75" customHeight="1" x14ac:dyDescent="0.25">
      <c r="A1739" s="9" t="s">
        <v>161</v>
      </c>
      <c r="B1739"/>
      <c r="C1739"/>
      <c r="D1739" t="str">
        <f>Draw!$B$1</f>
        <v>Enter Division Name</v>
      </c>
      <c r="E1739"/>
      <c r="F1739" s="6"/>
      <c r="G1739" s="6"/>
      <c r="H1739" s="6"/>
      <c r="I1739"/>
      <c r="J1739"/>
      <c r="K1739"/>
      <c r="L1739"/>
      <c r="M1739" s="219"/>
      <c r="N1739" s="219"/>
      <c r="O1739" s="219"/>
      <c r="P1739" s="219"/>
      <c r="R1739" s="1"/>
      <c r="S1739" s="11"/>
      <c r="T1739" s="11"/>
      <c r="U1739" s="11"/>
      <c r="V1739" s="11"/>
      <c r="W1739" s="11"/>
    </row>
    <row r="1740" spans="1:32" ht="12.75" customHeight="1" x14ac:dyDescent="0.25">
      <c r="A1740" s="2" t="s">
        <v>162</v>
      </c>
      <c r="D1740" t="str">
        <f>Draw!$D$1</f>
        <v>Enter Hosting Location (City, ST)</v>
      </c>
      <c r="J1740" t="str">
        <f ca="1">$J$6</f>
        <v>[NCTTA Teams Template (v3.4).xlsx]</v>
      </c>
      <c r="R1740" s="1"/>
      <c r="S1740" s="11"/>
      <c r="T1740" s="11"/>
      <c r="U1740" s="11"/>
      <c r="V1740" s="11"/>
      <c r="W1740" s="11"/>
    </row>
    <row r="1741" spans="1:32" ht="12.75" customHeight="1" x14ac:dyDescent="0.25">
      <c r="A1741" s="2" t="s">
        <v>163</v>
      </c>
      <c r="D1741" s="275" t="str">
        <f>Draw!$P$1</f>
        <v>Enter Date</v>
      </c>
      <c r="E1741" s="275"/>
      <c r="F1741" s="275"/>
      <c r="G1741" s="275"/>
      <c r="J1741" s="244" t="str">
        <f>CHOOSE(Draw!$T$1,"Round 6, Match 5","","","","","","","","Round 9, Match 3","Round 7, Match 5","Round 7, Match 5")</f>
        <v>Round 6, Match 5</v>
      </c>
      <c r="K1741" s="244"/>
      <c r="L1741" s="244"/>
      <c r="M1741" s="277" t="str">
        <f>IF(AND($J1741&lt;&gt;"",Draw!$AC$10&lt;&gt;"",Draw!$AC$13&lt;&gt;""),Draw!$AC$10+TIME(0,VALUE(MID($J1741,7,FIND(",",$J1741)-FIND(" ",$J1741)-1)-1)*Draw!$AC$13,0),"")</f>
        <v/>
      </c>
      <c r="N1741" s="277"/>
      <c r="O1741" s="125" t="str">
        <f>$F1784</f>
        <v>C-K</v>
      </c>
      <c r="R1741" s="1"/>
      <c r="S1741" s="11"/>
      <c r="T1741" s="11"/>
      <c r="U1741" s="11"/>
      <c r="V1741" s="11"/>
      <c r="W1741" s="11"/>
    </row>
    <row r="1742" spans="1:32" ht="12.75" customHeight="1" x14ac:dyDescent="0.25">
      <c r="A1742" s="6"/>
      <c r="B1742"/>
      <c r="C1742"/>
      <c r="D1742"/>
      <c r="E1742"/>
      <c r="F1742" s="6"/>
      <c r="G1742" s="6"/>
      <c r="H1742" s="11"/>
      <c r="I1742" s="6"/>
      <c r="J1742"/>
      <c r="K1742"/>
      <c r="L1742"/>
      <c r="M1742"/>
      <c r="N1742"/>
      <c r="O1742" s="269" t="str">
        <f>IF(OR(AND(VLOOKUP($B1743,$AM$1:$AX$12,12,FALSE)="C",VLOOKUP($K1743,$AM$1:$AX$12,12,FALSE)="C"),AND(VLOOKUP($B1743,$AM$1:$AX$12,12,FALSE)="W",VLOOKUP($K1743,$AM$1:$AX$12,12,FALSE)="W")),"Official",IF(AND($A1744="",$J1744=""),"","Scrimmage"))</f>
        <v/>
      </c>
      <c r="P1742" s="269"/>
      <c r="R1742" s="1"/>
      <c r="S1742" s="11"/>
      <c r="T1742" s="11"/>
      <c r="U1742" s="11"/>
      <c r="V1742" s="11"/>
      <c r="W1742" s="11"/>
    </row>
    <row r="1743" spans="1:32" ht="12.75" customHeight="1" x14ac:dyDescent="0.25">
      <c r="A1743" s="12" t="s">
        <v>160</v>
      </c>
      <c r="B1743" s="98" t="str">
        <f>CHOOSE(Draw!$T$1,"C","A","C","C","D","D","C","B","E","G","B")</f>
        <v>C</v>
      </c>
      <c r="C1743" s="109">
        <f>VLOOKUP($B1743,$AM$1:$AN$12,2)</f>
        <v>3</v>
      </c>
      <c r="D1743" s="10"/>
      <c r="E1743" s="10"/>
      <c r="F1743" s="8"/>
      <c r="H1743" s="1" t="s">
        <v>164</v>
      </c>
      <c r="J1743" s="12" t="s">
        <v>160</v>
      </c>
      <c r="K1743" s="98" t="str">
        <f>CHOOSE(Draw!$T$1,"K","K","E","H","I","H","K","K","I","H","J")</f>
        <v>K</v>
      </c>
      <c r="L1743" s="109">
        <f>VLOOKUP($K1743,$AM$1:$AN$12,2)</f>
        <v>11</v>
      </c>
      <c r="M1743" s="10"/>
      <c r="N1743" s="10"/>
      <c r="O1743" s="13"/>
      <c r="R1743" s="1"/>
      <c r="S1743" s="11"/>
      <c r="T1743" s="11"/>
      <c r="U1743" s="11"/>
      <c r="V1743" s="11"/>
      <c r="W1743" s="11"/>
    </row>
    <row r="1744" spans="1:32" ht="12.75" customHeight="1" x14ac:dyDescent="0.25">
      <c r="A1744" s="253" t="str">
        <f>IF(VLOOKUP($B1743,Draw!$A$4:$B$27,2)&lt;&gt;0,VLOOKUP($B1743,Draw!$A$4:$B$27,2),"")</f>
        <v/>
      </c>
      <c r="B1744" s="254"/>
      <c r="C1744" s="254"/>
      <c r="D1744" s="254"/>
      <c r="E1744" s="254"/>
      <c r="F1744" s="255"/>
      <c r="G1744" s="273" t="s">
        <v>438</v>
      </c>
      <c r="H1744" s="249"/>
      <c r="I1744" s="274"/>
      <c r="J1744" s="253" t="str">
        <f>IF(VLOOKUP($K1743,Draw!$A$4:$B$27,2)&lt;&gt;0,VLOOKUP($K1743,Draw!$A$4:$B$27,2),"")</f>
        <v/>
      </c>
      <c r="K1744" s="254"/>
      <c r="L1744" s="254"/>
      <c r="M1744" s="254"/>
      <c r="N1744" s="254"/>
      <c r="O1744" s="255"/>
      <c r="P1744"/>
      <c r="R1744" s="1"/>
      <c r="S1744" s="11"/>
      <c r="T1744" s="11"/>
      <c r="U1744" s="11"/>
      <c r="V1744" s="11"/>
      <c r="W1744" s="11"/>
    </row>
    <row r="1745" spans="1:32" ht="12.75" customHeight="1" x14ac:dyDescent="0.25">
      <c r="A1745" s="6"/>
      <c r="B1745"/>
      <c r="C1745"/>
      <c r="D1745"/>
      <c r="E1745"/>
      <c r="F1745" s="6"/>
      <c r="G1745" s="248" t="str">
        <f>"Page "&amp;VALUE(RIGHT($G1744,LEN($G1744)-SEARCH("-",$G1744)))/2</f>
        <v>Page 35</v>
      </c>
      <c r="H1745" s="249"/>
      <c r="I1745" s="249"/>
      <c r="J1745"/>
      <c r="K1745"/>
      <c r="L1745"/>
      <c r="M1745"/>
      <c r="N1745"/>
      <c r="O1745"/>
      <c r="P1745"/>
      <c r="R1745" s="1"/>
      <c r="S1745" s="11"/>
      <c r="T1745" s="11"/>
      <c r="U1745" s="11"/>
      <c r="V1745" s="11"/>
      <c r="W1745" s="11"/>
      <c r="AF1745"/>
    </row>
    <row r="1746" spans="1:32" ht="12.75" customHeight="1" x14ac:dyDescent="0.25">
      <c r="A1746" s="276" t="s">
        <v>177</v>
      </c>
      <c r="B1746" s="276"/>
      <c r="C1746" s="276"/>
      <c r="D1746" s="276"/>
      <c r="E1746" s="276"/>
      <c r="F1746" s="276"/>
      <c r="G1746" s="276"/>
      <c r="H1746" s="276"/>
      <c r="I1746" s="276"/>
      <c r="J1746" s="276"/>
      <c r="K1746" s="276"/>
      <c r="L1746" s="276"/>
      <c r="M1746" s="276"/>
      <c r="N1746" s="276"/>
      <c r="O1746" s="276"/>
      <c r="P1746" s="276"/>
      <c r="Q1746" s="6"/>
      <c r="R1746" s="1"/>
      <c r="S1746" s="11"/>
      <c r="T1746" s="11"/>
      <c r="U1746" s="11"/>
      <c r="V1746" s="11"/>
      <c r="W1746" s="11"/>
      <c r="AF1746" s="14"/>
    </row>
    <row r="1747" spans="1:32" ht="12.75" customHeight="1" x14ac:dyDescent="0.25">
      <c r="A1747" s="15" t="s">
        <v>165</v>
      </c>
      <c r="H1747" s="110" t="str">
        <f>IF($Q1749&lt;&gt;"",IF(AND(AND($H1749&gt;-1,$H1751&gt;-1),OR($H1749&gt;10,$H1751&gt;10),ABS($H1749-$H1751)&gt;1,IF(OR($H1749&gt;11,$H1751&gt;11),ABS($H1749-$H1751)=2,TRUE),$H1749=INT($H1749),$H1751=INT($H1751)),"","Error"),"")</f>
        <v/>
      </c>
      <c r="I1747" s="110" t="str">
        <f>IF($Q1749&lt;&gt;"",IF(AND(AND($I1749&gt;-1,$I1751&gt;-1),OR($I1749&gt;10,$I1751&gt;10),ABS($I1749-$I1751)&gt;1,IF(OR($I1749&gt;11,$I1751&gt;11),ABS($I1749-$I1751)=2,TRUE),$I1749=INT($I1749),$I1751=INT($I1751)),"","Error"),"")</f>
        <v/>
      </c>
      <c r="J1747" s="110" t="str">
        <f>IF($Q1749&lt;&gt;"",IF(AND(AND($J1749&gt;-1,$J1751&gt;-1),OR($J1749&gt;10,$J1751&gt;10),ABS($J1749-$J1751)&gt;1,IF(OR($J1749&gt;11,$J1751&gt;11),ABS($J1749-$J1751)=2,TRUE),$J1749=INT($J1749),$J1751=INT($J1751)),"","Error"),"")</f>
        <v/>
      </c>
      <c r="K1747" s="110" t="str">
        <f>IF($Q1749&lt;&gt;"",IF(AND($K1749&lt;&gt;"",$K1751&lt;&gt;""), IF(AND(AND($K1749&gt;-1,$K1751&gt;-1),OR($K1749&gt;10,$K1751&gt;10),ABS($K1749-$K1751)&gt;1,IF(OR($K1749&gt;11,$K1751&gt;11),ABS($K1749-$K1751)=2,TRUE),$K1749=INT($K1749),$K1751=INT($K1751)),"","Error"),""),"")</f>
        <v/>
      </c>
      <c r="L1747" s="110" t="str">
        <f>IF($Q1749&lt;&gt;"",IF(AND($L1749&lt;&gt;"",$L1751&lt;&gt;""), IF(AND(AND($L1749&gt;-1,$L1751&gt;-1),OR($L1749&gt;10,$L1751&gt;10),ABS($L1749-$L1751)&gt;1,IF(OR($L1749&gt;11,$L1751&gt;11),ABS($L1749-$L1751)=2,TRUE),$L1749=INT($L1749),$L1751=INT($L1751)),"","Error"),""),"")</f>
        <v/>
      </c>
      <c r="R1747" s="1"/>
      <c r="S1747" s="11"/>
      <c r="T1747" s="11"/>
      <c r="U1747" s="11"/>
      <c r="V1747" s="11"/>
      <c r="W1747" s="11"/>
    </row>
    <row r="1748" spans="1:32" ht="12.75" customHeight="1" x14ac:dyDescent="0.25">
      <c r="A1748" s="5" t="s">
        <v>160</v>
      </c>
      <c r="B1748" s="256" t="s">
        <v>58</v>
      </c>
      <c r="C1748" s="257"/>
      <c r="D1748" s="257"/>
      <c r="E1748" s="257"/>
      <c r="F1748" s="257"/>
      <c r="G1748" s="258"/>
      <c r="H1748" s="5">
        <v>1</v>
      </c>
      <c r="I1748" s="5">
        <v>2</v>
      </c>
      <c r="J1748" s="5">
        <v>3</v>
      </c>
      <c r="K1748" s="5">
        <v>4</v>
      </c>
      <c r="L1748" s="5">
        <v>5</v>
      </c>
      <c r="M1748" s="270"/>
      <c r="N1748" s="271"/>
      <c r="O1748" s="271"/>
      <c r="P1748" s="272"/>
      <c r="R1748" s="1"/>
      <c r="S1748" s="11"/>
      <c r="T1748" s="11"/>
      <c r="U1748" s="11"/>
      <c r="V1748" s="11"/>
      <c r="W1748" s="11"/>
    </row>
    <row r="1749" spans="1:32" ht="12.75" customHeight="1" x14ac:dyDescent="0.25">
      <c r="A1749" s="259" t="str">
        <f>B1743</f>
        <v>C</v>
      </c>
      <c r="B1749" s="236" t="str">
        <f ca="1">IF(AND(OFFSET($AO$1,$C1743-1,8,1,1),$A1744&lt;&gt;"",$J1744&lt;&gt;""),CHOOSE($C1743,$AO$1,$AO$2,$AO$3,$AO$4,$AO$5,$AO$6,$AO$7,$AO$8,$AO$9,$AO$10,$AO$11,$AO$12),"")</f>
        <v/>
      </c>
      <c r="C1749" s="237"/>
      <c r="D1749" s="237"/>
      <c r="E1749" s="237"/>
      <c r="F1749" s="237"/>
      <c r="G1749" s="237"/>
      <c r="H1749" s="233"/>
      <c r="I1749" s="233"/>
      <c r="J1749" s="233"/>
      <c r="K1749" s="233"/>
      <c r="L1749" s="233"/>
      <c r="M1749" s="281"/>
      <c r="N1749" s="282"/>
      <c r="O1749" s="282"/>
      <c r="P1749" s="283"/>
      <c r="Q1749" s="40" t="str">
        <f>IF($L1749=$L1751,IF($K1749=$K1751,IF($J1749&lt;&gt;"",IF($J1749&gt;$J1751,"W","L"),""),IF($K1749&gt;$K1751,"W","L")),IF($L1749&gt;$L1751,"W","L"))</f>
        <v/>
      </c>
      <c r="R1749" s="1"/>
      <c r="S1749" s="11"/>
      <c r="T1749" s="11"/>
      <c r="U1749" s="11"/>
      <c r="V1749" s="11"/>
      <c r="W1749" s="11"/>
    </row>
    <row r="1750" spans="1:32" ht="12.75" customHeight="1" x14ac:dyDescent="0.25">
      <c r="A1750" s="260"/>
      <c r="B1750" s="238"/>
      <c r="C1750" s="239"/>
      <c r="D1750" s="239"/>
      <c r="E1750" s="239"/>
      <c r="F1750" s="239"/>
      <c r="G1750" s="239"/>
      <c r="H1750" s="234"/>
      <c r="I1750" s="234"/>
      <c r="J1750" s="234"/>
      <c r="K1750" s="234"/>
      <c r="L1750" s="234"/>
      <c r="M1750" s="281"/>
      <c r="N1750" s="282"/>
      <c r="O1750" s="282"/>
      <c r="P1750" s="283"/>
      <c r="Q1750" s="110" t="str">
        <f>IF($Q1749&lt;&gt;"",IF($Q1749="W",IF(SUM(IF($H1749&gt;$H1751,1,0),IF($I1749&gt;$I1751,1,0),IF($J1749&gt;$J1751,1,0),IF($K1749&gt;$K1751,1,0),IF($L1749&gt;$L1751,1,0))&lt;&gt;3,"Error",""),""),"")</f>
        <v/>
      </c>
      <c r="R1750" s="295" t="str">
        <f>$A1744</f>
        <v/>
      </c>
      <c r="S1750" s="295"/>
      <c r="T1750" s="295"/>
      <c r="U1750" s="295"/>
      <c r="V1750" s="295"/>
      <c r="W1750" s="295"/>
      <c r="X1750" s="219" t="str">
        <f>CONCATENATE("(",$B1743," vs ",$K1743,")")</f>
        <v>(C vs K)</v>
      </c>
      <c r="Y1750" s="219"/>
      <c r="Z1750" s="295" t="str">
        <f>$J1744</f>
        <v/>
      </c>
      <c r="AA1750" s="295"/>
      <c r="AB1750" s="295"/>
      <c r="AC1750" s="295"/>
      <c r="AD1750" s="295"/>
      <c r="AE1750" s="295"/>
      <c r="AF1750"/>
    </row>
    <row r="1751" spans="1:32" ht="12.75" customHeight="1" x14ac:dyDescent="0.25">
      <c r="A1751" s="259" t="str">
        <f>K1743</f>
        <v>K</v>
      </c>
      <c r="B1751" s="236" t="str">
        <f ca="1">IF(AND(OFFSET($AO$1,$L1743-1,8,1,1),$A1744&lt;&gt;"",$J1744&lt;&gt;""),CHOOSE($L1743,$AO$1,$AO$2,$AO$3,$AO$4,$AO$5,$AO$6,$AO$7,$AO$8,$AO$9,$AO$10,$AO$11,$AO$12),"")</f>
        <v/>
      </c>
      <c r="C1751" s="237"/>
      <c r="D1751" s="237"/>
      <c r="E1751" s="237"/>
      <c r="F1751" s="237"/>
      <c r="G1751" s="237"/>
      <c r="H1751" s="233"/>
      <c r="I1751" s="233"/>
      <c r="J1751" s="233"/>
      <c r="K1751" s="233"/>
      <c r="L1751" s="233"/>
      <c r="M1751" s="250" t="s">
        <v>169</v>
      </c>
      <c r="N1751" s="251"/>
      <c r="O1751" s="251"/>
      <c r="P1751" s="252"/>
      <c r="Q1751" s="40" t="str">
        <f>IF($Q1749&lt;&gt;"",IF($Q1749="W","L","W"),"")</f>
        <v/>
      </c>
      <c r="R1751"/>
      <c r="S1751"/>
      <c r="T1751"/>
      <c r="U1751"/>
      <c r="V1751"/>
      <c r="W1751"/>
      <c r="X1751"/>
      <c r="Y1751"/>
      <c r="Z1751"/>
      <c r="AA1751"/>
      <c r="AB1751"/>
      <c r="AC1751"/>
      <c r="AD1751"/>
      <c r="AE1751"/>
      <c r="AF1751"/>
    </row>
    <row r="1752" spans="1:32" ht="12.75" customHeight="1" x14ac:dyDescent="0.25">
      <c r="A1752" s="260"/>
      <c r="B1752" s="238"/>
      <c r="C1752" s="239"/>
      <c r="D1752" s="239"/>
      <c r="E1752" s="239"/>
      <c r="F1752" s="239"/>
      <c r="G1752" s="239"/>
      <c r="H1752" s="234"/>
      <c r="I1752" s="234"/>
      <c r="J1752" s="235"/>
      <c r="K1752" s="235"/>
      <c r="L1752" s="235"/>
      <c r="M1752" s="250"/>
      <c r="N1752" s="251"/>
      <c r="O1752" s="251"/>
      <c r="P1752" s="252"/>
      <c r="Q1752" s="110" t="str">
        <f>IF($Q1751&lt;&gt;"",IF($Q1751="W",IF(SUM(IF($H1751&gt;$H1749,1,0),IF($I1751&gt;$I1749,1,0),IF($J1751&gt;$J1749,1,0),IF($K1751&gt;$K1749,1,0),IF($L1751&gt;$L1749,1,0))&lt;&gt;3,"Error",""),""),"")</f>
        <v/>
      </c>
      <c r="R1752" t="str">
        <f>$A1754</f>
        <v>2nd Singles</v>
      </c>
      <c r="S1752"/>
      <c r="T1752"/>
      <c r="U1752"/>
      <c r="V1752"/>
      <c r="W1752"/>
      <c r="X1752"/>
      <c r="Y1752"/>
      <c r="Z1752"/>
      <c r="AA1752"/>
      <c r="AB1752"/>
      <c r="AC1752"/>
      <c r="AD1752"/>
      <c r="AE1752"/>
      <c r="AF1752"/>
    </row>
    <row r="1753" spans="1:32" ht="12.75" customHeight="1" x14ac:dyDescent="0.25">
      <c r="Q1753" s="6"/>
      <c r="R1753" s="47" t="s">
        <v>160</v>
      </c>
      <c r="S1753" s="304" t="s">
        <v>58</v>
      </c>
      <c r="T1753" s="305"/>
      <c r="U1753" s="305"/>
      <c r="V1753" s="305"/>
      <c r="W1753" s="305"/>
      <c r="X1753" s="306"/>
      <c r="Y1753" s="47">
        <v>1</v>
      </c>
      <c r="Z1753" s="47">
        <v>2</v>
      </c>
      <c r="AA1753" s="47">
        <v>3</v>
      </c>
      <c r="AB1753" s="47">
        <v>4</v>
      </c>
      <c r="AC1753" s="47">
        <v>5</v>
      </c>
      <c r="AD1753" s="286"/>
      <c r="AE1753" s="287"/>
      <c r="AF1753" s="288"/>
    </row>
    <row r="1754" spans="1:32" ht="12.75" customHeight="1" x14ac:dyDescent="0.25">
      <c r="A1754" s="15" t="s">
        <v>166</v>
      </c>
      <c r="H1754" s="110" t="str">
        <f>IF($Q1756&lt;&gt;"",IF(AND(AND($H1756&gt;-1,$H1758&gt;-1),OR($H1756&gt;10,$H1758&gt;10),ABS($H1756-$H1758)&gt;1,IF(OR($H1756&gt;11,$H1758&gt;11),ABS($H1756-$H1758)=2,TRUE),$H1756=INT($H1756),$H1758=INT($H1758)),"","Error"),"")</f>
        <v/>
      </c>
      <c r="I1754" s="110" t="str">
        <f>IF($Q1756&lt;&gt;"",IF(AND(AND($I1756&gt;-1,$I1758&gt;-1),OR($I1756&gt;10,$I1758&gt;10),ABS($I1756-$I1758)&gt;1,IF(OR($I1756&gt;11,$I1758&gt;11),ABS($I1756-$I1758)=2,TRUE),$I1756=INT($I1756),$I1758=INT($I1758)),"","Error"),"")</f>
        <v/>
      </c>
      <c r="J1754" s="110" t="str">
        <f>IF($Q1756&lt;&gt;"",IF(AND(AND($J1756&gt;-1,$J1758&gt;-1),OR($J1756&gt;10,$J1758&gt;10),ABS($J1756-$J1758)&gt;1,IF(OR($J1756&gt;11,$J1758&gt;11),ABS($J1756-$J1758)=2,TRUE),$J1756=INT($J1756),$J1758=INT($J1758)),"","Error"),"")</f>
        <v/>
      </c>
      <c r="K1754" s="110" t="str">
        <f>IF($Q1756&lt;&gt;"",IF(AND($K1756&lt;&gt;"",$K1758&lt;&gt;""), IF(AND(AND($K1756&gt;-1,$K1758&gt;-1),OR($K1756&gt;10,$K1758&gt;10),ABS($K1756-$K1758)&gt;1,IF(OR($K1756&gt;11,$K1758&gt;11),ABS($K1756-$K1758)=2,TRUE),$K1756=INT($K1756),$K1758=INT($K1758)),"","Error"),""),"")</f>
        <v/>
      </c>
      <c r="L1754" s="110" t="str">
        <f>IF($Q1756&lt;&gt;"",IF(AND($L1756&lt;&gt;"",$L1758&lt;&gt;""), IF(AND(AND($L1756&gt;-1,$L1758&gt;-1),OR($L1756&gt;10,$L1758&gt;10),ABS($L1756-$L1758)&gt;1,IF(OR($L1756&gt;11,$L1758&gt;11),ABS($L1756-$L1758)=2,TRUE),$L1756=INT($L1756),$L1758=INT($L1758)),"","Error"),""),"")</f>
        <v/>
      </c>
      <c r="Q1754" s="6"/>
      <c r="R1754" s="259" t="str">
        <f>$B1743</f>
        <v>C</v>
      </c>
      <c r="S1754" s="307" t="str">
        <f ca="1">IF($B1756&lt;&gt;"",$B1756,"")</f>
        <v/>
      </c>
      <c r="T1754" s="308"/>
      <c r="U1754" s="308"/>
      <c r="V1754" s="308"/>
      <c r="W1754" s="308"/>
      <c r="X1754" s="309"/>
      <c r="Y1754" s="284"/>
      <c r="Z1754" s="284"/>
      <c r="AA1754" s="284"/>
      <c r="AB1754" s="284"/>
      <c r="AC1754" s="284"/>
      <c r="AD1754" s="296"/>
      <c r="AE1754" s="290"/>
      <c r="AF1754" s="291"/>
    </row>
    <row r="1755" spans="1:32" ht="12.75" customHeight="1" x14ac:dyDescent="0.25">
      <c r="A1755" s="5" t="s">
        <v>160</v>
      </c>
      <c r="B1755" s="256" t="s">
        <v>58</v>
      </c>
      <c r="C1755" s="257"/>
      <c r="D1755" s="257"/>
      <c r="E1755" s="257"/>
      <c r="F1755" s="257"/>
      <c r="G1755" s="258"/>
      <c r="H1755" s="5">
        <v>1</v>
      </c>
      <c r="I1755" s="5">
        <v>2</v>
      </c>
      <c r="J1755" s="5">
        <v>3</v>
      </c>
      <c r="K1755" s="5">
        <v>4</v>
      </c>
      <c r="L1755" s="5">
        <v>5</v>
      </c>
      <c r="M1755" s="270"/>
      <c r="N1755" s="271"/>
      <c r="O1755" s="271"/>
      <c r="P1755" s="272"/>
      <c r="Q1755" s="6"/>
      <c r="R1755" s="285"/>
      <c r="S1755" s="310"/>
      <c r="T1755" s="311"/>
      <c r="U1755" s="311"/>
      <c r="V1755" s="311"/>
      <c r="W1755" s="311"/>
      <c r="X1755" s="312"/>
      <c r="Y1755" s="285"/>
      <c r="Z1755" s="285"/>
      <c r="AA1755" s="285"/>
      <c r="AB1755" s="285"/>
      <c r="AC1755" s="285"/>
      <c r="AD1755" s="292"/>
      <c r="AE1755" s="293"/>
      <c r="AF1755" s="294"/>
    </row>
    <row r="1756" spans="1:32" ht="12.75" customHeight="1" x14ac:dyDescent="0.25">
      <c r="A1756" s="259" t="str">
        <f>B1743</f>
        <v>C</v>
      </c>
      <c r="B1756" s="236" t="str">
        <f ca="1">IF(AND(OFFSET($AO$1,$C1743-1,8,1,1),$A1744&lt;&gt;"",$J1744&lt;&gt;""),CHOOSE($C1743,$AP$1,$AP$2,$AP$3,$AP$4,$AP$5,$AP$6,$AP$7,$AP$8,$AP$9,$AP$10,$AP$11,$AP$12),"")</f>
        <v/>
      </c>
      <c r="C1756" s="237"/>
      <c r="D1756" s="237"/>
      <c r="E1756" s="237"/>
      <c r="F1756" s="237"/>
      <c r="G1756" s="237"/>
      <c r="H1756" s="233"/>
      <c r="I1756" s="233"/>
      <c r="J1756" s="233"/>
      <c r="K1756" s="233"/>
      <c r="L1756" s="233"/>
      <c r="M1756" s="245" t="str">
        <f ca="1">IF(OR(AND($B1749&lt;&gt;"",$B1756&lt;&gt;"",$C1774&lt;=$B1774),AND($B1751&lt;&gt;"",$B1758&lt;&gt;"",$G1774&lt;=$F1774)),"Invalid Lineup","")</f>
        <v/>
      </c>
      <c r="N1756" s="246"/>
      <c r="O1756" s="246"/>
      <c r="P1756" s="247"/>
      <c r="Q1756" s="40" t="str">
        <f>IF($L1756=$L1758,IF($K1756=$K1758,IF($J1756&lt;&gt;"",IF($J1756&gt;$J1758,"W","L"),""),IF($K1756&gt;$K1758,"W","L")),IF($L1756&gt;$L1758,"W","L"))</f>
        <v/>
      </c>
      <c r="R1756" s="259" t="str">
        <f>$K1743</f>
        <v>K</v>
      </c>
      <c r="S1756" s="307" t="str">
        <f ca="1">IF($B1758&lt;&gt;"",$B1758,"")</f>
        <v/>
      </c>
      <c r="T1756" s="308"/>
      <c r="U1756" s="308"/>
      <c r="V1756" s="308"/>
      <c r="W1756" s="308"/>
      <c r="X1756" s="309"/>
      <c r="Y1756" s="284"/>
      <c r="Z1756" s="284"/>
      <c r="AA1756" s="284"/>
      <c r="AB1756" s="284"/>
      <c r="AC1756" s="297"/>
      <c r="AD1756" s="289" t="s">
        <v>169</v>
      </c>
      <c r="AE1756" s="290"/>
      <c r="AF1756" s="291"/>
    </row>
    <row r="1757" spans="1:32" ht="12.75" customHeight="1" x14ac:dyDescent="0.25">
      <c r="A1757" s="260"/>
      <c r="B1757" s="238"/>
      <c r="C1757" s="239"/>
      <c r="D1757" s="239"/>
      <c r="E1757" s="239"/>
      <c r="F1757" s="239"/>
      <c r="G1757" s="239"/>
      <c r="H1757" s="234"/>
      <c r="I1757" s="234"/>
      <c r="J1757" s="234"/>
      <c r="K1757" s="234"/>
      <c r="L1757" s="234"/>
      <c r="M1757" s="245"/>
      <c r="N1757" s="246"/>
      <c r="O1757" s="246"/>
      <c r="P1757" s="247"/>
      <c r="Q1757" s="110" t="str">
        <f>IF($Q1756&lt;&gt;"",IF($Q1756="W",IF(SUM(IF($H1756&gt;$H1758,1,0),IF($I1756&gt;$I1758,1,0),IF($J1756&gt;$J1758,1,0),IF($K1756&gt;$K1758,1,0),IF($L1756&gt;$L1758,1,0))&lt;&gt;3,"Error",""),""),"")</f>
        <v/>
      </c>
      <c r="R1757" s="285"/>
      <c r="S1757" s="310"/>
      <c r="T1757" s="311"/>
      <c r="U1757" s="311"/>
      <c r="V1757" s="311"/>
      <c r="W1757" s="311"/>
      <c r="X1757" s="312"/>
      <c r="Y1757" s="285"/>
      <c r="Z1757" s="285"/>
      <c r="AA1757" s="285"/>
      <c r="AB1757" s="285"/>
      <c r="AC1757" s="285"/>
      <c r="AD1757" s="292"/>
      <c r="AE1757" s="293"/>
      <c r="AF1757" s="294"/>
    </row>
    <row r="1758" spans="1:32" ht="12.75" customHeight="1" x14ac:dyDescent="0.25">
      <c r="A1758" s="259" t="str">
        <f>K1743</f>
        <v>K</v>
      </c>
      <c r="B1758" s="236" t="str">
        <f ca="1">IF(AND(OFFSET($AO$1,$L1743-1,8,1,1),$A1744&lt;&gt;"",$J1744&lt;&gt;""),CHOOSE($L1743,$AP$1,$AP$2,$AP$3,$AP$4,$AP$5,$AP$6,$AP$7,$AP$8,$AP$9,$AP$10,$AP$11,$AP$12),"")</f>
        <v/>
      </c>
      <c r="C1758" s="237"/>
      <c r="D1758" s="237"/>
      <c r="E1758" s="237"/>
      <c r="F1758" s="237"/>
      <c r="G1758" s="237"/>
      <c r="H1758" s="233"/>
      <c r="I1758" s="233"/>
      <c r="J1758" s="233"/>
      <c r="K1758" s="233"/>
      <c r="L1758" s="233"/>
      <c r="M1758" s="250" t="s">
        <v>169</v>
      </c>
      <c r="N1758" s="251"/>
      <c r="O1758" s="251"/>
      <c r="P1758" s="252"/>
      <c r="Q1758" s="40" t="str">
        <f>IF($Q1756&lt;&gt;"",IF($Q1756="W","L","W"),"")</f>
        <v/>
      </c>
      <c r="R1758" s="14"/>
      <c r="S1758" s="14"/>
      <c r="T1758" s="14"/>
      <c r="U1758" s="14"/>
      <c r="V1758" s="14"/>
      <c r="W1758" s="14"/>
      <c r="X1758" s="7"/>
      <c r="Y1758" s="7"/>
      <c r="Z1758" s="14"/>
      <c r="AA1758" s="14"/>
      <c r="AB1758" s="14"/>
      <c r="AC1758" s="14"/>
      <c r="AD1758" s="14"/>
      <c r="AE1758" s="14"/>
      <c r="AF1758"/>
    </row>
    <row r="1759" spans="1:32" ht="12.75" customHeight="1" x14ac:dyDescent="0.25">
      <c r="A1759" s="260"/>
      <c r="B1759" s="238"/>
      <c r="C1759" s="239"/>
      <c r="D1759" s="239"/>
      <c r="E1759" s="239"/>
      <c r="F1759" s="239"/>
      <c r="G1759" s="239"/>
      <c r="H1759" s="234"/>
      <c r="I1759" s="234"/>
      <c r="J1759" s="235"/>
      <c r="K1759" s="235"/>
      <c r="L1759" s="235"/>
      <c r="M1759" s="250"/>
      <c r="N1759" s="251"/>
      <c r="O1759" s="251"/>
      <c r="P1759" s="252"/>
      <c r="Q1759" s="110" t="str">
        <f>IF($Q1758&lt;&gt;"",IF($Q1758="W",IF(SUM(IF($H1758&gt;$H1756,1,0),IF($I1758&gt;$I1756,1,0),IF($J1758&gt;$J1756,1,0),IF($K1758&gt;$K1756,1,0),IF($L1758&gt;$L1756,1,0))&lt;&gt;3,"Error",""),""),"")</f>
        <v/>
      </c>
      <c r="R1759" s="14"/>
      <c r="S1759" s="14"/>
      <c r="T1759" s="14"/>
      <c r="U1759" s="14"/>
      <c r="V1759" s="14"/>
      <c r="W1759" s="14"/>
      <c r="X1759" s="7"/>
      <c r="Y1759" s="7"/>
      <c r="Z1759" s="14"/>
      <c r="AA1759" s="14"/>
      <c r="AB1759" s="14"/>
      <c r="AC1759" s="14"/>
      <c r="AD1759" s="14"/>
      <c r="AE1759" s="14"/>
      <c r="AF1759"/>
    </row>
    <row r="1760" spans="1:32" ht="12.75" customHeight="1" x14ac:dyDescent="0.25">
      <c r="Q1760" s="6"/>
      <c r="R1760" s="14"/>
      <c r="S1760" s="14"/>
      <c r="T1760" s="14"/>
      <c r="U1760" s="14"/>
      <c r="V1760" s="14"/>
      <c r="W1760" s="14"/>
      <c r="X1760" s="7"/>
      <c r="Y1760" s="7"/>
      <c r="Z1760" s="14"/>
      <c r="AA1760" s="14"/>
      <c r="AB1760" s="14"/>
      <c r="AC1760" s="14"/>
      <c r="AD1760" s="14"/>
      <c r="AE1760" s="14"/>
      <c r="AF1760"/>
    </row>
    <row r="1761" spans="1:32" ht="12.75" customHeight="1" x14ac:dyDescent="0.25">
      <c r="A1761" s="15" t="s">
        <v>167</v>
      </c>
      <c r="H1761" s="110" t="str">
        <f>IF($Q1763&lt;&gt;"",IF(AND(AND($H1763&gt;-1,$H1765&gt;-1),OR($H1763&gt;10,$H1765&gt;10),ABS($H1763-$H1765)&gt;1,IF(OR($H1763&gt;11,$H1765&gt;11),ABS($H1763-$H1765)=2,TRUE),$H1763=INT($H1763),$H1765=INT($H1765)),"","Error"),"")</f>
        <v/>
      </c>
      <c r="I1761" s="110" t="str">
        <f>IF($Q1763&lt;&gt;"",IF(AND(AND($I1763&gt;-1,$I1765&gt;-1),OR($I1763&gt;10,$I1765&gt;10),ABS($I1763-$I1765)&gt;1,IF(OR($I1763&gt;11,$I1765&gt;11),ABS($I1763-$I1765)=2,TRUE),$I1763=INT($I1763),$I1765=INT($I1765)),"","Error"),"")</f>
        <v/>
      </c>
      <c r="J1761" s="110" t="str">
        <f>IF($Q1763&lt;&gt;"",IF(AND(AND($J1763&gt;-1,$J1765&gt;-1),OR($J1763&gt;10,$J1765&gt;10),ABS($J1763-$J1765)&gt;1,IF(OR($J1763&gt;11,$J1765&gt;11),ABS($J1763-$J1765)=2,TRUE),$J1763=INT($J1763),$J1765=INT($J1765)),"","Error"),"")</f>
        <v/>
      </c>
      <c r="K1761" s="110" t="str">
        <f>IF($Q1763&lt;&gt;"",IF(AND($K1763&lt;&gt;"",$K1765&lt;&gt;""), IF(AND(AND($K1763&gt;-1,$K1765&gt;-1),OR($K1763&gt;10,$K1765&gt;10),ABS($K1763-$K1765)&gt;1,IF(OR($K1763&gt;11,$K1765&gt;11),ABS($K1763-$K1765)=2,TRUE),$K1763=INT($K1763),$K1765=INT($K1765)),"","Error"),""),"")</f>
        <v/>
      </c>
      <c r="L1761" s="110" t="str">
        <f>IF($Q1763&lt;&gt;"",IF(AND($L1763&lt;&gt;"",$L1765&lt;&gt;""), IF(AND(AND($L1763&gt;-1,$L1765&gt;-1),OR($L1763&gt;10,$L1765&gt;10),ABS($L1763-$L1765)&gt;1,IF(OR($L1763&gt;11,$L1765&gt;11),ABS($L1763-$L1765)=2,TRUE),$L1763=INT($L1763),$L1765=INT($L1765)),"","Error"),""),"")</f>
        <v/>
      </c>
      <c r="Q1761" s="6"/>
      <c r="R1761" s="14"/>
      <c r="S1761" s="14"/>
      <c r="T1761" s="14"/>
      <c r="U1761" s="14"/>
      <c r="V1761" s="14"/>
      <c r="W1761" s="14"/>
      <c r="X1761" s="7"/>
      <c r="Y1761" s="7"/>
      <c r="Z1761" s="14"/>
      <c r="AA1761" s="14"/>
      <c r="AB1761" s="14"/>
      <c r="AC1761" s="14"/>
      <c r="AD1761" s="14"/>
      <c r="AE1761" s="14"/>
      <c r="AF1761"/>
    </row>
    <row r="1762" spans="1:32" ht="12.75" customHeight="1" x14ac:dyDescent="0.25">
      <c r="A1762" s="5" t="s">
        <v>160</v>
      </c>
      <c r="B1762" s="256" t="s">
        <v>58</v>
      </c>
      <c r="C1762" s="257"/>
      <c r="D1762" s="257"/>
      <c r="E1762" s="257"/>
      <c r="F1762" s="257"/>
      <c r="G1762" s="258"/>
      <c r="H1762" s="5">
        <v>1</v>
      </c>
      <c r="I1762" s="5">
        <v>2</v>
      </c>
      <c r="J1762" s="5">
        <v>3</v>
      </c>
      <c r="K1762" s="5">
        <v>4</v>
      </c>
      <c r="L1762" s="5">
        <v>5</v>
      </c>
      <c r="M1762" s="270"/>
      <c r="N1762" s="271"/>
      <c r="O1762" s="271"/>
      <c r="P1762" s="272"/>
      <c r="Q1762" s="6"/>
      <c r="R1762" s="14"/>
      <c r="S1762" s="14"/>
      <c r="T1762" s="14"/>
      <c r="U1762" s="14"/>
      <c r="V1762" s="14"/>
      <c r="W1762" s="14"/>
      <c r="X1762" s="7"/>
      <c r="Y1762" s="7"/>
      <c r="Z1762" s="14"/>
      <c r="AA1762" s="14"/>
      <c r="AB1762" s="14"/>
      <c r="AC1762" s="14"/>
      <c r="AD1762" s="14"/>
      <c r="AE1762" s="14"/>
      <c r="AF1762"/>
    </row>
    <row r="1763" spans="1:32" ht="12.75" customHeight="1" x14ac:dyDescent="0.25">
      <c r="A1763" s="259" t="str">
        <f>B1743</f>
        <v>C</v>
      </c>
      <c r="B1763" s="236" t="str">
        <f ca="1">IF(AND(OFFSET($AO$1,$C1743-1,8,1,1),$A1744&lt;&gt;"",$J1744&lt;&gt;""),CHOOSE($C1743,$AQ$1,$AQ$2,$AQ$3,$AQ$4,$AQ$5,$AQ$6,$AQ$7,$AQ$8,$AQ$9,$AQ$10,$AQ$11,$AQ$12),"")</f>
        <v/>
      </c>
      <c r="C1763" s="237"/>
      <c r="D1763" s="237"/>
      <c r="E1763" s="237"/>
      <c r="F1763" s="237"/>
      <c r="G1763" s="237"/>
      <c r="H1763" s="233"/>
      <c r="I1763" s="233"/>
      <c r="J1763" s="233"/>
      <c r="K1763" s="233"/>
      <c r="L1763" s="233"/>
      <c r="M1763" s="245" t="str">
        <f ca="1">IF(OR(AND($B1756&lt;&gt;"",$B1763&lt;&gt;"",$D1774&lt;=$C1774),AND($B1758&lt;&gt;"",$B1765&lt;&gt;"",$H1774&lt;=$G1774)),"Invalid Lineup","")</f>
        <v/>
      </c>
      <c r="N1763" s="246"/>
      <c r="O1763" s="246"/>
      <c r="P1763" s="247"/>
      <c r="Q1763" s="40" t="str">
        <f>IF($L1763=$L1765,IF($K1763=$K1765,IF($J1763&lt;&gt;"",IF($J1763&gt;$J1765,"W","L"),""),IF($K1763&gt;$K1765,"W","L")),IF($L1763&gt;$L1765,"W","L"))</f>
        <v/>
      </c>
      <c r="R1763" s="14"/>
      <c r="S1763" s="14"/>
      <c r="T1763" s="14"/>
      <c r="U1763" s="14"/>
      <c r="V1763" s="14"/>
      <c r="W1763" s="14"/>
      <c r="X1763" s="7"/>
      <c r="Y1763" s="7"/>
      <c r="Z1763" s="14"/>
      <c r="AA1763" s="14"/>
      <c r="AB1763" s="14"/>
      <c r="AC1763" s="14"/>
      <c r="AD1763" s="14"/>
      <c r="AE1763" s="14"/>
      <c r="AF1763"/>
    </row>
    <row r="1764" spans="1:32" ht="12.75" customHeight="1" x14ac:dyDescent="0.25">
      <c r="A1764" s="260"/>
      <c r="B1764" s="238"/>
      <c r="C1764" s="239"/>
      <c r="D1764" s="239"/>
      <c r="E1764" s="239"/>
      <c r="F1764" s="239"/>
      <c r="G1764" s="239"/>
      <c r="H1764" s="234"/>
      <c r="I1764" s="234"/>
      <c r="J1764" s="234"/>
      <c r="K1764" s="234"/>
      <c r="L1764" s="234"/>
      <c r="M1764" s="245"/>
      <c r="N1764" s="246"/>
      <c r="O1764" s="246"/>
      <c r="P1764" s="247"/>
      <c r="Q1764" s="110" t="str">
        <f>IF($Q1763&lt;&gt;"",IF($Q1763="W",IF(SUM(IF($H1763&gt;$H1765,1,0),IF($I1763&gt;$I1765,1,0),IF($J1763&gt;$J1765,1,0),IF($K1763&gt;$K1765,1,0),IF($L1763&gt;$L1765,1,0))&lt;&gt;3,"Error",""),""),"")</f>
        <v/>
      </c>
      <c r="R1764" s="295" t="str">
        <f>$A1744</f>
        <v/>
      </c>
      <c r="S1764" s="295"/>
      <c r="T1764" s="295"/>
      <c r="U1764" s="295"/>
      <c r="V1764" s="295"/>
      <c r="W1764" s="295"/>
      <c r="X1764" s="219" t="str">
        <f>CONCATENATE("(",$B1743," vs ",$K1743,")")</f>
        <v>(C vs K)</v>
      </c>
      <c r="Y1764" s="219"/>
      <c r="Z1764" s="295" t="str">
        <f>$J1744</f>
        <v/>
      </c>
      <c r="AA1764" s="295"/>
      <c r="AB1764" s="295"/>
      <c r="AC1764" s="295"/>
      <c r="AD1764" s="295"/>
      <c r="AE1764" s="295"/>
      <c r="AF1764"/>
    </row>
    <row r="1765" spans="1:32" ht="12.75" customHeight="1" x14ac:dyDescent="0.25">
      <c r="A1765" s="259" t="str">
        <f>K1743</f>
        <v>K</v>
      </c>
      <c r="B1765" s="236" t="str">
        <f ca="1">IF(AND(OFFSET($AO$1,$L1743-1,8,1,1),$A1744&lt;&gt;"",$J1744&lt;&gt;""),CHOOSE($L1743,$AQ$1,$AQ$2,$AQ$3,$AQ$4,$AQ$5,$AQ$6,$AQ$7,$AQ$8,$AQ$9,$AQ$10,$AQ$11,$AQ$12),"")</f>
        <v/>
      </c>
      <c r="C1765" s="237"/>
      <c r="D1765" s="237"/>
      <c r="E1765" s="237"/>
      <c r="F1765" s="237"/>
      <c r="G1765" s="237"/>
      <c r="H1765" s="233"/>
      <c r="I1765" s="233"/>
      <c r="J1765" s="233"/>
      <c r="K1765" s="233"/>
      <c r="L1765" s="233"/>
      <c r="M1765" s="250" t="s">
        <v>169</v>
      </c>
      <c r="N1765" s="251"/>
      <c r="O1765" s="251"/>
      <c r="P1765" s="252"/>
      <c r="Q1765" s="40" t="str">
        <f>IF($Q1763&lt;&gt;"",IF($Q1763="W","L","W"),"")</f>
        <v/>
      </c>
      <c r="R1765"/>
      <c r="S1765"/>
      <c r="T1765"/>
      <c r="U1765"/>
      <c r="V1765"/>
      <c r="W1765"/>
      <c r="X1765"/>
      <c r="Y1765"/>
      <c r="Z1765"/>
      <c r="AA1765"/>
      <c r="AB1765"/>
      <c r="AC1765"/>
      <c r="AD1765"/>
      <c r="AE1765"/>
      <c r="AF1765"/>
    </row>
    <row r="1766" spans="1:32" ht="12.75" customHeight="1" x14ac:dyDescent="0.25">
      <c r="A1766" s="260"/>
      <c r="B1766" s="238"/>
      <c r="C1766" s="239"/>
      <c r="D1766" s="239"/>
      <c r="E1766" s="239"/>
      <c r="F1766" s="239"/>
      <c r="G1766" s="239"/>
      <c r="H1766" s="234"/>
      <c r="I1766" s="234"/>
      <c r="J1766" s="235"/>
      <c r="K1766" s="235"/>
      <c r="L1766" s="235"/>
      <c r="M1766" s="250"/>
      <c r="N1766" s="251"/>
      <c r="O1766" s="251"/>
      <c r="P1766" s="252"/>
      <c r="Q1766" s="110" t="str">
        <f>IF($Q1765&lt;&gt;"",IF($Q1765="W",IF(SUM(IF($H1765&gt;$H1763,1,0),IF($I1765&gt;$I1763,1,0),IF($J1765&gt;$J1763,1,0),IF($K1765&gt;$K1763,1,0),IF($L1765&gt;$L1763,1,0))&lt;&gt;3,"Error",""),""),"")</f>
        <v/>
      </c>
      <c r="R1766" t="str">
        <f>$A1761</f>
        <v>3rd Singles</v>
      </c>
      <c r="S1766"/>
      <c r="T1766"/>
      <c r="U1766"/>
      <c r="V1766"/>
      <c r="W1766"/>
      <c r="X1766"/>
      <c r="Y1766"/>
      <c r="Z1766"/>
      <c r="AA1766"/>
      <c r="AB1766"/>
      <c r="AC1766"/>
      <c r="AD1766"/>
      <c r="AE1766"/>
      <c r="AF1766"/>
    </row>
    <row r="1767" spans="1:32" ht="12.75" customHeight="1" x14ac:dyDescent="0.25">
      <c r="Q1767" s="6"/>
      <c r="R1767" s="47" t="s">
        <v>160</v>
      </c>
      <c r="S1767" s="86" t="s">
        <v>58</v>
      </c>
      <c r="T1767" s="87"/>
      <c r="U1767" s="87"/>
      <c r="V1767" s="87"/>
      <c r="W1767" s="87"/>
      <c r="X1767" s="88"/>
      <c r="Y1767" s="47">
        <v>1</v>
      </c>
      <c r="Z1767" s="47">
        <v>2</v>
      </c>
      <c r="AA1767" s="47">
        <v>3</v>
      </c>
      <c r="AB1767" s="47">
        <v>4</v>
      </c>
      <c r="AC1767" s="47">
        <v>5</v>
      </c>
      <c r="AD1767" s="89"/>
      <c r="AE1767" s="90"/>
      <c r="AF1767" s="91"/>
    </row>
    <row r="1768" spans="1:32" ht="12.75" customHeight="1" x14ac:dyDescent="0.25">
      <c r="A1768" s="15" t="s">
        <v>168</v>
      </c>
      <c r="H1768" s="110" t="str">
        <f ca="1">IF($Q1770&lt;&gt;"",IF(AND($B1770&lt;&gt;"Missing Player",$B1772&lt;&gt;"Missing Player"),IF(AND(AND($H1770&gt;-1,$H1772&gt;-1),OR($H1770&gt;10,$H1772&gt;10),ABS($H1770-$H1772)&gt;1,IF(OR($H1770&gt;11,$H1772&gt;11),ABS($H1770-$H1772)=2,TRUE),$H1770=INT($H1770),$H1772=INT($H1772)),"","Error"),""),"")</f>
        <v/>
      </c>
      <c r="I1768" s="110" t="str">
        <f ca="1">IF($Q1770&lt;&gt;"",IF(AND($B1770&lt;&gt;"Missing Player",$B1772&lt;&gt;"Missing Player"),IF(AND(AND($I1770&gt;-1,$I1772&gt;-1),OR($I1770&gt;10,$I1772&gt;10),ABS($I1770-$I1772)&gt;1,IF(OR($I1770&gt;11,$I1772&gt;11),ABS($I1770-$I1772)=2,TRUE),$I1770=INT($I1770),$I1772=INT($I1772)),"","Error"),""),"")</f>
        <v/>
      </c>
      <c r="J1768" s="110" t="str">
        <f ca="1">IF($Q1770&lt;&gt;"",IF(AND($B1770&lt;&gt;"Missing Player",$B1772&lt;&gt;"Missing Player"),IF(AND(AND($J1770&gt;-1,$J1772&gt;-1),OR($J1770&gt;10,$J1772&gt;10),ABS($J1770-$J1772)&gt;1,IF(OR($J1770&gt;11,$J1772&gt;11),ABS($J1770-$J1772)=2,TRUE),$J1770=INT($J1770),$J1772=INT($J1772)),"","Error"),""),"")</f>
        <v/>
      </c>
      <c r="K1768" s="110" t="str">
        <f ca="1">IF($Q1770&lt;&gt;"",IF(AND($K1770&lt;&gt;"",$K1772&lt;&gt;""), IF(AND(AND($K1770&gt;-1,$K1772&gt;-1),OR($K1770&gt;10,$K1772&gt;10),ABS($K1770-$K1772)&gt;1,IF(OR($K1770&gt;11,$K1772&gt;11),ABS($K1770-$K1772)=2,TRUE),$K1770=INT($K1770),$K1772=INT($K1772)),"","Error"),""),"")</f>
        <v/>
      </c>
      <c r="L1768" s="110" t="str">
        <f ca="1">IF($Q1770&lt;&gt;"",IF(AND($L1770&lt;&gt;"",$L1772&lt;&gt;""), IF(AND(AND($L1770&gt;-1,$L1772&gt;-1),OR($L1770&gt;10,$L1772&gt;10),ABS($L1770-$L1772)&gt;1,IF(OR($L1770&gt;11,$L1772&gt;11),ABS($L1770-$L1772)=2,TRUE),$L1770=INT($L1770),$L1772=INT($L1772)),"","Error"),""),"")</f>
        <v/>
      </c>
      <c r="Q1768" s="6"/>
      <c r="R1768" s="259" t="str">
        <f>$B1743</f>
        <v>C</v>
      </c>
      <c r="S1768" s="307" t="str">
        <f ca="1">IF($B1763&lt;&gt;"",$B1763,"")</f>
        <v/>
      </c>
      <c r="T1768" s="308"/>
      <c r="U1768" s="308"/>
      <c r="V1768" s="308"/>
      <c r="W1768" s="308"/>
      <c r="X1768" s="309"/>
      <c r="Y1768" s="284"/>
      <c r="Z1768" s="284"/>
      <c r="AA1768" s="284"/>
      <c r="AB1768" s="284"/>
      <c r="AC1768" s="284"/>
      <c r="AD1768" s="296"/>
      <c r="AE1768" s="290"/>
      <c r="AF1768" s="291"/>
    </row>
    <row r="1769" spans="1:32" ht="12.75" customHeight="1" x14ac:dyDescent="0.25">
      <c r="A1769" s="5" t="s">
        <v>160</v>
      </c>
      <c r="B1769" s="256" t="s">
        <v>58</v>
      </c>
      <c r="C1769" s="257"/>
      <c r="D1769" s="257"/>
      <c r="E1769" s="257"/>
      <c r="F1769" s="257"/>
      <c r="G1769" s="258"/>
      <c r="H1769" s="5">
        <v>1</v>
      </c>
      <c r="I1769" s="5">
        <v>2</v>
      </c>
      <c r="J1769" s="5">
        <v>3</v>
      </c>
      <c r="K1769" s="5">
        <v>4</v>
      </c>
      <c r="L1769" s="5">
        <v>5</v>
      </c>
      <c r="M1769" s="270"/>
      <c r="N1769" s="271"/>
      <c r="O1769" s="271"/>
      <c r="P1769" s="272"/>
      <c r="Q1769" s="6"/>
      <c r="R1769" s="285"/>
      <c r="S1769" s="310"/>
      <c r="T1769" s="311"/>
      <c r="U1769" s="311"/>
      <c r="V1769" s="311"/>
      <c r="W1769" s="311"/>
      <c r="X1769" s="312"/>
      <c r="Y1769" s="285"/>
      <c r="Z1769" s="285"/>
      <c r="AA1769" s="285"/>
      <c r="AB1769" s="285"/>
      <c r="AC1769" s="285"/>
      <c r="AD1769" s="292"/>
      <c r="AE1769" s="293"/>
      <c r="AF1769" s="294"/>
    </row>
    <row r="1770" spans="1:32" ht="12.75" customHeight="1" x14ac:dyDescent="0.25">
      <c r="A1770" s="259" t="str">
        <f>B1743</f>
        <v>C</v>
      </c>
      <c r="B1770" s="236" t="str">
        <f ca="1">IF(AND(OFFSET($AO$1,$C1743-1,8,1,1),$A1744&lt;&gt;"",$J1744&lt;&gt;""),CHOOSE($C1743,$AR$1,$AR$2,$AR$3,$AR$4,$AR$5,$AR$6,$AR$7,$AR$8,$AR$9,$AR$10,$AR$11,$AR$12),"")</f>
        <v/>
      </c>
      <c r="C1770" s="237"/>
      <c r="D1770" s="237"/>
      <c r="E1770" s="237"/>
      <c r="F1770" s="237"/>
      <c r="G1770" s="237"/>
      <c r="H1770" s="233"/>
      <c r="I1770" s="233"/>
      <c r="J1770" s="233"/>
      <c r="K1770" s="233"/>
      <c r="L1770" s="233" t="str">
        <f ca="1">IF(AND($B1770&lt;&gt;"",$Q1749&lt;&gt;""),IF($B1770="Missing Player",0,IF($B1772="Missing Player",11,"")),"")</f>
        <v/>
      </c>
      <c r="M1770" s="245" t="str">
        <f ca="1">IF(OR(AND($B1763&lt;&gt;"",$B1770&lt;&gt;"",$E1774&lt;=$D1774),AND($B1765&lt;&gt;"",$B1772&lt;&gt;"",$I1774&lt;=$H1774)),"Invalid Lineup","")</f>
        <v/>
      </c>
      <c r="N1770" s="246"/>
      <c r="O1770" s="246"/>
      <c r="P1770" s="247"/>
      <c r="Q1770" s="40" t="str">
        <f ca="1">IF($L1770=$L1772,IF($K1770=$K1772,IF($J1770&lt;&gt;"",IF($J1770&gt;$J1772,"W","L"),""),IF($K1770&gt;$K1772,"W","L")),IF($L1770&gt;$L1772,"W","L"))</f>
        <v/>
      </c>
      <c r="R1770" s="259" t="str">
        <f>$K1743</f>
        <v>K</v>
      </c>
      <c r="S1770" s="307" t="str">
        <f ca="1">IF($B1765&lt;&gt;"",$B1765,"")</f>
        <v/>
      </c>
      <c r="T1770" s="308"/>
      <c r="U1770" s="308"/>
      <c r="V1770" s="308"/>
      <c r="W1770" s="308"/>
      <c r="X1770" s="309"/>
      <c r="Y1770" s="284"/>
      <c r="Z1770" s="284"/>
      <c r="AA1770" s="284"/>
      <c r="AB1770" s="284"/>
      <c r="AC1770" s="297"/>
      <c r="AD1770" s="289" t="s">
        <v>169</v>
      </c>
      <c r="AE1770" s="290"/>
      <c r="AF1770" s="291"/>
    </row>
    <row r="1771" spans="1:32" ht="12.75" customHeight="1" x14ac:dyDescent="0.25">
      <c r="A1771" s="260"/>
      <c r="B1771" s="238"/>
      <c r="C1771" s="239"/>
      <c r="D1771" s="239"/>
      <c r="E1771" s="239"/>
      <c r="F1771" s="239"/>
      <c r="G1771" s="239"/>
      <c r="H1771" s="234"/>
      <c r="I1771" s="234"/>
      <c r="J1771" s="234"/>
      <c r="K1771" s="234"/>
      <c r="L1771" s="234"/>
      <c r="M1771" s="245"/>
      <c r="N1771" s="246"/>
      <c r="O1771" s="246"/>
      <c r="P1771" s="247"/>
      <c r="Q1771" s="110" t="str">
        <f ca="1">IF($Q1770&lt;&gt;"",IF($B1772&lt;&gt;"Missing Player",IF($Q1770="W",IF(SUM(IF($H1770&gt;$H1772,1,0),IF($I1770&gt;$I1772,1,0),IF($J1770&gt;$J1772,1,0),IF($K1770&gt;$K1772,1,0),IF($L1770&gt;$L1772,1,0))&lt;&gt;3,"Error",""),""),""),"")</f>
        <v/>
      </c>
      <c r="R1771" s="285"/>
      <c r="S1771" s="310"/>
      <c r="T1771" s="311"/>
      <c r="U1771" s="311"/>
      <c r="V1771" s="311"/>
      <c r="W1771" s="311"/>
      <c r="X1771" s="312"/>
      <c r="Y1771" s="285"/>
      <c r="Z1771" s="285"/>
      <c r="AA1771" s="285"/>
      <c r="AB1771" s="285"/>
      <c r="AC1771" s="285"/>
      <c r="AD1771" s="292"/>
      <c r="AE1771" s="293"/>
      <c r="AF1771" s="294"/>
    </row>
    <row r="1772" spans="1:32" ht="12.75" customHeight="1" x14ac:dyDescent="0.25">
      <c r="A1772" s="259" t="str">
        <f>K1743</f>
        <v>K</v>
      </c>
      <c r="B1772" s="236" t="str">
        <f ca="1">IF(AND(OFFSET($AO$1,$L1743-1,8,1,1),$A1744&lt;&gt;"",$J1744&lt;&gt;""),CHOOSE($L1743,$AR$1,$AR$2,$AR$3,$AR$4,$AR$5,$AR$6,$AR$7,$AR$8,$AR$9,$AR$10,$AR$11,$AR$12),"")</f>
        <v/>
      </c>
      <c r="C1772" s="237"/>
      <c r="D1772" s="237"/>
      <c r="E1772" s="237"/>
      <c r="F1772" s="237"/>
      <c r="G1772" s="237"/>
      <c r="H1772" s="233"/>
      <c r="I1772" s="233"/>
      <c r="J1772" s="233"/>
      <c r="K1772" s="233"/>
      <c r="L1772" s="233" t="str">
        <f ca="1">IF(AND($B1772&lt;&gt;"",$Q1749&lt;&gt;""),IF($B1772="Missing Player",0,IF($B1770="Missing Player",11,"")),"")</f>
        <v/>
      </c>
      <c r="M1772" s="250" t="s">
        <v>169</v>
      </c>
      <c r="N1772" s="251"/>
      <c r="O1772" s="251"/>
      <c r="P1772" s="252"/>
      <c r="Q1772" s="40" t="str">
        <f ca="1">IF($Q1770&lt;&gt;"",IF($Q1770="W","L","W"),"")</f>
        <v/>
      </c>
      <c r="R1772" s="94"/>
      <c r="S1772" s="84"/>
      <c r="T1772" s="84"/>
      <c r="U1772" s="84"/>
      <c r="V1772" s="84"/>
      <c r="W1772" s="84"/>
      <c r="X1772" s="84"/>
      <c r="Y1772" s="93"/>
      <c r="Z1772" s="93"/>
      <c r="AA1772" s="93"/>
      <c r="AB1772" s="93"/>
      <c r="AC1772" s="93"/>
      <c r="AD1772" s="92"/>
      <c r="AE1772" s="93"/>
      <c r="AF1772" s="93"/>
    </row>
    <row r="1773" spans="1:32" ht="12.75" customHeight="1" x14ac:dyDescent="0.25">
      <c r="A1773" s="260"/>
      <c r="B1773" s="238"/>
      <c r="C1773" s="239"/>
      <c r="D1773" s="239"/>
      <c r="E1773" s="239"/>
      <c r="F1773" s="239"/>
      <c r="G1773" s="239"/>
      <c r="H1773" s="234"/>
      <c r="I1773" s="234"/>
      <c r="J1773" s="235"/>
      <c r="K1773" s="235"/>
      <c r="L1773" s="235"/>
      <c r="M1773" s="250"/>
      <c r="N1773" s="251"/>
      <c r="O1773" s="251"/>
      <c r="P1773" s="252"/>
      <c r="Q1773" s="110" t="str">
        <f ca="1">IF($Q1772&lt;&gt;"",IF($B1770&lt;&gt;"Missing Player",IF($Q1772="W",IF(SUM(IF($H1772&gt;$H1770,1,0),IF($I1772&gt;$I1770,1,0),IF($J1772&gt;$J1770,1,0),IF($K1772&gt;$K1770,1,0),IF($L1772&gt;$L1770,1,0))&lt;&gt;3,"Error",""),""),""),"")</f>
        <v/>
      </c>
      <c r="R1773" s="85"/>
      <c r="S1773" s="95"/>
      <c r="T1773" s="95"/>
      <c r="U1773" s="95"/>
      <c r="V1773" s="95"/>
      <c r="W1773" s="95"/>
      <c r="X1773" s="95"/>
      <c r="Y1773" s="85"/>
      <c r="Z1773" s="85"/>
      <c r="AA1773" s="85"/>
      <c r="AB1773" s="85"/>
      <c r="AC1773" s="85"/>
      <c r="AD1773" s="85"/>
      <c r="AE1773" s="85"/>
      <c r="AF1773" s="85"/>
    </row>
    <row r="1774" spans="1:32" ht="12.75" customHeight="1" x14ac:dyDescent="0.25">
      <c r="B1774" s="111" t="str">
        <f ca="1">IF(ISERROR(VLOOKUP($B1749&amp;"("&amp;$B1743&amp;")",Players!$S$4:$T$132,2,FALSE)),"",VLOOKUP($B1749&amp;"("&amp;$B1743&amp;")",Players!$S$4:$T$132,2,FALSE))</f>
        <v>C1</v>
      </c>
      <c r="C1774" s="111" t="str">
        <f ca="1">IF(ISERROR(VLOOKUP($B1756&amp;"("&amp;$B1743&amp;")",Players!$S$4:$T$132,2,FALSE)),"",VLOOKUP($B1756&amp;"("&amp;$B1743&amp;")",Players!$S$4:$T$132,2,FALSE))</f>
        <v>C1</v>
      </c>
      <c r="D1774" s="111" t="str">
        <f ca="1">IF(ISERROR(VLOOKUP($B1763&amp;"("&amp;$B1743&amp;")",Players!$S$4:$T$132,2,FALSE)),"",VLOOKUP($B1763&amp;"("&amp;$B1743&amp;")",Players!$S$4:$T$132,2,FALSE))</f>
        <v>C1</v>
      </c>
      <c r="E1774" s="111" t="str">
        <f ca="1">IF(ISERROR(VLOOKUP($B1770&amp;"("&amp;$B1743&amp;")",Players!$S$4:$T$132,2,FALSE)),"",VLOOKUP($B1770&amp;"("&amp;$B1743&amp;")",Players!$S$4:$T$132,2,FALSE))</f>
        <v>C1</v>
      </c>
      <c r="F1774" s="111" t="str">
        <f ca="1">IF(ISERROR(VLOOKUP($B1751&amp;"("&amp;$K1743&amp;")",Players!$S$4:$T$132,2,FALSE)),"",VLOOKUP($B1751&amp;"("&amp;$K1743&amp;")",Players!$S$4:$T$132,2,FALSE))</f>
        <v>K1</v>
      </c>
      <c r="G1774" s="111" t="str">
        <f ca="1">IF(ISERROR(VLOOKUP($B1758&amp;"("&amp;$K1743&amp;")",Players!$S$4:$T$132,2,FALSE)),"",VLOOKUP($B1758&amp;"("&amp;$K1743&amp;")",Players!$S$4:$T$132,2,FALSE))</f>
        <v>K1</v>
      </c>
      <c r="H1774" s="111" t="str">
        <f ca="1">IF(ISERROR(VLOOKUP($B1765&amp;"("&amp;$K1743&amp;")",Players!$S$4:$T$132,2,FALSE)),"",VLOOKUP($B1765&amp;"("&amp;$K1743&amp;")",Players!$S$4:$T$132,2,FALSE))</f>
        <v>K1</v>
      </c>
      <c r="I1774" s="111" t="str">
        <f ca="1">IF(ISERROR(VLOOKUP($B1772&amp;"("&amp;$K1743&amp;")",Players!$S$4:$T$132,2,FALSE)),"",VLOOKUP($B1772&amp;"("&amp;$K1743&amp;")",Players!$S$4:$T$132,2,FALSE))</f>
        <v>K1</v>
      </c>
      <c r="Q1774" s="6"/>
      <c r="R1774" s="37"/>
      <c r="S1774" s="95"/>
      <c r="T1774" s="95"/>
      <c r="U1774" s="95"/>
      <c r="V1774" s="95"/>
      <c r="W1774" s="95"/>
      <c r="X1774" s="95"/>
      <c r="Y1774" s="85"/>
      <c r="Z1774" s="85"/>
      <c r="AA1774" s="85"/>
      <c r="AB1774" s="85"/>
      <c r="AC1774" s="96"/>
      <c r="AD1774" s="97"/>
      <c r="AE1774" s="85"/>
      <c r="AF1774" s="85"/>
    </row>
    <row r="1775" spans="1:32" ht="12.75" customHeight="1" x14ac:dyDescent="0.25">
      <c r="A1775" s="15" t="s">
        <v>157</v>
      </c>
      <c r="H1775" s="110" t="str">
        <f ca="1">IF($Q1777&lt;&gt;"",IF(AND($B1778&lt;&gt;"Missing Player",$B1780&lt;&gt;"Missing Player"),IF(AND(AND($H1777&gt;-1,$H1779&gt;-1),OR($H1777&gt;10,$H1779&gt;10),ABS($H1777-$H1779)&gt;1,IF(OR($H1777&gt;11,$H1779&gt;11),ABS($H1777-$H1779)=2,TRUE),$H1777=INT($H1777),$H1779=INT($H1779)),"","Error"),""),"")</f>
        <v/>
      </c>
      <c r="I1775" s="110" t="str">
        <f ca="1">IF($Q1777&lt;&gt;"",IF(AND($B1778&lt;&gt;"Missing Player",$B1780&lt;&gt;"Missing Player"),IF(AND(AND($I1777&gt;-1,$I1779&gt;-1),OR($I1777&gt;10,$I1779&gt;10),ABS($I1777-$I1779)&gt;1,IF(OR($I1777&gt;11,$I1779&gt;11),ABS($I1777-$I1779)=2,TRUE),$I1777=INT($I1777),$I1779=INT($I1779)),"","Error"),""),"")</f>
        <v/>
      </c>
      <c r="J1775" s="110" t="str">
        <f ca="1">IF($Q1777&lt;&gt;"",IF(AND($B1778&lt;&gt;"Missing Player",$B1780&lt;&gt;"Missing Player"),IF(AND(AND($J1777&gt;-1,$J1779&gt;-1),OR($J1777&gt;10,$J1779&gt;10),ABS($J1777-$J1779)&gt;1,IF(OR($J1777&gt;11,$J1779&gt;11),ABS($J1777-$J1779)=2,TRUE),$J1777=INT($J1777),$J1779=INT($J1779)),"","Error"),""),"")</f>
        <v/>
      </c>
      <c r="K1775" s="110" t="str">
        <f ca="1">IF($Q1777&lt;&gt;"",IF(AND($K1777&lt;&gt;"",$K1779&lt;&gt;""), IF(AND(AND($K1777&gt;-1,$K1779&gt;-1),OR($K1777&gt;10,$K1779&gt;10),ABS($K1777-$K1779)&gt;1,IF(OR($K1777&gt;11,$K1779&gt;11),ABS($K1777-$K1779)=2,TRUE),$K1777=INT($K1777),$K1779=INT($K1779)),"","Error"),""),"")</f>
        <v/>
      </c>
      <c r="L1775" s="110" t="str">
        <f ca="1">IF($Q1777&lt;&gt;"",IF(AND($L1777&lt;&gt;"",$L1779&lt;&gt;""), IF(AND(AND($L1777&gt;-1,$L1779&gt;-1),OR($L1777&gt;10,$L1779&gt;10),ABS($L1777-$L1779)&gt;1,IF(OR($L1777&gt;11,$L1779&gt;11),ABS($L1777-$L1779)=2,TRUE),$L1777=INT($L1777),$L1779=INT($L1779)),"","Error"),""),"")</f>
        <v/>
      </c>
      <c r="Q1775" s="6"/>
      <c r="R1775" s="85"/>
      <c r="S1775" s="95"/>
      <c r="T1775" s="95"/>
      <c r="U1775" s="95"/>
      <c r="V1775" s="95"/>
      <c r="W1775" s="95"/>
      <c r="X1775" s="95"/>
      <c r="Y1775" s="85"/>
      <c r="Z1775" s="85"/>
      <c r="AA1775" s="85"/>
      <c r="AB1775" s="85"/>
      <c r="AC1775" s="85"/>
      <c r="AD1775" s="85"/>
      <c r="AE1775" s="85"/>
      <c r="AF1775" s="85"/>
    </row>
    <row r="1776" spans="1:32" ht="12.75" customHeight="1" x14ac:dyDescent="0.25">
      <c r="A1776" s="5" t="s">
        <v>160</v>
      </c>
      <c r="B1776" s="256" t="s">
        <v>58</v>
      </c>
      <c r="C1776" s="257"/>
      <c r="D1776" s="257"/>
      <c r="E1776" s="257"/>
      <c r="F1776" s="257"/>
      <c r="G1776" s="258"/>
      <c r="H1776" s="5">
        <v>1</v>
      </c>
      <c r="I1776" s="5">
        <v>2</v>
      </c>
      <c r="J1776" s="5">
        <v>3</v>
      </c>
      <c r="K1776" s="5">
        <v>4</v>
      </c>
      <c r="L1776" s="5">
        <v>5</v>
      </c>
      <c r="M1776" s="270"/>
      <c r="N1776" s="271"/>
      <c r="O1776" s="271"/>
      <c r="P1776" s="272"/>
      <c r="Q1776" s="6"/>
      <c r="T1776" s="7"/>
    </row>
    <row r="1777" spans="1:32" ht="12.75" customHeight="1" x14ac:dyDescent="0.25">
      <c r="A1777" s="259" t="str">
        <f>B1743</f>
        <v>C</v>
      </c>
      <c r="B1777" s="230" t="str">
        <f ca="1">IF($B1749&lt;&gt;"",$B1749,"")</f>
        <v/>
      </c>
      <c r="C1777" s="231"/>
      <c r="D1777" s="231"/>
      <c r="E1777" s="231"/>
      <c r="F1777" s="231"/>
      <c r="G1777" s="232"/>
      <c r="H1777" s="233"/>
      <c r="I1777" s="233"/>
      <c r="J1777" s="233"/>
      <c r="K1777" s="233"/>
      <c r="L1777" s="233" t="str">
        <f ca="1">IF($B1770&lt;&gt;"",IF(AND($B1770="Missing Player",$G1781=2,$J1781=2),0,IF(AND($B1772="Missing Player",$G1781=2,$J1781=2),11,"")),"")</f>
        <v/>
      </c>
      <c r="M1777" s="245" t="str">
        <f ca="1">IF(OR(AND($B1777&lt;&gt;"",$B1778&lt;&gt;"",$B1777=$B1778),AND($B1779&lt;&gt;"",$B1780&lt;&gt;"",$B1779=$B1780)),"Invalid Partner","")</f>
        <v/>
      </c>
      <c r="N1777" s="246"/>
      <c r="O1777" s="246"/>
      <c r="P1777" s="247"/>
      <c r="Q1777" s="37" t="str">
        <f ca="1">IF(L1777=L1779,IF(K1777=K1779,IF(J1777&lt;&gt;"",IF(J1777&gt;J1779,"W","L"),""),IF(K1777&gt;K1779,"W","L")),IF(L1777&gt;L1779,"W","L"))</f>
        <v/>
      </c>
      <c r="T1777" s="7"/>
    </row>
    <row r="1778" spans="1:32" ht="12.75" customHeight="1" x14ac:dyDescent="0.25">
      <c r="A1778" s="260"/>
      <c r="B1778" s="266" t="str">
        <f ca="1">IF($B1770="Missing Player",$B1770,"")</f>
        <v/>
      </c>
      <c r="C1778" s="267"/>
      <c r="D1778" s="267"/>
      <c r="E1778" s="267"/>
      <c r="F1778" s="267"/>
      <c r="G1778" s="268"/>
      <c r="H1778" s="234"/>
      <c r="I1778" s="234"/>
      <c r="J1778" s="234"/>
      <c r="K1778" s="234"/>
      <c r="L1778" s="234"/>
      <c r="M1778" s="245"/>
      <c r="N1778" s="246"/>
      <c r="O1778" s="246"/>
      <c r="P1778" s="247"/>
      <c r="Q1778" s="110" t="str">
        <f ca="1">IF($Q1777&lt;&gt;"",IF($B1780&lt;&gt;"Missing Player",IF($Q1777="W",IF(SUM(IF($H1777&gt;$H1779,1,0),IF($I1777&gt;$I1779,1,0),IF($J1777&gt;$J1779,1,0),IF($K1777&gt;$K1779,1,0),IF($L1777&gt;$L1779,1,0))&lt;&gt;3,"Error",""),""),""),"")</f>
        <v/>
      </c>
      <c r="R1778" s="295" t="str">
        <f>$A1744</f>
        <v/>
      </c>
      <c r="S1778" s="295"/>
      <c r="T1778" s="295"/>
      <c r="U1778" s="295"/>
      <c r="V1778" s="295"/>
      <c r="W1778" s="295"/>
      <c r="X1778" s="219" t="str">
        <f>CONCATENATE("(",$B1743," vs ",$K1743,")")</f>
        <v>(C vs K)</v>
      </c>
      <c r="Y1778" s="219"/>
      <c r="Z1778" s="295" t="str">
        <f>$J1744</f>
        <v/>
      </c>
      <c r="AA1778" s="295"/>
      <c r="AB1778" s="295"/>
      <c r="AC1778" s="295"/>
      <c r="AD1778" s="295"/>
      <c r="AE1778" s="295"/>
      <c r="AF1778"/>
    </row>
    <row r="1779" spans="1:32" ht="12.75" customHeight="1" x14ac:dyDescent="0.25">
      <c r="A1779" s="265" t="str">
        <f>K1743</f>
        <v>K</v>
      </c>
      <c r="B1779" s="230" t="str">
        <f ca="1">IF($B1751&lt;&gt;"",$B1751,"")</f>
        <v/>
      </c>
      <c r="C1779" s="231"/>
      <c r="D1779" s="231"/>
      <c r="E1779" s="231"/>
      <c r="F1779" s="231"/>
      <c r="G1779" s="232"/>
      <c r="H1779" s="233"/>
      <c r="I1779" s="233"/>
      <c r="J1779" s="233"/>
      <c r="K1779" s="233"/>
      <c r="L1779" s="233" t="str">
        <f ca="1">IF($B1772&lt;&gt;"",IF(AND($B1772="Missing Player",$G1781=2,$J1781=2),0,IF(AND($B1770="Missing Player",$G1781=2,$J1781=2),11,"")),"")</f>
        <v/>
      </c>
      <c r="M1779" s="250" t="s">
        <v>169</v>
      </c>
      <c r="N1779" s="251"/>
      <c r="O1779" s="251"/>
      <c r="P1779" s="252"/>
      <c r="Q1779" s="37" t="str">
        <f ca="1">IF(Q1777&lt;&gt;"",IF(Q1777="W","L","W"),"")</f>
        <v/>
      </c>
      <c r="R1779"/>
      <c r="S1779"/>
      <c r="T1779"/>
      <c r="U1779"/>
      <c r="V1779"/>
      <c r="W1779"/>
      <c r="X1779"/>
      <c r="Y1779"/>
      <c r="Z1779"/>
      <c r="AA1779"/>
      <c r="AB1779"/>
      <c r="AC1779"/>
      <c r="AD1779"/>
      <c r="AE1779"/>
      <c r="AF1779"/>
    </row>
    <row r="1780" spans="1:32" ht="12.75" customHeight="1" x14ac:dyDescent="0.25">
      <c r="A1780" s="260"/>
      <c r="B1780" s="266" t="str">
        <f ca="1">IF($B1772="Missing Player",$B1772,"")</f>
        <v/>
      </c>
      <c r="C1780" s="267"/>
      <c r="D1780" s="267"/>
      <c r="E1780" s="267"/>
      <c r="F1780" s="267"/>
      <c r="G1780" s="268"/>
      <c r="H1780" s="234"/>
      <c r="I1780" s="234"/>
      <c r="J1780" s="235"/>
      <c r="K1780" s="235"/>
      <c r="L1780" s="235"/>
      <c r="M1780" s="250"/>
      <c r="N1780" s="251"/>
      <c r="O1780" s="251"/>
      <c r="P1780" s="252"/>
      <c r="Q1780" s="110" t="str">
        <f ca="1">IF($Q1779&lt;&gt;"",IF($B1778&lt;&gt;"Missing Player",IF($Q1779="W",IF(SUM(IF($H1779&gt;$H1777,1,0),IF($I1779&gt;$I1777,1,0),IF($J1779&gt;$J1777,1,0),IF($K1779&gt;$K1777,1,0),IF($L1779&gt;$L1777,1,0))&lt;&gt;3,"Error",""),""),""),"")</f>
        <v/>
      </c>
      <c r="R1780" t="str">
        <f>A1768</f>
        <v>4th Singles</v>
      </c>
      <c r="S1780"/>
      <c r="T1780"/>
      <c r="U1780"/>
      <c r="V1780"/>
      <c r="W1780"/>
      <c r="X1780"/>
      <c r="Y1780"/>
      <c r="Z1780"/>
      <c r="AA1780"/>
      <c r="AB1780"/>
      <c r="AC1780"/>
      <c r="AD1780"/>
      <c r="AE1780"/>
      <c r="AF1780"/>
    </row>
    <row r="1781" spans="1:32" ht="12.75" customHeight="1" x14ac:dyDescent="0.25">
      <c r="G1781" s="53">
        <f ca="1">COUNTIF($Q1749:$Q1749,"W")+COUNTIF($Q1756:$Q1756,"W")+COUNTIF($Q1763:$Q1763,"W")+COUNTIF($Q1770:$Q1770,"W")</f>
        <v>0</v>
      </c>
      <c r="J1781" s="53">
        <f ca="1">COUNTIF($Q1751:$Q1751,"W")+COUNTIF($Q1758:$Q1758,"W")+COUNTIF($Q1765:$Q1765,"W")+COUNTIF($Q1772:$Q1772,"W")</f>
        <v>0</v>
      </c>
      <c r="R1781" s="47" t="s">
        <v>160</v>
      </c>
      <c r="S1781" s="304" t="s">
        <v>58</v>
      </c>
      <c r="T1781" s="305"/>
      <c r="U1781" s="305"/>
      <c r="V1781" s="305"/>
      <c r="W1781" s="305"/>
      <c r="X1781" s="306"/>
      <c r="Y1781" s="47">
        <v>1</v>
      </c>
      <c r="Z1781" s="47">
        <v>2</v>
      </c>
      <c r="AA1781" s="47">
        <v>3</v>
      </c>
      <c r="AB1781" s="47">
        <v>4</v>
      </c>
      <c r="AC1781" s="47">
        <v>5</v>
      </c>
      <c r="AD1781" s="286"/>
      <c r="AE1781" s="287"/>
      <c r="AF1781" s="288"/>
    </row>
    <row r="1782" spans="1:32" ht="12.75" customHeight="1" thickBot="1" x14ac:dyDescent="0.3">
      <c r="F1782" s="212" t="s">
        <v>170</v>
      </c>
      <c r="G1782" s="212"/>
      <c r="H1782" s="212"/>
      <c r="I1782" s="212"/>
      <c r="J1782" s="212"/>
      <c r="K1782" s="212"/>
      <c r="R1782" s="259" t="str">
        <f>B1743</f>
        <v>C</v>
      </c>
      <c r="S1782" s="307" t="str">
        <f ca="1">IF($B1770&lt;&gt;"",$B1770,"")</f>
        <v/>
      </c>
      <c r="T1782" s="308"/>
      <c r="U1782" s="308"/>
      <c r="V1782" s="308"/>
      <c r="W1782" s="308"/>
      <c r="X1782" s="309"/>
      <c r="Y1782" s="284"/>
      <c r="Z1782" s="284"/>
      <c r="AA1782" s="297"/>
      <c r="AB1782" s="297"/>
      <c r="AC1782" s="297"/>
      <c r="AD1782" s="296"/>
      <c r="AE1782" s="298"/>
      <c r="AF1782" s="299"/>
    </row>
    <row r="1783" spans="1:32" ht="12.75" customHeight="1" x14ac:dyDescent="0.25">
      <c r="A1783" s="16"/>
      <c r="B1783" s="16"/>
      <c r="C1783" s="16"/>
      <c r="D1783" s="16"/>
      <c r="E1783" s="16"/>
      <c r="G1783" s="261" t="str">
        <f>B1743</f>
        <v>C</v>
      </c>
      <c r="H1783" s="262"/>
      <c r="I1783" s="263" t="str">
        <f>K1743</f>
        <v>K</v>
      </c>
      <c r="J1783" s="264"/>
      <c r="L1783" s="16"/>
      <c r="M1783" s="16"/>
      <c r="N1783" s="16"/>
      <c r="O1783" s="16"/>
      <c r="P1783" s="16"/>
      <c r="R1783" s="260"/>
      <c r="S1783" s="310"/>
      <c r="T1783" s="311"/>
      <c r="U1783" s="311"/>
      <c r="V1783" s="311"/>
      <c r="W1783" s="311"/>
      <c r="X1783" s="312"/>
      <c r="Y1783" s="285"/>
      <c r="Z1783" s="285"/>
      <c r="AA1783" s="303"/>
      <c r="AB1783" s="303"/>
      <c r="AC1783" s="303"/>
      <c r="AD1783" s="300"/>
      <c r="AE1783" s="301"/>
      <c r="AF1783" s="302"/>
    </row>
    <row r="1784" spans="1:32" ht="12.75" customHeight="1" thickBot="1" x14ac:dyDescent="0.3">
      <c r="A1784" s="2" t="s">
        <v>160</v>
      </c>
      <c r="B1784" s="40" t="str">
        <f>B1743</f>
        <v>C</v>
      </c>
      <c r="C1784" s="3" t="s">
        <v>158</v>
      </c>
      <c r="F1784" s="53" t="str">
        <f>CONCATENATE($B1743,"-",$K1743)</f>
        <v>C-K</v>
      </c>
      <c r="G1784" s="240" t="str">
        <f ca="1">IF(OR(Q1749&lt;&gt;"",Q1756&lt;&gt;"",Q1763&lt;&gt;"",Q1770&lt;&gt;"",Q1777&lt;&gt;""),COUNTIF(Q1749:Q1749,"W")+COUNTIF(Q1756:Q1756,"W")+COUNTIF(Q1763:Q1763,"W")+COUNTIF(Q1770:Q1770,"W")+COUNTIF(Q1777:Q1777,"W"),"")</f>
        <v/>
      </c>
      <c r="H1784" s="241"/>
      <c r="I1784" s="242" t="str">
        <f ca="1">IF(OR(Q1751&lt;&gt;"",Q1758&lt;&gt;"",Q1765&lt;&gt;"",Q1772&lt;&gt;"",Q1779&lt;&gt;""),COUNTIF(Q1751:Q1751,"W")+COUNTIF(Q1758:Q1758,"W")+COUNTIF(Q1765:Q1765,"W")+COUNTIF(Q1772:Q1772,"W")+COUNTIF(Q1779:Q1779,"W"),"")</f>
        <v/>
      </c>
      <c r="J1784" s="243"/>
      <c r="L1784" s="2" t="s">
        <v>160</v>
      </c>
      <c r="M1784" s="40" t="str">
        <f>K1743</f>
        <v>K</v>
      </c>
      <c r="N1784" s="3" t="s">
        <v>158</v>
      </c>
      <c r="R1784" s="259" t="str">
        <f>K1743</f>
        <v>K</v>
      </c>
      <c r="S1784" s="307" t="str">
        <f ca="1">IF($B1772&lt;&gt;"",$B1772,"")</f>
        <v/>
      </c>
      <c r="T1784" s="308"/>
      <c r="U1784" s="308"/>
      <c r="V1784" s="308"/>
      <c r="W1784" s="308"/>
      <c r="X1784" s="309"/>
      <c r="Y1784" s="284"/>
      <c r="Z1784" s="284"/>
      <c r="AA1784" s="297"/>
      <c r="AB1784" s="297"/>
      <c r="AC1784" s="297"/>
      <c r="AD1784" s="289" t="s">
        <v>169</v>
      </c>
      <c r="AE1784" s="290"/>
      <c r="AF1784" s="291"/>
    </row>
    <row r="1785" spans="1:32" ht="12.75" customHeight="1" x14ac:dyDescent="0.35">
      <c r="F1785" s="18" t="s">
        <v>403</v>
      </c>
      <c r="G1785" s="17"/>
      <c r="H1785" s="17"/>
      <c r="I1785" s="17"/>
      <c r="J1785" s="17"/>
      <c r="R1785" s="285"/>
      <c r="S1785" s="310"/>
      <c r="T1785" s="311"/>
      <c r="U1785" s="311"/>
      <c r="V1785" s="311"/>
      <c r="W1785" s="311"/>
      <c r="X1785" s="312"/>
      <c r="Y1785" s="285"/>
      <c r="Z1785" s="285"/>
      <c r="AA1785" s="285"/>
      <c r="AB1785" s="285"/>
      <c r="AC1785" s="285"/>
      <c r="AD1785" s="292"/>
      <c r="AE1785" s="293"/>
      <c r="AF1785" s="294"/>
    </row>
    <row r="1786" spans="1:32" ht="12.75" customHeight="1" x14ac:dyDescent="0.25">
      <c r="R1786" s="1"/>
      <c r="S1786" s="11"/>
      <c r="T1786" s="11"/>
      <c r="U1786" s="11"/>
      <c r="V1786" s="11"/>
      <c r="W1786" s="11"/>
    </row>
    <row r="1787" spans="1:32" ht="12.75" customHeight="1" x14ac:dyDescent="0.25">
      <c r="F1787" s="212"/>
      <c r="G1787" s="212"/>
      <c r="H1787" s="212"/>
      <c r="I1787" s="212"/>
      <c r="R1787" s="1"/>
      <c r="S1787" s="11"/>
      <c r="T1787" s="11"/>
      <c r="U1787" s="11"/>
      <c r="V1787" s="11"/>
      <c r="W1787" s="11"/>
    </row>
    <row r="1788" spans="1:32" ht="12.75" customHeight="1" x14ac:dyDescent="0.25">
      <c r="F1788" s="212"/>
      <c r="G1788" s="212"/>
      <c r="H1788" s="212"/>
      <c r="I1788" s="212"/>
      <c r="R1788" s="1"/>
      <c r="S1788" s="11"/>
      <c r="T1788" s="11"/>
      <c r="U1788" s="11"/>
      <c r="V1788" s="11"/>
      <c r="W1788" s="11"/>
    </row>
    <row r="1789" spans="1:32" ht="12.75" customHeight="1" x14ac:dyDescent="0.25">
      <c r="K1789" s="219" t="s">
        <v>176</v>
      </c>
      <c r="L1789" s="219"/>
      <c r="M1789" s="219"/>
      <c r="N1789" s="219"/>
      <c r="O1789" s="219"/>
      <c r="P1789" s="219"/>
      <c r="R1789" s="1"/>
      <c r="S1789" s="11"/>
      <c r="T1789" s="11"/>
      <c r="U1789" s="11"/>
      <c r="V1789" s="11"/>
      <c r="W1789" s="11"/>
    </row>
    <row r="1790" spans="1:32" ht="12.75" customHeight="1" x14ac:dyDescent="0.25">
      <c r="A1790" s="9" t="s">
        <v>161</v>
      </c>
      <c r="B1790"/>
      <c r="C1790"/>
      <c r="D1790" t="str">
        <f>Draw!$B$1</f>
        <v>Enter Division Name</v>
      </c>
      <c r="E1790"/>
      <c r="F1790" s="6"/>
      <c r="G1790" s="6"/>
      <c r="H1790" s="6"/>
      <c r="I1790"/>
      <c r="J1790"/>
      <c r="K1790"/>
      <c r="L1790"/>
      <c r="M1790" s="219"/>
      <c r="N1790" s="219"/>
      <c r="O1790" s="219"/>
      <c r="P1790" s="219"/>
      <c r="R1790" s="1"/>
      <c r="S1790" s="11"/>
      <c r="T1790" s="11"/>
      <c r="U1790" s="11"/>
      <c r="V1790" s="11"/>
      <c r="W1790" s="11"/>
    </row>
    <row r="1791" spans="1:32" ht="12.75" customHeight="1" x14ac:dyDescent="0.25">
      <c r="A1791" s="2" t="s">
        <v>162</v>
      </c>
      <c r="D1791" t="str">
        <f>Draw!$D$1</f>
        <v>Enter Hosting Location (City, ST)</v>
      </c>
      <c r="J1791" t="str">
        <f ca="1">$J$6</f>
        <v>[NCTTA Teams Template (v3.4).xlsx]</v>
      </c>
      <c r="R1791" s="1"/>
      <c r="S1791" s="11"/>
      <c r="T1791" s="11"/>
      <c r="U1791" s="11"/>
      <c r="V1791" s="11"/>
      <c r="W1791" s="11"/>
    </row>
    <row r="1792" spans="1:32" ht="12.75" customHeight="1" x14ac:dyDescent="0.25">
      <c r="A1792" s="2" t="s">
        <v>163</v>
      </c>
      <c r="D1792" s="275" t="str">
        <f>Draw!$P$1</f>
        <v>Enter Date</v>
      </c>
      <c r="E1792" s="275"/>
      <c r="F1792" s="275"/>
      <c r="G1792" s="275"/>
      <c r="J1792" s="244" t="str">
        <f>CHOOSE(Draw!$T$1,"Round 6, Match 6","","","","","","","","Round 9, Match 4","Round 8, Match 1","Round 8, Match 1")</f>
        <v>Round 6, Match 6</v>
      </c>
      <c r="K1792" s="244"/>
      <c r="L1792" s="244"/>
      <c r="M1792" s="277" t="str">
        <f>IF(AND($J1792&lt;&gt;"",Draw!$AC$10&lt;&gt;"",Draw!$AC$13&lt;&gt;""),Draw!$AC$10+TIME(0,VALUE(MID($J1792,7,FIND(",",$J1792)-FIND(" ",$J1792)-1)-1)*Draw!$AC$13,0),"")</f>
        <v/>
      </c>
      <c r="N1792" s="277"/>
      <c r="O1792" s="125" t="str">
        <f>$F1835</f>
        <v>B-L</v>
      </c>
      <c r="R1792" s="1"/>
      <c r="S1792" s="11"/>
      <c r="T1792" s="11"/>
      <c r="U1792" s="11"/>
      <c r="V1792" s="11"/>
      <c r="W1792" s="11"/>
    </row>
    <row r="1793" spans="1:32" ht="12.75" customHeight="1" x14ac:dyDescent="0.25">
      <c r="A1793" s="6"/>
      <c r="B1793"/>
      <c r="C1793"/>
      <c r="D1793"/>
      <c r="E1793"/>
      <c r="F1793" s="6"/>
      <c r="G1793" s="6"/>
      <c r="H1793" s="11"/>
      <c r="I1793" s="6"/>
      <c r="J1793"/>
      <c r="K1793"/>
      <c r="L1793"/>
      <c r="M1793"/>
      <c r="N1793"/>
      <c r="O1793" s="269" t="str">
        <f>IF(OR(AND(VLOOKUP($B1794,$AM$1:$AX$12,12,FALSE)="C",VLOOKUP($K1794,$AM$1:$AX$12,12,FALSE)="C"),AND(VLOOKUP($B1794,$AM$1:$AX$12,12,FALSE)="W",VLOOKUP($K1794,$AM$1:$AX$12,12,FALSE)="W")),"Official",IF(AND($A1795="",$J1795=""),"","Scrimmage"))</f>
        <v/>
      </c>
      <c r="P1793" s="269"/>
      <c r="R1793" s="1"/>
      <c r="S1793" s="11"/>
      <c r="T1793" s="11"/>
      <c r="U1793" s="11"/>
      <c r="V1793" s="11"/>
      <c r="W1793" s="11"/>
    </row>
    <row r="1794" spans="1:32" ht="12.75" customHeight="1" x14ac:dyDescent="0.25">
      <c r="A1794" s="12" t="s">
        <v>160</v>
      </c>
      <c r="B1794" s="98" t="str">
        <f>CHOOSE(Draw!$T$1,"B","A","C","C","D","D","C","B","B","A","A")</f>
        <v>B</v>
      </c>
      <c r="C1794" s="109">
        <f>VLOOKUP($B1794,$AM$1:$AN$12,2)</f>
        <v>2</v>
      </c>
      <c r="D1794" s="10"/>
      <c r="E1794" s="10"/>
      <c r="F1794" s="8"/>
      <c r="H1794" s="1" t="s">
        <v>164</v>
      </c>
      <c r="J1794" s="12" t="s">
        <v>160</v>
      </c>
      <c r="K1794" s="98" t="str">
        <f>CHOOSE(Draw!$T$1,"L","L","F","I","J","I","L","L","C","B","E")</f>
        <v>L</v>
      </c>
      <c r="L1794" s="109">
        <f>VLOOKUP($K1794,$AM$1:$AN$12,2)</f>
        <v>12</v>
      </c>
      <c r="M1794" s="10"/>
      <c r="N1794" s="10"/>
      <c r="O1794" s="13"/>
      <c r="R1794" s="1"/>
      <c r="S1794" s="11"/>
      <c r="T1794" s="11"/>
      <c r="U1794" s="11"/>
      <c r="V1794" s="11"/>
      <c r="W1794" s="11"/>
    </row>
    <row r="1795" spans="1:32" ht="12.75" customHeight="1" x14ac:dyDescent="0.25">
      <c r="A1795" s="253" t="str">
        <f>IF(VLOOKUP($B1794,Draw!$A$4:$B$27,2)&lt;&gt;0,VLOOKUP($B1794,Draw!$A$4:$B$27,2),"")</f>
        <v/>
      </c>
      <c r="B1795" s="254"/>
      <c r="C1795" s="254"/>
      <c r="D1795" s="254"/>
      <c r="E1795" s="254"/>
      <c r="F1795" s="255"/>
      <c r="G1795" s="273" t="s">
        <v>439</v>
      </c>
      <c r="H1795" s="249"/>
      <c r="I1795" s="274"/>
      <c r="J1795" s="253" t="str">
        <f>IF(VLOOKUP($K1794,Draw!$A$4:$B$27,2)&lt;&gt;0,VLOOKUP($K1794,Draw!$A$4:$B$27,2),"")</f>
        <v/>
      </c>
      <c r="K1795" s="254"/>
      <c r="L1795" s="254"/>
      <c r="M1795" s="254"/>
      <c r="N1795" s="254"/>
      <c r="O1795" s="255"/>
      <c r="P1795"/>
      <c r="R1795" s="1"/>
      <c r="S1795" s="11"/>
      <c r="T1795" s="11"/>
      <c r="U1795" s="11"/>
      <c r="V1795" s="11"/>
      <c r="W1795" s="11"/>
    </row>
    <row r="1796" spans="1:32" ht="12.75" customHeight="1" x14ac:dyDescent="0.25">
      <c r="A1796" s="6"/>
      <c r="B1796"/>
      <c r="C1796"/>
      <c r="D1796"/>
      <c r="E1796"/>
      <c r="F1796" s="6"/>
      <c r="G1796" s="248" t="str">
        <f>"Page "&amp;VALUE(RIGHT($G1795,LEN($G1795)-SEARCH("-",$G1795)))/2</f>
        <v>Page 36</v>
      </c>
      <c r="H1796" s="249"/>
      <c r="I1796" s="249"/>
      <c r="J1796"/>
      <c r="K1796"/>
      <c r="L1796"/>
      <c r="M1796"/>
      <c r="N1796"/>
      <c r="O1796"/>
      <c r="P1796"/>
      <c r="R1796" s="1"/>
      <c r="S1796" s="11"/>
      <c r="T1796" s="11"/>
      <c r="U1796" s="11"/>
      <c r="V1796" s="11"/>
      <c r="W1796" s="11"/>
      <c r="AF1796"/>
    </row>
    <row r="1797" spans="1:32" ht="12.75" customHeight="1" x14ac:dyDescent="0.25">
      <c r="A1797" s="276" t="s">
        <v>177</v>
      </c>
      <c r="B1797" s="276"/>
      <c r="C1797" s="276"/>
      <c r="D1797" s="276"/>
      <c r="E1797" s="276"/>
      <c r="F1797" s="276"/>
      <c r="G1797" s="276"/>
      <c r="H1797" s="276"/>
      <c r="I1797" s="276"/>
      <c r="J1797" s="276"/>
      <c r="K1797" s="276"/>
      <c r="L1797" s="276"/>
      <c r="M1797" s="276"/>
      <c r="N1797" s="276"/>
      <c r="O1797" s="276"/>
      <c r="P1797" s="276"/>
      <c r="Q1797" s="6"/>
      <c r="R1797" s="1"/>
      <c r="S1797" s="11"/>
      <c r="T1797" s="11"/>
      <c r="U1797" s="11"/>
      <c r="V1797" s="11"/>
      <c r="W1797" s="11"/>
      <c r="AF1797" s="14"/>
    </row>
    <row r="1798" spans="1:32" ht="12.75" customHeight="1" x14ac:dyDescent="0.25">
      <c r="A1798" s="15" t="s">
        <v>165</v>
      </c>
      <c r="H1798" s="110" t="str">
        <f>IF($Q1800&lt;&gt;"",IF(AND(AND($H1800&gt;-1,$H1802&gt;-1),OR($H1800&gt;10,$H1802&gt;10),ABS($H1800-$H1802)&gt;1,IF(OR($H1800&gt;11,$H1802&gt;11),ABS($H1800-$H1802)=2,TRUE),$H1800=INT($H1800),$H1802=INT($H1802)),"","Error"),"")</f>
        <v/>
      </c>
      <c r="I1798" s="110" t="str">
        <f>IF($Q1800&lt;&gt;"",IF(AND(AND($I1800&gt;-1,$I1802&gt;-1),OR($I1800&gt;10,$I1802&gt;10),ABS($I1800-$I1802)&gt;1,IF(OR($I1800&gt;11,$I1802&gt;11),ABS($I1800-$I1802)=2,TRUE),$I1800=INT($I1800),$I1802=INT($I1802)),"","Error"),"")</f>
        <v/>
      </c>
      <c r="J1798" s="110" t="str">
        <f>IF($Q1800&lt;&gt;"",IF(AND(AND($J1800&gt;-1,$J1802&gt;-1),OR($J1800&gt;10,$J1802&gt;10),ABS($J1800-$J1802)&gt;1,IF(OR($J1800&gt;11,$J1802&gt;11),ABS($J1800-$J1802)=2,TRUE),$J1800=INT($J1800),$J1802=INT($J1802)),"","Error"),"")</f>
        <v/>
      </c>
      <c r="K1798" s="110" t="str">
        <f>IF($Q1800&lt;&gt;"",IF(AND($K1800&lt;&gt;"",$K1802&lt;&gt;""), IF(AND(AND($K1800&gt;-1,$K1802&gt;-1),OR($K1800&gt;10,$K1802&gt;10),ABS($K1800-$K1802)&gt;1,IF(OR($K1800&gt;11,$K1802&gt;11),ABS($K1800-$K1802)=2,TRUE),$K1800=INT($K1800),$K1802=INT($K1802)),"","Error"),""),"")</f>
        <v/>
      </c>
      <c r="L1798" s="110" t="str">
        <f>IF($Q1800&lt;&gt;"",IF(AND($L1800&lt;&gt;"",$L1802&lt;&gt;""), IF(AND(AND($L1800&gt;-1,$L1802&gt;-1),OR($L1800&gt;10,$L1802&gt;10),ABS($L1800-$L1802)&gt;1,IF(OR($L1800&gt;11,$L1802&gt;11),ABS($L1800-$L1802)=2,TRUE),$L1800=INT($L1800),$L1802=INT($L1802)),"","Error"),""),"")</f>
        <v/>
      </c>
      <c r="R1798" s="1"/>
      <c r="S1798" s="11"/>
      <c r="T1798" s="11"/>
      <c r="U1798" s="11"/>
      <c r="V1798" s="11"/>
      <c r="W1798" s="11"/>
    </row>
    <row r="1799" spans="1:32" ht="12.75" customHeight="1" x14ac:dyDescent="0.25">
      <c r="A1799" s="5" t="s">
        <v>160</v>
      </c>
      <c r="B1799" s="256" t="s">
        <v>58</v>
      </c>
      <c r="C1799" s="257"/>
      <c r="D1799" s="257"/>
      <c r="E1799" s="257"/>
      <c r="F1799" s="257"/>
      <c r="G1799" s="258"/>
      <c r="H1799" s="5">
        <v>1</v>
      </c>
      <c r="I1799" s="5">
        <v>2</v>
      </c>
      <c r="J1799" s="5">
        <v>3</v>
      </c>
      <c r="K1799" s="5">
        <v>4</v>
      </c>
      <c r="L1799" s="5">
        <v>5</v>
      </c>
      <c r="M1799" s="270"/>
      <c r="N1799" s="271"/>
      <c r="O1799" s="271"/>
      <c r="P1799" s="272"/>
      <c r="R1799" s="1"/>
      <c r="S1799" s="11"/>
      <c r="T1799" s="11"/>
      <c r="U1799" s="11"/>
      <c r="V1799" s="11"/>
      <c r="W1799" s="11"/>
    </row>
    <row r="1800" spans="1:32" ht="12.75" customHeight="1" x14ac:dyDescent="0.25">
      <c r="A1800" s="259" t="str">
        <f>B1794</f>
        <v>B</v>
      </c>
      <c r="B1800" s="236" t="str">
        <f ca="1">IF(AND(OFFSET($AO$1,$C1794-1,8,1,1),$A1795&lt;&gt;"",$J1795&lt;&gt;""),CHOOSE($C1794,$AO$1,$AO$2,$AO$3,$AO$4,$AO$5,$AO$6,$AO$7,$AO$8,$AO$9,$AO$10,$AO$11,$AO$12),"")</f>
        <v/>
      </c>
      <c r="C1800" s="237"/>
      <c r="D1800" s="237"/>
      <c r="E1800" s="237"/>
      <c r="F1800" s="237"/>
      <c r="G1800" s="237"/>
      <c r="H1800" s="233"/>
      <c r="I1800" s="233"/>
      <c r="J1800" s="233"/>
      <c r="K1800" s="233"/>
      <c r="L1800" s="233"/>
      <c r="M1800" s="281"/>
      <c r="N1800" s="282"/>
      <c r="O1800" s="282"/>
      <c r="P1800" s="283"/>
      <c r="Q1800" s="40" t="str">
        <f>IF($L1800=$L1802,IF($K1800=$K1802,IF($J1800&lt;&gt;"",IF($J1800&gt;$J1802,"W","L"),""),IF($K1800&gt;$K1802,"W","L")),IF($L1800&gt;$L1802,"W","L"))</f>
        <v/>
      </c>
      <c r="R1800" s="1"/>
      <c r="S1800" s="11"/>
      <c r="T1800" s="11"/>
      <c r="U1800" s="11"/>
      <c r="V1800" s="11"/>
      <c r="W1800" s="11"/>
    </row>
    <row r="1801" spans="1:32" ht="12.75" customHeight="1" x14ac:dyDescent="0.25">
      <c r="A1801" s="260"/>
      <c r="B1801" s="238"/>
      <c r="C1801" s="239"/>
      <c r="D1801" s="239"/>
      <c r="E1801" s="239"/>
      <c r="F1801" s="239"/>
      <c r="G1801" s="239"/>
      <c r="H1801" s="234"/>
      <c r="I1801" s="234"/>
      <c r="J1801" s="234"/>
      <c r="K1801" s="234"/>
      <c r="L1801" s="234"/>
      <c r="M1801" s="281"/>
      <c r="N1801" s="282"/>
      <c r="O1801" s="282"/>
      <c r="P1801" s="283"/>
      <c r="Q1801" s="110" t="str">
        <f>IF($Q1800&lt;&gt;"",IF($Q1800="W",IF(SUM(IF($H1800&gt;$H1802,1,0),IF($I1800&gt;$I1802,1,0),IF($J1800&gt;$J1802,1,0),IF($K1800&gt;$K1802,1,0),IF($L1800&gt;$L1802,1,0))&lt;&gt;3,"Error",""),""),"")</f>
        <v/>
      </c>
      <c r="R1801" s="295" t="str">
        <f>$A1795</f>
        <v/>
      </c>
      <c r="S1801" s="295"/>
      <c r="T1801" s="295"/>
      <c r="U1801" s="295"/>
      <c r="V1801" s="295"/>
      <c r="W1801" s="295"/>
      <c r="X1801" s="219" t="str">
        <f>CONCATENATE("(",$B1794," vs ",$K1794,")")</f>
        <v>(B vs L)</v>
      </c>
      <c r="Y1801" s="219"/>
      <c r="Z1801" s="295" t="str">
        <f>$J1795</f>
        <v/>
      </c>
      <c r="AA1801" s="295"/>
      <c r="AB1801" s="295"/>
      <c r="AC1801" s="295"/>
      <c r="AD1801" s="295"/>
      <c r="AE1801" s="295"/>
      <c r="AF1801"/>
    </row>
    <row r="1802" spans="1:32" ht="12.75" customHeight="1" x14ac:dyDescent="0.25">
      <c r="A1802" s="259" t="str">
        <f>K1794</f>
        <v>L</v>
      </c>
      <c r="B1802" s="236" t="str">
        <f ca="1">IF(AND(OFFSET($AO$1,$L1794-1,8,1,1),$A1795&lt;&gt;"",$J1795&lt;&gt;""),CHOOSE($L1794,$AO$1,$AO$2,$AO$3,$AO$4,$AO$5,$AO$6,$AO$7,$AO$8,$AO$9,$AO$10,$AO$11,$AO$12),"")</f>
        <v/>
      </c>
      <c r="C1802" s="237"/>
      <c r="D1802" s="237"/>
      <c r="E1802" s="237"/>
      <c r="F1802" s="237"/>
      <c r="G1802" s="237"/>
      <c r="H1802" s="233"/>
      <c r="I1802" s="233"/>
      <c r="J1802" s="233"/>
      <c r="K1802" s="233"/>
      <c r="L1802" s="233"/>
      <c r="M1802" s="250" t="s">
        <v>169</v>
      </c>
      <c r="N1802" s="251"/>
      <c r="O1802" s="251"/>
      <c r="P1802" s="252"/>
      <c r="Q1802" s="40" t="str">
        <f>IF($Q1800&lt;&gt;"",IF($Q1800="W","L","W"),"")</f>
        <v/>
      </c>
      <c r="R1802"/>
      <c r="S1802"/>
      <c r="T1802"/>
      <c r="U1802"/>
      <c r="V1802"/>
      <c r="W1802"/>
      <c r="X1802"/>
      <c r="Y1802"/>
      <c r="Z1802"/>
      <c r="AA1802"/>
      <c r="AB1802"/>
      <c r="AC1802"/>
      <c r="AD1802"/>
      <c r="AE1802"/>
      <c r="AF1802"/>
    </row>
    <row r="1803" spans="1:32" ht="12.75" customHeight="1" x14ac:dyDescent="0.25">
      <c r="A1803" s="260"/>
      <c r="B1803" s="238"/>
      <c r="C1803" s="239"/>
      <c r="D1803" s="239"/>
      <c r="E1803" s="239"/>
      <c r="F1803" s="239"/>
      <c r="G1803" s="239"/>
      <c r="H1803" s="234"/>
      <c r="I1803" s="234"/>
      <c r="J1803" s="235"/>
      <c r="K1803" s="235"/>
      <c r="L1803" s="235"/>
      <c r="M1803" s="250"/>
      <c r="N1803" s="251"/>
      <c r="O1803" s="251"/>
      <c r="P1803" s="252"/>
      <c r="Q1803" s="110" t="str">
        <f>IF($Q1802&lt;&gt;"",IF($Q1802="W",IF(SUM(IF($H1802&gt;$H1800,1,0),IF($I1802&gt;$I1800,1,0),IF($J1802&gt;$J1800,1,0),IF($K1802&gt;$K1800,1,0),IF($L1802&gt;$L1800,1,0))&lt;&gt;3,"Error",""),""),"")</f>
        <v/>
      </c>
      <c r="R1803" t="str">
        <f>$A1805</f>
        <v>2nd Singles</v>
      </c>
      <c r="S1803"/>
      <c r="T1803"/>
      <c r="U1803"/>
      <c r="V1803"/>
      <c r="W1803"/>
      <c r="X1803"/>
      <c r="Y1803"/>
      <c r="Z1803"/>
      <c r="AA1803"/>
      <c r="AB1803"/>
      <c r="AC1803"/>
      <c r="AD1803"/>
      <c r="AE1803"/>
      <c r="AF1803"/>
    </row>
    <row r="1804" spans="1:32" ht="12.75" customHeight="1" x14ac:dyDescent="0.25">
      <c r="Q1804" s="6"/>
      <c r="R1804" s="47" t="s">
        <v>160</v>
      </c>
      <c r="S1804" s="304" t="s">
        <v>58</v>
      </c>
      <c r="T1804" s="305"/>
      <c r="U1804" s="305"/>
      <c r="V1804" s="305"/>
      <c r="W1804" s="305"/>
      <c r="X1804" s="306"/>
      <c r="Y1804" s="47">
        <v>1</v>
      </c>
      <c r="Z1804" s="47">
        <v>2</v>
      </c>
      <c r="AA1804" s="47">
        <v>3</v>
      </c>
      <c r="AB1804" s="47">
        <v>4</v>
      </c>
      <c r="AC1804" s="47">
        <v>5</v>
      </c>
      <c r="AD1804" s="286"/>
      <c r="AE1804" s="287"/>
      <c r="AF1804" s="288"/>
    </row>
    <row r="1805" spans="1:32" ht="12.75" customHeight="1" x14ac:dyDescent="0.25">
      <c r="A1805" s="15" t="s">
        <v>166</v>
      </c>
      <c r="H1805" s="110" t="str">
        <f>IF($Q1807&lt;&gt;"",IF(AND(AND($H1807&gt;-1,$H1809&gt;-1),OR($H1807&gt;10,$H1809&gt;10),ABS($H1807-$H1809)&gt;1,IF(OR($H1807&gt;11,$H1809&gt;11),ABS($H1807-$H1809)=2,TRUE),$H1807=INT($H1807),$H1809=INT($H1809)),"","Error"),"")</f>
        <v/>
      </c>
      <c r="I1805" s="110" t="str">
        <f>IF($Q1807&lt;&gt;"",IF(AND(AND($I1807&gt;-1,$I1809&gt;-1),OR($I1807&gt;10,$I1809&gt;10),ABS($I1807-$I1809)&gt;1,IF(OR($I1807&gt;11,$I1809&gt;11),ABS($I1807-$I1809)=2,TRUE),$I1807=INT($I1807),$I1809=INT($I1809)),"","Error"),"")</f>
        <v/>
      </c>
      <c r="J1805" s="110" t="str">
        <f>IF($Q1807&lt;&gt;"",IF(AND(AND($J1807&gt;-1,$J1809&gt;-1),OR($J1807&gt;10,$J1809&gt;10),ABS($J1807-$J1809)&gt;1,IF(OR($J1807&gt;11,$J1809&gt;11),ABS($J1807-$J1809)=2,TRUE),$J1807=INT($J1807),$J1809=INT($J1809)),"","Error"),"")</f>
        <v/>
      </c>
      <c r="K1805" s="110" t="str">
        <f>IF($Q1807&lt;&gt;"",IF(AND($K1807&lt;&gt;"",$K1809&lt;&gt;""), IF(AND(AND($K1807&gt;-1,$K1809&gt;-1),OR($K1807&gt;10,$K1809&gt;10),ABS($K1807-$K1809)&gt;1,IF(OR($K1807&gt;11,$K1809&gt;11),ABS($K1807-$K1809)=2,TRUE),$K1807=INT($K1807),$K1809=INT($K1809)),"","Error"),""),"")</f>
        <v/>
      </c>
      <c r="L1805" s="110" t="str">
        <f>IF($Q1807&lt;&gt;"",IF(AND($L1807&lt;&gt;"",$L1809&lt;&gt;""), IF(AND(AND($L1807&gt;-1,$L1809&gt;-1),OR($L1807&gt;10,$L1809&gt;10),ABS($L1807-$L1809)&gt;1,IF(OR($L1807&gt;11,$L1809&gt;11),ABS($L1807-$L1809)=2,TRUE),$L1807=INT($L1807),$L1809=INT($L1809)),"","Error"),""),"")</f>
        <v/>
      </c>
      <c r="Q1805" s="6"/>
      <c r="R1805" s="259" t="str">
        <f>$B1794</f>
        <v>B</v>
      </c>
      <c r="S1805" s="307" t="str">
        <f ca="1">IF($B1807&lt;&gt;"",$B1807,"")</f>
        <v/>
      </c>
      <c r="T1805" s="308"/>
      <c r="U1805" s="308"/>
      <c r="V1805" s="308"/>
      <c r="W1805" s="308"/>
      <c r="X1805" s="309"/>
      <c r="Y1805" s="284"/>
      <c r="Z1805" s="284"/>
      <c r="AA1805" s="284"/>
      <c r="AB1805" s="284"/>
      <c r="AC1805" s="284"/>
      <c r="AD1805" s="296"/>
      <c r="AE1805" s="290"/>
      <c r="AF1805" s="291"/>
    </row>
    <row r="1806" spans="1:32" ht="12.75" customHeight="1" x14ac:dyDescent="0.25">
      <c r="A1806" s="5" t="s">
        <v>160</v>
      </c>
      <c r="B1806" s="256" t="s">
        <v>58</v>
      </c>
      <c r="C1806" s="257"/>
      <c r="D1806" s="257"/>
      <c r="E1806" s="257"/>
      <c r="F1806" s="257"/>
      <c r="G1806" s="258"/>
      <c r="H1806" s="5">
        <v>1</v>
      </c>
      <c r="I1806" s="5">
        <v>2</v>
      </c>
      <c r="J1806" s="5">
        <v>3</v>
      </c>
      <c r="K1806" s="5">
        <v>4</v>
      </c>
      <c r="L1806" s="5">
        <v>5</v>
      </c>
      <c r="M1806" s="270"/>
      <c r="N1806" s="271"/>
      <c r="O1806" s="271"/>
      <c r="P1806" s="272"/>
      <c r="Q1806" s="6"/>
      <c r="R1806" s="285"/>
      <c r="S1806" s="310"/>
      <c r="T1806" s="311"/>
      <c r="U1806" s="311"/>
      <c r="V1806" s="311"/>
      <c r="W1806" s="311"/>
      <c r="X1806" s="312"/>
      <c r="Y1806" s="285"/>
      <c r="Z1806" s="285"/>
      <c r="AA1806" s="285"/>
      <c r="AB1806" s="285"/>
      <c r="AC1806" s="285"/>
      <c r="AD1806" s="292"/>
      <c r="AE1806" s="293"/>
      <c r="AF1806" s="294"/>
    </row>
    <row r="1807" spans="1:32" ht="12.75" customHeight="1" x14ac:dyDescent="0.25">
      <c r="A1807" s="259" t="str">
        <f>B1794</f>
        <v>B</v>
      </c>
      <c r="B1807" s="236" t="str">
        <f ca="1">IF(AND(OFFSET($AO$1,$C1794-1,8,1,1),$A1795&lt;&gt;"",$J1795&lt;&gt;""),CHOOSE($C1794,$AP$1,$AP$2,$AP$3,$AP$4,$AP$5,$AP$6,$AP$7,$AP$8,$AP$9,$AP$10,$AP$11,$AP$12),"")</f>
        <v/>
      </c>
      <c r="C1807" s="237"/>
      <c r="D1807" s="237"/>
      <c r="E1807" s="237"/>
      <c r="F1807" s="237"/>
      <c r="G1807" s="237"/>
      <c r="H1807" s="233"/>
      <c r="I1807" s="233"/>
      <c r="J1807" s="233"/>
      <c r="K1807" s="233"/>
      <c r="L1807" s="233"/>
      <c r="M1807" s="245" t="str">
        <f ca="1">IF(OR(AND($B1800&lt;&gt;"",$B1807&lt;&gt;"",$C1825&lt;=$B1825),AND($B1802&lt;&gt;"",$B1809&lt;&gt;"",$G1825&lt;=$F1825)),"Invalid Lineup","")</f>
        <v/>
      </c>
      <c r="N1807" s="246"/>
      <c r="O1807" s="246"/>
      <c r="P1807" s="247"/>
      <c r="Q1807" s="40" t="str">
        <f>IF($L1807=$L1809,IF($K1807=$K1809,IF($J1807&lt;&gt;"",IF($J1807&gt;$J1809,"W","L"),""),IF($K1807&gt;$K1809,"W","L")),IF($L1807&gt;$L1809,"W","L"))</f>
        <v/>
      </c>
      <c r="R1807" s="259" t="str">
        <f>$K1794</f>
        <v>L</v>
      </c>
      <c r="S1807" s="307" t="str">
        <f ca="1">IF($B1809&lt;&gt;"",$B1809,"")</f>
        <v/>
      </c>
      <c r="T1807" s="308"/>
      <c r="U1807" s="308"/>
      <c r="V1807" s="308"/>
      <c r="W1807" s="308"/>
      <c r="X1807" s="309"/>
      <c r="Y1807" s="284"/>
      <c r="Z1807" s="284"/>
      <c r="AA1807" s="284"/>
      <c r="AB1807" s="284"/>
      <c r="AC1807" s="297"/>
      <c r="AD1807" s="289" t="s">
        <v>169</v>
      </c>
      <c r="AE1807" s="290"/>
      <c r="AF1807" s="291"/>
    </row>
    <row r="1808" spans="1:32" ht="12.75" customHeight="1" x14ac:dyDescent="0.25">
      <c r="A1808" s="260"/>
      <c r="B1808" s="238"/>
      <c r="C1808" s="239"/>
      <c r="D1808" s="239"/>
      <c r="E1808" s="239"/>
      <c r="F1808" s="239"/>
      <c r="G1808" s="239"/>
      <c r="H1808" s="234"/>
      <c r="I1808" s="234"/>
      <c r="J1808" s="234"/>
      <c r="K1808" s="234"/>
      <c r="L1808" s="234"/>
      <c r="M1808" s="245"/>
      <c r="N1808" s="246"/>
      <c r="O1808" s="246"/>
      <c r="P1808" s="247"/>
      <c r="Q1808" s="110" t="str">
        <f>IF($Q1807&lt;&gt;"",IF($Q1807="W",IF(SUM(IF($H1807&gt;$H1809,1,0),IF($I1807&gt;$I1809,1,0),IF($J1807&gt;$J1809,1,0),IF($K1807&gt;$K1809,1,0),IF($L1807&gt;$L1809,1,0))&lt;&gt;3,"Error",""),""),"")</f>
        <v/>
      </c>
      <c r="R1808" s="285"/>
      <c r="S1808" s="310"/>
      <c r="T1808" s="311"/>
      <c r="U1808" s="311"/>
      <c r="V1808" s="311"/>
      <c r="W1808" s="311"/>
      <c r="X1808" s="312"/>
      <c r="Y1808" s="285"/>
      <c r="Z1808" s="285"/>
      <c r="AA1808" s="285"/>
      <c r="AB1808" s="285"/>
      <c r="AC1808" s="285"/>
      <c r="AD1808" s="292"/>
      <c r="AE1808" s="293"/>
      <c r="AF1808" s="294"/>
    </row>
    <row r="1809" spans="1:32" ht="12.75" customHeight="1" x14ac:dyDescent="0.25">
      <c r="A1809" s="259" t="str">
        <f>K1794</f>
        <v>L</v>
      </c>
      <c r="B1809" s="236" t="str">
        <f ca="1">IF(AND(OFFSET($AO$1,$L1794-1,8,1,1),$A1795&lt;&gt;"",$J1795&lt;&gt;""),CHOOSE($L1794,$AP$1,$AP$2,$AP$3,$AP$4,$AP$5,$AP$6,$AP$7,$AP$8,$AP$9,$AP$10,$AP$11,$AP$12),"")</f>
        <v/>
      </c>
      <c r="C1809" s="237"/>
      <c r="D1809" s="237"/>
      <c r="E1809" s="237"/>
      <c r="F1809" s="237"/>
      <c r="G1809" s="237"/>
      <c r="H1809" s="233"/>
      <c r="I1809" s="233"/>
      <c r="J1809" s="233"/>
      <c r="K1809" s="233"/>
      <c r="L1809" s="233"/>
      <c r="M1809" s="250" t="s">
        <v>169</v>
      </c>
      <c r="N1809" s="251"/>
      <c r="O1809" s="251"/>
      <c r="P1809" s="252"/>
      <c r="Q1809" s="40" t="str">
        <f>IF($Q1807&lt;&gt;"",IF($Q1807="W","L","W"),"")</f>
        <v/>
      </c>
      <c r="R1809" s="14"/>
      <c r="S1809" s="14"/>
      <c r="T1809" s="14"/>
      <c r="U1809" s="14"/>
      <c r="V1809" s="14"/>
      <c r="W1809" s="14"/>
      <c r="X1809" s="7"/>
      <c r="Y1809" s="7"/>
      <c r="Z1809" s="14"/>
      <c r="AA1809" s="14"/>
      <c r="AB1809" s="14"/>
      <c r="AC1809" s="14"/>
      <c r="AD1809" s="14"/>
      <c r="AE1809" s="14"/>
      <c r="AF1809"/>
    </row>
    <row r="1810" spans="1:32" ht="12.75" customHeight="1" x14ac:dyDescent="0.25">
      <c r="A1810" s="260"/>
      <c r="B1810" s="238"/>
      <c r="C1810" s="239"/>
      <c r="D1810" s="239"/>
      <c r="E1810" s="239"/>
      <c r="F1810" s="239"/>
      <c r="G1810" s="239"/>
      <c r="H1810" s="234"/>
      <c r="I1810" s="234"/>
      <c r="J1810" s="235"/>
      <c r="K1810" s="235"/>
      <c r="L1810" s="235"/>
      <c r="M1810" s="250"/>
      <c r="N1810" s="251"/>
      <c r="O1810" s="251"/>
      <c r="P1810" s="252"/>
      <c r="Q1810" s="110" t="str">
        <f>IF($Q1809&lt;&gt;"",IF($Q1809="W",IF(SUM(IF($H1809&gt;$H1807,1,0),IF($I1809&gt;$I1807,1,0),IF($J1809&gt;$J1807,1,0),IF($K1809&gt;$K1807,1,0),IF($L1809&gt;$L1807,1,0))&lt;&gt;3,"Error",""),""),"")</f>
        <v/>
      </c>
      <c r="R1810" s="14"/>
      <c r="S1810" s="14"/>
      <c r="T1810" s="14"/>
      <c r="U1810" s="14"/>
      <c r="V1810" s="14"/>
      <c r="W1810" s="14"/>
      <c r="X1810" s="7"/>
      <c r="Y1810" s="7"/>
      <c r="Z1810" s="14"/>
      <c r="AA1810" s="14"/>
      <c r="AB1810" s="14"/>
      <c r="AC1810" s="14"/>
      <c r="AD1810" s="14"/>
      <c r="AE1810" s="14"/>
      <c r="AF1810"/>
    </row>
    <row r="1811" spans="1:32" ht="12.75" customHeight="1" x14ac:dyDescent="0.25">
      <c r="Q1811" s="6"/>
      <c r="R1811" s="14"/>
      <c r="S1811" s="14"/>
      <c r="T1811" s="14"/>
      <c r="U1811" s="14"/>
      <c r="V1811" s="14"/>
      <c r="W1811" s="14"/>
      <c r="X1811" s="7"/>
      <c r="Y1811" s="7"/>
      <c r="Z1811" s="14"/>
      <c r="AA1811" s="14"/>
      <c r="AB1811" s="14"/>
      <c r="AC1811" s="14"/>
      <c r="AD1811" s="14"/>
      <c r="AE1811" s="14"/>
      <c r="AF1811"/>
    </row>
    <row r="1812" spans="1:32" ht="12.75" customHeight="1" x14ac:dyDescent="0.25">
      <c r="A1812" s="15" t="s">
        <v>167</v>
      </c>
      <c r="H1812" s="110" t="str">
        <f>IF($Q1814&lt;&gt;"",IF(AND(AND($H1814&gt;-1,$H1816&gt;-1),OR($H1814&gt;10,$H1816&gt;10),ABS($H1814-$H1816)&gt;1,IF(OR($H1814&gt;11,$H1816&gt;11),ABS($H1814-$H1816)=2,TRUE),$H1814=INT($H1814),$H1816=INT($H1816)),"","Error"),"")</f>
        <v/>
      </c>
      <c r="I1812" s="110" t="str">
        <f>IF($Q1814&lt;&gt;"",IF(AND(AND($I1814&gt;-1,$I1816&gt;-1),OR($I1814&gt;10,$I1816&gt;10),ABS($I1814-$I1816)&gt;1,IF(OR($I1814&gt;11,$I1816&gt;11),ABS($I1814-$I1816)=2,TRUE),$I1814=INT($I1814),$I1816=INT($I1816)),"","Error"),"")</f>
        <v/>
      </c>
      <c r="J1812" s="110" t="str">
        <f>IF($Q1814&lt;&gt;"",IF(AND(AND($J1814&gt;-1,$J1816&gt;-1),OR($J1814&gt;10,$J1816&gt;10),ABS($J1814-$J1816)&gt;1,IF(OR($J1814&gt;11,$J1816&gt;11),ABS($J1814-$J1816)=2,TRUE),$J1814=INT($J1814),$J1816=INT($J1816)),"","Error"),"")</f>
        <v/>
      </c>
      <c r="K1812" s="110" t="str">
        <f>IF($Q1814&lt;&gt;"",IF(AND($K1814&lt;&gt;"",$K1816&lt;&gt;""), IF(AND(AND($K1814&gt;-1,$K1816&gt;-1),OR($K1814&gt;10,$K1816&gt;10),ABS($K1814-$K1816)&gt;1,IF(OR($K1814&gt;11,$K1816&gt;11),ABS($K1814-$K1816)=2,TRUE),$K1814=INT($K1814),$K1816=INT($K1816)),"","Error"),""),"")</f>
        <v/>
      </c>
      <c r="L1812" s="110" t="str">
        <f>IF($Q1814&lt;&gt;"",IF(AND($L1814&lt;&gt;"",$L1816&lt;&gt;""), IF(AND(AND($L1814&gt;-1,$L1816&gt;-1),OR($L1814&gt;10,$L1816&gt;10),ABS($L1814-$L1816)&gt;1,IF(OR($L1814&gt;11,$L1816&gt;11),ABS($L1814-$L1816)=2,TRUE),$L1814=INT($L1814),$L1816=INT($L1816)),"","Error"),""),"")</f>
        <v/>
      </c>
      <c r="Q1812" s="6"/>
      <c r="R1812" s="14"/>
      <c r="S1812" s="14"/>
      <c r="T1812" s="14"/>
      <c r="U1812" s="14"/>
      <c r="V1812" s="14"/>
      <c r="W1812" s="14"/>
      <c r="X1812" s="7"/>
      <c r="Y1812" s="7"/>
      <c r="Z1812" s="14"/>
      <c r="AA1812" s="14"/>
      <c r="AB1812" s="14"/>
      <c r="AC1812" s="14"/>
      <c r="AD1812" s="14"/>
      <c r="AE1812" s="14"/>
      <c r="AF1812"/>
    </row>
    <row r="1813" spans="1:32" ht="12.75" customHeight="1" x14ac:dyDescent="0.25">
      <c r="A1813" s="5" t="s">
        <v>160</v>
      </c>
      <c r="B1813" s="256" t="s">
        <v>58</v>
      </c>
      <c r="C1813" s="257"/>
      <c r="D1813" s="257"/>
      <c r="E1813" s="257"/>
      <c r="F1813" s="257"/>
      <c r="G1813" s="258"/>
      <c r="H1813" s="5">
        <v>1</v>
      </c>
      <c r="I1813" s="5">
        <v>2</v>
      </c>
      <c r="J1813" s="5">
        <v>3</v>
      </c>
      <c r="K1813" s="5">
        <v>4</v>
      </c>
      <c r="L1813" s="5">
        <v>5</v>
      </c>
      <c r="M1813" s="270"/>
      <c r="N1813" s="271"/>
      <c r="O1813" s="271"/>
      <c r="P1813" s="272"/>
      <c r="Q1813" s="6"/>
      <c r="R1813" s="14"/>
      <c r="S1813" s="14"/>
      <c r="T1813" s="14"/>
      <c r="U1813" s="14"/>
      <c r="V1813" s="14"/>
      <c r="W1813" s="14"/>
      <c r="X1813" s="7"/>
      <c r="Y1813" s="7"/>
      <c r="Z1813" s="14"/>
      <c r="AA1813" s="14"/>
      <c r="AB1813" s="14"/>
      <c r="AC1813" s="14"/>
      <c r="AD1813" s="14"/>
      <c r="AE1813" s="14"/>
      <c r="AF1813"/>
    </row>
    <row r="1814" spans="1:32" ht="12.75" customHeight="1" x14ac:dyDescent="0.25">
      <c r="A1814" s="259" t="str">
        <f>B1794</f>
        <v>B</v>
      </c>
      <c r="B1814" s="236" t="str">
        <f ca="1">IF(AND(OFFSET($AO$1,$C1794-1,8,1,1),$A1795&lt;&gt;"",$J1795&lt;&gt;""),CHOOSE($C1794,$AQ$1,$AQ$2,$AQ$3,$AQ$4,$AQ$5,$AQ$6,$AQ$7,$AQ$8,$AQ$9,$AQ$10,$AQ$11,$AQ$12),"")</f>
        <v/>
      </c>
      <c r="C1814" s="237"/>
      <c r="D1814" s="237"/>
      <c r="E1814" s="237"/>
      <c r="F1814" s="237"/>
      <c r="G1814" s="237"/>
      <c r="H1814" s="233"/>
      <c r="I1814" s="233"/>
      <c r="J1814" s="233"/>
      <c r="K1814" s="233"/>
      <c r="L1814" s="233"/>
      <c r="M1814" s="245" t="str">
        <f ca="1">IF(OR(AND($B1807&lt;&gt;"",$B1814&lt;&gt;"",$D1825&lt;=$C1825),AND($B1809&lt;&gt;"",$B1816&lt;&gt;"",$H1825&lt;=$G1825)),"Invalid Lineup","")</f>
        <v/>
      </c>
      <c r="N1814" s="246"/>
      <c r="O1814" s="246"/>
      <c r="P1814" s="247"/>
      <c r="Q1814" s="40" t="str">
        <f>IF($L1814=$L1816,IF($K1814=$K1816,IF($J1814&lt;&gt;"",IF($J1814&gt;$J1816,"W","L"),""),IF($K1814&gt;$K1816,"W","L")),IF($L1814&gt;$L1816,"W","L"))</f>
        <v/>
      </c>
      <c r="R1814" s="14"/>
      <c r="S1814" s="14"/>
      <c r="T1814" s="14"/>
      <c r="U1814" s="14"/>
      <c r="V1814" s="14"/>
      <c r="W1814" s="14"/>
      <c r="X1814" s="7"/>
      <c r="Y1814" s="7"/>
      <c r="Z1814" s="14"/>
      <c r="AA1814" s="14"/>
      <c r="AB1814" s="14"/>
      <c r="AC1814" s="14"/>
      <c r="AD1814" s="14"/>
      <c r="AE1814" s="14"/>
      <c r="AF1814"/>
    </row>
    <row r="1815" spans="1:32" ht="12.75" customHeight="1" x14ac:dyDescent="0.25">
      <c r="A1815" s="260"/>
      <c r="B1815" s="238"/>
      <c r="C1815" s="239"/>
      <c r="D1815" s="239"/>
      <c r="E1815" s="239"/>
      <c r="F1815" s="239"/>
      <c r="G1815" s="239"/>
      <c r="H1815" s="234"/>
      <c r="I1815" s="234"/>
      <c r="J1815" s="234"/>
      <c r="K1815" s="234"/>
      <c r="L1815" s="234"/>
      <c r="M1815" s="245"/>
      <c r="N1815" s="246"/>
      <c r="O1815" s="246"/>
      <c r="P1815" s="247"/>
      <c r="Q1815" s="110" t="str">
        <f>IF($Q1814&lt;&gt;"",IF($Q1814="W",IF(SUM(IF($H1814&gt;$H1816,1,0),IF($I1814&gt;$I1816,1,0),IF($J1814&gt;$J1816,1,0),IF($K1814&gt;$K1816,1,0),IF($L1814&gt;$L1816,1,0))&lt;&gt;3,"Error",""),""),"")</f>
        <v/>
      </c>
      <c r="R1815" s="295" t="str">
        <f>$A1795</f>
        <v/>
      </c>
      <c r="S1815" s="295"/>
      <c r="T1815" s="295"/>
      <c r="U1815" s="295"/>
      <c r="V1815" s="295"/>
      <c r="W1815" s="295"/>
      <c r="X1815" s="219" t="str">
        <f>CONCATENATE("(",$B1794," vs ",$K1794,")")</f>
        <v>(B vs L)</v>
      </c>
      <c r="Y1815" s="219"/>
      <c r="Z1815" s="295" t="str">
        <f>$J1795</f>
        <v/>
      </c>
      <c r="AA1815" s="295"/>
      <c r="AB1815" s="295"/>
      <c r="AC1815" s="295"/>
      <c r="AD1815" s="295"/>
      <c r="AE1815" s="295"/>
      <c r="AF1815"/>
    </row>
    <row r="1816" spans="1:32" ht="12.75" customHeight="1" x14ac:dyDescent="0.25">
      <c r="A1816" s="259" t="str">
        <f>K1794</f>
        <v>L</v>
      </c>
      <c r="B1816" s="236" t="str">
        <f ca="1">IF(AND(OFFSET($AO$1,$L1794-1,8,1,1),$A1795&lt;&gt;"",$J1795&lt;&gt;""),CHOOSE($L1794,$AQ$1,$AQ$2,$AQ$3,$AQ$4,$AQ$5,$AQ$6,$AQ$7,$AQ$8,$AQ$9,$AQ$10,$AQ$11,$AQ$12),"")</f>
        <v/>
      </c>
      <c r="C1816" s="237"/>
      <c r="D1816" s="237"/>
      <c r="E1816" s="237"/>
      <c r="F1816" s="237"/>
      <c r="G1816" s="237"/>
      <c r="H1816" s="233"/>
      <c r="I1816" s="233"/>
      <c r="J1816" s="233"/>
      <c r="K1816" s="233"/>
      <c r="L1816" s="233"/>
      <c r="M1816" s="250" t="s">
        <v>169</v>
      </c>
      <c r="N1816" s="251"/>
      <c r="O1816" s="251"/>
      <c r="P1816" s="252"/>
      <c r="Q1816" s="40" t="str">
        <f>IF($Q1814&lt;&gt;"",IF($Q1814="W","L","W"),"")</f>
        <v/>
      </c>
      <c r="R1816"/>
      <c r="S1816"/>
      <c r="T1816"/>
      <c r="U1816"/>
      <c r="V1816"/>
      <c r="W1816"/>
      <c r="X1816"/>
      <c r="Y1816"/>
      <c r="Z1816"/>
      <c r="AA1816"/>
      <c r="AB1816"/>
      <c r="AC1816"/>
      <c r="AD1816"/>
      <c r="AE1816"/>
      <c r="AF1816"/>
    </row>
    <row r="1817" spans="1:32" ht="12.75" customHeight="1" x14ac:dyDescent="0.25">
      <c r="A1817" s="260"/>
      <c r="B1817" s="238"/>
      <c r="C1817" s="239"/>
      <c r="D1817" s="239"/>
      <c r="E1817" s="239"/>
      <c r="F1817" s="239"/>
      <c r="G1817" s="239"/>
      <c r="H1817" s="234"/>
      <c r="I1817" s="234"/>
      <c r="J1817" s="235"/>
      <c r="K1817" s="235"/>
      <c r="L1817" s="235"/>
      <c r="M1817" s="250"/>
      <c r="N1817" s="251"/>
      <c r="O1817" s="251"/>
      <c r="P1817" s="252"/>
      <c r="Q1817" s="110" t="str">
        <f>IF($Q1816&lt;&gt;"",IF($Q1816="W",IF(SUM(IF($H1816&gt;$H1814,1,0),IF($I1816&gt;$I1814,1,0),IF($J1816&gt;$J1814,1,0),IF($K1816&gt;$K1814,1,0),IF($L1816&gt;$L1814,1,0))&lt;&gt;3,"Error",""),""),"")</f>
        <v/>
      </c>
      <c r="R1817" t="str">
        <f>$A1812</f>
        <v>3rd Singles</v>
      </c>
      <c r="S1817"/>
      <c r="T1817"/>
      <c r="U1817"/>
      <c r="V1817"/>
      <c r="W1817"/>
      <c r="X1817"/>
      <c r="Y1817"/>
      <c r="Z1817"/>
      <c r="AA1817"/>
      <c r="AB1817"/>
      <c r="AC1817"/>
      <c r="AD1817"/>
      <c r="AE1817"/>
      <c r="AF1817"/>
    </row>
    <row r="1818" spans="1:32" ht="12.75" customHeight="1" x14ac:dyDescent="0.25">
      <c r="Q1818" s="6"/>
      <c r="R1818" s="47" t="s">
        <v>160</v>
      </c>
      <c r="S1818" s="86" t="s">
        <v>58</v>
      </c>
      <c r="T1818" s="87"/>
      <c r="U1818" s="87"/>
      <c r="V1818" s="87"/>
      <c r="W1818" s="87"/>
      <c r="X1818" s="88"/>
      <c r="Y1818" s="47">
        <v>1</v>
      </c>
      <c r="Z1818" s="47">
        <v>2</v>
      </c>
      <c r="AA1818" s="47">
        <v>3</v>
      </c>
      <c r="AB1818" s="47">
        <v>4</v>
      </c>
      <c r="AC1818" s="47">
        <v>5</v>
      </c>
      <c r="AD1818" s="89"/>
      <c r="AE1818" s="90"/>
      <c r="AF1818" s="91"/>
    </row>
    <row r="1819" spans="1:32" ht="12.75" customHeight="1" x14ac:dyDescent="0.25">
      <c r="A1819" s="15" t="s">
        <v>168</v>
      </c>
      <c r="H1819" s="110" t="str">
        <f ca="1">IF($Q1821&lt;&gt;"",IF(AND($B1821&lt;&gt;"Missing Player",$B1823&lt;&gt;"Missing Player"),IF(AND(AND($H1821&gt;-1,$H1823&gt;-1),OR($H1821&gt;10,$H1823&gt;10),ABS($H1821-$H1823)&gt;1,IF(OR($H1821&gt;11,$H1823&gt;11),ABS($H1821-$H1823)=2,TRUE),$H1821=INT($H1821),$H1823=INT($H1823)),"","Error"),""),"")</f>
        <v/>
      </c>
      <c r="I1819" s="110" t="str">
        <f ca="1">IF($Q1821&lt;&gt;"",IF(AND($B1821&lt;&gt;"Missing Player",$B1823&lt;&gt;"Missing Player"),IF(AND(AND($I1821&gt;-1,$I1823&gt;-1),OR($I1821&gt;10,$I1823&gt;10),ABS($I1821-$I1823)&gt;1,IF(OR($I1821&gt;11,$I1823&gt;11),ABS($I1821-$I1823)=2,TRUE),$I1821=INT($I1821),$I1823=INT($I1823)),"","Error"),""),"")</f>
        <v/>
      </c>
      <c r="J1819" s="110" t="str">
        <f ca="1">IF($Q1821&lt;&gt;"",IF(AND($B1821&lt;&gt;"Missing Player",$B1823&lt;&gt;"Missing Player"),IF(AND(AND($J1821&gt;-1,$J1823&gt;-1),OR($J1821&gt;10,$J1823&gt;10),ABS($J1821-$J1823)&gt;1,IF(OR($J1821&gt;11,$J1823&gt;11),ABS($J1821-$J1823)=2,TRUE),$J1821=INT($J1821),$J1823=INT($J1823)),"","Error"),""),"")</f>
        <v/>
      </c>
      <c r="K1819" s="110" t="str">
        <f ca="1">IF($Q1821&lt;&gt;"",IF(AND($K1821&lt;&gt;"",$K1823&lt;&gt;""), IF(AND(AND($K1821&gt;-1,$K1823&gt;-1),OR($K1821&gt;10,$K1823&gt;10),ABS($K1821-$K1823)&gt;1,IF(OR($K1821&gt;11,$K1823&gt;11),ABS($K1821-$K1823)=2,TRUE),$K1821=INT($K1821),$K1823=INT($K1823)),"","Error"),""),"")</f>
        <v/>
      </c>
      <c r="L1819" s="110" t="str">
        <f ca="1">IF($Q1821&lt;&gt;"",IF(AND($L1821&lt;&gt;"",$L1823&lt;&gt;""), IF(AND(AND($L1821&gt;-1,$L1823&gt;-1),OR($L1821&gt;10,$L1823&gt;10),ABS($L1821-$L1823)&gt;1,IF(OR($L1821&gt;11,$L1823&gt;11),ABS($L1821-$L1823)=2,TRUE),$L1821=INT($L1821),$L1823=INT($L1823)),"","Error"),""),"")</f>
        <v/>
      </c>
      <c r="Q1819" s="6"/>
      <c r="R1819" s="259" t="str">
        <f>$B1794</f>
        <v>B</v>
      </c>
      <c r="S1819" s="307" t="str">
        <f ca="1">IF($B1814&lt;&gt;"",$B1814,"")</f>
        <v/>
      </c>
      <c r="T1819" s="308"/>
      <c r="U1819" s="308"/>
      <c r="V1819" s="308"/>
      <c r="W1819" s="308"/>
      <c r="X1819" s="309"/>
      <c r="Y1819" s="284"/>
      <c r="Z1819" s="284"/>
      <c r="AA1819" s="284"/>
      <c r="AB1819" s="284"/>
      <c r="AC1819" s="284"/>
      <c r="AD1819" s="296"/>
      <c r="AE1819" s="290"/>
      <c r="AF1819" s="291"/>
    </row>
    <row r="1820" spans="1:32" ht="12.75" customHeight="1" x14ac:dyDescent="0.25">
      <c r="A1820" s="5" t="s">
        <v>160</v>
      </c>
      <c r="B1820" s="256" t="s">
        <v>58</v>
      </c>
      <c r="C1820" s="257"/>
      <c r="D1820" s="257"/>
      <c r="E1820" s="257"/>
      <c r="F1820" s="257"/>
      <c r="G1820" s="258"/>
      <c r="H1820" s="5">
        <v>1</v>
      </c>
      <c r="I1820" s="5">
        <v>2</v>
      </c>
      <c r="J1820" s="5">
        <v>3</v>
      </c>
      <c r="K1820" s="5">
        <v>4</v>
      </c>
      <c r="L1820" s="5">
        <v>5</v>
      </c>
      <c r="M1820" s="270"/>
      <c r="N1820" s="271"/>
      <c r="O1820" s="271"/>
      <c r="P1820" s="272"/>
      <c r="Q1820" s="6"/>
      <c r="R1820" s="285"/>
      <c r="S1820" s="310"/>
      <c r="T1820" s="311"/>
      <c r="U1820" s="311"/>
      <c r="V1820" s="311"/>
      <c r="W1820" s="311"/>
      <c r="X1820" s="312"/>
      <c r="Y1820" s="285"/>
      <c r="Z1820" s="285"/>
      <c r="AA1820" s="285"/>
      <c r="AB1820" s="285"/>
      <c r="AC1820" s="285"/>
      <c r="AD1820" s="292"/>
      <c r="AE1820" s="293"/>
      <c r="AF1820" s="294"/>
    </row>
    <row r="1821" spans="1:32" ht="12.75" customHeight="1" x14ac:dyDescent="0.25">
      <c r="A1821" s="259" t="str">
        <f>B1794</f>
        <v>B</v>
      </c>
      <c r="B1821" s="236" t="str">
        <f ca="1">IF(AND(OFFSET($AO$1,$C1794-1,8,1,1),$A1795&lt;&gt;"",$J1795&lt;&gt;""),CHOOSE($C1794,$AR$1,$AR$2,$AR$3,$AR$4,$AR$5,$AR$6,$AR$7,$AR$8,$AR$9,$AR$10,$AR$11,$AR$12),"")</f>
        <v/>
      </c>
      <c r="C1821" s="237"/>
      <c r="D1821" s="237"/>
      <c r="E1821" s="237"/>
      <c r="F1821" s="237"/>
      <c r="G1821" s="237"/>
      <c r="H1821" s="233"/>
      <c r="I1821" s="233"/>
      <c r="J1821" s="233"/>
      <c r="K1821" s="233"/>
      <c r="L1821" s="233" t="str">
        <f ca="1">IF(AND($B1821&lt;&gt;"",$Q1800&lt;&gt;""),IF($B1821="Missing Player",0,IF($B1823="Missing Player",11,"")),"")</f>
        <v/>
      </c>
      <c r="M1821" s="245" t="str">
        <f ca="1">IF(OR(AND($B1814&lt;&gt;"",$B1821&lt;&gt;"",$E1825&lt;=$D1825),AND($B1816&lt;&gt;"",$B1823&lt;&gt;"",$I1825&lt;=$H1825)),"Invalid Lineup","")</f>
        <v/>
      </c>
      <c r="N1821" s="246"/>
      <c r="O1821" s="246"/>
      <c r="P1821" s="247"/>
      <c r="Q1821" s="40" t="str">
        <f ca="1">IF($L1821=$L1823,IF($K1821=$K1823,IF($J1821&lt;&gt;"",IF($J1821&gt;$J1823,"W","L"),""),IF($K1821&gt;$K1823,"W","L")),IF($L1821&gt;$L1823,"W","L"))</f>
        <v/>
      </c>
      <c r="R1821" s="259" t="str">
        <f>$K1794</f>
        <v>L</v>
      </c>
      <c r="S1821" s="307" t="str">
        <f ca="1">IF($B1816&lt;&gt;"",$B1816,"")</f>
        <v/>
      </c>
      <c r="T1821" s="308"/>
      <c r="U1821" s="308"/>
      <c r="V1821" s="308"/>
      <c r="W1821" s="308"/>
      <c r="X1821" s="309"/>
      <c r="Y1821" s="284"/>
      <c r="Z1821" s="284"/>
      <c r="AA1821" s="284"/>
      <c r="AB1821" s="284"/>
      <c r="AC1821" s="297"/>
      <c r="AD1821" s="289" t="s">
        <v>169</v>
      </c>
      <c r="AE1821" s="290"/>
      <c r="AF1821" s="291"/>
    </row>
    <row r="1822" spans="1:32" ht="12.75" customHeight="1" x14ac:dyDescent="0.25">
      <c r="A1822" s="260"/>
      <c r="B1822" s="238"/>
      <c r="C1822" s="239"/>
      <c r="D1822" s="239"/>
      <c r="E1822" s="239"/>
      <c r="F1822" s="239"/>
      <c r="G1822" s="239"/>
      <c r="H1822" s="234"/>
      <c r="I1822" s="234"/>
      <c r="J1822" s="234"/>
      <c r="K1822" s="234"/>
      <c r="L1822" s="234"/>
      <c r="M1822" s="245"/>
      <c r="N1822" s="246"/>
      <c r="O1822" s="246"/>
      <c r="P1822" s="247"/>
      <c r="Q1822" s="110" t="str">
        <f ca="1">IF($Q1821&lt;&gt;"",IF($B1823&lt;&gt;"Missing Player",IF($Q1821="W",IF(SUM(IF($H1821&gt;$H1823,1,0),IF($I1821&gt;$I1823,1,0),IF($J1821&gt;$J1823,1,0),IF($K1821&gt;$K1823,1,0),IF($L1821&gt;$L1823,1,0))&lt;&gt;3,"Error",""),""),""),"")</f>
        <v/>
      </c>
      <c r="R1822" s="285"/>
      <c r="S1822" s="310"/>
      <c r="T1822" s="311"/>
      <c r="U1822" s="311"/>
      <c r="V1822" s="311"/>
      <c r="W1822" s="311"/>
      <c r="X1822" s="312"/>
      <c r="Y1822" s="285"/>
      <c r="Z1822" s="285"/>
      <c r="AA1822" s="285"/>
      <c r="AB1822" s="285"/>
      <c r="AC1822" s="285"/>
      <c r="AD1822" s="292"/>
      <c r="AE1822" s="293"/>
      <c r="AF1822" s="294"/>
    </row>
    <row r="1823" spans="1:32" ht="12.75" customHeight="1" x14ac:dyDescent="0.25">
      <c r="A1823" s="259" t="str">
        <f>K1794</f>
        <v>L</v>
      </c>
      <c r="B1823" s="236" t="str">
        <f ca="1">IF(AND(OFFSET($AO$1,$L1794-1,8,1,1),$A1795&lt;&gt;"",$J1795&lt;&gt;""),CHOOSE($L1794,$AR$1,$AR$2,$AR$3,$AR$4,$AR$5,$AR$6,$AR$7,$AR$8,$AR$9,$AR$10,$AR$11,$AR$12),"")</f>
        <v/>
      </c>
      <c r="C1823" s="237"/>
      <c r="D1823" s="237"/>
      <c r="E1823" s="237"/>
      <c r="F1823" s="237"/>
      <c r="G1823" s="237"/>
      <c r="H1823" s="233"/>
      <c r="I1823" s="233"/>
      <c r="J1823" s="233"/>
      <c r="K1823" s="233"/>
      <c r="L1823" s="233" t="str">
        <f ca="1">IF(AND($B1823&lt;&gt;"",$Q1800&lt;&gt;""),IF($B1823="Missing Player",0,IF($B1821="Missing Player",11,"")),"")</f>
        <v/>
      </c>
      <c r="M1823" s="250" t="s">
        <v>169</v>
      </c>
      <c r="N1823" s="251"/>
      <c r="O1823" s="251"/>
      <c r="P1823" s="252"/>
      <c r="Q1823" s="40" t="str">
        <f ca="1">IF($Q1821&lt;&gt;"",IF($Q1821="W","L","W"),"")</f>
        <v/>
      </c>
      <c r="R1823" s="94"/>
      <c r="S1823" s="84"/>
      <c r="T1823" s="84"/>
      <c r="U1823" s="84"/>
      <c r="V1823" s="84"/>
      <c r="W1823" s="84"/>
      <c r="X1823" s="84"/>
      <c r="Y1823" s="93"/>
      <c r="Z1823" s="93"/>
      <c r="AA1823" s="93"/>
      <c r="AB1823" s="93"/>
      <c r="AC1823" s="93"/>
      <c r="AD1823" s="92"/>
      <c r="AE1823" s="93"/>
      <c r="AF1823" s="93"/>
    </row>
    <row r="1824" spans="1:32" ht="12.75" customHeight="1" x14ac:dyDescent="0.25">
      <c r="A1824" s="260"/>
      <c r="B1824" s="238"/>
      <c r="C1824" s="239"/>
      <c r="D1824" s="239"/>
      <c r="E1824" s="239"/>
      <c r="F1824" s="239"/>
      <c r="G1824" s="239"/>
      <c r="H1824" s="234"/>
      <c r="I1824" s="234"/>
      <c r="J1824" s="235"/>
      <c r="K1824" s="235"/>
      <c r="L1824" s="235"/>
      <c r="M1824" s="250"/>
      <c r="N1824" s="251"/>
      <c r="O1824" s="251"/>
      <c r="P1824" s="252"/>
      <c r="Q1824" s="110" t="str">
        <f ca="1">IF($Q1823&lt;&gt;"",IF($B1821&lt;&gt;"Missing Player",IF($Q1823="W",IF(SUM(IF($H1823&gt;$H1821,1,0),IF($I1823&gt;$I1821,1,0),IF($J1823&gt;$J1821,1,0),IF($K1823&gt;$K1821,1,0),IF($L1823&gt;$L1821,1,0))&lt;&gt;3,"Error",""),""),""),"")</f>
        <v/>
      </c>
      <c r="R1824" s="85"/>
      <c r="S1824" s="95"/>
      <c r="T1824" s="95"/>
      <c r="U1824" s="95"/>
      <c r="V1824" s="95"/>
      <c r="W1824" s="95"/>
      <c r="X1824" s="95"/>
      <c r="Y1824" s="85"/>
      <c r="Z1824" s="85"/>
      <c r="AA1824" s="85"/>
      <c r="AB1824" s="85"/>
      <c r="AC1824" s="85"/>
      <c r="AD1824" s="85"/>
      <c r="AE1824" s="85"/>
      <c r="AF1824" s="85"/>
    </row>
    <row r="1825" spans="1:32" ht="12.75" customHeight="1" x14ac:dyDescent="0.25">
      <c r="B1825" s="111" t="str">
        <f ca="1">IF(ISERROR(VLOOKUP($B1800&amp;"("&amp;$B1794&amp;")",Players!$S$4:$T$132,2,FALSE)),"",VLOOKUP($B1800&amp;"("&amp;$B1794&amp;")",Players!$S$4:$T$132,2,FALSE))</f>
        <v>B1</v>
      </c>
      <c r="C1825" s="111" t="str">
        <f ca="1">IF(ISERROR(VLOOKUP($B1807&amp;"("&amp;$B1794&amp;")",Players!$S$4:$T$132,2,FALSE)),"",VLOOKUP($B1807&amp;"("&amp;$B1794&amp;")",Players!$S$4:$T$132,2,FALSE))</f>
        <v>B1</v>
      </c>
      <c r="D1825" s="111" t="str">
        <f ca="1">IF(ISERROR(VLOOKUP($B1814&amp;"("&amp;$B1794&amp;")",Players!$S$4:$T$132,2,FALSE)),"",VLOOKUP($B1814&amp;"("&amp;$B1794&amp;")",Players!$S$4:$T$132,2,FALSE))</f>
        <v>B1</v>
      </c>
      <c r="E1825" s="111" t="str">
        <f ca="1">IF(ISERROR(VLOOKUP($B1821&amp;"("&amp;$B1794&amp;")",Players!$S$4:$T$132,2,FALSE)),"",VLOOKUP($B1821&amp;"("&amp;$B1794&amp;")",Players!$S$4:$T$132,2,FALSE))</f>
        <v>B1</v>
      </c>
      <c r="F1825" s="111" t="str">
        <f ca="1">IF(ISERROR(VLOOKUP($B1802&amp;"("&amp;$K1794&amp;")",Players!$S$4:$T$132,2,FALSE)),"",VLOOKUP($B1802&amp;"("&amp;$K1794&amp;")",Players!$S$4:$T$132,2,FALSE))</f>
        <v>L1</v>
      </c>
      <c r="G1825" s="111" t="str">
        <f ca="1">IF(ISERROR(VLOOKUP($B1809&amp;"("&amp;$K1794&amp;")",Players!$S$4:$T$132,2,FALSE)),"",VLOOKUP($B1809&amp;"("&amp;$K1794&amp;")",Players!$S$4:$T$132,2,FALSE))</f>
        <v>L1</v>
      </c>
      <c r="H1825" s="111" t="str">
        <f ca="1">IF(ISERROR(VLOOKUP($B1816&amp;"("&amp;$K1794&amp;")",Players!$S$4:$T$132,2,FALSE)),"",VLOOKUP($B1816&amp;"("&amp;$K1794&amp;")",Players!$S$4:$T$132,2,FALSE))</f>
        <v>L1</v>
      </c>
      <c r="I1825" s="111" t="str">
        <f ca="1">IF(ISERROR(VLOOKUP($B1823&amp;"("&amp;$K1794&amp;")",Players!$S$4:$T$132,2,FALSE)),"",VLOOKUP($B1823&amp;"("&amp;$K1794&amp;")",Players!$S$4:$T$132,2,FALSE))</f>
        <v>L1</v>
      </c>
      <c r="Q1825" s="6"/>
      <c r="R1825" s="37"/>
      <c r="S1825" s="95"/>
      <c r="T1825" s="95"/>
      <c r="U1825" s="95"/>
      <c r="V1825" s="95"/>
      <c r="W1825" s="95"/>
      <c r="X1825" s="95"/>
      <c r="Y1825" s="85"/>
      <c r="Z1825" s="85"/>
      <c r="AA1825" s="85"/>
      <c r="AB1825" s="85"/>
      <c r="AC1825" s="96"/>
      <c r="AD1825" s="97"/>
      <c r="AE1825" s="85"/>
      <c r="AF1825" s="85"/>
    </row>
    <row r="1826" spans="1:32" ht="12.75" customHeight="1" x14ac:dyDescent="0.25">
      <c r="A1826" s="15" t="s">
        <v>157</v>
      </c>
      <c r="H1826" s="110" t="str">
        <f ca="1">IF($Q1828&lt;&gt;"",IF(AND($B1829&lt;&gt;"Missing Player",$B1831&lt;&gt;"Missing Player"),IF(AND(AND($H1828&gt;-1,$H1830&gt;-1),OR($H1828&gt;10,$H1830&gt;10),ABS($H1828-$H1830)&gt;1,IF(OR($H1828&gt;11,$H1830&gt;11),ABS($H1828-$H1830)=2,TRUE),$H1828=INT($H1828),$H1830=INT($H1830)),"","Error"),""),"")</f>
        <v/>
      </c>
      <c r="I1826" s="110" t="str">
        <f ca="1">IF($Q1828&lt;&gt;"",IF(AND($B1829&lt;&gt;"Missing Player",$B1831&lt;&gt;"Missing Player"),IF(AND(AND($I1828&gt;-1,$I1830&gt;-1),OR($I1828&gt;10,$I1830&gt;10),ABS($I1828-$I1830)&gt;1,IF(OR($I1828&gt;11,$I1830&gt;11),ABS($I1828-$I1830)=2,TRUE),$I1828=INT($I1828),$I1830=INT($I1830)),"","Error"),""),"")</f>
        <v/>
      </c>
      <c r="J1826" s="110" t="str">
        <f ca="1">IF($Q1828&lt;&gt;"",IF(AND($B1829&lt;&gt;"Missing Player",$B1831&lt;&gt;"Missing Player"),IF(AND(AND($J1828&gt;-1,$J1830&gt;-1),OR($J1828&gt;10,$J1830&gt;10),ABS($J1828-$J1830)&gt;1,IF(OR($J1828&gt;11,$J1830&gt;11),ABS($J1828-$J1830)=2,TRUE),$J1828=INT($J1828),$J1830=INT($J1830)),"","Error"),""),"")</f>
        <v/>
      </c>
      <c r="K1826" s="110" t="str">
        <f ca="1">IF($Q1828&lt;&gt;"",IF(AND($K1828&lt;&gt;"",$K1830&lt;&gt;""), IF(AND(AND($K1828&gt;-1,$K1830&gt;-1),OR($K1828&gt;10,$K1830&gt;10),ABS($K1828-$K1830)&gt;1,IF(OR($K1828&gt;11,$K1830&gt;11),ABS($K1828-$K1830)=2,TRUE),$K1828=INT($K1828),$K1830=INT($K1830)),"","Error"),""),"")</f>
        <v/>
      </c>
      <c r="L1826" s="110" t="str">
        <f ca="1">IF($Q1828&lt;&gt;"",IF(AND($L1828&lt;&gt;"",$L1830&lt;&gt;""), IF(AND(AND($L1828&gt;-1,$L1830&gt;-1),OR($L1828&gt;10,$L1830&gt;10),ABS($L1828-$L1830)&gt;1,IF(OR($L1828&gt;11,$L1830&gt;11),ABS($L1828-$L1830)=2,TRUE),$L1828=INT($L1828),$L1830=INT($L1830)),"","Error"),""),"")</f>
        <v/>
      </c>
      <c r="Q1826" s="6"/>
      <c r="R1826" s="85"/>
      <c r="S1826" s="95"/>
      <c r="T1826" s="95"/>
      <c r="U1826" s="95"/>
      <c r="V1826" s="95"/>
      <c r="W1826" s="95"/>
      <c r="X1826" s="95"/>
      <c r="Y1826" s="85"/>
      <c r="Z1826" s="85"/>
      <c r="AA1826" s="85"/>
      <c r="AB1826" s="85"/>
      <c r="AC1826" s="85"/>
      <c r="AD1826" s="85"/>
      <c r="AE1826" s="85"/>
      <c r="AF1826" s="85"/>
    </row>
    <row r="1827" spans="1:32" ht="12.75" customHeight="1" x14ac:dyDescent="0.25">
      <c r="A1827" s="5" t="s">
        <v>160</v>
      </c>
      <c r="B1827" s="256" t="s">
        <v>58</v>
      </c>
      <c r="C1827" s="257"/>
      <c r="D1827" s="257"/>
      <c r="E1827" s="257"/>
      <c r="F1827" s="257"/>
      <c r="G1827" s="258"/>
      <c r="H1827" s="5">
        <v>1</v>
      </c>
      <c r="I1827" s="5">
        <v>2</v>
      </c>
      <c r="J1827" s="5">
        <v>3</v>
      </c>
      <c r="K1827" s="5">
        <v>4</v>
      </c>
      <c r="L1827" s="5">
        <v>5</v>
      </c>
      <c r="M1827" s="270"/>
      <c r="N1827" s="271"/>
      <c r="O1827" s="271"/>
      <c r="P1827" s="272"/>
      <c r="Q1827" s="6"/>
      <c r="T1827" s="7"/>
    </row>
    <row r="1828" spans="1:32" ht="12.75" customHeight="1" x14ac:dyDescent="0.25">
      <c r="A1828" s="259" t="str">
        <f>B1794</f>
        <v>B</v>
      </c>
      <c r="B1828" s="230" t="str">
        <f ca="1">IF($B1800&lt;&gt;"",$B1800,"")</f>
        <v/>
      </c>
      <c r="C1828" s="231"/>
      <c r="D1828" s="231"/>
      <c r="E1828" s="231"/>
      <c r="F1828" s="231"/>
      <c r="G1828" s="232"/>
      <c r="H1828" s="233"/>
      <c r="I1828" s="233"/>
      <c r="J1828" s="233"/>
      <c r="K1828" s="233"/>
      <c r="L1828" s="233" t="str">
        <f ca="1">IF($B1821&lt;&gt;"",IF(AND($B1821="Missing Player",$G1832=2,$J1832=2),0,IF(AND($B1823="Missing Player",$G1832=2,$J1832=2),11,"")),"")</f>
        <v/>
      </c>
      <c r="M1828" s="245" t="str">
        <f ca="1">IF(OR(AND($B1828&lt;&gt;"",$B1829&lt;&gt;"",$B1828=$B1829),AND($B1830&lt;&gt;"",$B1831&lt;&gt;"",$B1830=$B1831)),"Invalid Partner","")</f>
        <v/>
      </c>
      <c r="N1828" s="246"/>
      <c r="O1828" s="246"/>
      <c r="P1828" s="247"/>
      <c r="Q1828" s="37" t="str">
        <f ca="1">IF(L1828=L1830,IF(K1828=K1830,IF(J1828&lt;&gt;"",IF(J1828&gt;J1830,"W","L"),""),IF(K1828&gt;K1830,"W","L")),IF(L1828&gt;L1830,"W","L"))</f>
        <v/>
      </c>
      <c r="T1828" s="7"/>
    </row>
    <row r="1829" spans="1:32" ht="12.75" customHeight="1" x14ac:dyDescent="0.25">
      <c r="A1829" s="260"/>
      <c r="B1829" s="266" t="str">
        <f ca="1">IF($B1821="Missing Player",$B1821,"")</f>
        <v/>
      </c>
      <c r="C1829" s="267"/>
      <c r="D1829" s="267"/>
      <c r="E1829" s="267"/>
      <c r="F1829" s="267"/>
      <c r="G1829" s="268"/>
      <c r="H1829" s="234"/>
      <c r="I1829" s="234"/>
      <c r="J1829" s="234"/>
      <c r="K1829" s="234"/>
      <c r="L1829" s="234"/>
      <c r="M1829" s="245"/>
      <c r="N1829" s="246"/>
      <c r="O1829" s="246"/>
      <c r="P1829" s="247"/>
      <c r="Q1829" s="110" t="str">
        <f ca="1">IF($Q1828&lt;&gt;"",IF($B1831&lt;&gt;"Missing Player",IF($Q1828="W",IF(SUM(IF($H1828&gt;$H1830,1,0),IF($I1828&gt;$I1830,1,0),IF($J1828&gt;$J1830,1,0),IF($K1828&gt;$K1830,1,0),IF($L1828&gt;$L1830,1,0))&lt;&gt;3,"Error",""),""),""),"")</f>
        <v/>
      </c>
      <c r="R1829" s="295" t="str">
        <f>$A1795</f>
        <v/>
      </c>
      <c r="S1829" s="295"/>
      <c r="T1829" s="295"/>
      <c r="U1829" s="295"/>
      <c r="V1829" s="295"/>
      <c r="W1829" s="295"/>
      <c r="X1829" s="219" t="str">
        <f>CONCATENATE("(",$B1794," vs ",$K1794,")")</f>
        <v>(B vs L)</v>
      </c>
      <c r="Y1829" s="219"/>
      <c r="Z1829" s="295" t="str">
        <f>$J1795</f>
        <v/>
      </c>
      <c r="AA1829" s="295"/>
      <c r="AB1829" s="295"/>
      <c r="AC1829" s="295"/>
      <c r="AD1829" s="295"/>
      <c r="AE1829" s="295"/>
      <c r="AF1829"/>
    </row>
    <row r="1830" spans="1:32" ht="12.75" customHeight="1" x14ac:dyDescent="0.25">
      <c r="A1830" s="265" t="str">
        <f>K1794</f>
        <v>L</v>
      </c>
      <c r="B1830" s="230" t="str">
        <f ca="1">IF($B1802&lt;&gt;"",$B1802,"")</f>
        <v/>
      </c>
      <c r="C1830" s="231"/>
      <c r="D1830" s="231"/>
      <c r="E1830" s="231"/>
      <c r="F1830" s="231"/>
      <c r="G1830" s="232"/>
      <c r="H1830" s="233"/>
      <c r="I1830" s="233"/>
      <c r="J1830" s="233"/>
      <c r="K1830" s="233"/>
      <c r="L1830" s="233" t="str">
        <f ca="1">IF($B1823&lt;&gt;"",IF(AND($B1823="Missing Player",$G1832=2,$J1832=2),0,IF(AND($B1821="Missing Player",$G1832=2,$J1832=2),11,"")),"")</f>
        <v/>
      </c>
      <c r="M1830" s="250" t="s">
        <v>169</v>
      </c>
      <c r="N1830" s="251"/>
      <c r="O1830" s="251"/>
      <c r="P1830" s="252"/>
      <c r="Q1830" s="37" t="str">
        <f ca="1">IF(Q1828&lt;&gt;"",IF(Q1828="W","L","W"),"")</f>
        <v/>
      </c>
      <c r="R1830"/>
      <c r="S1830"/>
      <c r="T1830"/>
      <c r="U1830"/>
      <c r="V1830"/>
      <c r="W1830"/>
      <c r="X1830"/>
      <c r="Y1830"/>
      <c r="Z1830"/>
      <c r="AA1830"/>
      <c r="AB1830"/>
      <c r="AC1830"/>
      <c r="AD1830"/>
      <c r="AE1830"/>
      <c r="AF1830"/>
    </row>
    <row r="1831" spans="1:32" ht="12.75" customHeight="1" x14ac:dyDescent="0.25">
      <c r="A1831" s="260"/>
      <c r="B1831" s="266" t="str">
        <f ca="1">IF($B1823="Missing Player",$B1823,"")</f>
        <v/>
      </c>
      <c r="C1831" s="267"/>
      <c r="D1831" s="267"/>
      <c r="E1831" s="267"/>
      <c r="F1831" s="267"/>
      <c r="G1831" s="268"/>
      <c r="H1831" s="234"/>
      <c r="I1831" s="234"/>
      <c r="J1831" s="235"/>
      <c r="K1831" s="235"/>
      <c r="L1831" s="235"/>
      <c r="M1831" s="250"/>
      <c r="N1831" s="251"/>
      <c r="O1831" s="251"/>
      <c r="P1831" s="252"/>
      <c r="Q1831" s="110" t="str">
        <f ca="1">IF($Q1830&lt;&gt;"",IF($B1829&lt;&gt;"Missing Player",IF($Q1830="W",IF(SUM(IF($H1830&gt;$H1828,1,0),IF($I1830&gt;$I1828,1,0),IF($J1830&gt;$J1828,1,0),IF($K1830&gt;$K1828,1,0),IF($L1830&gt;$L1828,1,0))&lt;&gt;3,"Error",""),""),""),"")</f>
        <v/>
      </c>
      <c r="R1831" t="str">
        <f>A1819</f>
        <v>4th Singles</v>
      </c>
      <c r="S1831"/>
      <c r="T1831"/>
      <c r="U1831"/>
      <c r="V1831"/>
      <c r="W1831"/>
      <c r="X1831"/>
      <c r="Y1831"/>
      <c r="Z1831"/>
      <c r="AA1831"/>
      <c r="AB1831"/>
      <c r="AC1831"/>
      <c r="AD1831"/>
      <c r="AE1831"/>
      <c r="AF1831"/>
    </row>
    <row r="1832" spans="1:32" ht="12.75" customHeight="1" x14ac:dyDescent="0.25">
      <c r="G1832" s="53">
        <f ca="1">COUNTIF($Q1800:$Q1800,"W")+COUNTIF($Q1807:$Q1807,"W")+COUNTIF($Q1814:$Q1814,"W")+COUNTIF($Q1821:$Q1821,"W")</f>
        <v>0</v>
      </c>
      <c r="J1832" s="53">
        <f ca="1">COUNTIF($Q1802:$Q1802,"W")+COUNTIF($Q1809:$Q1809,"W")+COUNTIF($Q1816:$Q1816,"W")+COUNTIF($Q1823:$Q1823,"W")</f>
        <v>0</v>
      </c>
      <c r="R1832" s="47" t="s">
        <v>160</v>
      </c>
      <c r="S1832" s="304" t="s">
        <v>58</v>
      </c>
      <c r="T1832" s="305"/>
      <c r="U1832" s="305"/>
      <c r="V1832" s="305"/>
      <c r="W1832" s="305"/>
      <c r="X1832" s="306"/>
      <c r="Y1832" s="47">
        <v>1</v>
      </c>
      <c r="Z1832" s="47">
        <v>2</v>
      </c>
      <c r="AA1832" s="47">
        <v>3</v>
      </c>
      <c r="AB1832" s="47">
        <v>4</v>
      </c>
      <c r="AC1832" s="47">
        <v>5</v>
      </c>
      <c r="AD1832" s="286"/>
      <c r="AE1832" s="287"/>
      <c r="AF1832" s="288"/>
    </row>
    <row r="1833" spans="1:32" ht="12.75" customHeight="1" thickBot="1" x14ac:dyDescent="0.3">
      <c r="F1833" s="212" t="s">
        <v>170</v>
      </c>
      <c r="G1833" s="212"/>
      <c r="H1833" s="212"/>
      <c r="I1833" s="212"/>
      <c r="J1833" s="212"/>
      <c r="K1833" s="212"/>
      <c r="R1833" s="259" t="str">
        <f>B1794</f>
        <v>B</v>
      </c>
      <c r="S1833" s="307" t="str">
        <f ca="1">IF($B1821&lt;&gt;"",$B1821,"")</f>
        <v/>
      </c>
      <c r="T1833" s="308"/>
      <c r="U1833" s="308"/>
      <c r="V1833" s="308"/>
      <c r="W1833" s="308"/>
      <c r="X1833" s="309"/>
      <c r="Y1833" s="284"/>
      <c r="Z1833" s="284"/>
      <c r="AA1833" s="297"/>
      <c r="AB1833" s="297"/>
      <c r="AC1833" s="297"/>
      <c r="AD1833" s="296"/>
      <c r="AE1833" s="298"/>
      <c r="AF1833" s="299"/>
    </row>
    <row r="1834" spans="1:32" ht="12.75" customHeight="1" x14ac:dyDescent="0.25">
      <c r="A1834" s="16"/>
      <c r="B1834" s="16"/>
      <c r="C1834" s="16"/>
      <c r="D1834" s="16"/>
      <c r="E1834" s="16"/>
      <c r="G1834" s="261" t="str">
        <f>B1794</f>
        <v>B</v>
      </c>
      <c r="H1834" s="262"/>
      <c r="I1834" s="263" t="str">
        <f>K1794</f>
        <v>L</v>
      </c>
      <c r="J1834" s="264"/>
      <c r="L1834" s="16"/>
      <c r="M1834" s="16"/>
      <c r="N1834" s="16"/>
      <c r="O1834" s="16"/>
      <c r="P1834" s="16"/>
      <c r="R1834" s="260"/>
      <c r="S1834" s="310"/>
      <c r="T1834" s="311"/>
      <c r="U1834" s="311"/>
      <c r="V1834" s="311"/>
      <c r="W1834" s="311"/>
      <c r="X1834" s="312"/>
      <c r="Y1834" s="285"/>
      <c r="Z1834" s="285"/>
      <c r="AA1834" s="303"/>
      <c r="AB1834" s="303"/>
      <c r="AC1834" s="303"/>
      <c r="AD1834" s="300"/>
      <c r="AE1834" s="301"/>
      <c r="AF1834" s="302"/>
    </row>
    <row r="1835" spans="1:32" ht="12.75" customHeight="1" thickBot="1" x14ac:dyDescent="0.3">
      <c r="A1835" s="2" t="s">
        <v>160</v>
      </c>
      <c r="B1835" s="40" t="str">
        <f>B1794</f>
        <v>B</v>
      </c>
      <c r="C1835" s="3" t="s">
        <v>158</v>
      </c>
      <c r="F1835" s="53" t="str">
        <f>CONCATENATE($B1794,"-",$K1794)</f>
        <v>B-L</v>
      </c>
      <c r="G1835" s="240" t="str">
        <f ca="1">IF(OR(Q1800&lt;&gt;"",Q1807&lt;&gt;"",Q1814&lt;&gt;"",Q1821&lt;&gt;"",Q1828&lt;&gt;""),COUNTIF(Q1800:Q1800,"W")+COUNTIF(Q1807:Q1807,"W")+COUNTIF(Q1814:Q1814,"W")+COUNTIF(Q1821:Q1821,"W")+COUNTIF(Q1828:Q1828,"W"),"")</f>
        <v/>
      </c>
      <c r="H1835" s="241"/>
      <c r="I1835" s="242" t="str">
        <f ca="1">IF(OR(Q1802&lt;&gt;"",Q1809&lt;&gt;"",Q1816&lt;&gt;"",Q1823&lt;&gt;"",Q1830&lt;&gt;""),COUNTIF(Q1802:Q1802,"W")+COUNTIF(Q1809:Q1809,"W")+COUNTIF(Q1816:Q1816,"W")+COUNTIF(Q1823:Q1823,"W")+COUNTIF(Q1830:Q1830,"W"),"")</f>
        <v/>
      </c>
      <c r="J1835" s="243"/>
      <c r="L1835" s="2" t="s">
        <v>160</v>
      </c>
      <c r="M1835" s="40" t="str">
        <f>K1794</f>
        <v>L</v>
      </c>
      <c r="N1835" s="3" t="s">
        <v>158</v>
      </c>
      <c r="R1835" s="259" t="str">
        <f>K1794</f>
        <v>L</v>
      </c>
      <c r="S1835" s="307" t="str">
        <f ca="1">IF($B1823&lt;&gt;"",$B1823,"")</f>
        <v/>
      </c>
      <c r="T1835" s="308"/>
      <c r="U1835" s="308"/>
      <c r="V1835" s="308"/>
      <c r="W1835" s="308"/>
      <c r="X1835" s="309"/>
      <c r="Y1835" s="284"/>
      <c r="Z1835" s="284"/>
      <c r="AA1835" s="297"/>
      <c r="AB1835" s="297"/>
      <c r="AC1835" s="297"/>
      <c r="AD1835" s="289" t="s">
        <v>169</v>
      </c>
      <c r="AE1835" s="290"/>
      <c r="AF1835" s="291"/>
    </row>
    <row r="1836" spans="1:32" ht="12.75" customHeight="1" x14ac:dyDescent="0.35">
      <c r="F1836" s="18" t="s">
        <v>403</v>
      </c>
      <c r="G1836" s="17"/>
      <c r="H1836" s="17"/>
      <c r="I1836" s="17"/>
      <c r="J1836" s="17"/>
      <c r="R1836" s="285"/>
      <c r="S1836" s="310"/>
      <c r="T1836" s="311"/>
      <c r="U1836" s="311"/>
      <c r="V1836" s="311"/>
      <c r="W1836" s="311"/>
      <c r="X1836" s="312"/>
      <c r="Y1836" s="285"/>
      <c r="Z1836" s="285"/>
      <c r="AA1836" s="285"/>
      <c r="AB1836" s="285"/>
      <c r="AC1836" s="285"/>
      <c r="AD1836" s="292"/>
      <c r="AE1836" s="293"/>
      <c r="AF1836" s="294"/>
    </row>
    <row r="1837" spans="1:32" ht="12.75" customHeight="1" x14ac:dyDescent="0.25">
      <c r="R1837" s="1"/>
      <c r="S1837" s="11"/>
      <c r="T1837" s="11"/>
      <c r="U1837" s="11"/>
      <c r="V1837" s="11"/>
      <c r="W1837" s="11"/>
    </row>
    <row r="1838" spans="1:32" ht="12.75" customHeight="1" x14ac:dyDescent="0.25">
      <c r="F1838" s="212"/>
      <c r="G1838" s="212"/>
      <c r="H1838" s="212"/>
      <c r="I1838" s="212"/>
      <c r="R1838" s="1"/>
      <c r="S1838" s="11"/>
      <c r="T1838" s="11"/>
      <c r="U1838" s="11"/>
      <c r="V1838" s="11"/>
      <c r="W1838" s="11"/>
    </row>
    <row r="1839" spans="1:32" ht="12.75" customHeight="1" x14ac:dyDescent="0.25">
      <c r="F1839" s="212"/>
      <c r="G1839" s="212"/>
      <c r="H1839" s="212"/>
      <c r="I1839" s="212"/>
      <c r="R1839" s="1"/>
      <c r="S1839" s="11"/>
      <c r="T1839" s="11"/>
      <c r="U1839" s="11"/>
      <c r="V1839" s="11"/>
      <c r="W1839" s="11"/>
    </row>
    <row r="1840" spans="1:32" ht="12.75" customHeight="1" x14ac:dyDescent="0.25">
      <c r="K1840" s="219" t="s">
        <v>176</v>
      </c>
      <c r="L1840" s="219"/>
      <c r="M1840" s="219"/>
      <c r="N1840" s="219"/>
      <c r="O1840" s="219"/>
      <c r="P1840" s="219"/>
      <c r="R1840" s="1"/>
      <c r="S1840" s="11"/>
      <c r="T1840" s="11"/>
      <c r="U1840" s="11"/>
      <c r="V1840" s="11"/>
      <c r="W1840" s="11"/>
    </row>
    <row r="1841" spans="1:32" ht="12.75" customHeight="1" x14ac:dyDescent="0.25">
      <c r="A1841" s="9" t="s">
        <v>161</v>
      </c>
      <c r="B1841"/>
      <c r="C1841"/>
      <c r="D1841" t="str">
        <f>Draw!$B$1</f>
        <v>Enter Division Name</v>
      </c>
      <c r="E1841"/>
      <c r="F1841" s="6"/>
      <c r="G1841" s="6"/>
      <c r="H1841" s="6"/>
      <c r="I1841"/>
      <c r="J1841"/>
      <c r="K1841"/>
      <c r="L1841"/>
      <c r="M1841" s="219"/>
      <c r="N1841" s="219"/>
      <c r="O1841" s="219"/>
      <c r="P1841" s="219"/>
      <c r="R1841" s="1"/>
      <c r="S1841" s="11"/>
      <c r="T1841" s="11"/>
      <c r="U1841" s="11"/>
      <c r="V1841" s="11"/>
      <c r="W1841" s="11"/>
    </row>
    <row r="1842" spans="1:32" ht="12.75" customHeight="1" x14ac:dyDescent="0.25">
      <c r="A1842" s="2" t="s">
        <v>162</v>
      </c>
      <c r="D1842" t="str">
        <f>Draw!$D$1</f>
        <v>Enter Hosting Location (City, ST)</v>
      </c>
      <c r="J1842" t="str">
        <f ca="1">$J$6</f>
        <v>[NCTTA Teams Template (v3.4).xlsx]</v>
      </c>
      <c r="R1842" s="1"/>
      <c r="S1842" s="11"/>
      <c r="T1842" s="11"/>
      <c r="U1842" s="11"/>
      <c r="V1842" s="11"/>
      <c r="W1842" s="11"/>
    </row>
    <row r="1843" spans="1:32" ht="12.75" customHeight="1" x14ac:dyDescent="0.25">
      <c r="A1843" s="2" t="s">
        <v>163</v>
      </c>
      <c r="D1843" s="275" t="str">
        <f>Draw!$P$1</f>
        <v>Enter Date</v>
      </c>
      <c r="E1843" s="275"/>
      <c r="F1843" s="275"/>
      <c r="G1843" s="275"/>
      <c r="J1843" s="244" t="str">
        <f>CHOOSE(Draw!$T$1,"Round 7, Match 1","","","","","","","","","Round 8, Match 2","Round 8, Match 2")</f>
        <v>Round 7, Match 1</v>
      </c>
      <c r="K1843" s="244"/>
      <c r="L1843" s="244"/>
      <c r="M1843" s="277" t="str">
        <f>IF(AND($J1843&lt;&gt;"",Draw!$AC$10&lt;&gt;"",Draw!$AC$13&lt;&gt;""),Draw!$AC$10+TIME(0,VALUE(MID($J1843,7,FIND(",",$J1843)-FIND(" ",$J1843)-1)-1)*Draw!$AC$13,0),"")</f>
        <v/>
      </c>
      <c r="N1843" s="277"/>
      <c r="O1843" s="125" t="str">
        <f>$F1886</f>
        <v>A-F</v>
      </c>
      <c r="R1843" s="1"/>
      <c r="S1843" s="11"/>
      <c r="T1843" s="11"/>
      <c r="U1843" s="11"/>
      <c r="V1843" s="11"/>
      <c r="W1843" s="11"/>
    </row>
    <row r="1844" spans="1:32" ht="12.75" customHeight="1" x14ac:dyDescent="0.25">
      <c r="A1844" s="6"/>
      <c r="B1844"/>
      <c r="C1844"/>
      <c r="D1844"/>
      <c r="E1844"/>
      <c r="F1844" s="6"/>
      <c r="G1844" s="6"/>
      <c r="H1844" s="11"/>
      <c r="I1844" s="6"/>
      <c r="J1844"/>
      <c r="K1844"/>
      <c r="L1844"/>
      <c r="M1844"/>
      <c r="N1844"/>
      <c r="O1844" s="269" t="str">
        <f>IF(OR(AND(VLOOKUP($B1845,$AM$1:$AX$12,12,FALSE)="C",VLOOKUP($K1845,$AM$1:$AX$12,12,FALSE)="C"),AND(VLOOKUP($B1845,$AM$1:$AX$12,12,FALSE)="W",VLOOKUP($K1845,$AM$1:$AX$12,12,FALSE)="W")),"Official",IF(AND($A1846="",$J1846=""),"","Scrimmage"))</f>
        <v/>
      </c>
      <c r="P1844" s="269"/>
      <c r="R1844" s="1"/>
      <c r="S1844" s="11"/>
      <c r="T1844" s="11"/>
      <c r="U1844" s="11"/>
      <c r="V1844" s="11"/>
      <c r="W1844" s="11"/>
    </row>
    <row r="1845" spans="1:32" ht="12.75" customHeight="1" x14ac:dyDescent="0.25">
      <c r="A1845" s="12" t="s">
        <v>160</v>
      </c>
      <c r="B1845" s="98" t="str">
        <f>CHOOSE(Draw!$T$1,"A","B","C","C","D","D","D","C","A","C","D")</f>
        <v>A</v>
      </c>
      <c r="C1845" s="109">
        <f>VLOOKUP($B1845,$AM$1:$AN$12,2)</f>
        <v>1</v>
      </c>
      <c r="D1845" s="10"/>
      <c r="E1845" s="10"/>
      <c r="F1845" s="8"/>
      <c r="H1845" s="1" t="s">
        <v>164</v>
      </c>
      <c r="J1845" s="12" t="s">
        <v>160</v>
      </c>
      <c r="K1845" s="98" t="str">
        <f>CHOOSE(Draw!$T$1,"F","G","G","J","K","J","H","I","J","J","F")</f>
        <v>F</v>
      </c>
      <c r="L1845" s="109">
        <f>VLOOKUP($K1845,$AM$1:$AN$12,2)</f>
        <v>6</v>
      </c>
      <c r="M1845" s="10"/>
      <c r="N1845" s="10"/>
      <c r="O1845" s="13"/>
      <c r="R1845" s="1"/>
      <c r="S1845" s="11"/>
      <c r="T1845" s="11"/>
      <c r="U1845" s="11"/>
      <c r="V1845" s="11"/>
      <c r="W1845" s="11"/>
    </row>
    <row r="1846" spans="1:32" ht="12.75" customHeight="1" x14ac:dyDescent="0.25">
      <c r="A1846" s="253" t="str">
        <f>IF(VLOOKUP($B1845,Draw!$A$4:$B$27,2)&lt;&gt;0,VLOOKUP($B1845,Draw!$A$4:$B$27,2),"")</f>
        <v/>
      </c>
      <c r="B1846" s="254"/>
      <c r="C1846" s="254"/>
      <c r="D1846" s="254"/>
      <c r="E1846" s="254"/>
      <c r="F1846" s="255"/>
      <c r="G1846" s="273" t="s">
        <v>440</v>
      </c>
      <c r="H1846" s="249"/>
      <c r="I1846" s="274"/>
      <c r="J1846" s="253" t="str">
        <f>IF(VLOOKUP($K1845,Draw!$A$4:$B$27,2)&lt;&gt;0,VLOOKUP($K1845,Draw!$A$4:$B$27,2),"")</f>
        <v/>
      </c>
      <c r="K1846" s="254"/>
      <c r="L1846" s="254"/>
      <c r="M1846" s="254"/>
      <c r="N1846" s="254"/>
      <c r="O1846" s="255"/>
      <c r="P1846"/>
      <c r="R1846" s="1"/>
      <c r="S1846" s="11"/>
      <c r="T1846" s="11"/>
      <c r="U1846" s="11"/>
      <c r="V1846" s="11"/>
      <c r="W1846" s="11"/>
    </row>
    <row r="1847" spans="1:32" ht="12.75" customHeight="1" x14ac:dyDescent="0.25">
      <c r="A1847" s="6"/>
      <c r="B1847"/>
      <c r="C1847"/>
      <c r="D1847"/>
      <c r="E1847"/>
      <c r="F1847" s="6"/>
      <c r="G1847" s="248" t="str">
        <f>"Page "&amp;VALUE(RIGHT($G1846,LEN($G1846)-SEARCH("-",$G1846)))/2</f>
        <v>Page 37</v>
      </c>
      <c r="H1847" s="249"/>
      <c r="I1847" s="249"/>
      <c r="J1847"/>
      <c r="K1847"/>
      <c r="L1847"/>
      <c r="M1847"/>
      <c r="N1847"/>
      <c r="O1847"/>
      <c r="P1847"/>
      <c r="R1847" s="1"/>
      <c r="S1847" s="11"/>
      <c r="T1847" s="11"/>
      <c r="U1847" s="11"/>
      <c r="V1847" s="11"/>
      <c r="W1847" s="11"/>
      <c r="AF1847"/>
    </row>
    <row r="1848" spans="1:32" ht="12.75" customHeight="1" x14ac:dyDescent="0.25">
      <c r="A1848" s="276" t="s">
        <v>177</v>
      </c>
      <c r="B1848" s="276"/>
      <c r="C1848" s="276"/>
      <c r="D1848" s="276"/>
      <c r="E1848" s="276"/>
      <c r="F1848" s="276"/>
      <c r="G1848" s="276"/>
      <c r="H1848" s="276"/>
      <c r="I1848" s="276"/>
      <c r="J1848" s="276"/>
      <c r="K1848" s="276"/>
      <c r="L1848" s="276"/>
      <c r="M1848" s="276"/>
      <c r="N1848" s="276"/>
      <c r="O1848" s="276"/>
      <c r="P1848" s="276"/>
      <c r="Q1848" s="6"/>
      <c r="R1848" s="1"/>
      <c r="S1848" s="11"/>
      <c r="T1848" s="11"/>
      <c r="U1848" s="11"/>
      <c r="V1848" s="11"/>
      <c r="W1848" s="11"/>
      <c r="AF1848" s="14"/>
    </row>
    <row r="1849" spans="1:32" ht="12.75" customHeight="1" x14ac:dyDescent="0.25">
      <c r="A1849" s="15" t="s">
        <v>165</v>
      </c>
      <c r="H1849" s="110" t="str">
        <f>IF($Q1851&lt;&gt;"",IF(AND(AND($H1851&gt;-1,$H1853&gt;-1),OR($H1851&gt;10,$H1853&gt;10),ABS($H1851-$H1853)&gt;1,IF(OR($H1851&gt;11,$H1853&gt;11),ABS($H1851-$H1853)=2,TRUE),$H1851=INT($H1851),$H1853=INT($H1853)),"","Error"),"")</f>
        <v/>
      </c>
      <c r="I1849" s="110" t="str">
        <f>IF($Q1851&lt;&gt;"",IF(AND(AND($I1851&gt;-1,$I1853&gt;-1),OR($I1851&gt;10,$I1853&gt;10),ABS($I1851-$I1853)&gt;1,IF(OR($I1851&gt;11,$I1853&gt;11),ABS($I1851-$I1853)=2,TRUE),$I1851=INT($I1851),$I1853=INT($I1853)),"","Error"),"")</f>
        <v/>
      </c>
      <c r="J1849" s="110" t="str">
        <f>IF($Q1851&lt;&gt;"",IF(AND(AND($J1851&gt;-1,$J1853&gt;-1),OR($J1851&gt;10,$J1853&gt;10),ABS($J1851-$J1853)&gt;1,IF(OR($J1851&gt;11,$J1853&gt;11),ABS($J1851-$J1853)=2,TRUE),$J1851=INT($J1851),$J1853=INT($J1853)),"","Error"),"")</f>
        <v/>
      </c>
      <c r="K1849" s="110" t="str">
        <f>IF($Q1851&lt;&gt;"",IF(AND($K1851&lt;&gt;"",$K1853&lt;&gt;""), IF(AND(AND($K1851&gt;-1,$K1853&gt;-1),OR($K1851&gt;10,$K1853&gt;10),ABS($K1851-$K1853)&gt;1,IF(OR($K1851&gt;11,$K1853&gt;11),ABS($K1851-$K1853)=2,TRUE),$K1851=INT($K1851),$K1853=INT($K1853)),"","Error"),""),"")</f>
        <v/>
      </c>
      <c r="L1849" s="110" t="str">
        <f>IF($Q1851&lt;&gt;"",IF(AND($L1851&lt;&gt;"",$L1853&lt;&gt;""), IF(AND(AND($L1851&gt;-1,$L1853&gt;-1),OR($L1851&gt;10,$L1853&gt;10),ABS($L1851-$L1853)&gt;1,IF(OR($L1851&gt;11,$L1853&gt;11),ABS($L1851-$L1853)=2,TRUE),$L1851=INT($L1851),$L1853=INT($L1853)),"","Error"),""),"")</f>
        <v/>
      </c>
      <c r="R1849" s="1"/>
      <c r="S1849" s="11"/>
      <c r="T1849" s="11"/>
      <c r="U1849" s="11"/>
      <c r="V1849" s="11"/>
      <c r="W1849" s="11"/>
    </row>
    <row r="1850" spans="1:32" ht="12.75" customHeight="1" x14ac:dyDescent="0.25">
      <c r="A1850" s="5" t="s">
        <v>160</v>
      </c>
      <c r="B1850" s="256" t="s">
        <v>58</v>
      </c>
      <c r="C1850" s="257"/>
      <c r="D1850" s="257"/>
      <c r="E1850" s="257"/>
      <c r="F1850" s="257"/>
      <c r="G1850" s="258"/>
      <c r="H1850" s="5">
        <v>1</v>
      </c>
      <c r="I1850" s="5">
        <v>2</v>
      </c>
      <c r="J1850" s="5">
        <v>3</v>
      </c>
      <c r="K1850" s="5">
        <v>4</v>
      </c>
      <c r="L1850" s="5">
        <v>5</v>
      </c>
      <c r="M1850" s="270"/>
      <c r="N1850" s="271"/>
      <c r="O1850" s="271"/>
      <c r="P1850" s="272"/>
      <c r="R1850" s="1"/>
      <c r="S1850" s="11"/>
      <c r="T1850" s="11"/>
      <c r="U1850" s="11"/>
      <c r="V1850" s="11"/>
      <c r="W1850" s="11"/>
    </row>
    <row r="1851" spans="1:32" ht="12.75" customHeight="1" x14ac:dyDescent="0.25">
      <c r="A1851" s="259" t="str">
        <f>B1845</f>
        <v>A</v>
      </c>
      <c r="B1851" s="236" t="str">
        <f ca="1">IF(AND(OFFSET($AO$1,$C1845-1,8,1,1),$A1846&lt;&gt;"",$J1846&lt;&gt;""),CHOOSE($C1845,$AO$1,$AO$2,$AO$3,$AO$4,$AO$5,$AO$6,$AO$7,$AO$8,$AO$9,$AO$10,$AO$11,$AO$12),"")</f>
        <v/>
      </c>
      <c r="C1851" s="237"/>
      <c r="D1851" s="237"/>
      <c r="E1851" s="237"/>
      <c r="F1851" s="237"/>
      <c r="G1851" s="237"/>
      <c r="H1851" s="233"/>
      <c r="I1851" s="233"/>
      <c r="J1851" s="233"/>
      <c r="K1851" s="233"/>
      <c r="L1851" s="233"/>
      <c r="M1851" s="281"/>
      <c r="N1851" s="282"/>
      <c r="O1851" s="282"/>
      <c r="P1851" s="283"/>
      <c r="Q1851" s="40" t="str">
        <f>IF($L1851=$L1853,IF($K1851=$K1853,IF($J1851&lt;&gt;"",IF($J1851&gt;$J1853,"W","L"),""),IF($K1851&gt;$K1853,"W","L")),IF($L1851&gt;$L1853,"W","L"))</f>
        <v/>
      </c>
      <c r="R1851" s="1"/>
      <c r="S1851" s="11"/>
      <c r="T1851" s="11"/>
      <c r="U1851" s="11"/>
      <c r="V1851" s="11"/>
      <c r="W1851" s="11"/>
    </row>
    <row r="1852" spans="1:32" ht="12.75" customHeight="1" x14ac:dyDescent="0.25">
      <c r="A1852" s="260"/>
      <c r="B1852" s="238"/>
      <c r="C1852" s="239"/>
      <c r="D1852" s="239"/>
      <c r="E1852" s="239"/>
      <c r="F1852" s="239"/>
      <c r="G1852" s="239"/>
      <c r="H1852" s="234"/>
      <c r="I1852" s="234"/>
      <c r="J1852" s="234"/>
      <c r="K1852" s="234"/>
      <c r="L1852" s="234"/>
      <c r="M1852" s="281"/>
      <c r="N1852" s="282"/>
      <c r="O1852" s="282"/>
      <c r="P1852" s="283"/>
      <c r="Q1852" s="110" t="str">
        <f>IF($Q1851&lt;&gt;"",IF($Q1851="W",IF(SUM(IF($H1851&gt;$H1853,1,0),IF($I1851&gt;$I1853,1,0),IF($J1851&gt;$J1853,1,0),IF($K1851&gt;$K1853,1,0),IF($L1851&gt;$L1853,1,0))&lt;&gt;3,"Error",""),""),"")</f>
        <v/>
      </c>
      <c r="R1852" s="295" t="str">
        <f>$A1846</f>
        <v/>
      </c>
      <c r="S1852" s="295"/>
      <c r="T1852" s="295"/>
      <c r="U1852" s="295"/>
      <c r="V1852" s="295"/>
      <c r="W1852" s="295"/>
      <c r="X1852" s="219" t="str">
        <f>CONCATENATE("(",$B1845," vs ",$K1845,")")</f>
        <v>(A vs F)</v>
      </c>
      <c r="Y1852" s="219"/>
      <c r="Z1852" s="295" t="str">
        <f>$J1846</f>
        <v/>
      </c>
      <c r="AA1852" s="295"/>
      <c r="AB1852" s="295"/>
      <c r="AC1852" s="295"/>
      <c r="AD1852" s="295"/>
      <c r="AE1852" s="295"/>
      <c r="AF1852"/>
    </row>
    <row r="1853" spans="1:32" ht="12.75" customHeight="1" x14ac:dyDescent="0.25">
      <c r="A1853" s="259" t="str">
        <f>K1845</f>
        <v>F</v>
      </c>
      <c r="B1853" s="236" t="str">
        <f ca="1">IF(AND(OFFSET($AO$1,$L1845-1,8,1,1),$A1846&lt;&gt;"",$J1846&lt;&gt;""),CHOOSE($L1845,$AO$1,$AO$2,$AO$3,$AO$4,$AO$5,$AO$6,$AO$7,$AO$8,$AO$9,$AO$10,$AO$11,$AO$12),"")</f>
        <v/>
      </c>
      <c r="C1853" s="237"/>
      <c r="D1853" s="237"/>
      <c r="E1853" s="237"/>
      <c r="F1853" s="237"/>
      <c r="G1853" s="237"/>
      <c r="H1853" s="233"/>
      <c r="I1853" s="233"/>
      <c r="J1853" s="233"/>
      <c r="K1853" s="233"/>
      <c r="L1853" s="233"/>
      <c r="M1853" s="250" t="s">
        <v>169</v>
      </c>
      <c r="N1853" s="251"/>
      <c r="O1853" s="251"/>
      <c r="P1853" s="252"/>
      <c r="Q1853" s="40" t="str">
        <f>IF($Q1851&lt;&gt;"",IF($Q1851="W","L","W"),"")</f>
        <v/>
      </c>
      <c r="R1853"/>
      <c r="S1853"/>
      <c r="T1853"/>
      <c r="U1853"/>
      <c r="V1853"/>
      <c r="W1853"/>
      <c r="X1853"/>
      <c r="Y1853"/>
      <c r="Z1853"/>
      <c r="AA1853"/>
      <c r="AB1853"/>
      <c r="AC1853"/>
      <c r="AD1853"/>
      <c r="AE1853"/>
      <c r="AF1853"/>
    </row>
    <row r="1854" spans="1:32" ht="12.75" customHeight="1" x14ac:dyDescent="0.25">
      <c r="A1854" s="260"/>
      <c r="B1854" s="238"/>
      <c r="C1854" s="239"/>
      <c r="D1854" s="239"/>
      <c r="E1854" s="239"/>
      <c r="F1854" s="239"/>
      <c r="G1854" s="239"/>
      <c r="H1854" s="234"/>
      <c r="I1854" s="234"/>
      <c r="J1854" s="235"/>
      <c r="K1854" s="235"/>
      <c r="L1854" s="235"/>
      <c r="M1854" s="250"/>
      <c r="N1854" s="251"/>
      <c r="O1854" s="251"/>
      <c r="P1854" s="252"/>
      <c r="Q1854" s="110" t="str">
        <f>IF($Q1853&lt;&gt;"",IF($Q1853="W",IF(SUM(IF($H1853&gt;$H1851,1,0),IF($I1853&gt;$I1851,1,0),IF($J1853&gt;$J1851,1,0),IF($K1853&gt;$K1851,1,0),IF($L1853&gt;$L1851,1,0))&lt;&gt;3,"Error",""),""),"")</f>
        <v/>
      </c>
      <c r="R1854" t="str">
        <f>$A1856</f>
        <v>2nd Singles</v>
      </c>
      <c r="S1854"/>
      <c r="T1854"/>
      <c r="U1854"/>
      <c r="V1854"/>
      <c r="W1854"/>
      <c r="X1854"/>
      <c r="Y1854"/>
      <c r="Z1854"/>
      <c r="AA1854"/>
      <c r="AB1854"/>
      <c r="AC1854"/>
      <c r="AD1854"/>
      <c r="AE1854"/>
      <c r="AF1854"/>
    </row>
    <row r="1855" spans="1:32" ht="12.75" customHeight="1" x14ac:dyDescent="0.25">
      <c r="Q1855" s="6"/>
      <c r="R1855" s="47" t="s">
        <v>160</v>
      </c>
      <c r="S1855" s="304" t="s">
        <v>58</v>
      </c>
      <c r="T1855" s="305"/>
      <c r="U1855" s="305"/>
      <c r="V1855" s="305"/>
      <c r="W1855" s="305"/>
      <c r="X1855" s="306"/>
      <c r="Y1855" s="47">
        <v>1</v>
      </c>
      <c r="Z1855" s="47">
        <v>2</v>
      </c>
      <c r="AA1855" s="47">
        <v>3</v>
      </c>
      <c r="AB1855" s="47">
        <v>4</v>
      </c>
      <c r="AC1855" s="47">
        <v>5</v>
      </c>
      <c r="AD1855" s="286"/>
      <c r="AE1855" s="287"/>
      <c r="AF1855" s="288"/>
    </row>
    <row r="1856" spans="1:32" ht="12.75" customHeight="1" x14ac:dyDescent="0.25">
      <c r="A1856" s="15" t="s">
        <v>166</v>
      </c>
      <c r="H1856" s="110" t="str">
        <f>IF($Q1858&lt;&gt;"",IF(AND(AND($H1858&gt;-1,$H1860&gt;-1),OR($H1858&gt;10,$H1860&gt;10),ABS($H1858-$H1860)&gt;1,IF(OR($H1858&gt;11,$H1860&gt;11),ABS($H1858-$H1860)=2,TRUE),$H1858=INT($H1858),$H1860=INT($H1860)),"","Error"),"")</f>
        <v/>
      </c>
      <c r="I1856" s="110" t="str">
        <f>IF($Q1858&lt;&gt;"",IF(AND(AND($I1858&gt;-1,$I1860&gt;-1),OR($I1858&gt;10,$I1860&gt;10),ABS($I1858-$I1860)&gt;1,IF(OR($I1858&gt;11,$I1860&gt;11),ABS($I1858-$I1860)=2,TRUE),$I1858=INT($I1858),$I1860=INT($I1860)),"","Error"),"")</f>
        <v/>
      </c>
      <c r="J1856" s="110" t="str">
        <f>IF($Q1858&lt;&gt;"",IF(AND(AND($J1858&gt;-1,$J1860&gt;-1),OR($J1858&gt;10,$J1860&gt;10),ABS($J1858-$J1860)&gt;1,IF(OR($J1858&gt;11,$J1860&gt;11),ABS($J1858-$J1860)=2,TRUE),$J1858=INT($J1858),$J1860=INT($J1860)),"","Error"),"")</f>
        <v/>
      </c>
      <c r="K1856" s="110" t="str">
        <f>IF($Q1858&lt;&gt;"",IF(AND($K1858&lt;&gt;"",$K1860&lt;&gt;""), IF(AND(AND($K1858&gt;-1,$K1860&gt;-1),OR($K1858&gt;10,$K1860&gt;10),ABS($K1858-$K1860)&gt;1,IF(OR($K1858&gt;11,$K1860&gt;11),ABS($K1858-$K1860)=2,TRUE),$K1858=INT($K1858),$K1860=INT($K1860)),"","Error"),""),"")</f>
        <v/>
      </c>
      <c r="L1856" s="110" t="str">
        <f>IF($Q1858&lt;&gt;"",IF(AND($L1858&lt;&gt;"",$L1860&lt;&gt;""), IF(AND(AND($L1858&gt;-1,$L1860&gt;-1),OR($L1858&gt;10,$L1860&gt;10),ABS($L1858-$L1860)&gt;1,IF(OR($L1858&gt;11,$L1860&gt;11),ABS($L1858-$L1860)=2,TRUE),$L1858=INT($L1858),$L1860=INT($L1860)),"","Error"),""),"")</f>
        <v/>
      </c>
      <c r="Q1856" s="6"/>
      <c r="R1856" s="259" t="str">
        <f>$B1845</f>
        <v>A</v>
      </c>
      <c r="S1856" s="307" t="str">
        <f ca="1">IF($B1858&lt;&gt;"",$B1858,"")</f>
        <v/>
      </c>
      <c r="T1856" s="308"/>
      <c r="U1856" s="308"/>
      <c r="V1856" s="308"/>
      <c r="W1856" s="308"/>
      <c r="X1856" s="309"/>
      <c r="Y1856" s="284"/>
      <c r="Z1856" s="284"/>
      <c r="AA1856" s="284"/>
      <c r="AB1856" s="284"/>
      <c r="AC1856" s="284"/>
      <c r="AD1856" s="296"/>
      <c r="AE1856" s="290"/>
      <c r="AF1856" s="291"/>
    </row>
    <row r="1857" spans="1:32" ht="12.75" customHeight="1" x14ac:dyDescent="0.25">
      <c r="A1857" s="5" t="s">
        <v>160</v>
      </c>
      <c r="B1857" s="256" t="s">
        <v>58</v>
      </c>
      <c r="C1857" s="257"/>
      <c r="D1857" s="257"/>
      <c r="E1857" s="257"/>
      <c r="F1857" s="257"/>
      <c r="G1857" s="258"/>
      <c r="H1857" s="5">
        <v>1</v>
      </c>
      <c r="I1857" s="5">
        <v>2</v>
      </c>
      <c r="J1857" s="5">
        <v>3</v>
      </c>
      <c r="K1857" s="5">
        <v>4</v>
      </c>
      <c r="L1857" s="5">
        <v>5</v>
      </c>
      <c r="M1857" s="270"/>
      <c r="N1857" s="271"/>
      <c r="O1857" s="271"/>
      <c r="P1857" s="272"/>
      <c r="Q1857" s="6"/>
      <c r="R1857" s="285"/>
      <c r="S1857" s="310"/>
      <c r="T1857" s="311"/>
      <c r="U1857" s="311"/>
      <c r="V1857" s="311"/>
      <c r="W1857" s="311"/>
      <c r="X1857" s="312"/>
      <c r="Y1857" s="285"/>
      <c r="Z1857" s="285"/>
      <c r="AA1857" s="285"/>
      <c r="AB1857" s="285"/>
      <c r="AC1857" s="285"/>
      <c r="AD1857" s="292"/>
      <c r="AE1857" s="293"/>
      <c r="AF1857" s="294"/>
    </row>
    <row r="1858" spans="1:32" ht="12.75" customHeight="1" x14ac:dyDescent="0.25">
      <c r="A1858" s="259" t="str">
        <f>B1845</f>
        <v>A</v>
      </c>
      <c r="B1858" s="236" t="str">
        <f ca="1">IF(AND(OFFSET($AO$1,$C1845-1,8,1,1),$A1846&lt;&gt;"",$J1846&lt;&gt;""),CHOOSE($C1845,$AP$1,$AP$2,$AP$3,$AP$4,$AP$5,$AP$6,$AP$7,$AP$8,$AP$9,$AP$10,$AP$11,$AP$12),"")</f>
        <v/>
      </c>
      <c r="C1858" s="237"/>
      <c r="D1858" s="237"/>
      <c r="E1858" s="237"/>
      <c r="F1858" s="237"/>
      <c r="G1858" s="237"/>
      <c r="H1858" s="233"/>
      <c r="I1858" s="233"/>
      <c r="J1858" s="233"/>
      <c r="K1858" s="233"/>
      <c r="L1858" s="233"/>
      <c r="M1858" s="245" t="str">
        <f ca="1">IF(OR(AND($B1851&lt;&gt;"",$B1858&lt;&gt;"",$C1876&lt;=$B1876),AND($B1853&lt;&gt;"",$B1860&lt;&gt;"",$G1876&lt;=$F1876)),"Invalid Lineup","")</f>
        <v/>
      </c>
      <c r="N1858" s="246"/>
      <c r="O1858" s="246"/>
      <c r="P1858" s="247"/>
      <c r="Q1858" s="40" t="str">
        <f>IF($L1858=$L1860,IF($K1858=$K1860,IF($J1858&lt;&gt;"",IF($J1858&gt;$J1860,"W","L"),""),IF($K1858&gt;$K1860,"W","L")),IF($L1858&gt;$L1860,"W","L"))</f>
        <v/>
      </c>
      <c r="R1858" s="259" t="str">
        <f>$K1845</f>
        <v>F</v>
      </c>
      <c r="S1858" s="307" t="str">
        <f ca="1">IF($B1860&lt;&gt;"",$B1860,"")</f>
        <v/>
      </c>
      <c r="T1858" s="308"/>
      <c r="U1858" s="308"/>
      <c r="V1858" s="308"/>
      <c r="W1858" s="308"/>
      <c r="X1858" s="309"/>
      <c r="Y1858" s="284"/>
      <c r="Z1858" s="284"/>
      <c r="AA1858" s="284"/>
      <c r="AB1858" s="284"/>
      <c r="AC1858" s="297"/>
      <c r="AD1858" s="289" t="s">
        <v>169</v>
      </c>
      <c r="AE1858" s="290"/>
      <c r="AF1858" s="291"/>
    </row>
    <row r="1859" spans="1:32" ht="12.75" customHeight="1" x14ac:dyDescent="0.25">
      <c r="A1859" s="260"/>
      <c r="B1859" s="238"/>
      <c r="C1859" s="239"/>
      <c r="D1859" s="239"/>
      <c r="E1859" s="239"/>
      <c r="F1859" s="239"/>
      <c r="G1859" s="239"/>
      <c r="H1859" s="234"/>
      <c r="I1859" s="234"/>
      <c r="J1859" s="234"/>
      <c r="K1859" s="234"/>
      <c r="L1859" s="234"/>
      <c r="M1859" s="245"/>
      <c r="N1859" s="246"/>
      <c r="O1859" s="246"/>
      <c r="P1859" s="247"/>
      <c r="Q1859" s="110" t="str">
        <f>IF($Q1858&lt;&gt;"",IF($Q1858="W",IF(SUM(IF($H1858&gt;$H1860,1,0),IF($I1858&gt;$I1860,1,0),IF($J1858&gt;$J1860,1,0),IF($K1858&gt;$K1860,1,0),IF($L1858&gt;$L1860,1,0))&lt;&gt;3,"Error",""),""),"")</f>
        <v/>
      </c>
      <c r="R1859" s="285"/>
      <c r="S1859" s="310"/>
      <c r="T1859" s="311"/>
      <c r="U1859" s="311"/>
      <c r="V1859" s="311"/>
      <c r="W1859" s="311"/>
      <c r="X1859" s="312"/>
      <c r="Y1859" s="285"/>
      <c r="Z1859" s="285"/>
      <c r="AA1859" s="285"/>
      <c r="AB1859" s="285"/>
      <c r="AC1859" s="285"/>
      <c r="AD1859" s="292"/>
      <c r="AE1859" s="293"/>
      <c r="AF1859" s="294"/>
    </row>
    <row r="1860" spans="1:32" ht="12.75" customHeight="1" x14ac:dyDescent="0.25">
      <c r="A1860" s="259" t="str">
        <f>K1845</f>
        <v>F</v>
      </c>
      <c r="B1860" s="236" t="str">
        <f ca="1">IF(AND(OFFSET($AO$1,$L1845-1,8,1,1),$A1846&lt;&gt;"",$J1846&lt;&gt;""),CHOOSE($L1845,$AP$1,$AP$2,$AP$3,$AP$4,$AP$5,$AP$6,$AP$7,$AP$8,$AP$9,$AP$10,$AP$11,$AP$12),"")</f>
        <v/>
      </c>
      <c r="C1860" s="237"/>
      <c r="D1860" s="237"/>
      <c r="E1860" s="237"/>
      <c r="F1860" s="237"/>
      <c r="G1860" s="237"/>
      <c r="H1860" s="233"/>
      <c r="I1860" s="233"/>
      <c r="J1860" s="233"/>
      <c r="K1860" s="233"/>
      <c r="L1860" s="233"/>
      <c r="M1860" s="250" t="s">
        <v>169</v>
      </c>
      <c r="N1860" s="251"/>
      <c r="O1860" s="251"/>
      <c r="P1860" s="252"/>
      <c r="Q1860" s="40" t="str">
        <f>IF($Q1858&lt;&gt;"",IF($Q1858="W","L","W"),"")</f>
        <v/>
      </c>
      <c r="R1860" s="14"/>
      <c r="S1860" s="14"/>
      <c r="T1860" s="14"/>
      <c r="U1860" s="14"/>
      <c r="V1860" s="14"/>
      <c r="W1860" s="14"/>
      <c r="X1860" s="7"/>
      <c r="Y1860" s="7"/>
      <c r="Z1860" s="14"/>
      <c r="AA1860" s="14"/>
      <c r="AB1860" s="14"/>
      <c r="AC1860" s="14"/>
      <c r="AD1860" s="14"/>
      <c r="AE1860" s="14"/>
      <c r="AF1860"/>
    </row>
    <row r="1861" spans="1:32" ht="12.75" customHeight="1" x14ac:dyDescent="0.25">
      <c r="A1861" s="260"/>
      <c r="B1861" s="238"/>
      <c r="C1861" s="239"/>
      <c r="D1861" s="239"/>
      <c r="E1861" s="239"/>
      <c r="F1861" s="239"/>
      <c r="G1861" s="239"/>
      <c r="H1861" s="234"/>
      <c r="I1861" s="234"/>
      <c r="J1861" s="235"/>
      <c r="K1861" s="235"/>
      <c r="L1861" s="235"/>
      <c r="M1861" s="250"/>
      <c r="N1861" s="251"/>
      <c r="O1861" s="251"/>
      <c r="P1861" s="252"/>
      <c r="Q1861" s="110" t="str">
        <f>IF($Q1860&lt;&gt;"",IF($Q1860="W",IF(SUM(IF($H1860&gt;$H1858,1,0),IF($I1860&gt;$I1858,1,0),IF($J1860&gt;$J1858,1,0),IF($K1860&gt;$K1858,1,0),IF($L1860&gt;$L1858,1,0))&lt;&gt;3,"Error",""),""),"")</f>
        <v/>
      </c>
      <c r="R1861" s="14"/>
      <c r="S1861" s="14"/>
      <c r="T1861" s="14"/>
      <c r="U1861" s="14"/>
      <c r="V1861" s="14"/>
      <c r="W1861" s="14"/>
      <c r="X1861" s="7"/>
      <c r="Y1861" s="7"/>
      <c r="Z1861" s="14"/>
      <c r="AA1861" s="14"/>
      <c r="AB1861" s="14"/>
      <c r="AC1861" s="14"/>
      <c r="AD1861" s="14"/>
      <c r="AE1861" s="14"/>
      <c r="AF1861"/>
    </row>
    <row r="1862" spans="1:32" ht="12.75" customHeight="1" x14ac:dyDescent="0.25">
      <c r="Q1862" s="6"/>
      <c r="R1862" s="14"/>
      <c r="S1862" s="14"/>
      <c r="T1862" s="14"/>
      <c r="U1862" s="14"/>
      <c r="V1862" s="14"/>
      <c r="W1862" s="14"/>
      <c r="X1862" s="7"/>
      <c r="Y1862" s="7"/>
      <c r="Z1862" s="14"/>
      <c r="AA1862" s="14"/>
      <c r="AB1862" s="14"/>
      <c r="AC1862" s="14"/>
      <c r="AD1862" s="14"/>
      <c r="AE1862" s="14"/>
      <c r="AF1862"/>
    </row>
    <row r="1863" spans="1:32" ht="12.75" customHeight="1" x14ac:dyDescent="0.25">
      <c r="A1863" s="15" t="s">
        <v>167</v>
      </c>
      <c r="H1863" s="110" t="str">
        <f>IF($Q1865&lt;&gt;"",IF(AND(AND($H1865&gt;-1,$H1867&gt;-1),OR($H1865&gt;10,$H1867&gt;10),ABS($H1865-$H1867)&gt;1,IF(OR($H1865&gt;11,$H1867&gt;11),ABS($H1865-$H1867)=2,TRUE),$H1865=INT($H1865),$H1867=INT($H1867)),"","Error"),"")</f>
        <v/>
      </c>
      <c r="I1863" s="110" t="str">
        <f>IF($Q1865&lt;&gt;"",IF(AND(AND($I1865&gt;-1,$I1867&gt;-1),OR($I1865&gt;10,$I1867&gt;10),ABS($I1865-$I1867)&gt;1,IF(OR($I1865&gt;11,$I1867&gt;11),ABS($I1865-$I1867)=2,TRUE),$I1865=INT($I1865),$I1867=INT($I1867)),"","Error"),"")</f>
        <v/>
      </c>
      <c r="J1863" s="110" t="str">
        <f>IF($Q1865&lt;&gt;"",IF(AND(AND($J1865&gt;-1,$J1867&gt;-1),OR($J1865&gt;10,$J1867&gt;10),ABS($J1865-$J1867)&gt;1,IF(OR($J1865&gt;11,$J1867&gt;11),ABS($J1865-$J1867)=2,TRUE),$J1865=INT($J1865),$J1867=INT($J1867)),"","Error"),"")</f>
        <v/>
      </c>
      <c r="K1863" s="110" t="str">
        <f>IF($Q1865&lt;&gt;"",IF(AND($K1865&lt;&gt;"",$K1867&lt;&gt;""), IF(AND(AND($K1865&gt;-1,$K1867&gt;-1),OR($K1865&gt;10,$K1867&gt;10),ABS($K1865-$K1867)&gt;1,IF(OR($K1865&gt;11,$K1867&gt;11),ABS($K1865-$K1867)=2,TRUE),$K1865=INT($K1865),$K1867=INT($K1867)),"","Error"),""),"")</f>
        <v/>
      </c>
      <c r="L1863" s="110" t="str">
        <f>IF($Q1865&lt;&gt;"",IF(AND($L1865&lt;&gt;"",$L1867&lt;&gt;""), IF(AND(AND($L1865&gt;-1,$L1867&gt;-1),OR($L1865&gt;10,$L1867&gt;10),ABS($L1865-$L1867)&gt;1,IF(OR($L1865&gt;11,$L1867&gt;11),ABS($L1865-$L1867)=2,TRUE),$L1865=INT($L1865),$L1867=INT($L1867)),"","Error"),""),"")</f>
        <v/>
      </c>
      <c r="Q1863" s="6"/>
      <c r="R1863" s="14"/>
      <c r="S1863" s="14"/>
      <c r="T1863" s="14"/>
      <c r="U1863" s="14"/>
      <c r="V1863" s="14"/>
      <c r="W1863" s="14"/>
      <c r="X1863" s="7"/>
      <c r="Y1863" s="7"/>
      <c r="Z1863" s="14"/>
      <c r="AA1863" s="14"/>
      <c r="AB1863" s="14"/>
      <c r="AC1863" s="14"/>
      <c r="AD1863" s="14"/>
      <c r="AE1863" s="14"/>
      <c r="AF1863"/>
    </row>
    <row r="1864" spans="1:32" ht="12.75" customHeight="1" x14ac:dyDescent="0.25">
      <c r="A1864" s="5" t="s">
        <v>160</v>
      </c>
      <c r="B1864" s="256" t="s">
        <v>58</v>
      </c>
      <c r="C1864" s="257"/>
      <c r="D1864" s="257"/>
      <c r="E1864" s="257"/>
      <c r="F1864" s="257"/>
      <c r="G1864" s="258"/>
      <c r="H1864" s="5">
        <v>1</v>
      </c>
      <c r="I1864" s="5">
        <v>2</v>
      </c>
      <c r="J1864" s="5">
        <v>3</v>
      </c>
      <c r="K1864" s="5">
        <v>4</v>
      </c>
      <c r="L1864" s="5">
        <v>5</v>
      </c>
      <c r="M1864" s="270"/>
      <c r="N1864" s="271"/>
      <c r="O1864" s="271"/>
      <c r="P1864" s="272"/>
      <c r="Q1864" s="6"/>
      <c r="R1864" s="14"/>
      <c r="S1864" s="14"/>
      <c r="T1864" s="14"/>
      <c r="U1864" s="14"/>
      <c r="V1864" s="14"/>
      <c r="W1864" s="14"/>
      <c r="X1864" s="7"/>
      <c r="Y1864" s="7"/>
      <c r="Z1864" s="14"/>
      <c r="AA1864" s="14"/>
      <c r="AB1864" s="14"/>
      <c r="AC1864" s="14"/>
      <c r="AD1864" s="14"/>
      <c r="AE1864" s="14"/>
      <c r="AF1864"/>
    </row>
    <row r="1865" spans="1:32" ht="12.75" customHeight="1" x14ac:dyDescent="0.25">
      <c r="A1865" s="259" t="str">
        <f>B1845</f>
        <v>A</v>
      </c>
      <c r="B1865" s="236" t="str">
        <f ca="1">IF(AND(OFFSET($AO$1,$C1845-1,8,1,1),$A1846&lt;&gt;"",$J1846&lt;&gt;""),CHOOSE($C1845,$AQ$1,$AQ$2,$AQ$3,$AQ$4,$AQ$5,$AQ$6,$AQ$7,$AQ$8,$AQ$9,$AQ$10,$AQ$11,$AQ$12),"")</f>
        <v/>
      </c>
      <c r="C1865" s="237"/>
      <c r="D1865" s="237"/>
      <c r="E1865" s="237"/>
      <c r="F1865" s="237"/>
      <c r="G1865" s="237"/>
      <c r="H1865" s="233"/>
      <c r="I1865" s="233"/>
      <c r="J1865" s="233"/>
      <c r="K1865" s="233"/>
      <c r="L1865" s="233"/>
      <c r="M1865" s="245" t="str">
        <f ca="1">IF(OR(AND($B1858&lt;&gt;"",$B1865&lt;&gt;"",$D1876&lt;=$C1876),AND($B1860&lt;&gt;"",$B1867&lt;&gt;"",$H1876&lt;=$G1876)),"Invalid Lineup","")</f>
        <v/>
      </c>
      <c r="N1865" s="246"/>
      <c r="O1865" s="246"/>
      <c r="P1865" s="247"/>
      <c r="Q1865" s="40" t="str">
        <f>IF($L1865=$L1867,IF($K1865=$K1867,IF($J1865&lt;&gt;"",IF($J1865&gt;$J1867,"W","L"),""),IF($K1865&gt;$K1867,"W","L")),IF($L1865&gt;$L1867,"W","L"))</f>
        <v/>
      </c>
      <c r="R1865" s="14"/>
      <c r="S1865" s="14"/>
      <c r="T1865" s="14"/>
      <c r="U1865" s="14"/>
      <c r="V1865" s="14"/>
      <c r="W1865" s="14"/>
      <c r="X1865" s="7"/>
      <c r="Y1865" s="7"/>
      <c r="Z1865" s="14"/>
      <c r="AA1865" s="14"/>
      <c r="AB1865" s="14"/>
      <c r="AC1865" s="14"/>
      <c r="AD1865" s="14"/>
      <c r="AE1865" s="14"/>
      <c r="AF1865"/>
    </row>
    <row r="1866" spans="1:32" ht="12.75" customHeight="1" x14ac:dyDescent="0.25">
      <c r="A1866" s="260"/>
      <c r="B1866" s="238"/>
      <c r="C1866" s="239"/>
      <c r="D1866" s="239"/>
      <c r="E1866" s="239"/>
      <c r="F1866" s="239"/>
      <c r="G1866" s="239"/>
      <c r="H1866" s="234"/>
      <c r="I1866" s="234"/>
      <c r="J1866" s="234"/>
      <c r="K1866" s="234"/>
      <c r="L1866" s="234"/>
      <c r="M1866" s="245"/>
      <c r="N1866" s="246"/>
      <c r="O1866" s="246"/>
      <c r="P1866" s="247"/>
      <c r="Q1866" s="110" t="str">
        <f>IF($Q1865&lt;&gt;"",IF($Q1865="W",IF(SUM(IF($H1865&gt;$H1867,1,0),IF($I1865&gt;$I1867,1,0),IF($J1865&gt;$J1867,1,0),IF($K1865&gt;$K1867,1,0),IF($L1865&gt;$L1867,1,0))&lt;&gt;3,"Error",""),""),"")</f>
        <v/>
      </c>
      <c r="R1866" s="295" t="str">
        <f>$A1846</f>
        <v/>
      </c>
      <c r="S1866" s="295"/>
      <c r="T1866" s="295"/>
      <c r="U1866" s="295"/>
      <c r="V1866" s="295"/>
      <c r="W1866" s="295"/>
      <c r="X1866" s="219" t="str">
        <f>CONCATENATE("(",$B1845," vs ",$K1845,")")</f>
        <v>(A vs F)</v>
      </c>
      <c r="Y1866" s="219"/>
      <c r="Z1866" s="295" t="str">
        <f>$J1846</f>
        <v/>
      </c>
      <c r="AA1866" s="295"/>
      <c r="AB1866" s="295"/>
      <c r="AC1866" s="295"/>
      <c r="AD1866" s="295"/>
      <c r="AE1866" s="295"/>
      <c r="AF1866"/>
    </row>
    <row r="1867" spans="1:32" ht="12.75" customHeight="1" x14ac:dyDescent="0.25">
      <c r="A1867" s="259" t="str">
        <f>K1845</f>
        <v>F</v>
      </c>
      <c r="B1867" s="236" t="str">
        <f ca="1">IF(AND(OFFSET($AO$1,$L1845-1,8,1,1),$A1846&lt;&gt;"",$J1846&lt;&gt;""),CHOOSE($L1845,$AQ$1,$AQ$2,$AQ$3,$AQ$4,$AQ$5,$AQ$6,$AQ$7,$AQ$8,$AQ$9,$AQ$10,$AQ$11,$AQ$12),"")</f>
        <v/>
      </c>
      <c r="C1867" s="237"/>
      <c r="D1867" s="237"/>
      <c r="E1867" s="237"/>
      <c r="F1867" s="237"/>
      <c r="G1867" s="237"/>
      <c r="H1867" s="233"/>
      <c r="I1867" s="233"/>
      <c r="J1867" s="233"/>
      <c r="K1867" s="233"/>
      <c r="L1867" s="233"/>
      <c r="M1867" s="250" t="s">
        <v>169</v>
      </c>
      <c r="N1867" s="251"/>
      <c r="O1867" s="251"/>
      <c r="P1867" s="252"/>
      <c r="Q1867" s="40" t="str">
        <f>IF($Q1865&lt;&gt;"",IF($Q1865="W","L","W"),"")</f>
        <v/>
      </c>
      <c r="R1867"/>
      <c r="S1867"/>
      <c r="T1867"/>
      <c r="U1867"/>
      <c r="V1867"/>
      <c r="W1867"/>
      <c r="X1867"/>
      <c r="Y1867"/>
      <c r="Z1867"/>
      <c r="AA1867"/>
      <c r="AB1867"/>
      <c r="AC1867"/>
      <c r="AD1867"/>
      <c r="AE1867"/>
      <c r="AF1867"/>
    </row>
    <row r="1868" spans="1:32" ht="12.75" customHeight="1" x14ac:dyDescent="0.25">
      <c r="A1868" s="260"/>
      <c r="B1868" s="238"/>
      <c r="C1868" s="239"/>
      <c r="D1868" s="239"/>
      <c r="E1868" s="239"/>
      <c r="F1868" s="239"/>
      <c r="G1868" s="239"/>
      <c r="H1868" s="234"/>
      <c r="I1868" s="234"/>
      <c r="J1868" s="235"/>
      <c r="K1868" s="235"/>
      <c r="L1868" s="235"/>
      <c r="M1868" s="250"/>
      <c r="N1868" s="251"/>
      <c r="O1868" s="251"/>
      <c r="P1868" s="252"/>
      <c r="Q1868" s="110" t="str">
        <f>IF($Q1867&lt;&gt;"",IF($Q1867="W",IF(SUM(IF($H1867&gt;$H1865,1,0),IF($I1867&gt;$I1865,1,0),IF($J1867&gt;$J1865,1,0),IF($K1867&gt;$K1865,1,0),IF($L1867&gt;$L1865,1,0))&lt;&gt;3,"Error",""),""),"")</f>
        <v/>
      </c>
      <c r="R1868" t="str">
        <f>$A1863</f>
        <v>3rd Singles</v>
      </c>
      <c r="S1868"/>
      <c r="T1868"/>
      <c r="U1868"/>
      <c r="V1868"/>
      <c r="W1868"/>
      <c r="X1868"/>
      <c r="Y1868"/>
      <c r="Z1868"/>
      <c r="AA1868"/>
      <c r="AB1868"/>
      <c r="AC1868"/>
      <c r="AD1868"/>
      <c r="AE1868"/>
      <c r="AF1868"/>
    </row>
    <row r="1869" spans="1:32" ht="12.75" customHeight="1" x14ac:dyDescent="0.25">
      <c r="Q1869" s="6"/>
      <c r="R1869" s="47" t="s">
        <v>160</v>
      </c>
      <c r="S1869" s="86" t="s">
        <v>58</v>
      </c>
      <c r="T1869" s="87"/>
      <c r="U1869" s="87"/>
      <c r="V1869" s="87"/>
      <c r="W1869" s="87"/>
      <c r="X1869" s="88"/>
      <c r="Y1869" s="47">
        <v>1</v>
      </c>
      <c r="Z1869" s="47">
        <v>2</v>
      </c>
      <c r="AA1869" s="47">
        <v>3</v>
      </c>
      <c r="AB1869" s="47">
        <v>4</v>
      </c>
      <c r="AC1869" s="47">
        <v>5</v>
      </c>
      <c r="AD1869" s="89"/>
      <c r="AE1869" s="90"/>
      <c r="AF1869" s="91"/>
    </row>
    <row r="1870" spans="1:32" ht="12.75" customHeight="1" x14ac:dyDescent="0.25">
      <c r="A1870" s="15" t="s">
        <v>168</v>
      </c>
      <c r="H1870" s="110" t="str">
        <f ca="1">IF($Q1872&lt;&gt;"",IF(AND($B1872&lt;&gt;"Missing Player",$B1874&lt;&gt;"Missing Player"),IF(AND(AND($H1872&gt;-1,$H1874&gt;-1),OR($H1872&gt;10,$H1874&gt;10),ABS($H1872-$H1874)&gt;1,IF(OR($H1872&gt;11,$H1874&gt;11),ABS($H1872-$H1874)=2,TRUE),$H1872=INT($H1872),$H1874=INT($H1874)),"","Error"),""),"")</f>
        <v/>
      </c>
      <c r="I1870" s="110" t="str">
        <f ca="1">IF($Q1872&lt;&gt;"",IF(AND($B1872&lt;&gt;"Missing Player",$B1874&lt;&gt;"Missing Player"),IF(AND(AND($I1872&gt;-1,$I1874&gt;-1),OR($I1872&gt;10,$I1874&gt;10),ABS($I1872-$I1874)&gt;1,IF(OR($I1872&gt;11,$I1874&gt;11),ABS($I1872-$I1874)=2,TRUE),$I1872=INT($I1872),$I1874=INT($I1874)),"","Error"),""),"")</f>
        <v/>
      </c>
      <c r="J1870" s="110" t="str">
        <f ca="1">IF($Q1872&lt;&gt;"",IF(AND($B1872&lt;&gt;"Missing Player",$B1874&lt;&gt;"Missing Player"),IF(AND(AND($J1872&gt;-1,$J1874&gt;-1),OR($J1872&gt;10,$J1874&gt;10),ABS($J1872-$J1874)&gt;1,IF(OR($J1872&gt;11,$J1874&gt;11),ABS($J1872-$J1874)=2,TRUE),$J1872=INT($J1872),$J1874=INT($J1874)),"","Error"),""),"")</f>
        <v/>
      </c>
      <c r="K1870" s="110" t="str">
        <f ca="1">IF($Q1872&lt;&gt;"",IF(AND($K1872&lt;&gt;"",$K1874&lt;&gt;""), IF(AND(AND($K1872&gt;-1,$K1874&gt;-1),OR($K1872&gt;10,$K1874&gt;10),ABS($K1872-$K1874)&gt;1,IF(OR($K1872&gt;11,$K1874&gt;11),ABS($K1872-$K1874)=2,TRUE),$K1872=INT($K1872),$K1874=INT($K1874)),"","Error"),""),"")</f>
        <v/>
      </c>
      <c r="L1870" s="110" t="str">
        <f ca="1">IF($Q1872&lt;&gt;"",IF(AND($L1872&lt;&gt;"",$L1874&lt;&gt;""), IF(AND(AND($L1872&gt;-1,$L1874&gt;-1),OR($L1872&gt;10,$L1874&gt;10),ABS($L1872-$L1874)&gt;1,IF(OR($L1872&gt;11,$L1874&gt;11),ABS($L1872-$L1874)=2,TRUE),$L1872=INT($L1872),$L1874=INT($L1874)),"","Error"),""),"")</f>
        <v/>
      </c>
      <c r="Q1870" s="6"/>
      <c r="R1870" s="259" t="str">
        <f>$B1845</f>
        <v>A</v>
      </c>
      <c r="S1870" s="307" t="str">
        <f ca="1">IF($B1865&lt;&gt;"",$B1865,"")</f>
        <v/>
      </c>
      <c r="T1870" s="308"/>
      <c r="U1870" s="308"/>
      <c r="V1870" s="308"/>
      <c r="W1870" s="308"/>
      <c r="X1870" s="309"/>
      <c r="Y1870" s="284"/>
      <c r="Z1870" s="284"/>
      <c r="AA1870" s="284"/>
      <c r="AB1870" s="284"/>
      <c r="AC1870" s="284"/>
      <c r="AD1870" s="296"/>
      <c r="AE1870" s="290"/>
      <c r="AF1870" s="291"/>
    </row>
    <row r="1871" spans="1:32" ht="12.75" customHeight="1" x14ac:dyDescent="0.25">
      <c r="A1871" s="5" t="s">
        <v>160</v>
      </c>
      <c r="B1871" s="256" t="s">
        <v>58</v>
      </c>
      <c r="C1871" s="257"/>
      <c r="D1871" s="257"/>
      <c r="E1871" s="257"/>
      <c r="F1871" s="257"/>
      <c r="G1871" s="258"/>
      <c r="H1871" s="5">
        <v>1</v>
      </c>
      <c r="I1871" s="5">
        <v>2</v>
      </c>
      <c r="J1871" s="5">
        <v>3</v>
      </c>
      <c r="K1871" s="5">
        <v>4</v>
      </c>
      <c r="L1871" s="5">
        <v>5</v>
      </c>
      <c r="M1871" s="270"/>
      <c r="N1871" s="271"/>
      <c r="O1871" s="271"/>
      <c r="P1871" s="272"/>
      <c r="Q1871" s="6"/>
      <c r="R1871" s="285"/>
      <c r="S1871" s="310"/>
      <c r="T1871" s="311"/>
      <c r="U1871" s="311"/>
      <c r="V1871" s="311"/>
      <c r="W1871" s="311"/>
      <c r="X1871" s="312"/>
      <c r="Y1871" s="285"/>
      <c r="Z1871" s="285"/>
      <c r="AA1871" s="285"/>
      <c r="AB1871" s="285"/>
      <c r="AC1871" s="285"/>
      <c r="AD1871" s="292"/>
      <c r="AE1871" s="293"/>
      <c r="AF1871" s="294"/>
    </row>
    <row r="1872" spans="1:32" ht="12.75" customHeight="1" x14ac:dyDescent="0.25">
      <c r="A1872" s="259" t="str">
        <f>B1845</f>
        <v>A</v>
      </c>
      <c r="B1872" s="236" t="str">
        <f ca="1">IF(AND(OFFSET($AO$1,$C1845-1,8,1,1),$A1846&lt;&gt;"",$J1846&lt;&gt;""),CHOOSE($C1845,$AR$1,$AR$2,$AR$3,$AR$4,$AR$5,$AR$6,$AR$7,$AR$8,$AR$9,$AR$10,$AR$11,$AR$12),"")</f>
        <v/>
      </c>
      <c r="C1872" s="237"/>
      <c r="D1872" s="237"/>
      <c r="E1872" s="237"/>
      <c r="F1872" s="237"/>
      <c r="G1872" s="237"/>
      <c r="H1872" s="233"/>
      <c r="I1872" s="233"/>
      <c r="J1872" s="233"/>
      <c r="K1872" s="233"/>
      <c r="L1872" s="233" t="str">
        <f ca="1">IF(AND($B1872&lt;&gt;"",$Q1851&lt;&gt;""),IF($B1872="Missing Player",0,IF($B1874="Missing Player",11,"")),"")</f>
        <v/>
      </c>
      <c r="M1872" s="245" t="str">
        <f ca="1">IF(OR(AND($B1865&lt;&gt;"",$B1872&lt;&gt;"",$E1876&lt;=$D1876),AND($B1867&lt;&gt;"",$B1874&lt;&gt;"",$I1876&lt;=$H1876)),"Invalid Lineup","")</f>
        <v/>
      </c>
      <c r="N1872" s="246"/>
      <c r="O1872" s="246"/>
      <c r="P1872" s="247"/>
      <c r="Q1872" s="40" t="str">
        <f ca="1">IF($L1872=$L1874,IF($K1872=$K1874,IF($J1872&lt;&gt;"",IF($J1872&gt;$J1874,"W","L"),""),IF($K1872&gt;$K1874,"W","L")),IF($L1872&gt;$L1874,"W","L"))</f>
        <v/>
      </c>
      <c r="R1872" s="259" t="str">
        <f>$K1845</f>
        <v>F</v>
      </c>
      <c r="S1872" s="307" t="str">
        <f ca="1">IF($B1867&lt;&gt;"",$B1867,"")</f>
        <v/>
      </c>
      <c r="T1872" s="308"/>
      <c r="U1872" s="308"/>
      <c r="V1872" s="308"/>
      <c r="W1872" s="308"/>
      <c r="X1872" s="309"/>
      <c r="Y1872" s="284"/>
      <c r="Z1872" s="284"/>
      <c r="AA1872" s="284"/>
      <c r="AB1872" s="284"/>
      <c r="AC1872" s="297"/>
      <c r="AD1872" s="289" t="s">
        <v>169</v>
      </c>
      <c r="AE1872" s="290"/>
      <c r="AF1872" s="291"/>
    </row>
    <row r="1873" spans="1:32" ht="12.75" customHeight="1" x14ac:dyDescent="0.25">
      <c r="A1873" s="260"/>
      <c r="B1873" s="238"/>
      <c r="C1873" s="239"/>
      <c r="D1873" s="239"/>
      <c r="E1873" s="239"/>
      <c r="F1873" s="239"/>
      <c r="G1873" s="239"/>
      <c r="H1873" s="234"/>
      <c r="I1873" s="234"/>
      <c r="J1873" s="234"/>
      <c r="K1873" s="234"/>
      <c r="L1873" s="234"/>
      <c r="M1873" s="245"/>
      <c r="N1873" s="246"/>
      <c r="O1873" s="246"/>
      <c r="P1873" s="247"/>
      <c r="Q1873" s="110" t="str">
        <f ca="1">IF($Q1872&lt;&gt;"",IF($B1874&lt;&gt;"Missing Player",IF($Q1872="W",IF(SUM(IF($H1872&gt;$H1874,1,0),IF($I1872&gt;$I1874,1,0),IF($J1872&gt;$J1874,1,0),IF($K1872&gt;$K1874,1,0),IF($L1872&gt;$L1874,1,0))&lt;&gt;3,"Error",""),""),""),"")</f>
        <v/>
      </c>
      <c r="R1873" s="285"/>
      <c r="S1873" s="310"/>
      <c r="T1873" s="311"/>
      <c r="U1873" s="311"/>
      <c r="V1873" s="311"/>
      <c r="W1873" s="311"/>
      <c r="X1873" s="312"/>
      <c r="Y1873" s="285"/>
      <c r="Z1873" s="285"/>
      <c r="AA1873" s="285"/>
      <c r="AB1873" s="285"/>
      <c r="AC1873" s="285"/>
      <c r="AD1873" s="292"/>
      <c r="AE1873" s="293"/>
      <c r="AF1873" s="294"/>
    </row>
    <row r="1874" spans="1:32" ht="12.75" customHeight="1" x14ac:dyDescent="0.25">
      <c r="A1874" s="259" t="str">
        <f>K1845</f>
        <v>F</v>
      </c>
      <c r="B1874" s="236" t="str">
        <f ca="1">IF(AND(OFFSET($AO$1,$L1845-1,8,1,1),$A1846&lt;&gt;"",$J1846&lt;&gt;""),CHOOSE($L1845,$AR$1,$AR$2,$AR$3,$AR$4,$AR$5,$AR$6,$AR$7,$AR$8,$AR$9,$AR$10,$AR$11,$AR$12),"")</f>
        <v/>
      </c>
      <c r="C1874" s="237"/>
      <c r="D1874" s="237"/>
      <c r="E1874" s="237"/>
      <c r="F1874" s="237"/>
      <c r="G1874" s="237"/>
      <c r="H1874" s="233"/>
      <c r="I1874" s="233"/>
      <c r="J1874" s="233"/>
      <c r="K1874" s="233"/>
      <c r="L1874" s="233" t="str">
        <f ca="1">IF(AND($B1874&lt;&gt;"",$Q1851&lt;&gt;""),IF($B1874="Missing Player",0,IF($B1872="Missing Player",11,"")),"")</f>
        <v/>
      </c>
      <c r="M1874" s="250" t="s">
        <v>169</v>
      </c>
      <c r="N1874" s="251"/>
      <c r="O1874" s="251"/>
      <c r="P1874" s="252"/>
      <c r="Q1874" s="40" t="str">
        <f ca="1">IF($Q1872&lt;&gt;"",IF($Q1872="W","L","W"),"")</f>
        <v/>
      </c>
      <c r="R1874" s="94"/>
      <c r="S1874" s="84"/>
      <c r="T1874" s="84"/>
      <c r="U1874" s="84"/>
      <c r="V1874" s="84"/>
      <c r="W1874" s="84"/>
      <c r="X1874" s="84"/>
      <c r="Y1874" s="93"/>
      <c r="Z1874" s="93"/>
      <c r="AA1874" s="93"/>
      <c r="AB1874" s="93"/>
      <c r="AC1874" s="93"/>
      <c r="AD1874" s="92"/>
      <c r="AE1874" s="93"/>
      <c r="AF1874" s="93"/>
    </row>
    <row r="1875" spans="1:32" ht="12.75" customHeight="1" x14ac:dyDescent="0.25">
      <c r="A1875" s="260"/>
      <c r="B1875" s="238"/>
      <c r="C1875" s="239"/>
      <c r="D1875" s="239"/>
      <c r="E1875" s="239"/>
      <c r="F1875" s="239"/>
      <c r="G1875" s="239"/>
      <c r="H1875" s="234"/>
      <c r="I1875" s="234"/>
      <c r="J1875" s="235"/>
      <c r="K1875" s="235"/>
      <c r="L1875" s="235"/>
      <c r="M1875" s="250"/>
      <c r="N1875" s="251"/>
      <c r="O1875" s="251"/>
      <c r="P1875" s="252"/>
      <c r="Q1875" s="110" t="str">
        <f ca="1">IF($Q1874&lt;&gt;"",IF($B1872&lt;&gt;"Missing Player",IF($Q1874="W",IF(SUM(IF($H1874&gt;$H1872,1,0),IF($I1874&gt;$I1872,1,0),IF($J1874&gt;$J1872,1,0),IF($K1874&gt;$K1872,1,0),IF($L1874&gt;$L1872,1,0))&lt;&gt;3,"Error",""),""),""),"")</f>
        <v/>
      </c>
      <c r="R1875" s="85"/>
      <c r="S1875" s="95"/>
      <c r="T1875" s="95"/>
      <c r="U1875" s="95"/>
      <c r="V1875" s="95"/>
      <c r="W1875" s="95"/>
      <c r="X1875" s="95"/>
      <c r="Y1875" s="85"/>
      <c r="Z1875" s="85"/>
      <c r="AA1875" s="85"/>
      <c r="AB1875" s="85"/>
      <c r="AC1875" s="85"/>
      <c r="AD1875" s="85"/>
      <c r="AE1875" s="85"/>
      <c r="AF1875" s="85"/>
    </row>
    <row r="1876" spans="1:32" ht="12.75" customHeight="1" x14ac:dyDescent="0.25">
      <c r="B1876" s="111" t="str">
        <f ca="1">IF(ISERROR(VLOOKUP($B1851&amp;"("&amp;$B1845&amp;")",Players!$S$4:$T$132,2,FALSE)),"",VLOOKUP($B1851&amp;"("&amp;$B1845&amp;")",Players!$S$4:$T$132,2,FALSE))</f>
        <v>A1</v>
      </c>
      <c r="C1876" s="111" t="str">
        <f ca="1">IF(ISERROR(VLOOKUP($B1858&amp;"("&amp;$B1845&amp;")",Players!$S$4:$T$132,2,FALSE)),"",VLOOKUP($B1858&amp;"("&amp;$B1845&amp;")",Players!$S$4:$T$132,2,FALSE))</f>
        <v>A1</v>
      </c>
      <c r="D1876" s="111" t="str">
        <f ca="1">IF(ISERROR(VLOOKUP($B1865&amp;"("&amp;$B1845&amp;")",Players!$S$4:$T$132,2,FALSE)),"",VLOOKUP($B1865&amp;"("&amp;$B1845&amp;")",Players!$S$4:$T$132,2,FALSE))</f>
        <v>A1</v>
      </c>
      <c r="E1876" s="111" t="str">
        <f ca="1">IF(ISERROR(VLOOKUP($B1872&amp;"("&amp;$B1845&amp;")",Players!$S$4:$T$132,2,FALSE)),"",VLOOKUP($B1872&amp;"("&amp;$B1845&amp;")",Players!$S$4:$T$132,2,FALSE))</f>
        <v>A1</v>
      </c>
      <c r="F1876" s="111" t="str">
        <f ca="1">IF(ISERROR(VLOOKUP($B1853&amp;"("&amp;$K1845&amp;")",Players!$S$4:$T$132,2,FALSE)),"",VLOOKUP($B1853&amp;"("&amp;$K1845&amp;")",Players!$S$4:$T$132,2,FALSE))</f>
        <v>F1</v>
      </c>
      <c r="G1876" s="111" t="str">
        <f ca="1">IF(ISERROR(VLOOKUP($B1860&amp;"("&amp;$K1845&amp;")",Players!$S$4:$T$132,2,FALSE)),"",VLOOKUP($B1860&amp;"("&amp;$K1845&amp;")",Players!$S$4:$T$132,2,FALSE))</f>
        <v>F1</v>
      </c>
      <c r="H1876" s="111" t="str">
        <f ca="1">IF(ISERROR(VLOOKUP($B1867&amp;"("&amp;$K1845&amp;")",Players!$S$4:$T$132,2,FALSE)),"",VLOOKUP($B1867&amp;"("&amp;$K1845&amp;")",Players!$S$4:$T$132,2,FALSE))</f>
        <v>F1</v>
      </c>
      <c r="I1876" s="111" t="str">
        <f ca="1">IF(ISERROR(VLOOKUP($B1874&amp;"("&amp;$K1845&amp;")",Players!$S$4:$T$132,2,FALSE)),"",VLOOKUP($B1874&amp;"("&amp;$K1845&amp;")",Players!$S$4:$T$132,2,FALSE))</f>
        <v>F1</v>
      </c>
      <c r="Q1876" s="6"/>
      <c r="R1876" s="37"/>
      <c r="S1876" s="95"/>
      <c r="T1876" s="95"/>
      <c r="U1876" s="95"/>
      <c r="V1876" s="95"/>
      <c r="W1876" s="95"/>
      <c r="X1876" s="95"/>
      <c r="Y1876" s="85"/>
      <c r="Z1876" s="85"/>
      <c r="AA1876" s="85"/>
      <c r="AB1876" s="85"/>
      <c r="AC1876" s="96"/>
      <c r="AD1876" s="97"/>
      <c r="AE1876" s="85"/>
      <c r="AF1876" s="85"/>
    </row>
    <row r="1877" spans="1:32" ht="12.75" customHeight="1" x14ac:dyDescent="0.25">
      <c r="A1877" s="15" t="s">
        <v>157</v>
      </c>
      <c r="H1877" s="110" t="str">
        <f ca="1">IF($Q1879&lt;&gt;"",IF(AND($B1880&lt;&gt;"Missing Player",$B1882&lt;&gt;"Missing Player"),IF(AND(AND($H1879&gt;-1,$H1881&gt;-1),OR($H1879&gt;10,$H1881&gt;10),ABS($H1879-$H1881)&gt;1,IF(OR($H1879&gt;11,$H1881&gt;11),ABS($H1879-$H1881)=2,TRUE),$H1879=INT($H1879),$H1881=INT($H1881)),"","Error"),""),"")</f>
        <v/>
      </c>
      <c r="I1877" s="110" t="str">
        <f ca="1">IF($Q1879&lt;&gt;"",IF(AND($B1880&lt;&gt;"Missing Player",$B1882&lt;&gt;"Missing Player"),IF(AND(AND($I1879&gt;-1,$I1881&gt;-1),OR($I1879&gt;10,$I1881&gt;10),ABS($I1879-$I1881)&gt;1,IF(OR($I1879&gt;11,$I1881&gt;11),ABS($I1879-$I1881)=2,TRUE),$I1879=INT($I1879),$I1881=INT($I1881)),"","Error"),""),"")</f>
        <v/>
      </c>
      <c r="J1877" s="110" t="str">
        <f ca="1">IF($Q1879&lt;&gt;"",IF(AND($B1880&lt;&gt;"Missing Player",$B1882&lt;&gt;"Missing Player"),IF(AND(AND($J1879&gt;-1,$J1881&gt;-1),OR($J1879&gt;10,$J1881&gt;10),ABS($J1879-$J1881)&gt;1,IF(OR($J1879&gt;11,$J1881&gt;11),ABS($J1879-$J1881)=2,TRUE),$J1879=INT($J1879),$J1881=INT($J1881)),"","Error"),""),"")</f>
        <v/>
      </c>
      <c r="K1877" s="110" t="str">
        <f ca="1">IF($Q1879&lt;&gt;"",IF(AND($K1879&lt;&gt;"",$K1881&lt;&gt;""), IF(AND(AND($K1879&gt;-1,$K1881&gt;-1),OR($K1879&gt;10,$K1881&gt;10),ABS($K1879-$K1881)&gt;1,IF(OR($K1879&gt;11,$K1881&gt;11),ABS($K1879-$K1881)=2,TRUE),$K1879=INT($K1879),$K1881=INT($K1881)),"","Error"),""),"")</f>
        <v/>
      </c>
      <c r="L1877" s="110" t="str">
        <f ca="1">IF($Q1879&lt;&gt;"",IF(AND($L1879&lt;&gt;"",$L1881&lt;&gt;""), IF(AND(AND($L1879&gt;-1,$L1881&gt;-1),OR($L1879&gt;10,$L1881&gt;10),ABS($L1879-$L1881)&gt;1,IF(OR($L1879&gt;11,$L1881&gt;11),ABS($L1879-$L1881)=2,TRUE),$L1879=INT($L1879),$L1881=INT($L1881)),"","Error"),""),"")</f>
        <v/>
      </c>
      <c r="Q1877" s="6"/>
      <c r="R1877" s="85"/>
      <c r="S1877" s="95"/>
      <c r="T1877" s="95"/>
      <c r="U1877" s="95"/>
      <c r="V1877" s="95"/>
      <c r="W1877" s="95"/>
      <c r="X1877" s="95"/>
      <c r="Y1877" s="85"/>
      <c r="Z1877" s="85"/>
      <c r="AA1877" s="85"/>
      <c r="AB1877" s="85"/>
      <c r="AC1877" s="85"/>
      <c r="AD1877" s="85"/>
      <c r="AE1877" s="85"/>
      <c r="AF1877" s="85"/>
    </row>
    <row r="1878" spans="1:32" ht="12.75" customHeight="1" x14ac:dyDescent="0.25">
      <c r="A1878" s="5" t="s">
        <v>160</v>
      </c>
      <c r="B1878" s="256" t="s">
        <v>58</v>
      </c>
      <c r="C1878" s="257"/>
      <c r="D1878" s="257"/>
      <c r="E1878" s="257"/>
      <c r="F1878" s="257"/>
      <c r="G1878" s="258"/>
      <c r="H1878" s="5">
        <v>1</v>
      </c>
      <c r="I1878" s="5">
        <v>2</v>
      </c>
      <c r="J1878" s="5">
        <v>3</v>
      </c>
      <c r="K1878" s="5">
        <v>4</v>
      </c>
      <c r="L1878" s="5">
        <v>5</v>
      </c>
      <c r="M1878" s="270"/>
      <c r="N1878" s="271"/>
      <c r="O1878" s="271"/>
      <c r="P1878" s="272"/>
      <c r="Q1878" s="6"/>
      <c r="T1878" s="7"/>
    </row>
    <row r="1879" spans="1:32" ht="12.75" customHeight="1" x14ac:dyDescent="0.25">
      <c r="A1879" s="259" t="str">
        <f>B1845</f>
        <v>A</v>
      </c>
      <c r="B1879" s="230" t="str">
        <f ca="1">IF($B1851&lt;&gt;"",$B1851,"")</f>
        <v/>
      </c>
      <c r="C1879" s="231"/>
      <c r="D1879" s="231"/>
      <c r="E1879" s="231"/>
      <c r="F1879" s="231"/>
      <c r="G1879" s="232"/>
      <c r="H1879" s="233"/>
      <c r="I1879" s="233"/>
      <c r="J1879" s="233"/>
      <c r="K1879" s="233"/>
      <c r="L1879" s="233" t="str">
        <f ca="1">IF($B1872&lt;&gt;"",IF(AND($B1872="Missing Player",$G1883=2,$J1883=2),0,IF(AND($B1874="Missing Player",$G1883=2,$J1883=2),11,"")),"")</f>
        <v/>
      </c>
      <c r="M1879" s="245" t="str">
        <f ca="1">IF(OR(AND($B1879&lt;&gt;"",$B1880&lt;&gt;"",$B1879=$B1880),AND($B1881&lt;&gt;"",$B1882&lt;&gt;"",$B1881=$B1882)),"Invalid Partner","")</f>
        <v/>
      </c>
      <c r="N1879" s="246"/>
      <c r="O1879" s="246"/>
      <c r="P1879" s="247"/>
      <c r="Q1879" s="37" t="str">
        <f ca="1">IF(L1879=L1881,IF(K1879=K1881,IF(J1879&lt;&gt;"",IF(J1879&gt;J1881,"W","L"),""),IF(K1879&gt;K1881,"W","L")),IF(L1879&gt;L1881,"W","L"))</f>
        <v/>
      </c>
      <c r="T1879" s="7"/>
    </row>
    <row r="1880" spans="1:32" ht="12.75" customHeight="1" x14ac:dyDescent="0.25">
      <c r="A1880" s="260"/>
      <c r="B1880" s="266" t="str">
        <f ca="1">IF($B1872="Missing Player",$B1872,"")</f>
        <v/>
      </c>
      <c r="C1880" s="267"/>
      <c r="D1880" s="267"/>
      <c r="E1880" s="267"/>
      <c r="F1880" s="267"/>
      <c r="G1880" s="268"/>
      <c r="H1880" s="234"/>
      <c r="I1880" s="234"/>
      <c r="J1880" s="234"/>
      <c r="K1880" s="234"/>
      <c r="L1880" s="234"/>
      <c r="M1880" s="245"/>
      <c r="N1880" s="246"/>
      <c r="O1880" s="246"/>
      <c r="P1880" s="247"/>
      <c r="Q1880" s="110" t="str">
        <f ca="1">IF($Q1879&lt;&gt;"",IF($B1882&lt;&gt;"Missing Player",IF($Q1879="W",IF(SUM(IF($H1879&gt;$H1881,1,0),IF($I1879&gt;$I1881,1,0),IF($J1879&gt;$J1881,1,0),IF($K1879&gt;$K1881,1,0),IF($L1879&gt;$L1881,1,0))&lt;&gt;3,"Error",""),""),""),"")</f>
        <v/>
      </c>
      <c r="R1880" s="295" t="str">
        <f>$A1846</f>
        <v/>
      </c>
      <c r="S1880" s="295"/>
      <c r="T1880" s="295"/>
      <c r="U1880" s="295"/>
      <c r="V1880" s="295"/>
      <c r="W1880" s="295"/>
      <c r="X1880" s="219" t="str">
        <f>CONCATENATE("(",$B1845," vs ",$K1845,")")</f>
        <v>(A vs F)</v>
      </c>
      <c r="Y1880" s="219"/>
      <c r="Z1880" s="295" t="str">
        <f>$J1846</f>
        <v/>
      </c>
      <c r="AA1880" s="295"/>
      <c r="AB1880" s="295"/>
      <c r="AC1880" s="295"/>
      <c r="AD1880" s="295"/>
      <c r="AE1880" s="295"/>
      <c r="AF1880"/>
    </row>
    <row r="1881" spans="1:32" ht="12.75" customHeight="1" x14ac:dyDescent="0.25">
      <c r="A1881" s="265" t="str">
        <f>K1845</f>
        <v>F</v>
      </c>
      <c r="B1881" s="230" t="str">
        <f ca="1">IF($B1853&lt;&gt;"",$B1853,"")</f>
        <v/>
      </c>
      <c r="C1881" s="231"/>
      <c r="D1881" s="231"/>
      <c r="E1881" s="231"/>
      <c r="F1881" s="231"/>
      <c r="G1881" s="232"/>
      <c r="H1881" s="233"/>
      <c r="I1881" s="233"/>
      <c r="J1881" s="233"/>
      <c r="K1881" s="233"/>
      <c r="L1881" s="233" t="str">
        <f ca="1">IF($B1874&lt;&gt;"",IF(AND($B1874="Missing Player",$G1883=2,$J1883=2),0,IF(AND($B1872="Missing Player",$G1883=2,$J1883=2),11,"")),"")</f>
        <v/>
      </c>
      <c r="M1881" s="250" t="s">
        <v>169</v>
      </c>
      <c r="N1881" s="251"/>
      <c r="O1881" s="251"/>
      <c r="P1881" s="252"/>
      <c r="Q1881" s="37" t="str">
        <f ca="1">IF(Q1879&lt;&gt;"",IF(Q1879="W","L","W"),"")</f>
        <v/>
      </c>
      <c r="R1881"/>
      <c r="S1881"/>
      <c r="T1881"/>
      <c r="U1881"/>
      <c r="V1881"/>
      <c r="W1881"/>
      <c r="X1881"/>
      <c r="Y1881"/>
      <c r="Z1881"/>
      <c r="AA1881"/>
      <c r="AB1881"/>
      <c r="AC1881"/>
      <c r="AD1881"/>
      <c r="AE1881"/>
      <c r="AF1881"/>
    </row>
    <row r="1882" spans="1:32" ht="12.75" customHeight="1" x14ac:dyDescent="0.25">
      <c r="A1882" s="260"/>
      <c r="B1882" s="266" t="str">
        <f ca="1">IF($B1874="Missing Player",$B1874,"")</f>
        <v/>
      </c>
      <c r="C1882" s="267"/>
      <c r="D1882" s="267"/>
      <c r="E1882" s="267"/>
      <c r="F1882" s="267"/>
      <c r="G1882" s="268"/>
      <c r="H1882" s="234"/>
      <c r="I1882" s="234"/>
      <c r="J1882" s="235"/>
      <c r="K1882" s="235"/>
      <c r="L1882" s="235"/>
      <c r="M1882" s="250"/>
      <c r="N1882" s="251"/>
      <c r="O1882" s="251"/>
      <c r="P1882" s="252"/>
      <c r="Q1882" s="110" t="str">
        <f ca="1">IF($Q1881&lt;&gt;"",IF($B1880&lt;&gt;"Missing Player",IF($Q1881="W",IF(SUM(IF($H1881&gt;$H1879,1,0),IF($I1881&gt;$I1879,1,0),IF($J1881&gt;$J1879,1,0),IF($K1881&gt;$K1879,1,0),IF($L1881&gt;$L1879,1,0))&lt;&gt;3,"Error",""),""),""),"")</f>
        <v/>
      </c>
      <c r="R1882" t="str">
        <f>A1870</f>
        <v>4th Singles</v>
      </c>
      <c r="S1882"/>
      <c r="T1882"/>
      <c r="U1882"/>
      <c r="V1882"/>
      <c r="W1882"/>
      <c r="X1882"/>
      <c r="Y1882"/>
      <c r="Z1882"/>
      <c r="AA1882"/>
      <c r="AB1882"/>
      <c r="AC1882"/>
      <c r="AD1882"/>
      <c r="AE1882"/>
      <c r="AF1882"/>
    </row>
    <row r="1883" spans="1:32" ht="12.75" customHeight="1" x14ac:dyDescent="0.25">
      <c r="G1883" s="53">
        <f ca="1">COUNTIF($Q1851:$Q1851,"W")+COUNTIF($Q1858:$Q1858,"W")+COUNTIF($Q1865:$Q1865,"W")+COUNTIF($Q1872:$Q1872,"W")</f>
        <v>0</v>
      </c>
      <c r="J1883" s="53">
        <f ca="1">COUNTIF($Q1853:$Q1853,"W")+COUNTIF($Q1860:$Q1860,"W")+COUNTIF($Q1867:$Q1867,"W")+COUNTIF($Q1874:$Q1874,"W")</f>
        <v>0</v>
      </c>
      <c r="R1883" s="47" t="s">
        <v>160</v>
      </c>
      <c r="S1883" s="304" t="s">
        <v>58</v>
      </c>
      <c r="T1883" s="305"/>
      <c r="U1883" s="305"/>
      <c r="V1883" s="305"/>
      <c r="W1883" s="305"/>
      <c r="X1883" s="306"/>
      <c r="Y1883" s="47">
        <v>1</v>
      </c>
      <c r="Z1883" s="47">
        <v>2</v>
      </c>
      <c r="AA1883" s="47">
        <v>3</v>
      </c>
      <c r="AB1883" s="47">
        <v>4</v>
      </c>
      <c r="AC1883" s="47">
        <v>5</v>
      </c>
      <c r="AD1883" s="286"/>
      <c r="AE1883" s="287"/>
      <c r="AF1883" s="288"/>
    </row>
    <row r="1884" spans="1:32" ht="12.75" customHeight="1" thickBot="1" x14ac:dyDescent="0.3">
      <c r="F1884" s="212" t="s">
        <v>170</v>
      </c>
      <c r="G1884" s="212"/>
      <c r="H1884" s="212"/>
      <c r="I1884" s="212"/>
      <c r="J1884" s="212"/>
      <c r="K1884" s="212"/>
      <c r="R1884" s="259" t="str">
        <f>B1845</f>
        <v>A</v>
      </c>
      <c r="S1884" s="307" t="str">
        <f ca="1">IF($B1872&lt;&gt;"",$B1872,"")</f>
        <v/>
      </c>
      <c r="T1884" s="308"/>
      <c r="U1884" s="308"/>
      <c r="V1884" s="308"/>
      <c r="W1884" s="308"/>
      <c r="X1884" s="309"/>
      <c r="Y1884" s="284"/>
      <c r="Z1884" s="284"/>
      <c r="AA1884" s="297"/>
      <c r="AB1884" s="297"/>
      <c r="AC1884" s="297"/>
      <c r="AD1884" s="296"/>
      <c r="AE1884" s="298"/>
      <c r="AF1884" s="299"/>
    </row>
    <row r="1885" spans="1:32" ht="12.75" customHeight="1" x14ac:dyDescent="0.25">
      <c r="A1885" s="16"/>
      <c r="B1885" s="16"/>
      <c r="C1885" s="16"/>
      <c r="D1885" s="16"/>
      <c r="E1885" s="16"/>
      <c r="G1885" s="261" t="str">
        <f>B1845</f>
        <v>A</v>
      </c>
      <c r="H1885" s="262"/>
      <c r="I1885" s="263" t="str">
        <f>K1845</f>
        <v>F</v>
      </c>
      <c r="J1885" s="264"/>
      <c r="L1885" s="16"/>
      <c r="M1885" s="16"/>
      <c r="N1885" s="16"/>
      <c r="O1885" s="16"/>
      <c r="P1885" s="16"/>
      <c r="R1885" s="260"/>
      <c r="S1885" s="310"/>
      <c r="T1885" s="311"/>
      <c r="U1885" s="311"/>
      <c r="V1885" s="311"/>
      <c r="W1885" s="311"/>
      <c r="X1885" s="312"/>
      <c r="Y1885" s="285"/>
      <c r="Z1885" s="285"/>
      <c r="AA1885" s="303"/>
      <c r="AB1885" s="303"/>
      <c r="AC1885" s="303"/>
      <c r="AD1885" s="300"/>
      <c r="AE1885" s="301"/>
      <c r="AF1885" s="302"/>
    </row>
    <row r="1886" spans="1:32" ht="12.75" customHeight="1" thickBot="1" x14ac:dyDescent="0.3">
      <c r="A1886" s="2" t="s">
        <v>160</v>
      </c>
      <c r="B1886" s="40" t="str">
        <f>B1845</f>
        <v>A</v>
      </c>
      <c r="C1886" s="3" t="s">
        <v>158</v>
      </c>
      <c r="F1886" s="53" t="str">
        <f>CONCATENATE($B1845,"-",$K1845)</f>
        <v>A-F</v>
      </c>
      <c r="G1886" s="240" t="str">
        <f ca="1">IF(OR(Q1851&lt;&gt;"",Q1858&lt;&gt;"",Q1865&lt;&gt;"",Q1872&lt;&gt;"",Q1879&lt;&gt;""),COUNTIF(Q1851:Q1851,"W")+COUNTIF(Q1858:Q1858,"W")+COUNTIF(Q1865:Q1865,"W")+COUNTIF(Q1872:Q1872,"W")+COUNTIF(Q1879:Q1879,"W"),"")</f>
        <v/>
      </c>
      <c r="H1886" s="241"/>
      <c r="I1886" s="242" t="str">
        <f ca="1">IF(OR(Q1853&lt;&gt;"",Q1860&lt;&gt;"",Q1867&lt;&gt;"",Q1874&lt;&gt;"",Q1881&lt;&gt;""),COUNTIF(Q1853:Q1853,"W")+COUNTIF(Q1860:Q1860,"W")+COUNTIF(Q1867:Q1867,"W")+COUNTIF(Q1874:Q1874,"W")+COUNTIF(Q1881:Q1881,"W"),"")</f>
        <v/>
      </c>
      <c r="J1886" s="243"/>
      <c r="L1886" s="2" t="s">
        <v>160</v>
      </c>
      <c r="M1886" s="40" t="str">
        <f>K1845</f>
        <v>F</v>
      </c>
      <c r="N1886" s="3" t="s">
        <v>158</v>
      </c>
      <c r="R1886" s="259" t="str">
        <f>K1845</f>
        <v>F</v>
      </c>
      <c r="S1886" s="307" t="str">
        <f ca="1">IF($B1874&lt;&gt;"",$B1874,"")</f>
        <v/>
      </c>
      <c r="T1886" s="308"/>
      <c r="U1886" s="308"/>
      <c r="V1886" s="308"/>
      <c r="W1886" s="308"/>
      <c r="X1886" s="309"/>
      <c r="Y1886" s="284"/>
      <c r="Z1886" s="284"/>
      <c r="AA1886" s="297"/>
      <c r="AB1886" s="297"/>
      <c r="AC1886" s="297"/>
      <c r="AD1886" s="289" t="s">
        <v>169</v>
      </c>
      <c r="AE1886" s="290"/>
      <c r="AF1886" s="291"/>
    </row>
    <row r="1887" spans="1:32" ht="12.75" customHeight="1" x14ac:dyDescent="0.35">
      <c r="F1887" s="18" t="s">
        <v>403</v>
      </c>
      <c r="G1887" s="17"/>
      <c r="H1887" s="17"/>
      <c r="I1887" s="17"/>
      <c r="J1887" s="17"/>
      <c r="R1887" s="285"/>
      <c r="S1887" s="310"/>
      <c r="T1887" s="311"/>
      <c r="U1887" s="311"/>
      <c r="V1887" s="311"/>
      <c r="W1887" s="311"/>
      <c r="X1887" s="312"/>
      <c r="Y1887" s="285"/>
      <c r="Z1887" s="285"/>
      <c r="AA1887" s="285"/>
      <c r="AB1887" s="285"/>
      <c r="AC1887" s="285"/>
      <c r="AD1887" s="292"/>
      <c r="AE1887" s="293"/>
      <c r="AF1887" s="294"/>
    </row>
    <row r="1888" spans="1:32" ht="12.75" customHeight="1" x14ac:dyDescent="0.25">
      <c r="R1888" s="1"/>
      <c r="S1888" s="11"/>
      <c r="T1888" s="11"/>
      <c r="U1888" s="11"/>
      <c r="V1888" s="11"/>
      <c r="W1888" s="11"/>
    </row>
    <row r="1889" spans="1:32" ht="12.75" customHeight="1" x14ac:dyDescent="0.25">
      <c r="F1889" s="212"/>
      <c r="G1889" s="212"/>
      <c r="H1889" s="212"/>
      <c r="I1889" s="212"/>
      <c r="R1889" s="1"/>
      <c r="S1889" s="11"/>
      <c r="T1889" s="11"/>
      <c r="U1889" s="11"/>
      <c r="V1889" s="11"/>
      <c r="W1889" s="11"/>
    </row>
    <row r="1890" spans="1:32" ht="12.75" customHeight="1" x14ac:dyDescent="0.25">
      <c r="F1890" s="212"/>
      <c r="G1890" s="212"/>
      <c r="H1890" s="212"/>
      <c r="I1890" s="212"/>
      <c r="R1890" s="1"/>
      <c r="S1890" s="11"/>
      <c r="T1890" s="11"/>
      <c r="U1890" s="11"/>
      <c r="V1890" s="11"/>
      <c r="W1890" s="11"/>
    </row>
    <row r="1891" spans="1:32" ht="12.75" customHeight="1" x14ac:dyDescent="0.25">
      <c r="K1891" s="219" t="s">
        <v>176</v>
      </c>
      <c r="L1891" s="219"/>
      <c r="M1891" s="219"/>
      <c r="N1891" s="219"/>
      <c r="O1891" s="219"/>
      <c r="P1891" s="219"/>
      <c r="R1891" s="1"/>
      <c r="S1891" s="11"/>
      <c r="T1891" s="11"/>
      <c r="U1891" s="11"/>
      <c r="V1891" s="11"/>
      <c r="W1891" s="11"/>
    </row>
    <row r="1892" spans="1:32" ht="12.75" customHeight="1" x14ac:dyDescent="0.25">
      <c r="A1892" s="9" t="s">
        <v>161</v>
      </c>
      <c r="B1892"/>
      <c r="C1892"/>
      <c r="D1892" t="str">
        <f>Draw!$B$1</f>
        <v>Enter Division Name</v>
      </c>
      <c r="E1892"/>
      <c r="F1892" s="6"/>
      <c r="G1892" s="6"/>
      <c r="H1892" s="6"/>
      <c r="I1892"/>
      <c r="J1892"/>
      <c r="K1892"/>
      <c r="L1892"/>
      <c r="M1892" s="219"/>
      <c r="N1892" s="219"/>
      <c r="O1892" s="219"/>
      <c r="P1892" s="219"/>
      <c r="R1892" s="1"/>
      <c r="S1892" s="11"/>
      <c r="T1892" s="11"/>
      <c r="U1892" s="11"/>
      <c r="V1892" s="11"/>
      <c r="W1892" s="11"/>
    </row>
    <row r="1893" spans="1:32" ht="12.75" customHeight="1" x14ac:dyDescent="0.25">
      <c r="A1893" s="2" t="s">
        <v>162</v>
      </c>
      <c r="D1893" t="str">
        <f>Draw!$D$1</f>
        <v>Enter Hosting Location (City, ST)</v>
      </c>
      <c r="J1893" t="str">
        <f ca="1">$J$6</f>
        <v>[NCTTA Teams Template (v3.4).xlsx]</v>
      </c>
      <c r="R1893" s="1"/>
      <c r="S1893" s="11"/>
      <c r="T1893" s="11"/>
      <c r="U1893" s="11"/>
      <c r="V1893" s="11"/>
      <c r="W1893" s="11"/>
    </row>
    <row r="1894" spans="1:32" ht="12.75" customHeight="1" x14ac:dyDescent="0.25">
      <c r="A1894" s="2" t="s">
        <v>163</v>
      </c>
      <c r="D1894" s="275" t="str">
        <f>Draw!$P$1</f>
        <v>Enter Date</v>
      </c>
      <c r="E1894" s="275"/>
      <c r="F1894" s="275"/>
      <c r="G1894" s="275"/>
      <c r="J1894" s="244" t="str">
        <f>CHOOSE(Draw!$T$1,"Round 7, Match 2","","","","","","","","","Round 8, Match 3","Round 8, Match 3")</f>
        <v>Round 7, Match 2</v>
      </c>
      <c r="K1894" s="244"/>
      <c r="L1894" s="244"/>
      <c r="M1894" s="277" t="str">
        <f>IF(AND($J1894&lt;&gt;"",Draw!$AC$10&lt;&gt;"",Draw!$AC$13&lt;&gt;""),Draw!$AC$10+TIME(0,VALUE(MID($J1894,7,FIND(",",$J1894)-FIND(" ",$J1894)-1)-1)*Draw!$AC$13,0),"")</f>
        <v/>
      </c>
      <c r="N1894" s="277"/>
      <c r="O1894" s="125" t="str">
        <f>$F1937</f>
        <v>E-G</v>
      </c>
      <c r="R1894" s="1"/>
      <c r="S1894" s="11"/>
      <c r="T1894" s="11"/>
      <c r="U1894" s="11"/>
      <c r="V1894" s="11"/>
      <c r="W1894" s="11"/>
    </row>
    <row r="1895" spans="1:32" ht="12.75" customHeight="1" x14ac:dyDescent="0.25">
      <c r="A1895" s="6"/>
      <c r="B1895"/>
      <c r="C1895"/>
      <c r="D1895"/>
      <c r="E1895"/>
      <c r="F1895" s="6"/>
      <c r="G1895" s="6"/>
      <c r="H1895" s="11"/>
      <c r="I1895" s="6"/>
      <c r="J1895"/>
      <c r="K1895"/>
      <c r="L1895"/>
      <c r="M1895"/>
      <c r="N1895"/>
      <c r="O1895" s="269" t="str">
        <f>IF(OR(AND(VLOOKUP($B1896,$AM$1:$AX$12,12,FALSE)="C",VLOOKUP($K1896,$AM$1:$AX$12,12,FALSE)="C"),AND(VLOOKUP($B1896,$AM$1:$AX$12,12,FALSE)="W",VLOOKUP($K1896,$AM$1:$AX$12,12,FALSE)="W")),"Official",IF(AND($A1897="",$J1897=""),"","Scrimmage"))</f>
        <v/>
      </c>
      <c r="P1895" s="269"/>
      <c r="R1895" s="1"/>
      <c r="S1895" s="11"/>
      <c r="T1895" s="11"/>
      <c r="U1895" s="11"/>
      <c r="V1895" s="11"/>
      <c r="W1895" s="11"/>
    </row>
    <row r="1896" spans="1:32" ht="12.75" customHeight="1" x14ac:dyDescent="0.25">
      <c r="A1896" s="12" t="s">
        <v>160</v>
      </c>
      <c r="B1896" s="98" t="str">
        <f>CHOOSE(Draw!$T$1,"E","B","C","C","D","D","D","C","A","D","C")</f>
        <v>E</v>
      </c>
      <c r="C1896" s="109">
        <f>VLOOKUP($B1896,$AM$1:$AN$12,2)</f>
        <v>5</v>
      </c>
      <c r="D1896" s="10"/>
      <c r="E1896" s="10"/>
      <c r="F1896" s="8"/>
      <c r="H1896" s="1" t="s">
        <v>164</v>
      </c>
      <c r="J1896" s="12" t="s">
        <v>160</v>
      </c>
      <c r="K1896" s="98" t="str">
        <f>CHOOSE(Draw!$T$1,"G","H","H","K","L","K","I","J","K","I","G")</f>
        <v>G</v>
      </c>
      <c r="L1896" s="109">
        <f>VLOOKUP($K1896,$AM$1:$AN$12,2)</f>
        <v>7</v>
      </c>
      <c r="M1896" s="10"/>
      <c r="N1896" s="10"/>
      <c r="O1896" s="13"/>
      <c r="R1896" s="1"/>
      <c r="S1896" s="11"/>
      <c r="T1896" s="11"/>
      <c r="U1896" s="11"/>
      <c r="V1896" s="11"/>
      <c r="W1896" s="11"/>
    </row>
    <row r="1897" spans="1:32" ht="12.75" customHeight="1" x14ac:dyDescent="0.25">
      <c r="A1897" s="253" t="str">
        <f>IF(VLOOKUP($B1896,Draw!$A$4:$B$27,2)&lt;&gt;0,VLOOKUP($B1896,Draw!$A$4:$B$27,2),"")</f>
        <v/>
      </c>
      <c r="B1897" s="254"/>
      <c r="C1897" s="254"/>
      <c r="D1897" s="254"/>
      <c r="E1897" s="254"/>
      <c r="F1897" s="255"/>
      <c r="G1897" s="273" t="s">
        <v>441</v>
      </c>
      <c r="H1897" s="249"/>
      <c r="I1897" s="274"/>
      <c r="J1897" s="253" t="str">
        <f>IF(VLOOKUP($K1896,Draw!$A$4:$B$27,2)&lt;&gt;0,VLOOKUP($K1896,Draw!$A$4:$B$27,2),"")</f>
        <v/>
      </c>
      <c r="K1897" s="254"/>
      <c r="L1897" s="254"/>
      <c r="M1897" s="254"/>
      <c r="N1897" s="254"/>
      <c r="O1897" s="255"/>
      <c r="P1897"/>
      <c r="R1897" s="1"/>
      <c r="S1897" s="11"/>
      <c r="T1897" s="11"/>
      <c r="U1897" s="11"/>
      <c r="V1897" s="11"/>
      <c r="W1897" s="11"/>
    </row>
    <row r="1898" spans="1:32" ht="12.75" customHeight="1" x14ac:dyDescent="0.25">
      <c r="A1898" s="6"/>
      <c r="B1898"/>
      <c r="C1898"/>
      <c r="D1898"/>
      <c r="E1898"/>
      <c r="F1898" s="6"/>
      <c r="G1898" s="248" t="str">
        <f>"Page "&amp;VALUE(RIGHT($G1897,LEN($G1897)-SEARCH("-",$G1897)))/2</f>
        <v>Page 38</v>
      </c>
      <c r="H1898" s="249"/>
      <c r="I1898" s="249"/>
      <c r="J1898"/>
      <c r="K1898"/>
      <c r="L1898"/>
      <c r="M1898"/>
      <c r="N1898"/>
      <c r="O1898"/>
      <c r="P1898"/>
      <c r="R1898" s="1"/>
      <c r="S1898" s="11"/>
      <c r="T1898" s="11"/>
      <c r="U1898" s="11"/>
      <c r="V1898" s="11"/>
      <c r="W1898" s="11"/>
      <c r="AF1898"/>
    </row>
    <row r="1899" spans="1:32" ht="12.75" customHeight="1" x14ac:dyDescent="0.25">
      <c r="A1899" s="276" t="s">
        <v>177</v>
      </c>
      <c r="B1899" s="276"/>
      <c r="C1899" s="276"/>
      <c r="D1899" s="276"/>
      <c r="E1899" s="276"/>
      <c r="F1899" s="276"/>
      <c r="G1899" s="276"/>
      <c r="H1899" s="276"/>
      <c r="I1899" s="276"/>
      <c r="J1899" s="276"/>
      <c r="K1899" s="276"/>
      <c r="L1899" s="276"/>
      <c r="M1899" s="276"/>
      <c r="N1899" s="276"/>
      <c r="O1899" s="276"/>
      <c r="P1899" s="276"/>
      <c r="Q1899" s="6"/>
      <c r="R1899" s="1"/>
      <c r="S1899" s="11"/>
      <c r="T1899" s="11"/>
      <c r="U1899" s="11"/>
      <c r="V1899" s="11"/>
      <c r="W1899" s="11"/>
      <c r="AF1899" s="14"/>
    </row>
    <row r="1900" spans="1:32" ht="12.75" customHeight="1" x14ac:dyDescent="0.25">
      <c r="A1900" s="15" t="s">
        <v>165</v>
      </c>
      <c r="H1900" s="110" t="str">
        <f>IF($Q1902&lt;&gt;"",IF(AND(AND($H1902&gt;-1,$H1904&gt;-1),OR($H1902&gt;10,$H1904&gt;10),ABS($H1902-$H1904)&gt;1,IF(OR($H1902&gt;11,$H1904&gt;11),ABS($H1902-$H1904)=2,TRUE),$H1902=INT($H1902),$H1904=INT($H1904)),"","Error"),"")</f>
        <v/>
      </c>
      <c r="I1900" s="110" t="str">
        <f>IF($Q1902&lt;&gt;"",IF(AND(AND($I1902&gt;-1,$I1904&gt;-1),OR($I1902&gt;10,$I1904&gt;10),ABS($I1902-$I1904)&gt;1,IF(OR($I1902&gt;11,$I1904&gt;11),ABS($I1902-$I1904)=2,TRUE),$I1902=INT($I1902),$I1904=INT($I1904)),"","Error"),"")</f>
        <v/>
      </c>
      <c r="J1900" s="110" t="str">
        <f>IF($Q1902&lt;&gt;"",IF(AND(AND($J1902&gt;-1,$J1904&gt;-1),OR($J1902&gt;10,$J1904&gt;10),ABS($J1902-$J1904)&gt;1,IF(OR($J1902&gt;11,$J1904&gt;11),ABS($J1902-$J1904)=2,TRUE),$J1902=INT($J1902),$J1904=INT($J1904)),"","Error"),"")</f>
        <v/>
      </c>
      <c r="K1900" s="110" t="str">
        <f>IF($Q1902&lt;&gt;"",IF(AND($K1902&lt;&gt;"",$K1904&lt;&gt;""), IF(AND(AND($K1902&gt;-1,$K1904&gt;-1),OR($K1902&gt;10,$K1904&gt;10),ABS($K1902-$K1904)&gt;1,IF(OR($K1902&gt;11,$K1904&gt;11),ABS($K1902-$K1904)=2,TRUE),$K1902=INT($K1902),$K1904=INT($K1904)),"","Error"),""),"")</f>
        <v/>
      </c>
      <c r="L1900" s="110" t="str">
        <f>IF($Q1902&lt;&gt;"",IF(AND($L1902&lt;&gt;"",$L1904&lt;&gt;""), IF(AND(AND($L1902&gt;-1,$L1904&gt;-1),OR($L1902&gt;10,$L1904&gt;10),ABS($L1902-$L1904)&gt;1,IF(OR($L1902&gt;11,$L1904&gt;11),ABS($L1902-$L1904)=2,TRUE),$L1902=INT($L1902),$L1904=INT($L1904)),"","Error"),""),"")</f>
        <v/>
      </c>
      <c r="R1900" s="1"/>
      <c r="S1900" s="11"/>
      <c r="T1900" s="11"/>
      <c r="U1900" s="11"/>
      <c r="V1900" s="11"/>
      <c r="W1900" s="11"/>
    </row>
    <row r="1901" spans="1:32" ht="12.75" customHeight="1" x14ac:dyDescent="0.25">
      <c r="A1901" s="5" t="s">
        <v>160</v>
      </c>
      <c r="B1901" s="256" t="s">
        <v>58</v>
      </c>
      <c r="C1901" s="257"/>
      <c r="D1901" s="257"/>
      <c r="E1901" s="257"/>
      <c r="F1901" s="257"/>
      <c r="G1901" s="258"/>
      <c r="H1901" s="5">
        <v>1</v>
      </c>
      <c r="I1901" s="5">
        <v>2</v>
      </c>
      <c r="J1901" s="5">
        <v>3</v>
      </c>
      <c r="K1901" s="5">
        <v>4</v>
      </c>
      <c r="L1901" s="5">
        <v>5</v>
      </c>
      <c r="M1901" s="270"/>
      <c r="N1901" s="271"/>
      <c r="O1901" s="271"/>
      <c r="P1901" s="272"/>
      <c r="R1901" s="1"/>
      <c r="S1901" s="11"/>
      <c r="T1901" s="11"/>
      <c r="U1901" s="11"/>
      <c r="V1901" s="11"/>
      <c r="W1901" s="11"/>
    </row>
    <row r="1902" spans="1:32" ht="12.75" customHeight="1" x14ac:dyDescent="0.25">
      <c r="A1902" s="259" t="str">
        <f>B1896</f>
        <v>E</v>
      </c>
      <c r="B1902" s="236" t="str">
        <f ca="1">IF(AND(OFFSET($AO$1,$C1896-1,8,1,1),$A1897&lt;&gt;"",$J1897&lt;&gt;""),CHOOSE($C1896,$AO$1,$AO$2,$AO$3,$AO$4,$AO$5,$AO$6,$AO$7,$AO$8,$AO$9,$AO$10,$AO$11,$AO$12),"")</f>
        <v/>
      </c>
      <c r="C1902" s="237"/>
      <c r="D1902" s="237"/>
      <c r="E1902" s="237"/>
      <c r="F1902" s="237"/>
      <c r="G1902" s="237"/>
      <c r="H1902" s="233"/>
      <c r="I1902" s="233"/>
      <c r="J1902" s="233"/>
      <c r="K1902" s="233"/>
      <c r="L1902" s="233"/>
      <c r="M1902" s="281"/>
      <c r="N1902" s="282"/>
      <c r="O1902" s="282"/>
      <c r="P1902" s="283"/>
      <c r="Q1902" s="40" t="str">
        <f>IF($L1902=$L1904,IF($K1902=$K1904,IF($J1902&lt;&gt;"",IF($J1902&gt;$J1904,"W","L"),""),IF($K1902&gt;$K1904,"W","L")),IF($L1902&gt;$L1904,"W","L"))</f>
        <v/>
      </c>
      <c r="R1902" s="1"/>
      <c r="S1902" s="11"/>
      <c r="T1902" s="11"/>
      <c r="U1902" s="11"/>
      <c r="V1902" s="11"/>
      <c r="W1902" s="11"/>
    </row>
    <row r="1903" spans="1:32" ht="12.75" customHeight="1" x14ac:dyDescent="0.25">
      <c r="A1903" s="260"/>
      <c r="B1903" s="238"/>
      <c r="C1903" s="239"/>
      <c r="D1903" s="239"/>
      <c r="E1903" s="239"/>
      <c r="F1903" s="239"/>
      <c r="G1903" s="239"/>
      <c r="H1903" s="234"/>
      <c r="I1903" s="234"/>
      <c r="J1903" s="234"/>
      <c r="K1903" s="234"/>
      <c r="L1903" s="234"/>
      <c r="M1903" s="281"/>
      <c r="N1903" s="282"/>
      <c r="O1903" s="282"/>
      <c r="P1903" s="283"/>
      <c r="Q1903" s="110" t="str">
        <f>IF($Q1902&lt;&gt;"",IF($Q1902="W",IF(SUM(IF($H1902&gt;$H1904,1,0),IF($I1902&gt;$I1904,1,0),IF($J1902&gt;$J1904,1,0),IF($K1902&gt;$K1904,1,0),IF($L1902&gt;$L1904,1,0))&lt;&gt;3,"Error",""),""),"")</f>
        <v/>
      </c>
      <c r="R1903" s="295" t="str">
        <f>$A1897</f>
        <v/>
      </c>
      <c r="S1903" s="295"/>
      <c r="T1903" s="295"/>
      <c r="U1903" s="295"/>
      <c r="V1903" s="295"/>
      <c r="W1903" s="295"/>
      <c r="X1903" s="219" t="str">
        <f>CONCATENATE("(",$B1896," vs ",$K1896,")")</f>
        <v>(E vs G)</v>
      </c>
      <c r="Y1903" s="219"/>
      <c r="Z1903" s="295" t="str">
        <f>$J1897</f>
        <v/>
      </c>
      <c r="AA1903" s="295"/>
      <c r="AB1903" s="295"/>
      <c r="AC1903" s="295"/>
      <c r="AD1903" s="295"/>
      <c r="AE1903" s="295"/>
      <c r="AF1903"/>
    </row>
    <row r="1904" spans="1:32" ht="12.75" customHeight="1" x14ac:dyDescent="0.25">
      <c r="A1904" s="259" t="str">
        <f>K1896</f>
        <v>G</v>
      </c>
      <c r="B1904" s="236" t="str">
        <f ca="1">IF(AND(OFFSET($AO$1,$L1896-1,8,1,1),$A1897&lt;&gt;"",$J1897&lt;&gt;""),CHOOSE($L1896,$AO$1,$AO$2,$AO$3,$AO$4,$AO$5,$AO$6,$AO$7,$AO$8,$AO$9,$AO$10,$AO$11,$AO$12),"")</f>
        <v/>
      </c>
      <c r="C1904" s="237"/>
      <c r="D1904" s="237"/>
      <c r="E1904" s="237"/>
      <c r="F1904" s="237"/>
      <c r="G1904" s="237"/>
      <c r="H1904" s="233"/>
      <c r="I1904" s="233"/>
      <c r="J1904" s="233"/>
      <c r="K1904" s="233"/>
      <c r="L1904" s="233"/>
      <c r="M1904" s="250" t="s">
        <v>169</v>
      </c>
      <c r="N1904" s="251"/>
      <c r="O1904" s="251"/>
      <c r="P1904" s="252"/>
      <c r="Q1904" s="40" t="str">
        <f>IF($Q1902&lt;&gt;"",IF($Q1902="W","L","W"),"")</f>
        <v/>
      </c>
      <c r="R1904"/>
      <c r="S1904"/>
      <c r="T1904"/>
      <c r="U1904"/>
      <c r="V1904"/>
      <c r="W1904"/>
      <c r="X1904"/>
      <c r="Y1904"/>
      <c r="Z1904"/>
      <c r="AA1904"/>
      <c r="AB1904"/>
      <c r="AC1904"/>
      <c r="AD1904"/>
      <c r="AE1904"/>
      <c r="AF1904"/>
    </row>
    <row r="1905" spans="1:32" ht="12.75" customHeight="1" x14ac:dyDescent="0.25">
      <c r="A1905" s="260"/>
      <c r="B1905" s="238"/>
      <c r="C1905" s="239"/>
      <c r="D1905" s="239"/>
      <c r="E1905" s="239"/>
      <c r="F1905" s="239"/>
      <c r="G1905" s="239"/>
      <c r="H1905" s="234"/>
      <c r="I1905" s="234"/>
      <c r="J1905" s="235"/>
      <c r="K1905" s="235"/>
      <c r="L1905" s="235"/>
      <c r="M1905" s="250"/>
      <c r="N1905" s="251"/>
      <c r="O1905" s="251"/>
      <c r="P1905" s="252"/>
      <c r="Q1905" s="110" t="str">
        <f>IF($Q1904&lt;&gt;"",IF($Q1904="W",IF(SUM(IF($H1904&gt;$H1902,1,0),IF($I1904&gt;$I1902,1,0),IF($J1904&gt;$J1902,1,0),IF($K1904&gt;$K1902,1,0),IF($L1904&gt;$L1902,1,0))&lt;&gt;3,"Error",""),""),"")</f>
        <v/>
      </c>
      <c r="R1905" t="str">
        <f>$A1907</f>
        <v>2nd Singles</v>
      </c>
      <c r="S1905"/>
      <c r="T1905"/>
      <c r="U1905"/>
      <c r="V1905"/>
      <c r="W1905"/>
      <c r="X1905"/>
      <c r="Y1905"/>
      <c r="Z1905"/>
      <c r="AA1905"/>
      <c r="AB1905"/>
      <c r="AC1905"/>
      <c r="AD1905"/>
      <c r="AE1905"/>
      <c r="AF1905"/>
    </row>
    <row r="1906" spans="1:32" ht="12.75" customHeight="1" x14ac:dyDescent="0.25">
      <c r="Q1906" s="6"/>
      <c r="R1906" s="47" t="s">
        <v>160</v>
      </c>
      <c r="S1906" s="304" t="s">
        <v>58</v>
      </c>
      <c r="T1906" s="305"/>
      <c r="U1906" s="305"/>
      <c r="V1906" s="305"/>
      <c r="W1906" s="305"/>
      <c r="X1906" s="306"/>
      <c r="Y1906" s="47">
        <v>1</v>
      </c>
      <c r="Z1906" s="47">
        <v>2</v>
      </c>
      <c r="AA1906" s="47">
        <v>3</v>
      </c>
      <c r="AB1906" s="47">
        <v>4</v>
      </c>
      <c r="AC1906" s="47">
        <v>5</v>
      </c>
      <c r="AD1906" s="286"/>
      <c r="AE1906" s="287"/>
      <c r="AF1906" s="288"/>
    </row>
    <row r="1907" spans="1:32" ht="12.75" customHeight="1" x14ac:dyDescent="0.25">
      <c r="A1907" s="15" t="s">
        <v>166</v>
      </c>
      <c r="H1907" s="110" t="str">
        <f>IF($Q1909&lt;&gt;"",IF(AND(AND($H1909&gt;-1,$H1911&gt;-1),OR($H1909&gt;10,$H1911&gt;10),ABS($H1909-$H1911)&gt;1,IF(OR($H1909&gt;11,$H1911&gt;11),ABS($H1909-$H1911)=2,TRUE),$H1909=INT($H1909),$H1911=INT($H1911)),"","Error"),"")</f>
        <v/>
      </c>
      <c r="I1907" s="110" t="str">
        <f>IF($Q1909&lt;&gt;"",IF(AND(AND($I1909&gt;-1,$I1911&gt;-1),OR($I1909&gt;10,$I1911&gt;10),ABS($I1909-$I1911)&gt;1,IF(OR($I1909&gt;11,$I1911&gt;11),ABS($I1909-$I1911)=2,TRUE),$I1909=INT($I1909),$I1911=INT($I1911)),"","Error"),"")</f>
        <v/>
      </c>
      <c r="J1907" s="110" t="str">
        <f>IF($Q1909&lt;&gt;"",IF(AND(AND($J1909&gt;-1,$J1911&gt;-1),OR($J1909&gt;10,$J1911&gt;10),ABS($J1909-$J1911)&gt;1,IF(OR($J1909&gt;11,$J1911&gt;11),ABS($J1909-$J1911)=2,TRUE),$J1909=INT($J1909),$J1911=INT($J1911)),"","Error"),"")</f>
        <v/>
      </c>
      <c r="K1907" s="110" t="str">
        <f>IF($Q1909&lt;&gt;"",IF(AND($K1909&lt;&gt;"",$K1911&lt;&gt;""), IF(AND(AND($K1909&gt;-1,$K1911&gt;-1),OR($K1909&gt;10,$K1911&gt;10),ABS($K1909-$K1911)&gt;1,IF(OR($K1909&gt;11,$K1911&gt;11),ABS($K1909-$K1911)=2,TRUE),$K1909=INT($K1909),$K1911=INT($K1911)),"","Error"),""),"")</f>
        <v/>
      </c>
      <c r="L1907" s="110" t="str">
        <f>IF($Q1909&lt;&gt;"",IF(AND($L1909&lt;&gt;"",$L1911&lt;&gt;""), IF(AND(AND($L1909&gt;-1,$L1911&gt;-1),OR($L1909&gt;10,$L1911&gt;10),ABS($L1909-$L1911)&gt;1,IF(OR($L1909&gt;11,$L1911&gt;11),ABS($L1909-$L1911)=2,TRUE),$L1909=INT($L1909),$L1911=INT($L1911)),"","Error"),""),"")</f>
        <v/>
      </c>
      <c r="Q1907" s="6"/>
      <c r="R1907" s="259" t="str">
        <f>$B1896</f>
        <v>E</v>
      </c>
      <c r="S1907" s="307" t="str">
        <f ca="1">IF($B1909&lt;&gt;"",$B1909,"")</f>
        <v/>
      </c>
      <c r="T1907" s="308"/>
      <c r="U1907" s="308"/>
      <c r="V1907" s="308"/>
      <c r="W1907" s="308"/>
      <c r="X1907" s="309"/>
      <c r="Y1907" s="284"/>
      <c r="Z1907" s="284"/>
      <c r="AA1907" s="284"/>
      <c r="AB1907" s="284"/>
      <c r="AC1907" s="284"/>
      <c r="AD1907" s="296"/>
      <c r="AE1907" s="290"/>
      <c r="AF1907" s="291"/>
    </row>
    <row r="1908" spans="1:32" ht="12.75" customHeight="1" x14ac:dyDescent="0.25">
      <c r="A1908" s="5" t="s">
        <v>160</v>
      </c>
      <c r="B1908" s="256" t="s">
        <v>58</v>
      </c>
      <c r="C1908" s="257"/>
      <c r="D1908" s="257"/>
      <c r="E1908" s="257"/>
      <c r="F1908" s="257"/>
      <c r="G1908" s="258"/>
      <c r="H1908" s="5">
        <v>1</v>
      </c>
      <c r="I1908" s="5">
        <v>2</v>
      </c>
      <c r="J1908" s="5">
        <v>3</v>
      </c>
      <c r="K1908" s="5">
        <v>4</v>
      </c>
      <c r="L1908" s="5">
        <v>5</v>
      </c>
      <c r="M1908" s="270"/>
      <c r="N1908" s="271"/>
      <c r="O1908" s="271"/>
      <c r="P1908" s="272"/>
      <c r="Q1908" s="6"/>
      <c r="R1908" s="285"/>
      <c r="S1908" s="310"/>
      <c r="T1908" s="311"/>
      <c r="U1908" s="311"/>
      <c r="V1908" s="311"/>
      <c r="W1908" s="311"/>
      <c r="X1908" s="312"/>
      <c r="Y1908" s="285"/>
      <c r="Z1908" s="285"/>
      <c r="AA1908" s="285"/>
      <c r="AB1908" s="285"/>
      <c r="AC1908" s="285"/>
      <c r="AD1908" s="292"/>
      <c r="AE1908" s="293"/>
      <c r="AF1908" s="294"/>
    </row>
    <row r="1909" spans="1:32" ht="12.75" customHeight="1" x14ac:dyDescent="0.25">
      <c r="A1909" s="259" t="str">
        <f>B1896</f>
        <v>E</v>
      </c>
      <c r="B1909" s="236" t="str">
        <f ca="1">IF(AND(OFFSET($AO$1,$C1896-1,8,1,1),$A1897&lt;&gt;"",$J1897&lt;&gt;""),CHOOSE($C1896,$AP$1,$AP$2,$AP$3,$AP$4,$AP$5,$AP$6,$AP$7,$AP$8,$AP$9,$AP$10,$AP$11,$AP$12),"")</f>
        <v/>
      </c>
      <c r="C1909" s="237"/>
      <c r="D1909" s="237"/>
      <c r="E1909" s="237"/>
      <c r="F1909" s="237"/>
      <c r="G1909" s="237"/>
      <c r="H1909" s="233"/>
      <c r="I1909" s="233"/>
      <c r="J1909" s="233"/>
      <c r="K1909" s="233"/>
      <c r="L1909" s="233"/>
      <c r="M1909" s="245" t="str">
        <f ca="1">IF(OR(AND($B1902&lt;&gt;"",$B1909&lt;&gt;"",$C1927&lt;=$B1927),AND($B1904&lt;&gt;"",$B1911&lt;&gt;"",$G1927&lt;=$F1927)),"Invalid Lineup","")</f>
        <v/>
      </c>
      <c r="N1909" s="246"/>
      <c r="O1909" s="246"/>
      <c r="P1909" s="247"/>
      <c r="Q1909" s="40" t="str">
        <f>IF($L1909=$L1911,IF($K1909=$K1911,IF($J1909&lt;&gt;"",IF($J1909&gt;$J1911,"W","L"),""),IF($K1909&gt;$K1911,"W","L")),IF($L1909&gt;$L1911,"W","L"))</f>
        <v/>
      </c>
      <c r="R1909" s="259" t="str">
        <f>$K1896</f>
        <v>G</v>
      </c>
      <c r="S1909" s="307" t="str">
        <f ca="1">IF($B1911&lt;&gt;"",$B1911,"")</f>
        <v/>
      </c>
      <c r="T1909" s="308"/>
      <c r="U1909" s="308"/>
      <c r="V1909" s="308"/>
      <c r="W1909" s="308"/>
      <c r="X1909" s="309"/>
      <c r="Y1909" s="284"/>
      <c r="Z1909" s="284"/>
      <c r="AA1909" s="284"/>
      <c r="AB1909" s="284"/>
      <c r="AC1909" s="297"/>
      <c r="AD1909" s="289" t="s">
        <v>169</v>
      </c>
      <c r="AE1909" s="290"/>
      <c r="AF1909" s="291"/>
    </row>
    <row r="1910" spans="1:32" ht="12.75" customHeight="1" x14ac:dyDescent="0.25">
      <c r="A1910" s="260"/>
      <c r="B1910" s="238"/>
      <c r="C1910" s="239"/>
      <c r="D1910" s="239"/>
      <c r="E1910" s="239"/>
      <c r="F1910" s="239"/>
      <c r="G1910" s="239"/>
      <c r="H1910" s="234"/>
      <c r="I1910" s="234"/>
      <c r="J1910" s="234"/>
      <c r="K1910" s="234"/>
      <c r="L1910" s="234"/>
      <c r="M1910" s="245"/>
      <c r="N1910" s="246"/>
      <c r="O1910" s="246"/>
      <c r="P1910" s="247"/>
      <c r="Q1910" s="110" t="str">
        <f>IF($Q1909&lt;&gt;"",IF($Q1909="W",IF(SUM(IF($H1909&gt;$H1911,1,0),IF($I1909&gt;$I1911,1,0),IF($J1909&gt;$J1911,1,0),IF($K1909&gt;$K1911,1,0),IF($L1909&gt;$L1911,1,0))&lt;&gt;3,"Error",""),""),"")</f>
        <v/>
      </c>
      <c r="R1910" s="285"/>
      <c r="S1910" s="310"/>
      <c r="T1910" s="311"/>
      <c r="U1910" s="311"/>
      <c r="V1910" s="311"/>
      <c r="W1910" s="311"/>
      <c r="X1910" s="312"/>
      <c r="Y1910" s="285"/>
      <c r="Z1910" s="285"/>
      <c r="AA1910" s="285"/>
      <c r="AB1910" s="285"/>
      <c r="AC1910" s="285"/>
      <c r="AD1910" s="292"/>
      <c r="AE1910" s="293"/>
      <c r="AF1910" s="294"/>
    </row>
    <row r="1911" spans="1:32" ht="12.75" customHeight="1" x14ac:dyDescent="0.25">
      <c r="A1911" s="259" t="str">
        <f>K1896</f>
        <v>G</v>
      </c>
      <c r="B1911" s="236" t="str">
        <f ca="1">IF(AND(OFFSET($AO$1,$L1896-1,8,1,1),$A1897&lt;&gt;"",$J1897&lt;&gt;""),CHOOSE($L1896,$AP$1,$AP$2,$AP$3,$AP$4,$AP$5,$AP$6,$AP$7,$AP$8,$AP$9,$AP$10,$AP$11,$AP$12),"")</f>
        <v/>
      </c>
      <c r="C1911" s="237"/>
      <c r="D1911" s="237"/>
      <c r="E1911" s="237"/>
      <c r="F1911" s="237"/>
      <c r="G1911" s="237"/>
      <c r="H1911" s="233"/>
      <c r="I1911" s="233"/>
      <c r="J1911" s="233"/>
      <c r="K1911" s="233"/>
      <c r="L1911" s="233"/>
      <c r="M1911" s="250" t="s">
        <v>169</v>
      </c>
      <c r="N1911" s="251"/>
      <c r="O1911" s="251"/>
      <c r="P1911" s="252"/>
      <c r="Q1911" s="40" t="str">
        <f>IF($Q1909&lt;&gt;"",IF($Q1909="W","L","W"),"")</f>
        <v/>
      </c>
      <c r="R1911" s="14"/>
      <c r="S1911" s="14"/>
      <c r="T1911" s="14"/>
      <c r="U1911" s="14"/>
      <c r="V1911" s="14"/>
      <c r="W1911" s="14"/>
      <c r="X1911" s="7"/>
      <c r="Y1911" s="7"/>
      <c r="Z1911" s="14"/>
      <c r="AA1911" s="14"/>
      <c r="AB1911" s="14"/>
      <c r="AC1911" s="14"/>
      <c r="AD1911" s="14"/>
      <c r="AE1911" s="14"/>
      <c r="AF1911"/>
    </row>
    <row r="1912" spans="1:32" ht="12.75" customHeight="1" x14ac:dyDescent="0.25">
      <c r="A1912" s="260"/>
      <c r="B1912" s="238"/>
      <c r="C1912" s="239"/>
      <c r="D1912" s="239"/>
      <c r="E1912" s="239"/>
      <c r="F1912" s="239"/>
      <c r="G1912" s="239"/>
      <c r="H1912" s="234"/>
      <c r="I1912" s="234"/>
      <c r="J1912" s="235"/>
      <c r="K1912" s="235"/>
      <c r="L1912" s="235"/>
      <c r="M1912" s="250"/>
      <c r="N1912" s="251"/>
      <c r="O1912" s="251"/>
      <c r="P1912" s="252"/>
      <c r="Q1912" s="110" t="str">
        <f>IF($Q1911&lt;&gt;"",IF($Q1911="W",IF(SUM(IF($H1911&gt;$H1909,1,0),IF($I1911&gt;$I1909,1,0),IF($J1911&gt;$J1909,1,0),IF($K1911&gt;$K1909,1,0),IF($L1911&gt;$L1909,1,0))&lt;&gt;3,"Error",""),""),"")</f>
        <v/>
      </c>
      <c r="R1912" s="14"/>
      <c r="S1912" s="14"/>
      <c r="T1912" s="14"/>
      <c r="U1912" s="14"/>
      <c r="V1912" s="14"/>
      <c r="W1912" s="14"/>
      <c r="X1912" s="7"/>
      <c r="Y1912" s="7"/>
      <c r="Z1912" s="14"/>
      <c r="AA1912" s="14"/>
      <c r="AB1912" s="14"/>
      <c r="AC1912" s="14"/>
      <c r="AD1912" s="14"/>
      <c r="AE1912" s="14"/>
      <c r="AF1912"/>
    </row>
    <row r="1913" spans="1:32" ht="12.75" customHeight="1" x14ac:dyDescent="0.25">
      <c r="Q1913" s="6"/>
      <c r="R1913" s="14"/>
      <c r="S1913" s="14"/>
      <c r="T1913" s="14"/>
      <c r="U1913" s="14"/>
      <c r="V1913" s="14"/>
      <c r="W1913" s="14"/>
      <c r="X1913" s="7"/>
      <c r="Y1913" s="7"/>
      <c r="Z1913" s="14"/>
      <c r="AA1913" s="14"/>
      <c r="AB1913" s="14"/>
      <c r="AC1913" s="14"/>
      <c r="AD1913" s="14"/>
      <c r="AE1913" s="14"/>
      <c r="AF1913"/>
    </row>
    <row r="1914" spans="1:32" ht="12.75" customHeight="1" x14ac:dyDescent="0.25">
      <c r="A1914" s="15" t="s">
        <v>167</v>
      </c>
      <c r="H1914" s="110" t="str">
        <f>IF($Q1916&lt;&gt;"",IF(AND(AND($H1916&gt;-1,$H1918&gt;-1),OR($H1916&gt;10,$H1918&gt;10),ABS($H1916-$H1918)&gt;1,IF(OR($H1916&gt;11,$H1918&gt;11),ABS($H1916-$H1918)=2,TRUE),$H1916=INT($H1916),$H1918=INT($H1918)),"","Error"),"")</f>
        <v/>
      </c>
      <c r="I1914" s="110" t="str">
        <f>IF($Q1916&lt;&gt;"",IF(AND(AND($I1916&gt;-1,$I1918&gt;-1),OR($I1916&gt;10,$I1918&gt;10),ABS($I1916-$I1918)&gt;1,IF(OR($I1916&gt;11,$I1918&gt;11),ABS($I1916-$I1918)=2,TRUE),$I1916=INT($I1916),$I1918=INT($I1918)),"","Error"),"")</f>
        <v/>
      </c>
      <c r="J1914" s="110" t="str">
        <f>IF($Q1916&lt;&gt;"",IF(AND(AND($J1916&gt;-1,$J1918&gt;-1),OR($J1916&gt;10,$J1918&gt;10),ABS($J1916-$J1918)&gt;1,IF(OR($J1916&gt;11,$J1918&gt;11),ABS($J1916-$J1918)=2,TRUE),$J1916=INT($J1916),$J1918=INT($J1918)),"","Error"),"")</f>
        <v/>
      </c>
      <c r="K1914" s="110" t="str">
        <f>IF($Q1916&lt;&gt;"",IF(AND($K1916&lt;&gt;"",$K1918&lt;&gt;""), IF(AND(AND($K1916&gt;-1,$K1918&gt;-1),OR($K1916&gt;10,$K1918&gt;10),ABS($K1916-$K1918)&gt;1,IF(OR($K1916&gt;11,$K1918&gt;11),ABS($K1916-$K1918)=2,TRUE),$K1916=INT($K1916),$K1918=INT($K1918)),"","Error"),""),"")</f>
        <v/>
      </c>
      <c r="L1914" s="110" t="str">
        <f>IF($Q1916&lt;&gt;"",IF(AND($L1916&lt;&gt;"",$L1918&lt;&gt;""), IF(AND(AND($L1916&gt;-1,$L1918&gt;-1),OR($L1916&gt;10,$L1918&gt;10),ABS($L1916-$L1918)&gt;1,IF(OR($L1916&gt;11,$L1918&gt;11),ABS($L1916-$L1918)=2,TRUE),$L1916=INT($L1916),$L1918=INT($L1918)),"","Error"),""),"")</f>
        <v/>
      </c>
      <c r="Q1914" s="6"/>
      <c r="R1914" s="14"/>
      <c r="S1914" s="14"/>
      <c r="T1914" s="14"/>
      <c r="U1914" s="14"/>
      <c r="V1914" s="14"/>
      <c r="W1914" s="14"/>
      <c r="X1914" s="7"/>
      <c r="Y1914" s="7"/>
      <c r="Z1914" s="14"/>
      <c r="AA1914" s="14"/>
      <c r="AB1914" s="14"/>
      <c r="AC1914" s="14"/>
      <c r="AD1914" s="14"/>
      <c r="AE1914" s="14"/>
      <c r="AF1914"/>
    </row>
    <row r="1915" spans="1:32" ht="12.75" customHeight="1" x14ac:dyDescent="0.25">
      <c r="A1915" s="5" t="s">
        <v>160</v>
      </c>
      <c r="B1915" s="256" t="s">
        <v>58</v>
      </c>
      <c r="C1915" s="257"/>
      <c r="D1915" s="257"/>
      <c r="E1915" s="257"/>
      <c r="F1915" s="257"/>
      <c r="G1915" s="258"/>
      <c r="H1915" s="5">
        <v>1</v>
      </c>
      <c r="I1915" s="5">
        <v>2</v>
      </c>
      <c r="J1915" s="5">
        <v>3</v>
      </c>
      <c r="K1915" s="5">
        <v>4</v>
      </c>
      <c r="L1915" s="5">
        <v>5</v>
      </c>
      <c r="M1915" s="270"/>
      <c r="N1915" s="271"/>
      <c r="O1915" s="271"/>
      <c r="P1915" s="272"/>
      <c r="Q1915" s="6"/>
      <c r="R1915" s="14"/>
      <c r="S1915" s="14"/>
      <c r="T1915" s="14"/>
      <c r="U1915" s="14"/>
      <c r="V1915" s="14"/>
      <c r="W1915" s="14"/>
      <c r="X1915" s="7"/>
      <c r="Y1915" s="7"/>
      <c r="Z1915" s="14"/>
      <c r="AA1915" s="14"/>
      <c r="AB1915" s="14"/>
      <c r="AC1915" s="14"/>
      <c r="AD1915" s="14"/>
      <c r="AE1915" s="14"/>
      <c r="AF1915"/>
    </row>
    <row r="1916" spans="1:32" ht="12.75" customHeight="1" x14ac:dyDescent="0.25">
      <c r="A1916" s="259" t="str">
        <f>B1896</f>
        <v>E</v>
      </c>
      <c r="B1916" s="236" t="str">
        <f ca="1">IF(AND(OFFSET($AO$1,$C1896-1,8,1,1),$A1897&lt;&gt;"",$J1897&lt;&gt;""),CHOOSE($C1896,$AQ$1,$AQ$2,$AQ$3,$AQ$4,$AQ$5,$AQ$6,$AQ$7,$AQ$8,$AQ$9,$AQ$10,$AQ$11,$AQ$12),"")</f>
        <v/>
      </c>
      <c r="C1916" s="237"/>
      <c r="D1916" s="237"/>
      <c r="E1916" s="237"/>
      <c r="F1916" s="237"/>
      <c r="G1916" s="237"/>
      <c r="H1916" s="233"/>
      <c r="I1916" s="233"/>
      <c r="J1916" s="233"/>
      <c r="K1916" s="233"/>
      <c r="L1916" s="233"/>
      <c r="M1916" s="245" t="str">
        <f ca="1">IF(OR(AND($B1909&lt;&gt;"",$B1916&lt;&gt;"",$D1927&lt;=$C1927),AND($B1911&lt;&gt;"",$B1918&lt;&gt;"",$H1927&lt;=$G1927)),"Invalid Lineup","")</f>
        <v/>
      </c>
      <c r="N1916" s="246"/>
      <c r="O1916" s="246"/>
      <c r="P1916" s="247"/>
      <c r="Q1916" s="40" t="str">
        <f>IF($L1916=$L1918,IF($K1916=$K1918,IF($J1916&lt;&gt;"",IF($J1916&gt;$J1918,"W","L"),""),IF($K1916&gt;$K1918,"W","L")),IF($L1916&gt;$L1918,"W","L"))</f>
        <v/>
      </c>
      <c r="R1916" s="14"/>
      <c r="S1916" s="14"/>
      <c r="T1916" s="14"/>
      <c r="U1916" s="14"/>
      <c r="V1916" s="14"/>
      <c r="W1916" s="14"/>
      <c r="X1916" s="7"/>
      <c r="Y1916" s="7"/>
      <c r="Z1916" s="14"/>
      <c r="AA1916" s="14"/>
      <c r="AB1916" s="14"/>
      <c r="AC1916" s="14"/>
      <c r="AD1916" s="14"/>
      <c r="AE1916" s="14"/>
      <c r="AF1916"/>
    </row>
    <row r="1917" spans="1:32" ht="12.75" customHeight="1" x14ac:dyDescent="0.25">
      <c r="A1917" s="260"/>
      <c r="B1917" s="238"/>
      <c r="C1917" s="239"/>
      <c r="D1917" s="239"/>
      <c r="E1917" s="239"/>
      <c r="F1917" s="239"/>
      <c r="G1917" s="239"/>
      <c r="H1917" s="234"/>
      <c r="I1917" s="234"/>
      <c r="J1917" s="234"/>
      <c r="K1917" s="234"/>
      <c r="L1917" s="234"/>
      <c r="M1917" s="245"/>
      <c r="N1917" s="246"/>
      <c r="O1917" s="246"/>
      <c r="P1917" s="247"/>
      <c r="Q1917" s="110" t="str">
        <f>IF($Q1916&lt;&gt;"",IF($Q1916="W",IF(SUM(IF($H1916&gt;$H1918,1,0),IF($I1916&gt;$I1918,1,0),IF($J1916&gt;$J1918,1,0),IF($K1916&gt;$K1918,1,0),IF($L1916&gt;$L1918,1,0))&lt;&gt;3,"Error",""),""),"")</f>
        <v/>
      </c>
      <c r="R1917" s="295" t="str">
        <f>$A1897</f>
        <v/>
      </c>
      <c r="S1917" s="295"/>
      <c r="T1917" s="295"/>
      <c r="U1917" s="295"/>
      <c r="V1917" s="295"/>
      <c r="W1917" s="295"/>
      <c r="X1917" s="219" t="str">
        <f>CONCATENATE("(",$B1896," vs ",$K1896,")")</f>
        <v>(E vs G)</v>
      </c>
      <c r="Y1917" s="219"/>
      <c r="Z1917" s="295" t="str">
        <f>$J1897</f>
        <v/>
      </c>
      <c r="AA1917" s="295"/>
      <c r="AB1917" s="295"/>
      <c r="AC1917" s="295"/>
      <c r="AD1917" s="295"/>
      <c r="AE1917" s="295"/>
      <c r="AF1917"/>
    </row>
    <row r="1918" spans="1:32" ht="12.75" customHeight="1" x14ac:dyDescent="0.25">
      <c r="A1918" s="259" t="str">
        <f>K1896</f>
        <v>G</v>
      </c>
      <c r="B1918" s="236" t="str">
        <f ca="1">IF(AND(OFFSET($AO$1,$L1896-1,8,1,1),$A1897&lt;&gt;"",$J1897&lt;&gt;""),CHOOSE($L1896,$AQ$1,$AQ$2,$AQ$3,$AQ$4,$AQ$5,$AQ$6,$AQ$7,$AQ$8,$AQ$9,$AQ$10,$AQ$11,$AQ$12),"")</f>
        <v/>
      </c>
      <c r="C1918" s="237"/>
      <c r="D1918" s="237"/>
      <c r="E1918" s="237"/>
      <c r="F1918" s="237"/>
      <c r="G1918" s="237"/>
      <c r="H1918" s="233"/>
      <c r="I1918" s="233"/>
      <c r="J1918" s="233"/>
      <c r="K1918" s="233"/>
      <c r="L1918" s="233"/>
      <c r="M1918" s="250" t="s">
        <v>169</v>
      </c>
      <c r="N1918" s="251"/>
      <c r="O1918" s="251"/>
      <c r="P1918" s="252"/>
      <c r="Q1918" s="40" t="str">
        <f>IF($Q1916&lt;&gt;"",IF($Q1916="W","L","W"),"")</f>
        <v/>
      </c>
      <c r="R1918"/>
      <c r="S1918"/>
      <c r="T1918"/>
      <c r="U1918"/>
      <c r="V1918"/>
      <c r="W1918"/>
      <c r="X1918"/>
      <c r="Y1918"/>
      <c r="Z1918"/>
      <c r="AA1918"/>
      <c r="AB1918"/>
      <c r="AC1918"/>
      <c r="AD1918"/>
      <c r="AE1918"/>
      <c r="AF1918"/>
    </row>
    <row r="1919" spans="1:32" ht="12.75" customHeight="1" x14ac:dyDescent="0.25">
      <c r="A1919" s="260"/>
      <c r="B1919" s="238"/>
      <c r="C1919" s="239"/>
      <c r="D1919" s="239"/>
      <c r="E1919" s="239"/>
      <c r="F1919" s="239"/>
      <c r="G1919" s="239"/>
      <c r="H1919" s="234"/>
      <c r="I1919" s="234"/>
      <c r="J1919" s="235"/>
      <c r="K1919" s="235"/>
      <c r="L1919" s="235"/>
      <c r="M1919" s="250"/>
      <c r="N1919" s="251"/>
      <c r="O1919" s="251"/>
      <c r="P1919" s="252"/>
      <c r="Q1919" s="110" t="str">
        <f>IF($Q1918&lt;&gt;"",IF($Q1918="W",IF(SUM(IF($H1918&gt;$H1916,1,0),IF($I1918&gt;$I1916,1,0),IF($J1918&gt;$J1916,1,0),IF($K1918&gt;$K1916,1,0),IF($L1918&gt;$L1916,1,0))&lt;&gt;3,"Error",""),""),"")</f>
        <v/>
      </c>
      <c r="R1919" t="str">
        <f>$A1914</f>
        <v>3rd Singles</v>
      </c>
      <c r="S1919"/>
      <c r="T1919"/>
      <c r="U1919"/>
      <c r="V1919"/>
      <c r="W1919"/>
      <c r="X1919"/>
      <c r="Y1919"/>
      <c r="Z1919"/>
      <c r="AA1919"/>
      <c r="AB1919"/>
      <c r="AC1919"/>
      <c r="AD1919"/>
      <c r="AE1919"/>
      <c r="AF1919"/>
    </row>
    <row r="1920" spans="1:32" ht="12.75" customHeight="1" x14ac:dyDescent="0.25">
      <c r="Q1920" s="6"/>
      <c r="R1920" s="47" t="s">
        <v>160</v>
      </c>
      <c r="S1920" s="86" t="s">
        <v>58</v>
      </c>
      <c r="T1920" s="87"/>
      <c r="U1920" s="87"/>
      <c r="V1920" s="87"/>
      <c r="W1920" s="87"/>
      <c r="X1920" s="88"/>
      <c r="Y1920" s="47">
        <v>1</v>
      </c>
      <c r="Z1920" s="47">
        <v>2</v>
      </c>
      <c r="AA1920" s="47">
        <v>3</v>
      </c>
      <c r="AB1920" s="47">
        <v>4</v>
      </c>
      <c r="AC1920" s="47">
        <v>5</v>
      </c>
      <c r="AD1920" s="89"/>
      <c r="AE1920" s="90"/>
      <c r="AF1920" s="91"/>
    </row>
    <row r="1921" spans="1:32" ht="12.75" customHeight="1" x14ac:dyDescent="0.25">
      <c r="A1921" s="15" t="s">
        <v>168</v>
      </c>
      <c r="H1921" s="110" t="str">
        <f ca="1">IF($Q1923&lt;&gt;"",IF(AND($B1923&lt;&gt;"Missing Player",$B1925&lt;&gt;"Missing Player"),IF(AND(AND($H1923&gt;-1,$H1925&gt;-1),OR($H1923&gt;10,$H1925&gt;10),ABS($H1923-$H1925)&gt;1,IF(OR($H1923&gt;11,$H1925&gt;11),ABS($H1923-$H1925)=2,TRUE),$H1923=INT($H1923),$H1925=INT($H1925)),"","Error"),""),"")</f>
        <v/>
      </c>
      <c r="I1921" s="110" t="str">
        <f ca="1">IF($Q1923&lt;&gt;"",IF(AND($B1923&lt;&gt;"Missing Player",$B1925&lt;&gt;"Missing Player"),IF(AND(AND($I1923&gt;-1,$I1925&gt;-1),OR($I1923&gt;10,$I1925&gt;10),ABS($I1923-$I1925)&gt;1,IF(OR($I1923&gt;11,$I1925&gt;11),ABS($I1923-$I1925)=2,TRUE),$I1923=INT($I1923),$I1925=INT($I1925)),"","Error"),""),"")</f>
        <v/>
      </c>
      <c r="J1921" s="110" t="str">
        <f ca="1">IF($Q1923&lt;&gt;"",IF(AND($B1923&lt;&gt;"Missing Player",$B1925&lt;&gt;"Missing Player"),IF(AND(AND($J1923&gt;-1,$J1925&gt;-1),OR($J1923&gt;10,$J1925&gt;10),ABS($J1923-$J1925)&gt;1,IF(OR($J1923&gt;11,$J1925&gt;11),ABS($J1923-$J1925)=2,TRUE),$J1923=INT($J1923),$J1925=INT($J1925)),"","Error"),""),"")</f>
        <v/>
      </c>
      <c r="K1921" s="110" t="str">
        <f ca="1">IF($Q1923&lt;&gt;"",IF(AND($K1923&lt;&gt;"",$K1925&lt;&gt;""), IF(AND(AND($K1923&gt;-1,$K1925&gt;-1),OR($K1923&gt;10,$K1925&gt;10),ABS($K1923-$K1925)&gt;1,IF(OR($K1923&gt;11,$K1925&gt;11),ABS($K1923-$K1925)=2,TRUE),$K1923=INT($K1923),$K1925=INT($K1925)),"","Error"),""),"")</f>
        <v/>
      </c>
      <c r="L1921" s="110" t="str">
        <f ca="1">IF($Q1923&lt;&gt;"",IF(AND($L1923&lt;&gt;"",$L1925&lt;&gt;""), IF(AND(AND($L1923&gt;-1,$L1925&gt;-1),OR($L1923&gt;10,$L1925&gt;10),ABS($L1923-$L1925)&gt;1,IF(OR($L1923&gt;11,$L1925&gt;11),ABS($L1923-$L1925)=2,TRUE),$L1923=INT($L1923),$L1925=INT($L1925)),"","Error"),""),"")</f>
        <v/>
      </c>
      <c r="Q1921" s="6"/>
      <c r="R1921" s="259" t="str">
        <f>$B1896</f>
        <v>E</v>
      </c>
      <c r="S1921" s="307" t="str">
        <f ca="1">IF($B1916&lt;&gt;"",$B1916,"")</f>
        <v/>
      </c>
      <c r="T1921" s="308"/>
      <c r="U1921" s="308"/>
      <c r="V1921" s="308"/>
      <c r="W1921" s="308"/>
      <c r="X1921" s="309"/>
      <c r="Y1921" s="284"/>
      <c r="Z1921" s="284"/>
      <c r="AA1921" s="284"/>
      <c r="AB1921" s="284"/>
      <c r="AC1921" s="284"/>
      <c r="AD1921" s="296"/>
      <c r="AE1921" s="290"/>
      <c r="AF1921" s="291"/>
    </row>
    <row r="1922" spans="1:32" ht="12.75" customHeight="1" x14ac:dyDescent="0.25">
      <c r="A1922" s="5" t="s">
        <v>160</v>
      </c>
      <c r="B1922" s="256" t="s">
        <v>58</v>
      </c>
      <c r="C1922" s="257"/>
      <c r="D1922" s="257"/>
      <c r="E1922" s="257"/>
      <c r="F1922" s="257"/>
      <c r="G1922" s="258"/>
      <c r="H1922" s="5">
        <v>1</v>
      </c>
      <c r="I1922" s="5">
        <v>2</v>
      </c>
      <c r="J1922" s="5">
        <v>3</v>
      </c>
      <c r="K1922" s="5">
        <v>4</v>
      </c>
      <c r="L1922" s="5">
        <v>5</v>
      </c>
      <c r="M1922" s="270"/>
      <c r="N1922" s="271"/>
      <c r="O1922" s="271"/>
      <c r="P1922" s="272"/>
      <c r="Q1922" s="6"/>
      <c r="R1922" s="285"/>
      <c r="S1922" s="310"/>
      <c r="T1922" s="311"/>
      <c r="U1922" s="311"/>
      <c r="V1922" s="311"/>
      <c r="W1922" s="311"/>
      <c r="X1922" s="312"/>
      <c r="Y1922" s="285"/>
      <c r="Z1922" s="285"/>
      <c r="AA1922" s="285"/>
      <c r="AB1922" s="285"/>
      <c r="AC1922" s="285"/>
      <c r="AD1922" s="292"/>
      <c r="AE1922" s="293"/>
      <c r="AF1922" s="294"/>
    </row>
    <row r="1923" spans="1:32" ht="12.75" customHeight="1" x14ac:dyDescent="0.25">
      <c r="A1923" s="259" t="str">
        <f>B1896</f>
        <v>E</v>
      </c>
      <c r="B1923" s="236" t="str">
        <f ca="1">IF(AND(OFFSET($AO$1,$C1896-1,8,1,1),$A1897&lt;&gt;"",$J1897&lt;&gt;""),CHOOSE($C1896,$AR$1,$AR$2,$AR$3,$AR$4,$AR$5,$AR$6,$AR$7,$AR$8,$AR$9,$AR$10,$AR$11,$AR$12),"")</f>
        <v/>
      </c>
      <c r="C1923" s="237"/>
      <c r="D1923" s="237"/>
      <c r="E1923" s="237"/>
      <c r="F1923" s="237"/>
      <c r="G1923" s="237"/>
      <c r="H1923" s="233"/>
      <c r="I1923" s="233"/>
      <c r="J1923" s="233"/>
      <c r="K1923" s="233"/>
      <c r="L1923" s="233" t="str">
        <f ca="1">IF(AND($B1923&lt;&gt;"",$Q1902&lt;&gt;""),IF($B1923="Missing Player",0,IF($B1925="Missing Player",11,"")),"")</f>
        <v/>
      </c>
      <c r="M1923" s="245" t="str">
        <f ca="1">IF(OR(AND($B1916&lt;&gt;"",$B1923&lt;&gt;"",$E1927&lt;=$D1927),AND($B1918&lt;&gt;"",$B1925&lt;&gt;"",$I1927&lt;=$H1927)),"Invalid Lineup","")</f>
        <v/>
      </c>
      <c r="N1923" s="246"/>
      <c r="O1923" s="246"/>
      <c r="P1923" s="247"/>
      <c r="Q1923" s="40" t="str">
        <f ca="1">IF($L1923=$L1925,IF($K1923=$K1925,IF($J1923&lt;&gt;"",IF($J1923&gt;$J1925,"W","L"),""),IF($K1923&gt;$K1925,"W","L")),IF($L1923&gt;$L1925,"W","L"))</f>
        <v/>
      </c>
      <c r="R1923" s="259" t="str">
        <f>$K1896</f>
        <v>G</v>
      </c>
      <c r="S1923" s="307" t="str">
        <f ca="1">IF($B1918&lt;&gt;"",$B1918,"")</f>
        <v/>
      </c>
      <c r="T1923" s="308"/>
      <c r="U1923" s="308"/>
      <c r="V1923" s="308"/>
      <c r="W1923" s="308"/>
      <c r="X1923" s="309"/>
      <c r="Y1923" s="284"/>
      <c r="Z1923" s="284"/>
      <c r="AA1923" s="284"/>
      <c r="AB1923" s="284"/>
      <c r="AC1923" s="297"/>
      <c r="AD1923" s="289" t="s">
        <v>169</v>
      </c>
      <c r="AE1923" s="290"/>
      <c r="AF1923" s="291"/>
    </row>
    <row r="1924" spans="1:32" ht="12.75" customHeight="1" x14ac:dyDescent="0.25">
      <c r="A1924" s="260"/>
      <c r="B1924" s="238"/>
      <c r="C1924" s="239"/>
      <c r="D1924" s="239"/>
      <c r="E1924" s="239"/>
      <c r="F1924" s="239"/>
      <c r="G1924" s="239"/>
      <c r="H1924" s="234"/>
      <c r="I1924" s="234"/>
      <c r="J1924" s="234"/>
      <c r="K1924" s="234"/>
      <c r="L1924" s="234"/>
      <c r="M1924" s="245"/>
      <c r="N1924" s="246"/>
      <c r="O1924" s="246"/>
      <c r="P1924" s="247"/>
      <c r="Q1924" s="110" t="str">
        <f ca="1">IF($Q1923&lt;&gt;"",IF($B1925&lt;&gt;"Missing Player",IF($Q1923="W",IF(SUM(IF($H1923&gt;$H1925,1,0),IF($I1923&gt;$I1925,1,0),IF($J1923&gt;$J1925,1,0),IF($K1923&gt;$K1925,1,0),IF($L1923&gt;$L1925,1,0))&lt;&gt;3,"Error",""),""),""),"")</f>
        <v/>
      </c>
      <c r="R1924" s="285"/>
      <c r="S1924" s="310"/>
      <c r="T1924" s="311"/>
      <c r="U1924" s="311"/>
      <c r="V1924" s="311"/>
      <c r="W1924" s="311"/>
      <c r="X1924" s="312"/>
      <c r="Y1924" s="285"/>
      <c r="Z1924" s="285"/>
      <c r="AA1924" s="285"/>
      <c r="AB1924" s="285"/>
      <c r="AC1924" s="285"/>
      <c r="AD1924" s="292"/>
      <c r="AE1924" s="293"/>
      <c r="AF1924" s="294"/>
    </row>
    <row r="1925" spans="1:32" ht="12.75" customHeight="1" x14ac:dyDescent="0.25">
      <c r="A1925" s="259" t="str">
        <f>K1896</f>
        <v>G</v>
      </c>
      <c r="B1925" s="236" t="str">
        <f ca="1">IF(AND(OFFSET($AO$1,$L1896-1,8,1,1),$A1897&lt;&gt;"",$J1897&lt;&gt;""),CHOOSE($L1896,$AR$1,$AR$2,$AR$3,$AR$4,$AR$5,$AR$6,$AR$7,$AR$8,$AR$9,$AR$10,$AR$11,$AR$12),"")</f>
        <v/>
      </c>
      <c r="C1925" s="237"/>
      <c r="D1925" s="237"/>
      <c r="E1925" s="237"/>
      <c r="F1925" s="237"/>
      <c r="G1925" s="237"/>
      <c r="H1925" s="233"/>
      <c r="I1925" s="233"/>
      <c r="J1925" s="233"/>
      <c r="K1925" s="233"/>
      <c r="L1925" s="233" t="str">
        <f ca="1">IF(AND($B1925&lt;&gt;"",$Q1902&lt;&gt;""),IF($B1925="Missing Player",0,IF($B1923="Missing Player",11,"")),"")</f>
        <v/>
      </c>
      <c r="M1925" s="250" t="s">
        <v>169</v>
      </c>
      <c r="N1925" s="251"/>
      <c r="O1925" s="251"/>
      <c r="P1925" s="252"/>
      <c r="Q1925" s="40" t="str">
        <f ca="1">IF($Q1923&lt;&gt;"",IF($Q1923="W","L","W"),"")</f>
        <v/>
      </c>
      <c r="R1925" s="94"/>
      <c r="S1925" s="84"/>
      <c r="T1925" s="84"/>
      <c r="U1925" s="84"/>
      <c r="V1925" s="84"/>
      <c r="W1925" s="84"/>
      <c r="X1925" s="84"/>
      <c r="Y1925" s="93"/>
      <c r="Z1925" s="93"/>
      <c r="AA1925" s="93"/>
      <c r="AB1925" s="93"/>
      <c r="AC1925" s="93"/>
      <c r="AD1925" s="92"/>
      <c r="AE1925" s="93"/>
      <c r="AF1925" s="93"/>
    </row>
    <row r="1926" spans="1:32" ht="12.75" customHeight="1" x14ac:dyDescent="0.25">
      <c r="A1926" s="260"/>
      <c r="B1926" s="238"/>
      <c r="C1926" s="239"/>
      <c r="D1926" s="239"/>
      <c r="E1926" s="239"/>
      <c r="F1926" s="239"/>
      <c r="G1926" s="239"/>
      <c r="H1926" s="234"/>
      <c r="I1926" s="234"/>
      <c r="J1926" s="235"/>
      <c r="K1926" s="235"/>
      <c r="L1926" s="235"/>
      <c r="M1926" s="250"/>
      <c r="N1926" s="251"/>
      <c r="O1926" s="251"/>
      <c r="P1926" s="252"/>
      <c r="Q1926" s="110" t="str">
        <f ca="1">IF($Q1925&lt;&gt;"",IF($B1923&lt;&gt;"Missing Player",IF($Q1925="W",IF(SUM(IF($H1925&gt;$H1923,1,0),IF($I1925&gt;$I1923,1,0),IF($J1925&gt;$J1923,1,0),IF($K1925&gt;$K1923,1,0),IF($L1925&gt;$L1923,1,0))&lt;&gt;3,"Error",""),""),""),"")</f>
        <v/>
      </c>
      <c r="R1926" s="85"/>
      <c r="S1926" s="95"/>
      <c r="T1926" s="95"/>
      <c r="U1926" s="95"/>
      <c r="V1926" s="95"/>
      <c r="W1926" s="95"/>
      <c r="X1926" s="95"/>
      <c r="Y1926" s="85"/>
      <c r="Z1926" s="85"/>
      <c r="AA1926" s="85"/>
      <c r="AB1926" s="85"/>
      <c r="AC1926" s="85"/>
      <c r="AD1926" s="85"/>
      <c r="AE1926" s="85"/>
      <c r="AF1926" s="85"/>
    </row>
    <row r="1927" spans="1:32" ht="12.75" customHeight="1" x14ac:dyDescent="0.25">
      <c r="B1927" s="111" t="str">
        <f ca="1">IF(ISERROR(VLOOKUP($B1902&amp;"("&amp;$B1896&amp;")",Players!$S$4:$T$132,2,FALSE)),"",VLOOKUP($B1902&amp;"("&amp;$B1896&amp;")",Players!$S$4:$T$132,2,FALSE))</f>
        <v>E1</v>
      </c>
      <c r="C1927" s="111" t="str">
        <f ca="1">IF(ISERROR(VLOOKUP($B1909&amp;"("&amp;$B1896&amp;")",Players!$S$4:$T$132,2,FALSE)),"",VLOOKUP($B1909&amp;"("&amp;$B1896&amp;")",Players!$S$4:$T$132,2,FALSE))</f>
        <v>E1</v>
      </c>
      <c r="D1927" s="111" t="str">
        <f ca="1">IF(ISERROR(VLOOKUP($B1916&amp;"("&amp;$B1896&amp;")",Players!$S$4:$T$132,2,FALSE)),"",VLOOKUP($B1916&amp;"("&amp;$B1896&amp;")",Players!$S$4:$T$132,2,FALSE))</f>
        <v>E1</v>
      </c>
      <c r="E1927" s="111" t="str">
        <f ca="1">IF(ISERROR(VLOOKUP($B1923&amp;"("&amp;$B1896&amp;")",Players!$S$4:$T$132,2,FALSE)),"",VLOOKUP($B1923&amp;"("&amp;$B1896&amp;")",Players!$S$4:$T$132,2,FALSE))</f>
        <v>E1</v>
      </c>
      <c r="F1927" s="111" t="str">
        <f ca="1">IF(ISERROR(VLOOKUP($B1904&amp;"("&amp;$K1896&amp;")",Players!$S$4:$T$132,2,FALSE)),"",VLOOKUP($B1904&amp;"("&amp;$K1896&amp;")",Players!$S$4:$T$132,2,FALSE))</f>
        <v>G1</v>
      </c>
      <c r="G1927" s="111" t="str">
        <f ca="1">IF(ISERROR(VLOOKUP($B1911&amp;"("&amp;$K1896&amp;")",Players!$S$4:$T$132,2,FALSE)),"",VLOOKUP($B1911&amp;"("&amp;$K1896&amp;")",Players!$S$4:$T$132,2,FALSE))</f>
        <v>G1</v>
      </c>
      <c r="H1927" s="111" t="str">
        <f ca="1">IF(ISERROR(VLOOKUP($B1918&amp;"("&amp;$K1896&amp;")",Players!$S$4:$T$132,2,FALSE)),"",VLOOKUP($B1918&amp;"("&amp;$K1896&amp;")",Players!$S$4:$T$132,2,FALSE))</f>
        <v>G1</v>
      </c>
      <c r="I1927" s="111" t="str">
        <f ca="1">IF(ISERROR(VLOOKUP($B1925&amp;"("&amp;$K1896&amp;")",Players!$S$4:$T$132,2,FALSE)),"",VLOOKUP($B1925&amp;"("&amp;$K1896&amp;")",Players!$S$4:$T$132,2,FALSE))</f>
        <v>G1</v>
      </c>
      <c r="Q1927" s="6"/>
      <c r="R1927" s="37"/>
      <c r="S1927" s="95"/>
      <c r="T1927" s="95"/>
      <c r="U1927" s="95"/>
      <c r="V1927" s="95"/>
      <c r="W1927" s="95"/>
      <c r="X1927" s="95"/>
      <c r="Y1927" s="85"/>
      <c r="Z1927" s="85"/>
      <c r="AA1927" s="85"/>
      <c r="AB1927" s="85"/>
      <c r="AC1927" s="96"/>
      <c r="AD1927" s="97"/>
      <c r="AE1927" s="85"/>
      <c r="AF1927" s="85"/>
    </row>
    <row r="1928" spans="1:32" ht="12.75" customHeight="1" x14ac:dyDescent="0.25">
      <c r="A1928" s="15" t="s">
        <v>157</v>
      </c>
      <c r="H1928" s="110" t="str">
        <f ca="1">IF($Q1930&lt;&gt;"",IF(AND($B1931&lt;&gt;"Missing Player",$B1933&lt;&gt;"Missing Player"),IF(AND(AND($H1930&gt;-1,$H1932&gt;-1),OR($H1930&gt;10,$H1932&gt;10),ABS($H1930-$H1932)&gt;1,IF(OR($H1930&gt;11,$H1932&gt;11),ABS($H1930-$H1932)=2,TRUE),$H1930=INT($H1930),$H1932=INT($H1932)),"","Error"),""),"")</f>
        <v/>
      </c>
      <c r="I1928" s="110" t="str">
        <f ca="1">IF($Q1930&lt;&gt;"",IF(AND($B1931&lt;&gt;"Missing Player",$B1933&lt;&gt;"Missing Player"),IF(AND(AND($I1930&gt;-1,$I1932&gt;-1),OR($I1930&gt;10,$I1932&gt;10),ABS($I1930-$I1932)&gt;1,IF(OR($I1930&gt;11,$I1932&gt;11),ABS($I1930-$I1932)=2,TRUE),$I1930=INT($I1930),$I1932=INT($I1932)),"","Error"),""),"")</f>
        <v/>
      </c>
      <c r="J1928" s="110" t="str">
        <f ca="1">IF($Q1930&lt;&gt;"",IF(AND($B1931&lt;&gt;"Missing Player",$B1933&lt;&gt;"Missing Player"),IF(AND(AND($J1930&gt;-1,$J1932&gt;-1),OR($J1930&gt;10,$J1932&gt;10),ABS($J1930-$J1932)&gt;1,IF(OR($J1930&gt;11,$J1932&gt;11),ABS($J1930-$J1932)=2,TRUE),$J1930=INT($J1930),$J1932=INT($J1932)),"","Error"),""),"")</f>
        <v/>
      </c>
      <c r="K1928" s="110" t="str">
        <f ca="1">IF($Q1930&lt;&gt;"",IF(AND($K1930&lt;&gt;"",$K1932&lt;&gt;""), IF(AND(AND($K1930&gt;-1,$K1932&gt;-1),OR($K1930&gt;10,$K1932&gt;10),ABS($K1930-$K1932)&gt;1,IF(OR($K1930&gt;11,$K1932&gt;11),ABS($K1930-$K1932)=2,TRUE),$K1930=INT($K1930),$K1932=INT($K1932)),"","Error"),""),"")</f>
        <v/>
      </c>
      <c r="L1928" s="110" t="str">
        <f ca="1">IF($Q1930&lt;&gt;"",IF(AND($L1930&lt;&gt;"",$L1932&lt;&gt;""), IF(AND(AND($L1930&gt;-1,$L1932&gt;-1),OR($L1930&gt;10,$L1932&gt;10),ABS($L1930-$L1932)&gt;1,IF(OR($L1930&gt;11,$L1932&gt;11),ABS($L1930-$L1932)=2,TRUE),$L1930=INT($L1930),$L1932=INT($L1932)),"","Error"),""),"")</f>
        <v/>
      </c>
      <c r="Q1928" s="6"/>
      <c r="R1928" s="85"/>
      <c r="S1928" s="95"/>
      <c r="T1928" s="95"/>
      <c r="U1928" s="95"/>
      <c r="V1928" s="95"/>
      <c r="W1928" s="95"/>
      <c r="X1928" s="95"/>
      <c r="Y1928" s="85"/>
      <c r="Z1928" s="85"/>
      <c r="AA1928" s="85"/>
      <c r="AB1928" s="85"/>
      <c r="AC1928" s="85"/>
      <c r="AD1928" s="85"/>
      <c r="AE1928" s="85"/>
      <c r="AF1928" s="85"/>
    </row>
    <row r="1929" spans="1:32" ht="12.75" customHeight="1" x14ac:dyDescent="0.25">
      <c r="A1929" s="5" t="s">
        <v>160</v>
      </c>
      <c r="B1929" s="256" t="s">
        <v>58</v>
      </c>
      <c r="C1929" s="257"/>
      <c r="D1929" s="257"/>
      <c r="E1929" s="257"/>
      <c r="F1929" s="257"/>
      <c r="G1929" s="258"/>
      <c r="H1929" s="5">
        <v>1</v>
      </c>
      <c r="I1929" s="5">
        <v>2</v>
      </c>
      <c r="J1929" s="5">
        <v>3</v>
      </c>
      <c r="K1929" s="5">
        <v>4</v>
      </c>
      <c r="L1929" s="5">
        <v>5</v>
      </c>
      <c r="M1929" s="270"/>
      <c r="N1929" s="271"/>
      <c r="O1929" s="271"/>
      <c r="P1929" s="272"/>
      <c r="Q1929" s="6"/>
      <c r="T1929" s="7"/>
    </row>
    <row r="1930" spans="1:32" ht="12.75" customHeight="1" x14ac:dyDescent="0.25">
      <c r="A1930" s="259" t="str">
        <f>B1896</f>
        <v>E</v>
      </c>
      <c r="B1930" s="230" t="str">
        <f ca="1">IF($B1902&lt;&gt;"",$B1902,"")</f>
        <v/>
      </c>
      <c r="C1930" s="231"/>
      <c r="D1930" s="231"/>
      <c r="E1930" s="231"/>
      <c r="F1930" s="231"/>
      <c r="G1930" s="232"/>
      <c r="H1930" s="233"/>
      <c r="I1930" s="233"/>
      <c r="J1930" s="233"/>
      <c r="K1930" s="233"/>
      <c r="L1930" s="233" t="str">
        <f ca="1">IF($B1923&lt;&gt;"",IF(AND($B1923="Missing Player",$G1934=2,$J1934=2),0,IF(AND($B1925="Missing Player",$G1934=2,$J1934=2),11,"")),"")</f>
        <v/>
      </c>
      <c r="M1930" s="245" t="str">
        <f ca="1">IF(OR(AND($B1930&lt;&gt;"",$B1931&lt;&gt;"",$B1930=$B1931),AND($B1932&lt;&gt;"",$B1933&lt;&gt;"",$B1932=$B1933)),"Invalid Partner","")</f>
        <v/>
      </c>
      <c r="N1930" s="246"/>
      <c r="O1930" s="246"/>
      <c r="P1930" s="247"/>
      <c r="Q1930" s="37" t="str">
        <f ca="1">IF(L1930=L1932,IF(K1930=K1932,IF(J1930&lt;&gt;"",IF(J1930&gt;J1932,"W","L"),""),IF(K1930&gt;K1932,"W","L")),IF(L1930&gt;L1932,"W","L"))</f>
        <v/>
      </c>
      <c r="T1930" s="7"/>
    </row>
    <row r="1931" spans="1:32" ht="12.75" customHeight="1" x14ac:dyDescent="0.25">
      <c r="A1931" s="260"/>
      <c r="B1931" s="266" t="str">
        <f ca="1">IF($B1923="Missing Player",$B1923,"")</f>
        <v/>
      </c>
      <c r="C1931" s="267"/>
      <c r="D1931" s="267"/>
      <c r="E1931" s="267"/>
      <c r="F1931" s="267"/>
      <c r="G1931" s="268"/>
      <c r="H1931" s="234"/>
      <c r="I1931" s="234"/>
      <c r="J1931" s="234"/>
      <c r="K1931" s="234"/>
      <c r="L1931" s="234"/>
      <c r="M1931" s="245"/>
      <c r="N1931" s="246"/>
      <c r="O1931" s="246"/>
      <c r="P1931" s="247"/>
      <c r="Q1931" s="110" t="str">
        <f ca="1">IF($Q1930&lt;&gt;"",IF($B1933&lt;&gt;"Missing Player",IF($Q1930="W",IF(SUM(IF($H1930&gt;$H1932,1,0),IF($I1930&gt;$I1932,1,0),IF($J1930&gt;$J1932,1,0),IF($K1930&gt;$K1932,1,0),IF($L1930&gt;$L1932,1,0))&lt;&gt;3,"Error",""),""),""),"")</f>
        <v/>
      </c>
      <c r="R1931" s="295" t="str">
        <f>$A1897</f>
        <v/>
      </c>
      <c r="S1931" s="295"/>
      <c r="T1931" s="295"/>
      <c r="U1931" s="295"/>
      <c r="V1931" s="295"/>
      <c r="W1931" s="295"/>
      <c r="X1931" s="219" t="str">
        <f>CONCATENATE("(",$B1896," vs ",$K1896,")")</f>
        <v>(E vs G)</v>
      </c>
      <c r="Y1931" s="219"/>
      <c r="Z1931" s="295" t="str">
        <f>$J1897</f>
        <v/>
      </c>
      <c r="AA1931" s="295"/>
      <c r="AB1931" s="295"/>
      <c r="AC1931" s="295"/>
      <c r="AD1931" s="295"/>
      <c r="AE1931" s="295"/>
      <c r="AF1931"/>
    </row>
    <row r="1932" spans="1:32" ht="12.75" customHeight="1" x14ac:dyDescent="0.25">
      <c r="A1932" s="265" t="str">
        <f>K1896</f>
        <v>G</v>
      </c>
      <c r="B1932" s="230" t="str">
        <f ca="1">IF($B1904&lt;&gt;"",$B1904,"")</f>
        <v/>
      </c>
      <c r="C1932" s="231"/>
      <c r="D1932" s="231"/>
      <c r="E1932" s="231"/>
      <c r="F1932" s="231"/>
      <c r="G1932" s="232"/>
      <c r="H1932" s="233"/>
      <c r="I1932" s="233"/>
      <c r="J1932" s="233"/>
      <c r="K1932" s="233"/>
      <c r="L1932" s="233" t="str">
        <f ca="1">IF($B1925&lt;&gt;"",IF(AND($B1925="Missing Player",$G1934=2,$J1934=2),0,IF(AND($B1923="Missing Player",$G1934=2,$J1934=2),11,"")),"")</f>
        <v/>
      </c>
      <c r="M1932" s="250" t="s">
        <v>169</v>
      </c>
      <c r="N1932" s="251"/>
      <c r="O1932" s="251"/>
      <c r="P1932" s="252"/>
      <c r="Q1932" s="37" t="str">
        <f ca="1">IF(Q1930&lt;&gt;"",IF(Q1930="W","L","W"),"")</f>
        <v/>
      </c>
      <c r="R1932"/>
      <c r="S1932"/>
      <c r="T1932"/>
      <c r="U1932"/>
      <c r="V1932"/>
      <c r="W1932"/>
      <c r="X1932"/>
      <c r="Y1932"/>
      <c r="Z1932"/>
      <c r="AA1932"/>
      <c r="AB1932"/>
      <c r="AC1932"/>
      <c r="AD1932"/>
      <c r="AE1932"/>
      <c r="AF1932"/>
    </row>
    <row r="1933" spans="1:32" ht="12.75" customHeight="1" x14ac:dyDescent="0.25">
      <c r="A1933" s="260"/>
      <c r="B1933" s="266" t="str">
        <f ca="1">IF($B1925="Missing Player",$B1925,"")</f>
        <v/>
      </c>
      <c r="C1933" s="267"/>
      <c r="D1933" s="267"/>
      <c r="E1933" s="267"/>
      <c r="F1933" s="267"/>
      <c r="G1933" s="268"/>
      <c r="H1933" s="234"/>
      <c r="I1933" s="234"/>
      <c r="J1933" s="235"/>
      <c r="K1933" s="235"/>
      <c r="L1933" s="235"/>
      <c r="M1933" s="250"/>
      <c r="N1933" s="251"/>
      <c r="O1933" s="251"/>
      <c r="P1933" s="252"/>
      <c r="Q1933" s="110" t="str">
        <f ca="1">IF($Q1932&lt;&gt;"",IF($B1931&lt;&gt;"Missing Player",IF($Q1932="W",IF(SUM(IF($H1932&gt;$H1930,1,0),IF($I1932&gt;$I1930,1,0),IF($J1932&gt;$J1930,1,0),IF($K1932&gt;$K1930,1,0),IF($L1932&gt;$L1930,1,0))&lt;&gt;3,"Error",""),""),""),"")</f>
        <v/>
      </c>
      <c r="R1933" t="str">
        <f>A1921</f>
        <v>4th Singles</v>
      </c>
      <c r="S1933"/>
      <c r="T1933"/>
      <c r="U1933"/>
      <c r="V1933"/>
      <c r="W1933"/>
      <c r="X1933"/>
      <c r="Y1933"/>
      <c r="Z1933"/>
      <c r="AA1933"/>
      <c r="AB1933"/>
      <c r="AC1933"/>
      <c r="AD1933"/>
      <c r="AE1933"/>
      <c r="AF1933"/>
    </row>
    <row r="1934" spans="1:32" ht="12.75" customHeight="1" x14ac:dyDescent="0.25">
      <c r="G1934" s="53">
        <f ca="1">COUNTIF($Q1902:$Q1902,"W")+COUNTIF($Q1909:$Q1909,"W")+COUNTIF($Q1916:$Q1916,"W")+COUNTIF($Q1923:$Q1923,"W")</f>
        <v>0</v>
      </c>
      <c r="J1934" s="53">
        <f ca="1">COUNTIF($Q1904:$Q1904,"W")+COUNTIF($Q1911:$Q1911,"W")+COUNTIF($Q1918:$Q1918,"W")+COUNTIF($Q1925:$Q1925,"W")</f>
        <v>0</v>
      </c>
      <c r="R1934" s="47" t="s">
        <v>160</v>
      </c>
      <c r="S1934" s="304" t="s">
        <v>58</v>
      </c>
      <c r="T1934" s="305"/>
      <c r="U1934" s="305"/>
      <c r="V1934" s="305"/>
      <c r="W1934" s="305"/>
      <c r="X1934" s="306"/>
      <c r="Y1934" s="47">
        <v>1</v>
      </c>
      <c r="Z1934" s="47">
        <v>2</v>
      </c>
      <c r="AA1934" s="47">
        <v>3</v>
      </c>
      <c r="AB1934" s="47">
        <v>4</v>
      </c>
      <c r="AC1934" s="47">
        <v>5</v>
      </c>
      <c r="AD1934" s="286"/>
      <c r="AE1934" s="287"/>
      <c r="AF1934" s="288"/>
    </row>
    <row r="1935" spans="1:32" ht="12.75" customHeight="1" thickBot="1" x14ac:dyDescent="0.3">
      <c r="F1935" s="212" t="s">
        <v>170</v>
      </c>
      <c r="G1935" s="212"/>
      <c r="H1935" s="212"/>
      <c r="I1935" s="212"/>
      <c r="J1935" s="212"/>
      <c r="K1935" s="212"/>
      <c r="R1935" s="259" t="str">
        <f>B1896</f>
        <v>E</v>
      </c>
      <c r="S1935" s="307" t="str">
        <f ca="1">IF($B1923&lt;&gt;"",$B1923,"")</f>
        <v/>
      </c>
      <c r="T1935" s="308"/>
      <c r="U1935" s="308"/>
      <c r="V1935" s="308"/>
      <c r="W1935" s="308"/>
      <c r="X1935" s="309"/>
      <c r="Y1935" s="284"/>
      <c r="Z1935" s="284"/>
      <c r="AA1935" s="297"/>
      <c r="AB1935" s="297"/>
      <c r="AC1935" s="297"/>
      <c r="AD1935" s="296"/>
      <c r="AE1935" s="298"/>
      <c r="AF1935" s="299"/>
    </row>
    <row r="1936" spans="1:32" ht="12.75" customHeight="1" x14ac:dyDescent="0.25">
      <c r="A1936" s="16"/>
      <c r="B1936" s="16"/>
      <c r="C1936" s="16"/>
      <c r="D1936" s="16"/>
      <c r="E1936" s="16"/>
      <c r="G1936" s="261" t="str">
        <f>B1896</f>
        <v>E</v>
      </c>
      <c r="H1936" s="262"/>
      <c r="I1936" s="263" t="str">
        <f>K1896</f>
        <v>G</v>
      </c>
      <c r="J1936" s="264"/>
      <c r="L1936" s="16"/>
      <c r="M1936" s="16"/>
      <c r="N1936" s="16"/>
      <c r="O1936" s="16"/>
      <c r="P1936" s="16"/>
      <c r="R1936" s="260"/>
      <c r="S1936" s="310"/>
      <c r="T1936" s="311"/>
      <c r="U1936" s="311"/>
      <c r="V1936" s="311"/>
      <c r="W1936" s="311"/>
      <c r="X1936" s="312"/>
      <c r="Y1936" s="285"/>
      <c r="Z1936" s="285"/>
      <c r="AA1936" s="303"/>
      <c r="AB1936" s="303"/>
      <c r="AC1936" s="303"/>
      <c r="AD1936" s="300"/>
      <c r="AE1936" s="301"/>
      <c r="AF1936" s="302"/>
    </row>
    <row r="1937" spans="1:32" ht="12.75" customHeight="1" thickBot="1" x14ac:dyDescent="0.3">
      <c r="A1937" s="2" t="s">
        <v>160</v>
      </c>
      <c r="B1937" s="40" t="str">
        <f>B1896</f>
        <v>E</v>
      </c>
      <c r="C1937" s="3" t="s">
        <v>158</v>
      </c>
      <c r="F1937" s="53" t="str">
        <f>CONCATENATE($B1896,"-",$K1896)</f>
        <v>E-G</v>
      </c>
      <c r="G1937" s="240" t="str">
        <f ca="1">IF(OR(Q1902&lt;&gt;"",Q1909&lt;&gt;"",Q1916&lt;&gt;"",Q1923&lt;&gt;"",Q1930&lt;&gt;""),COUNTIF(Q1902:Q1902,"W")+COUNTIF(Q1909:Q1909,"W")+COUNTIF(Q1916:Q1916,"W")+COUNTIF(Q1923:Q1923,"W")+COUNTIF(Q1930:Q1930,"W"),"")</f>
        <v/>
      </c>
      <c r="H1937" s="241"/>
      <c r="I1937" s="242" t="str">
        <f ca="1">IF(OR(Q1904&lt;&gt;"",Q1911&lt;&gt;"",Q1918&lt;&gt;"",Q1925&lt;&gt;"",Q1932&lt;&gt;""),COUNTIF(Q1904:Q1904,"W")+COUNTIF(Q1911:Q1911,"W")+COUNTIF(Q1918:Q1918,"W")+COUNTIF(Q1925:Q1925,"W")+COUNTIF(Q1932:Q1932,"W"),"")</f>
        <v/>
      </c>
      <c r="J1937" s="243"/>
      <c r="L1937" s="2" t="s">
        <v>160</v>
      </c>
      <c r="M1937" s="40" t="str">
        <f>K1896</f>
        <v>G</v>
      </c>
      <c r="N1937" s="3" t="s">
        <v>158</v>
      </c>
      <c r="R1937" s="259" t="str">
        <f>K1896</f>
        <v>G</v>
      </c>
      <c r="S1937" s="307" t="str">
        <f ca="1">IF($B1925&lt;&gt;"",$B1925,"")</f>
        <v/>
      </c>
      <c r="T1937" s="308"/>
      <c r="U1937" s="308"/>
      <c r="V1937" s="308"/>
      <c r="W1937" s="308"/>
      <c r="X1937" s="309"/>
      <c r="Y1937" s="284"/>
      <c r="Z1937" s="284"/>
      <c r="AA1937" s="297"/>
      <c r="AB1937" s="297"/>
      <c r="AC1937" s="297"/>
      <c r="AD1937" s="289" t="s">
        <v>169</v>
      </c>
      <c r="AE1937" s="290"/>
      <c r="AF1937" s="291"/>
    </row>
    <row r="1938" spans="1:32" ht="12.75" customHeight="1" x14ac:dyDescent="0.35">
      <c r="F1938" s="18" t="s">
        <v>403</v>
      </c>
      <c r="G1938" s="17"/>
      <c r="H1938" s="17"/>
      <c r="I1938" s="17"/>
      <c r="J1938" s="17"/>
      <c r="R1938" s="285"/>
      <c r="S1938" s="310"/>
      <c r="T1938" s="311"/>
      <c r="U1938" s="311"/>
      <c r="V1938" s="311"/>
      <c r="W1938" s="311"/>
      <c r="X1938" s="312"/>
      <c r="Y1938" s="285"/>
      <c r="Z1938" s="285"/>
      <c r="AA1938" s="285"/>
      <c r="AB1938" s="285"/>
      <c r="AC1938" s="285"/>
      <c r="AD1938" s="292"/>
      <c r="AE1938" s="293"/>
      <c r="AF1938" s="294"/>
    </row>
    <row r="1939" spans="1:32" ht="12.75" customHeight="1" x14ac:dyDescent="0.25">
      <c r="R1939" s="1"/>
      <c r="S1939" s="11"/>
      <c r="T1939" s="11"/>
      <c r="U1939" s="11"/>
      <c r="V1939" s="11"/>
      <c r="W1939" s="11"/>
    </row>
    <row r="1940" spans="1:32" ht="12.75" customHeight="1" x14ac:dyDescent="0.25">
      <c r="F1940" s="212"/>
      <c r="G1940" s="212"/>
      <c r="H1940" s="212"/>
      <c r="I1940" s="212"/>
      <c r="R1940" s="1"/>
      <c r="S1940" s="11"/>
      <c r="T1940" s="11"/>
      <c r="U1940" s="11"/>
      <c r="V1940" s="11"/>
      <c r="W1940" s="11"/>
    </row>
    <row r="1941" spans="1:32" ht="12.75" customHeight="1" x14ac:dyDescent="0.25">
      <c r="F1941" s="212"/>
      <c r="G1941" s="212"/>
      <c r="H1941" s="212"/>
      <c r="I1941" s="212"/>
      <c r="R1941" s="1"/>
      <c r="S1941" s="11"/>
      <c r="T1941" s="11"/>
      <c r="U1941" s="11"/>
      <c r="V1941" s="11"/>
      <c r="W1941" s="11"/>
    </row>
    <row r="1942" spans="1:32" ht="12.75" customHeight="1" x14ac:dyDescent="0.25">
      <c r="K1942" s="219" t="s">
        <v>176</v>
      </c>
      <c r="L1942" s="219"/>
      <c r="M1942" s="219"/>
      <c r="N1942" s="219"/>
      <c r="O1942" s="219"/>
      <c r="P1942" s="219"/>
      <c r="R1942" s="1"/>
      <c r="S1942" s="11"/>
      <c r="T1942" s="11"/>
      <c r="U1942" s="11"/>
      <c r="V1942" s="11"/>
      <c r="W1942" s="11"/>
    </row>
    <row r="1943" spans="1:32" ht="12.75" customHeight="1" x14ac:dyDescent="0.25">
      <c r="A1943" s="9" t="s">
        <v>161</v>
      </c>
      <c r="B1943"/>
      <c r="C1943"/>
      <c r="D1943" t="str">
        <f>Draw!$B$1</f>
        <v>Enter Division Name</v>
      </c>
      <c r="E1943"/>
      <c r="F1943" s="6"/>
      <c r="G1943" s="6"/>
      <c r="H1943" s="6"/>
      <c r="I1943"/>
      <c r="J1943"/>
      <c r="K1943"/>
      <c r="L1943"/>
      <c r="M1943" s="219"/>
      <c r="N1943" s="219"/>
      <c r="O1943" s="219"/>
      <c r="P1943" s="219"/>
      <c r="R1943" s="1"/>
      <c r="S1943" s="11"/>
      <c r="T1943" s="11"/>
      <c r="U1943" s="11"/>
      <c r="V1943" s="11"/>
      <c r="W1943" s="11"/>
    </row>
    <row r="1944" spans="1:32" ht="12.75" customHeight="1" x14ac:dyDescent="0.25">
      <c r="A1944" s="2" t="s">
        <v>162</v>
      </c>
      <c r="D1944" t="str">
        <f>Draw!$D$1</f>
        <v>Enter Hosting Location (City, ST)</v>
      </c>
      <c r="J1944" t="str">
        <f ca="1">$J$6</f>
        <v>[NCTTA Teams Template (v3.4).xlsx]</v>
      </c>
      <c r="R1944" s="1"/>
      <c r="S1944" s="11"/>
      <c r="T1944" s="11"/>
      <c r="U1944" s="11"/>
      <c r="V1944" s="11"/>
      <c r="W1944" s="11"/>
    </row>
    <row r="1945" spans="1:32" ht="12.75" customHeight="1" x14ac:dyDescent="0.25">
      <c r="A1945" s="2" t="s">
        <v>163</v>
      </c>
      <c r="D1945" s="275" t="str">
        <f>Draw!$P$1</f>
        <v>Enter Date</v>
      </c>
      <c r="E1945" s="275"/>
      <c r="F1945" s="275"/>
      <c r="G1945" s="275"/>
      <c r="J1945" s="244" t="str">
        <f>CHOOSE(Draw!$T$1,"Round 7, Match 3","","","","","","","","","Round 8, Match 4","Round 8, Match 4")</f>
        <v>Round 7, Match 3</v>
      </c>
      <c r="K1945" s="244"/>
      <c r="L1945" s="244"/>
      <c r="M1945" s="277" t="str">
        <f>IF(AND($J1945&lt;&gt;"",Draw!$AC$10&lt;&gt;"",Draw!$AC$13&lt;&gt;""),Draw!$AC$10+TIME(0,VALUE(MID($J1945,7,FIND(",",$J1945)-FIND(" ",$J1945)-1)-1)*Draw!$AC$13,0),"")</f>
        <v/>
      </c>
      <c r="N1945" s="277"/>
      <c r="O1945" s="125" t="str">
        <f>$F1988</f>
        <v>D-H</v>
      </c>
      <c r="R1945" s="1"/>
      <c r="S1945" s="11"/>
      <c r="T1945" s="11"/>
      <c r="U1945" s="11"/>
      <c r="V1945" s="11"/>
      <c r="W1945" s="11"/>
    </row>
    <row r="1946" spans="1:32" ht="12.75" customHeight="1" x14ac:dyDescent="0.25">
      <c r="A1946" s="6"/>
      <c r="B1946"/>
      <c r="C1946"/>
      <c r="D1946"/>
      <c r="E1946"/>
      <c r="F1946" s="6"/>
      <c r="G1946" s="6"/>
      <c r="H1946" s="11"/>
      <c r="I1946" s="6"/>
      <c r="J1946"/>
      <c r="K1946"/>
      <c r="L1946"/>
      <c r="M1946"/>
      <c r="N1946"/>
      <c r="O1946" s="269" t="str">
        <f>IF(OR(AND(VLOOKUP($B1947,$AM$1:$AX$12,12,FALSE)="C",VLOOKUP($K1947,$AM$1:$AX$12,12,FALSE)="C"),AND(VLOOKUP($B1947,$AM$1:$AX$12,12,FALSE)="W",VLOOKUP($K1947,$AM$1:$AX$12,12,FALSE)="W")),"Official",IF(AND($A1948="",$J1948=""),"","Scrimmage"))</f>
        <v/>
      </c>
      <c r="P1946" s="269"/>
      <c r="R1946" s="1"/>
      <c r="S1946" s="11"/>
      <c r="T1946" s="11"/>
      <c r="U1946" s="11"/>
      <c r="V1946" s="11"/>
      <c r="W1946" s="11"/>
    </row>
    <row r="1947" spans="1:32" ht="12.75" customHeight="1" x14ac:dyDescent="0.25">
      <c r="A1947" s="12" t="s">
        <v>160</v>
      </c>
      <c r="B1947" s="98" t="str">
        <f>CHOOSE(Draw!$T$1,"D","B","C","C","E","D","D","C","A","E","B")</f>
        <v>D</v>
      </c>
      <c r="C1947" s="109">
        <f>VLOOKUP($B1947,$AM$1:$AN$12,2)</f>
        <v>4</v>
      </c>
      <c r="D1947" s="10"/>
      <c r="E1947" s="10"/>
      <c r="F1947" s="8"/>
      <c r="H1947" s="1" t="s">
        <v>164</v>
      </c>
      <c r="J1947" s="12" t="s">
        <v>160</v>
      </c>
      <c r="K1947" s="98" t="str">
        <f>CHOOSE(Draw!$T$1,"H","I","I","L","F","L","J","K","L","H","H")</f>
        <v>H</v>
      </c>
      <c r="L1947" s="109">
        <f>VLOOKUP($K1947,$AM$1:$AN$12,2)</f>
        <v>8</v>
      </c>
      <c r="M1947" s="10"/>
      <c r="N1947" s="10"/>
      <c r="O1947" s="13"/>
      <c r="R1947" s="1"/>
      <c r="S1947" s="11"/>
      <c r="T1947" s="11"/>
      <c r="U1947" s="11"/>
      <c r="V1947" s="11"/>
      <c r="W1947" s="11"/>
    </row>
    <row r="1948" spans="1:32" ht="12.75" customHeight="1" x14ac:dyDescent="0.25">
      <c r="A1948" s="253" t="str">
        <f>IF(VLOOKUP($B1947,Draw!$A$4:$B$27,2)&lt;&gt;0,VLOOKUP($B1947,Draw!$A$4:$B$27,2),"")</f>
        <v/>
      </c>
      <c r="B1948" s="254"/>
      <c r="C1948" s="254"/>
      <c r="D1948" s="254"/>
      <c r="E1948" s="254"/>
      <c r="F1948" s="255"/>
      <c r="G1948" s="273" t="s">
        <v>442</v>
      </c>
      <c r="H1948" s="249"/>
      <c r="I1948" s="274"/>
      <c r="J1948" s="253" t="str">
        <f>IF(VLOOKUP($K1947,Draw!$A$4:$B$27,2)&lt;&gt;0,VLOOKUP($K1947,Draw!$A$4:$B$27,2),"")</f>
        <v/>
      </c>
      <c r="K1948" s="254"/>
      <c r="L1948" s="254"/>
      <c r="M1948" s="254"/>
      <c r="N1948" s="254"/>
      <c r="O1948" s="255"/>
      <c r="P1948"/>
      <c r="R1948" s="1"/>
      <c r="S1948" s="11"/>
      <c r="T1948" s="11"/>
      <c r="U1948" s="11"/>
      <c r="V1948" s="11"/>
      <c r="W1948" s="11"/>
    </row>
    <row r="1949" spans="1:32" ht="12.75" customHeight="1" x14ac:dyDescent="0.25">
      <c r="A1949" s="6"/>
      <c r="B1949"/>
      <c r="C1949"/>
      <c r="D1949"/>
      <c r="E1949"/>
      <c r="F1949" s="6"/>
      <c r="G1949" s="248" t="str">
        <f>"Page "&amp;VALUE(RIGHT($G1948,LEN($G1948)-SEARCH("-",$G1948)))/2</f>
        <v>Page 39</v>
      </c>
      <c r="H1949" s="249"/>
      <c r="I1949" s="249"/>
      <c r="J1949"/>
      <c r="K1949"/>
      <c r="L1949"/>
      <c r="M1949"/>
      <c r="N1949"/>
      <c r="O1949"/>
      <c r="P1949"/>
      <c r="R1949" s="1"/>
      <c r="S1949" s="11"/>
      <c r="T1949" s="11"/>
      <c r="U1949" s="11"/>
      <c r="V1949" s="11"/>
      <c r="W1949" s="11"/>
      <c r="AF1949"/>
    </row>
    <row r="1950" spans="1:32" ht="12.75" customHeight="1" x14ac:dyDescent="0.25">
      <c r="A1950" s="276" t="s">
        <v>177</v>
      </c>
      <c r="B1950" s="276"/>
      <c r="C1950" s="276"/>
      <c r="D1950" s="276"/>
      <c r="E1950" s="276"/>
      <c r="F1950" s="276"/>
      <c r="G1950" s="276"/>
      <c r="H1950" s="276"/>
      <c r="I1950" s="276"/>
      <c r="J1950" s="276"/>
      <c r="K1950" s="276"/>
      <c r="L1950" s="276"/>
      <c r="M1950" s="276"/>
      <c r="N1950" s="276"/>
      <c r="O1950" s="276"/>
      <c r="P1950" s="276"/>
      <c r="Q1950" s="6"/>
      <c r="R1950" s="1"/>
      <c r="S1950" s="11"/>
      <c r="T1950" s="11"/>
      <c r="U1950" s="11"/>
      <c r="V1950" s="11"/>
      <c r="W1950" s="11"/>
      <c r="AF1950" s="14"/>
    </row>
    <row r="1951" spans="1:32" ht="12.75" customHeight="1" x14ac:dyDescent="0.25">
      <c r="A1951" s="15" t="s">
        <v>165</v>
      </c>
      <c r="H1951" s="110" t="str">
        <f>IF($Q1953&lt;&gt;"",IF(AND(AND($H1953&gt;-1,$H1955&gt;-1),OR($H1953&gt;10,$H1955&gt;10),ABS($H1953-$H1955)&gt;1,IF(OR($H1953&gt;11,$H1955&gt;11),ABS($H1953-$H1955)=2,TRUE),$H1953=INT($H1953),$H1955=INT($H1955)),"","Error"),"")</f>
        <v/>
      </c>
      <c r="I1951" s="110" t="str">
        <f>IF($Q1953&lt;&gt;"",IF(AND(AND($I1953&gt;-1,$I1955&gt;-1),OR($I1953&gt;10,$I1955&gt;10),ABS($I1953-$I1955)&gt;1,IF(OR($I1953&gt;11,$I1955&gt;11),ABS($I1953-$I1955)=2,TRUE),$I1953=INT($I1953),$I1955=INT($I1955)),"","Error"),"")</f>
        <v/>
      </c>
      <c r="J1951" s="110" t="str">
        <f>IF($Q1953&lt;&gt;"",IF(AND(AND($J1953&gt;-1,$J1955&gt;-1),OR($J1953&gt;10,$J1955&gt;10),ABS($J1953-$J1955)&gt;1,IF(OR($J1953&gt;11,$J1955&gt;11),ABS($J1953-$J1955)=2,TRUE),$J1953=INT($J1953),$J1955=INT($J1955)),"","Error"),"")</f>
        <v/>
      </c>
      <c r="K1951" s="110" t="str">
        <f>IF($Q1953&lt;&gt;"",IF(AND($K1953&lt;&gt;"",$K1955&lt;&gt;""), IF(AND(AND($K1953&gt;-1,$K1955&gt;-1),OR($K1953&gt;10,$K1955&gt;10),ABS($K1953-$K1955)&gt;1,IF(OR($K1953&gt;11,$K1955&gt;11),ABS($K1953-$K1955)=2,TRUE),$K1953=INT($K1953),$K1955=INT($K1955)),"","Error"),""),"")</f>
        <v/>
      </c>
      <c r="L1951" s="110" t="str">
        <f>IF($Q1953&lt;&gt;"",IF(AND($L1953&lt;&gt;"",$L1955&lt;&gt;""), IF(AND(AND($L1953&gt;-1,$L1955&gt;-1),OR($L1953&gt;10,$L1955&gt;10),ABS($L1953-$L1955)&gt;1,IF(OR($L1953&gt;11,$L1955&gt;11),ABS($L1953-$L1955)=2,TRUE),$L1953=INT($L1953),$L1955=INT($L1955)),"","Error"),""),"")</f>
        <v/>
      </c>
      <c r="R1951" s="1"/>
      <c r="S1951" s="11"/>
      <c r="T1951" s="11"/>
      <c r="U1951" s="11"/>
      <c r="V1951" s="11"/>
      <c r="W1951" s="11"/>
    </row>
    <row r="1952" spans="1:32" ht="12.75" customHeight="1" x14ac:dyDescent="0.25">
      <c r="A1952" s="5" t="s">
        <v>160</v>
      </c>
      <c r="B1952" s="256" t="s">
        <v>58</v>
      </c>
      <c r="C1952" s="257"/>
      <c r="D1952" s="257"/>
      <c r="E1952" s="257"/>
      <c r="F1952" s="257"/>
      <c r="G1952" s="258"/>
      <c r="H1952" s="5">
        <v>1</v>
      </c>
      <c r="I1952" s="5">
        <v>2</v>
      </c>
      <c r="J1952" s="5">
        <v>3</v>
      </c>
      <c r="K1952" s="5">
        <v>4</v>
      </c>
      <c r="L1952" s="5">
        <v>5</v>
      </c>
      <c r="M1952" s="270"/>
      <c r="N1952" s="271"/>
      <c r="O1952" s="271"/>
      <c r="P1952" s="272"/>
      <c r="R1952" s="1"/>
      <c r="S1952" s="11"/>
      <c r="T1952" s="11"/>
      <c r="U1952" s="11"/>
      <c r="V1952" s="11"/>
      <c r="W1952" s="11"/>
    </row>
    <row r="1953" spans="1:32" ht="12.75" customHeight="1" x14ac:dyDescent="0.25">
      <c r="A1953" s="259" t="str">
        <f>B1947</f>
        <v>D</v>
      </c>
      <c r="B1953" s="236" t="str">
        <f ca="1">IF(AND(OFFSET($AO$1,$C1947-1,8,1,1),$A1948&lt;&gt;"",$J1948&lt;&gt;""),CHOOSE($C1947,$AO$1,$AO$2,$AO$3,$AO$4,$AO$5,$AO$6,$AO$7,$AO$8,$AO$9,$AO$10,$AO$11,$AO$12),"")</f>
        <v/>
      </c>
      <c r="C1953" s="237"/>
      <c r="D1953" s="237"/>
      <c r="E1953" s="237"/>
      <c r="F1953" s="237"/>
      <c r="G1953" s="237"/>
      <c r="H1953" s="233"/>
      <c r="I1953" s="233"/>
      <c r="J1953" s="233"/>
      <c r="K1953" s="233"/>
      <c r="L1953" s="233"/>
      <c r="M1953" s="281"/>
      <c r="N1953" s="282"/>
      <c r="O1953" s="282"/>
      <c r="P1953" s="283"/>
      <c r="Q1953" s="40" t="str">
        <f>IF($L1953=$L1955,IF($K1953=$K1955,IF($J1953&lt;&gt;"",IF($J1953&gt;$J1955,"W","L"),""),IF($K1953&gt;$K1955,"W","L")),IF($L1953&gt;$L1955,"W","L"))</f>
        <v/>
      </c>
      <c r="R1953" s="1"/>
      <c r="S1953" s="11"/>
      <c r="T1953" s="11"/>
      <c r="U1953" s="11"/>
      <c r="V1953" s="11"/>
      <c r="W1953" s="11"/>
    </row>
    <row r="1954" spans="1:32" ht="12.75" customHeight="1" x14ac:dyDescent="0.25">
      <c r="A1954" s="260"/>
      <c r="B1954" s="238"/>
      <c r="C1954" s="239"/>
      <c r="D1954" s="239"/>
      <c r="E1954" s="239"/>
      <c r="F1954" s="239"/>
      <c r="G1954" s="239"/>
      <c r="H1954" s="234"/>
      <c r="I1954" s="234"/>
      <c r="J1954" s="234"/>
      <c r="K1954" s="234"/>
      <c r="L1954" s="234"/>
      <c r="M1954" s="281"/>
      <c r="N1954" s="282"/>
      <c r="O1954" s="282"/>
      <c r="P1954" s="283"/>
      <c r="Q1954" s="110" t="str">
        <f>IF($Q1953&lt;&gt;"",IF($Q1953="W",IF(SUM(IF($H1953&gt;$H1955,1,0),IF($I1953&gt;$I1955,1,0),IF($J1953&gt;$J1955,1,0),IF($K1953&gt;$K1955,1,0),IF($L1953&gt;$L1955,1,0))&lt;&gt;3,"Error",""),""),"")</f>
        <v/>
      </c>
      <c r="R1954" s="295" t="str">
        <f>$A1948</f>
        <v/>
      </c>
      <c r="S1954" s="295"/>
      <c r="T1954" s="295"/>
      <c r="U1954" s="295"/>
      <c r="V1954" s="295"/>
      <c r="W1954" s="295"/>
      <c r="X1954" s="219" t="str">
        <f>CONCATENATE("(",$B1947," vs ",$K1947,")")</f>
        <v>(D vs H)</v>
      </c>
      <c r="Y1954" s="219"/>
      <c r="Z1954" s="295" t="str">
        <f>$J1948</f>
        <v/>
      </c>
      <c r="AA1954" s="295"/>
      <c r="AB1954" s="295"/>
      <c r="AC1954" s="295"/>
      <c r="AD1954" s="295"/>
      <c r="AE1954" s="295"/>
      <c r="AF1954"/>
    </row>
    <row r="1955" spans="1:32" ht="12.75" customHeight="1" x14ac:dyDescent="0.25">
      <c r="A1955" s="259" t="str">
        <f>K1947</f>
        <v>H</v>
      </c>
      <c r="B1955" s="236" t="str">
        <f ca="1">IF(AND(OFFSET($AO$1,$L1947-1,8,1,1),$A1948&lt;&gt;"",$J1948&lt;&gt;""),CHOOSE($L1947,$AO$1,$AO$2,$AO$3,$AO$4,$AO$5,$AO$6,$AO$7,$AO$8,$AO$9,$AO$10,$AO$11,$AO$12),"")</f>
        <v/>
      </c>
      <c r="C1955" s="237"/>
      <c r="D1955" s="237"/>
      <c r="E1955" s="237"/>
      <c r="F1955" s="237"/>
      <c r="G1955" s="237"/>
      <c r="H1955" s="233"/>
      <c r="I1955" s="233"/>
      <c r="J1955" s="233"/>
      <c r="K1955" s="233"/>
      <c r="L1955" s="233"/>
      <c r="M1955" s="250" t="s">
        <v>169</v>
      </c>
      <c r="N1955" s="251"/>
      <c r="O1955" s="251"/>
      <c r="P1955" s="252"/>
      <c r="Q1955" s="40" t="str">
        <f>IF($Q1953&lt;&gt;"",IF($Q1953="W","L","W"),"")</f>
        <v/>
      </c>
      <c r="R1955"/>
      <c r="S1955"/>
      <c r="T1955"/>
      <c r="U1955"/>
      <c r="V1955"/>
      <c r="W1955"/>
      <c r="X1955"/>
      <c r="Y1955"/>
      <c r="Z1955"/>
      <c r="AA1955"/>
      <c r="AB1955"/>
      <c r="AC1955"/>
      <c r="AD1955"/>
      <c r="AE1955"/>
      <c r="AF1955"/>
    </row>
    <row r="1956" spans="1:32" ht="12.75" customHeight="1" x14ac:dyDescent="0.25">
      <c r="A1956" s="260"/>
      <c r="B1956" s="238"/>
      <c r="C1956" s="239"/>
      <c r="D1956" s="239"/>
      <c r="E1956" s="239"/>
      <c r="F1956" s="239"/>
      <c r="G1956" s="239"/>
      <c r="H1956" s="234"/>
      <c r="I1956" s="234"/>
      <c r="J1956" s="235"/>
      <c r="K1956" s="235"/>
      <c r="L1956" s="235"/>
      <c r="M1956" s="250"/>
      <c r="N1956" s="251"/>
      <c r="O1956" s="251"/>
      <c r="P1956" s="252"/>
      <c r="Q1956" s="110" t="str">
        <f>IF($Q1955&lt;&gt;"",IF($Q1955="W",IF(SUM(IF($H1955&gt;$H1953,1,0),IF($I1955&gt;$I1953,1,0),IF($J1955&gt;$J1953,1,0),IF($K1955&gt;$K1953,1,0),IF($L1955&gt;$L1953,1,0))&lt;&gt;3,"Error",""),""),"")</f>
        <v/>
      </c>
      <c r="R1956" t="str">
        <f>$A1958</f>
        <v>2nd Singles</v>
      </c>
      <c r="S1956"/>
      <c r="T1956"/>
      <c r="U1956"/>
      <c r="V1956"/>
      <c r="W1956"/>
      <c r="X1956"/>
      <c r="Y1956"/>
      <c r="Z1956"/>
      <c r="AA1956"/>
      <c r="AB1956"/>
      <c r="AC1956"/>
      <c r="AD1956"/>
      <c r="AE1956"/>
      <c r="AF1956"/>
    </row>
    <row r="1957" spans="1:32" ht="12.75" customHeight="1" x14ac:dyDescent="0.25">
      <c r="Q1957" s="6"/>
      <c r="R1957" s="47" t="s">
        <v>160</v>
      </c>
      <c r="S1957" s="304" t="s">
        <v>58</v>
      </c>
      <c r="T1957" s="305"/>
      <c r="U1957" s="305"/>
      <c r="V1957" s="305"/>
      <c r="W1957" s="305"/>
      <c r="X1957" s="306"/>
      <c r="Y1957" s="47">
        <v>1</v>
      </c>
      <c r="Z1957" s="47">
        <v>2</v>
      </c>
      <c r="AA1957" s="47">
        <v>3</v>
      </c>
      <c r="AB1957" s="47">
        <v>4</v>
      </c>
      <c r="AC1957" s="47">
        <v>5</v>
      </c>
      <c r="AD1957" s="286"/>
      <c r="AE1957" s="287"/>
      <c r="AF1957" s="288"/>
    </row>
    <row r="1958" spans="1:32" ht="12.75" customHeight="1" x14ac:dyDescent="0.25">
      <c r="A1958" s="15" t="s">
        <v>166</v>
      </c>
      <c r="H1958" s="110" t="str">
        <f>IF($Q1960&lt;&gt;"",IF(AND(AND($H1960&gt;-1,$H1962&gt;-1),OR($H1960&gt;10,$H1962&gt;10),ABS($H1960-$H1962)&gt;1,IF(OR($H1960&gt;11,$H1962&gt;11),ABS($H1960-$H1962)=2,TRUE),$H1960=INT($H1960),$H1962=INT($H1962)),"","Error"),"")</f>
        <v/>
      </c>
      <c r="I1958" s="110" t="str">
        <f>IF($Q1960&lt;&gt;"",IF(AND(AND($I1960&gt;-1,$I1962&gt;-1),OR($I1960&gt;10,$I1962&gt;10),ABS($I1960-$I1962)&gt;1,IF(OR($I1960&gt;11,$I1962&gt;11),ABS($I1960-$I1962)=2,TRUE),$I1960=INT($I1960),$I1962=INT($I1962)),"","Error"),"")</f>
        <v/>
      </c>
      <c r="J1958" s="110" t="str">
        <f>IF($Q1960&lt;&gt;"",IF(AND(AND($J1960&gt;-1,$J1962&gt;-1),OR($J1960&gt;10,$J1962&gt;10),ABS($J1960-$J1962)&gt;1,IF(OR($J1960&gt;11,$J1962&gt;11),ABS($J1960-$J1962)=2,TRUE),$J1960=INT($J1960),$J1962=INT($J1962)),"","Error"),"")</f>
        <v/>
      </c>
      <c r="K1958" s="110" t="str">
        <f>IF($Q1960&lt;&gt;"",IF(AND($K1960&lt;&gt;"",$K1962&lt;&gt;""), IF(AND(AND($K1960&gt;-1,$K1962&gt;-1),OR($K1960&gt;10,$K1962&gt;10),ABS($K1960-$K1962)&gt;1,IF(OR($K1960&gt;11,$K1962&gt;11),ABS($K1960-$K1962)=2,TRUE),$K1960=INT($K1960),$K1962=INT($K1962)),"","Error"),""),"")</f>
        <v/>
      </c>
      <c r="L1958" s="110" t="str">
        <f>IF($Q1960&lt;&gt;"",IF(AND($L1960&lt;&gt;"",$L1962&lt;&gt;""), IF(AND(AND($L1960&gt;-1,$L1962&gt;-1),OR($L1960&gt;10,$L1962&gt;10),ABS($L1960-$L1962)&gt;1,IF(OR($L1960&gt;11,$L1962&gt;11),ABS($L1960-$L1962)=2,TRUE),$L1960=INT($L1960),$L1962=INT($L1962)),"","Error"),""),"")</f>
        <v/>
      </c>
      <c r="Q1958" s="6"/>
      <c r="R1958" s="259" t="str">
        <f>$B1947</f>
        <v>D</v>
      </c>
      <c r="S1958" s="307" t="str">
        <f ca="1">IF($B1960&lt;&gt;"",$B1960,"")</f>
        <v/>
      </c>
      <c r="T1958" s="308"/>
      <c r="U1958" s="308"/>
      <c r="V1958" s="308"/>
      <c r="W1958" s="308"/>
      <c r="X1958" s="309"/>
      <c r="Y1958" s="284"/>
      <c r="Z1958" s="284"/>
      <c r="AA1958" s="284"/>
      <c r="AB1958" s="284"/>
      <c r="AC1958" s="284"/>
      <c r="AD1958" s="296"/>
      <c r="AE1958" s="290"/>
      <c r="AF1958" s="291"/>
    </row>
    <row r="1959" spans="1:32" ht="12.75" customHeight="1" x14ac:dyDescent="0.25">
      <c r="A1959" s="5" t="s">
        <v>160</v>
      </c>
      <c r="B1959" s="256" t="s">
        <v>58</v>
      </c>
      <c r="C1959" s="257"/>
      <c r="D1959" s="257"/>
      <c r="E1959" s="257"/>
      <c r="F1959" s="257"/>
      <c r="G1959" s="258"/>
      <c r="H1959" s="5">
        <v>1</v>
      </c>
      <c r="I1959" s="5">
        <v>2</v>
      </c>
      <c r="J1959" s="5">
        <v>3</v>
      </c>
      <c r="K1959" s="5">
        <v>4</v>
      </c>
      <c r="L1959" s="5">
        <v>5</v>
      </c>
      <c r="M1959" s="270"/>
      <c r="N1959" s="271"/>
      <c r="O1959" s="271"/>
      <c r="P1959" s="272"/>
      <c r="Q1959" s="6"/>
      <c r="R1959" s="285"/>
      <c r="S1959" s="310"/>
      <c r="T1959" s="311"/>
      <c r="U1959" s="311"/>
      <c r="V1959" s="311"/>
      <c r="W1959" s="311"/>
      <c r="X1959" s="312"/>
      <c r="Y1959" s="285"/>
      <c r="Z1959" s="285"/>
      <c r="AA1959" s="285"/>
      <c r="AB1959" s="285"/>
      <c r="AC1959" s="285"/>
      <c r="AD1959" s="292"/>
      <c r="AE1959" s="293"/>
      <c r="AF1959" s="294"/>
    </row>
    <row r="1960" spans="1:32" ht="12.75" customHeight="1" x14ac:dyDescent="0.25">
      <c r="A1960" s="259" t="str">
        <f>B1947</f>
        <v>D</v>
      </c>
      <c r="B1960" s="236" t="str">
        <f ca="1">IF(AND(OFFSET($AO$1,$C1947-1,8,1,1),$A1948&lt;&gt;"",$J1948&lt;&gt;""),CHOOSE($C1947,$AP$1,$AP$2,$AP$3,$AP$4,$AP$5,$AP$6,$AP$7,$AP$8,$AP$9,$AP$10,$AP$11,$AP$12),"")</f>
        <v/>
      </c>
      <c r="C1960" s="237"/>
      <c r="D1960" s="237"/>
      <c r="E1960" s="237"/>
      <c r="F1960" s="237"/>
      <c r="G1960" s="237"/>
      <c r="H1960" s="233"/>
      <c r="I1960" s="233"/>
      <c r="J1960" s="233"/>
      <c r="K1960" s="233"/>
      <c r="L1960" s="233"/>
      <c r="M1960" s="245" t="str">
        <f ca="1">IF(OR(AND($B1953&lt;&gt;"",$B1960&lt;&gt;"",$C1978&lt;=$B1978),AND($B1955&lt;&gt;"",$B1962&lt;&gt;"",$G1978&lt;=$F1978)),"Invalid Lineup","")</f>
        <v/>
      </c>
      <c r="N1960" s="246"/>
      <c r="O1960" s="246"/>
      <c r="P1960" s="247"/>
      <c r="Q1960" s="40" t="str">
        <f>IF($L1960=$L1962,IF($K1960=$K1962,IF($J1960&lt;&gt;"",IF($J1960&gt;$J1962,"W","L"),""),IF($K1960&gt;$K1962,"W","L")),IF($L1960&gt;$L1962,"W","L"))</f>
        <v/>
      </c>
      <c r="R1960" s="259" t="str">
        <f>$K1947</f>
        <v>H</v>
      </c>
      <c r="S1960" s="307" t="str">
        <f ca="1">IF($B1962&lt;&gt;"",$B1962,"")</f>
        <v/>
      </c>
      <c r="T1960" s="308"/>
      <c r="U1960" s="308"/>
      <c r="V1960" s="308"/>
      <c r="W1960" s="308"/>
      <c r="X1960" s="309"/>
      <c r="Y1960" s="284"/>
      <c r="Z1960" s="284"/>
      <c r="AA1960" s="284"/>
      <c r="AB1960" s="284"/>
      <c r="AC1960" s="297"/>
      <c r="AD1960" s="289" t="s">
        <v>169</v>
      </c>
      <c r="AE1960" s="290"/>
      <c r="AF1960" s="291"/>
    </row>
    <row r="1961" spans="1:32" ht="12.75" customHeight="1" x14ac:dyDescent="0.25">
      <c r="A1961" s="260"/>
      <c r="B1961" s="238"/>
      <c r="C1961" s="239"/>
      <c r="D1961" s="239"/>
      <c r="E1961" s="239"/>
      <c r="F1961" s="239"/>
      <c r="G1961" s="239"/>
      <c r="H1961" s="234"/>
      <c r="I1961" s="234"/>
      <c r="J1961" s="234"/>
      <c r="K1961" s="234"/>
      <c r="L1961" s="234"/>
      <c r="M1961" s="245"/>
      <c r="N1961" s="246"/>
      <c r="O1961" s="246"/>
      <c r="P1961" s="247"/>
      <c r="Q1961" s="110" t="str">
        <f>IF($Q1960&lt;&gt;"",IF($Q1960="W",IF(SUM(IF($H1960&gt;$H1962,1,0),IF($I1960&gt;$I1962,1,0),IF($J1960&gt;$J1962,1,0),IF($K1960&gt;$K1962,1,0),IF($L1960&gt;$L1962,1,0))&lt;&gt;3,"Error",""),""),"")</f>
        <v/>
      </c>
      <c r="R1961" s="285"/>
      <c r="S1961" s="310"/>
      <c r="T1961" s="311"/>
      <c r="U1961" s="311"/>
      <c r="V1961" s="311"/>
      <c r="W1961" s="311"/>
      <c r="X1961" s="312"/>
      <c r="Y1961" s="285"/>
      <c r="Z1961" s="285"/>
      <c r="AA1961" s="285"/>
      <c r="AB1961" s="285"/>
      <c r="AC1961" s="285"/>
      <c r="AD1961" s="292"/>
      <c r="AE1961" s="293"/>
      <c r="AF1961" s="294"/>
    </row>
    <row r="1962" spans="1:32" ht="12.75" customHeight="1" x14ac:dyDescent="0.25">
      <c r="A1962" s="259" t="str">
        <f>K1947</f>
        <v>H</v>
      </c>
      <c r="B1962" s="236" t="str">
        <f ca="1">IF(AND(OFFSET($AO$1,$L1947-1,8,1,1),$A1948&lt;&gt;"",$J1948&lt;&gt;""),CHOOSE($L1947,$AP$1,$AP$2,$AP$3,$AP$4,$AP$5,$AP$6,$AP$7,$AP$8,$AP$9,$AP$10,$AP$11,$AP$12),"")</f>
        <v/>
      </c>
      <c r="C1962" s="237"/>
      <c r="D1962" s="237"/>
      <c r="E1962" s="237"/>
      <c r="F1962" s="237"/>
      <c r="G1962" s="237"/>
      <c r="H1962" s="233"/>
      <c r="I1962" s="233"/>
      <c r="J1962" s="233"/>
      <c r="K1962" s="233"/>
      <c r="L1962" s="233"/>
      <c r="M1962" s="250" t="s">
        <v>169</v>
      </c>
      <c r="N1962" s="251"/>
      <c r="O1962" s="251"/>
      <c r="P1962" s="252"/>
      <c r="Q1962" s="40" t="str">
        <f>IF($Q1960&lt;&gt;"",IF($Q1960="W","L","W"),"")</f>
        <v/>
      </c>
      <c r="R1962" s="14"/>
      <c r="S1962" s="14"/>
      <c r="T1962" s="14"/>
      <c r="U1962" s="14"/>
      <c r="V1962" s="14"/>
      <c r="W1962" s="14"/>
      <c r="X1962" s="7"/>
      <c r="Y1962" s="7"/>
      <c r="Z1962" s="14"/>
      <c r="AA1962" s="14"/>
      <c r="AB1962" s="14"/>
      <c r="AC1962" s="14"/>
      <c r="AD1962" s="14"/>
      <c r="AE1962" s="14"/>
      <c r="AF1962"/>
    </row>
    <row r="1963" spans="1:32" ht="12.75" customHeight="1" x14ac:dyDescent="0.25">
      <c r="A1963" s="260"/>
      <c r="B1963" s="238"/>
      <c r="C1963" s="239"/>
      <c r="D1963" s="239"/>
      <c r="E1963" s="239"/>
      <c r="F1963" s="239"/>
      <c r="G1963" s="239"/>
      <c r="H1963" s="234"/>
      <c r="I1963" s="234"/>
      <c r="J1963" s="235"/>
      <c r="K1963" s="235"/>
      <c r="L1963" s="235"/>
      <c r="M1963" s="250"/>
      <c r="N1963" s="251"/>
      <c r="O1963" s="251"/>
      <c r="P1963" s="252"/>
      <c r="Q1963" s="110" t="str">
        <f>IF($Q1962&lt;&gt;"",IF($Q1962="W",IF(SUM(IF($H1962&gt;$H1960,1,0),IF($I1962&gt;$I1960,1,0),IF($J1962&gt;$J1960,1,0),IF($K1962&gt;$K1960,1,0),IF($L1962&gt;$L1960,1,0))&lt;&gt;3,"Error",""),""),"")</f>
        <v/>
      </c>
      <c r="R1963" s="14"/>
      <c r="S1963" s="14"/>
      <c r="T1963" s="14"/>
      <c r="U1963" s="14"/>
      <c r="V1963" s="14"/>
      <c r="W1963" s="14"/>
      <c r="X1963" s="7"/>
      <c r="Y1963" s="7"/>
      <c r="Z1963" s="14"/>
      <c r="AA1963" s="14"/>
      <c r="AB1963" s="14"/>
      <c r="AC1963" s="14"/>
      <c r="AD1963" s="14"/>
      <c r="AE1963" s="14"/>
      <c r="AF1963"/>
    </row>
    <row r="1964" spans="1:32" ht="12.75" customHeight="1" x14ac:dyDescent="0.25">
      <c r="Q1964" s="6"/>
      <c r="R1964" s="14"/>
      <c r="S1964" s="14"/>
      <c r="T1964" s="14"/>
      <c r="U1964" s="14"/>
      <c r="V1964" s="14"/>
      <c r="W1964" s="14"/>
      <c r="X1964" s="7"/>
      <c r="Y1964" s="7"/>
      <c r="Z1964" s="14"/>
      <c r="AA1964" s="14"/>
      <c r="AB1964" s="14"/>
      <c r="AC1964" s="14"/>
      <c r="AD1964" s="14"/>
      <c r="AE1964" s="14"/>
      <c r="AF1964"/>
    </row>
    <row r="1965" spans="1:32" ht="12.75" customHeight="1" x14ac:dyDescent="0.25">
      <c r="A1965" s="15" t="s">
        <v>167</v>
      </c>
      <c r="H1965" s="110" t="str">
        <f>IF($Q1967&lt;&gt;"",IF(AND(AND($H1967&gt;-1,$H1969&gt;-1),OR($H1967&gt;10,$H1969&gt;10),ABS($H1967-$H1969)&gt;1,IF(OR($H1967&gt;11,$H1969&gt;11),ABS($H1967-$H1969)=2,TRUE),$H1967=INT($H1967),$H1969=INT($H1969)),"","Error"),"")</f>
        <v/>
      </c>
      <c r="I1965" s="110" t="str">
        <f>IF($Q1967&lt;&gt;"",IF(AND(AND($I1967&gt;-1,$I1969&gt;-1),OR($I1967&gt;10,$I1969&gt;10),ABS($I1967-$I1969)&gt;1,IF(OR($I1967&gt;11,$I1969&gt;11),ABS($I1967-$I1969)=2,TRUE),$I1967=INT($I1967),$I1969=INT($I1969)),"","Error"),"")</f>
        <v/>
      </c>
      <c r="J1965" s="110" t="str">
        <f>IF($Q1967&lt;&gt;"",IF(AND(AND($J1967&gt;-1,$J1969&gt;-1),OR($J1967&gt;10,$J1969&gt;10),ABS($J1967-$J1969)&gt;1,IF(OR($J1967&gt;11,$J1969&gt;11),ABS($J1967-$J1969)=2,TRUE),$J1967=INT($J1967),$J1969=INT($J1969)),"","Error"),"")</f>
        <v/>
      </c>
      <c r="K1965" s="110" t="str">
        <f>IF($Q1967&lt;&gt;"",IF(AND($K1967&lt;&gt;"",$K1969&lt;&gt;""), IF(AND(AND($K1967&gt;-1,$K1969&gt;-1),OR($K1967&gt;10,$K1969&gt;10),ABS($K1967-$K1969)&gt;1,IF(OR($K1967&gt;11,$K1969&gt;11),ABS($K1967-$K1969)=2,TRUE),$K1967=INT($K1967),$K1969=INT($K1969)),"","Error"),""),"")</f>
        <v/>
      </c>
      <c r="L1965" s="110" t="str">
        <f>IF($Q1967&lt;&gt;"",IF(AND($L1967&lt;&gt;"",$L1969&lt;&gt;""), IF(AND(AND($L1967&gt;-1,$L1969&gt;-1),OR($L1967&gt;10,$L1969&gt;10),ABS($L1967-$L1969)&gt;1,IF(OR($L1967&gt;11,$L1969&gt;11),ABS($L1967-$L1969)=2,TRUE),$L1967=INT($L1967),$L1969=INT($L1969)),"","Error"),""),"")</f>
        <v/>
      </c>
      <c r="Q1965" s="6"/>
      <c r="R1965" s="14"/>
      <c r="S1965" s="14"/>
      <c r="T1965" s="14"/>
      <c r="U1965" s="14"/>
      <c r="V1965" s="14"/>
      <c r="W1965" s="14"/>
      <c r="X1965" s="7"/>
      <c r="Y1965" s="7"/>
      <c r="Z1965" s="14"/>
      <c r="AA1965" s="14"/>
      <c r="AB1965" s="14"/>
      <c r="AC1965" s="14"/>
      <c r="AD1965" s="14"/>
      <c r="AE1965" s="14"/>
      <c r="AF1965"/>
    </row>
    <row r="1966" spans="1:32" ht="12.75" customHeight="1" x14ac:dyDescent="0.25">
      <c r="A1966" s="5" t="s">
        <v>160</v>
      </c>
      <c r="B1966" s="256" t="s">
        <v>58</v>
      </c>
      <c r="C1966" s="257"/>
      <c r="D1966" s="257"/>
      <c r="E1966" s="257"/>
      <c r="F1966" s="257"/>
      <c r="G1966" s="258"/>
      <c r="H1966" s="5">
        <v>1</v>
      </c>
      <c r="I1966" s="5">
        <v>2</v>
      </c>
      <c r="J1966" s="5">
        <v>3</v>
      </c>
      <c r="K1966" s="5">
        <v>4</v>
      </c>
      <c r="L1966" s="5">
        <v>5</v>
      </c>
      <c r="M1966" s="270"/>
      <c r="N1966" s="271"/>
      <c r="O1966" s="271"/>
      <c r="P1966" s="272"/>
      <c r="Q1966" s="6"/>
      <c r="R1966" s="14"/>
      <c r="S1966" s="14"/>
      <c r="T1966" s="14"/>
      <c r="U1966" s="14"/>
      <c r="V1966" s="14"/>
      <c r="W1966" s="14"/>
      <c r="X1966" s="7"/>
      <c r="Y1966" s="7"/>
      <c r="Z1966" s="14"/>
      <c r="AA1966" s="14"/>
      <c r="AB1966" s="14"/>
      <c r="AC1966" s="14"/>
      <c r="AD1966" s="14"/>
      <c r="AE1966" s="14"/>
      <c r="AF1966"/>
    </row>
    <row r="1967" spans="1:32" ht="12.75" customHeight="1" x14ac:dyDescent="0.25">
      <c r="A1967" s="259" t="str">
        <f>B1947</f>
        <v>D</v>
      </c>
      <c r="B1967" s="236" t="str">
        <f ca="1">IF(AND(OFFSET($AO$1,$C1947-1,8,1,1),$A1948&lt;&gt;"",$J1948&lt;&gt;""),CHOOSE($C1947,$AQ$1,$AQ$2,$AQ$3,$AQ$4,$AQ$5,$AQ$6,$AQ$7,$AQ$8,$AQ$9,$AQ$10,$AQ$11,$AQ$12),"")</f>
        <v/>
      </c>
      <c r="C1967" s="237"/>
      <c r="D1967" s="237"/>
      <c r="E1967" s="237"/>
      <c r="F1967" s="237"/>
      <c r="G1967" s="237"/>
      <c r="H1967" s="233"/>
      <c r="I1967" s="233"/>
      <c r="J1967" s="233"/>
      <c r="K1967" s="233"/>
      <c r="L1967" s="233"/>
      <c r="M1967" s="245" t="str">
        <f ca="1">IF(OR(AND($B1960&lt;&gt;"",$B1967&lt;&gt;"",$D1978&lt;=$C1978),AND($B1962&lt;&gt;"",$B1969&lt;&gt;"",$H1978&lt;=$G1978)),"Invalid Lineup","")</f>
        <v/>
      </c>
      <c r="N1967" s="246"/>
      <c r="O1967" s="246"/>
      <c r="P1967" s="247"/>
      <c r="Q1967" s="40" t="str">
        <f>IF($L1967=$L1969,IF($K1967=$K1969,IF($J1967&lt;&gt;"",IF($J1967&gt;$J1969,"W","L"),""),IF($K1967&gt;$K1969,"W","L")),IF($L1967&gt;$L1969,"W","L"))</f>
        <v/>
      </c>
      <c r="R1967" s="14"/>
      <c r="S1967" s="14"/>
      <c r="T1967" s="14"/>
      <c r="U1967" s="14"/>
      <c r="V1967" s="14"/>
      <c r="W1967" s="14"/>
      <c r="X1967" s="7"/>
      <c r="Y1967" s="7"/>
      <c r="Z1967" s="14"/>
      <c r="AA1967" s="14"/>
      <c r="AB1967" s="14"/>
      <c r="AC1967" s="14"/>
      <c r="AD1967" s="14"/>
      <c r="AE1967" s="14"/>
      <c r="AF1967"/>
    </row>
    <row r="1968" spans="1:32" ht="12.75" customHeight="1" x14ac:dyDescent="0.25">
      <c r="A1968" s="260"/>
      <c r="B1968" s="238"/>
      <c r="C1968" s="239"/>
      <c r="D1968" s="239"/>
      <c r="E1968" s="239"/>
      <c r="F1968" s="239"/>
      <c r="G1968" s="239"/>
      <c r="H1968" s="234"/>
      <c r="I1968" s="234"/>
      <c r="J1968" s="234"/>
      <c r="K1968" s="234"/>
      <c r="L1968" s="234"/>
      <c r="M1968" s="245"/>
      <c r="N1968" s="246"/>
      <c r="O1968" s="246"/>
      <c r="P1968" s="247"/>
      <c r="Q1968" s="110" t="str">
        <f>IF($Q1967&lt;&gt;"",IF($Q1967="W",IF(SUM(IF($H1967&gt;$H1969,1,0),IF($I1967&gt;$I1969,1,0),IF($J1967&gt;$J1969,1,0),IF($K1967&gt;$K1969,1,0),IF($L1967&gt;$L1969,1,0))&lt;&gt;3,"Error",""),""),"")</f>
        <v/>
      </c>
      <c r="R1968" s="295" t="str">
        <f>$A1948</f>
        <v/>
      </c>
      <c r="S1968" s="295"/>
      <c r="T1968" s="295"/>
      <c r="U1968" s="295"/>
      <c r="V1968" s="295"/>
      <c r="W1968" s="295"/>
      <c r="X1968" s="219" t="str">
        <f>CONCATENATE("(",$B1947," vs ",$K1947,")")</f>
        <v>(D vs H)</v>
      </c>
      <c r="Y1968" s="219"/>
      <c r="Z1968" s="295" t="str">
        <f>$J1948</f>
        <v/>
      </c>
      <c r="AA1968" s="295"/>
      <c r="AB1968" s="295"/>
      <c r="AC1968" s="295"/>
      <c r="AD1968" s="295"/>
      <c r="AE1968" s="295"/>
      <c r="AF1968"/>
    </row>
    <row r="1969" spans="1:32" ht="12.75" customHeight="1" x14ac:dyDescent="0.25">
      <c r="A1969" s="259" t="str">
        <f>K1947</f>
        <v>H</v>
      </c>
      <c r="B1969" s="236" t="str">
        <f ca="1">IF(AND(OFFSET($AO$1,$L1947-1,8,1,1),$A1948&lt;&gt;"",$J1948&lt;&gt;""),CHOOSE($L1947,$AQ$1,$AQ$2,$AQ$3,$AQ$4,$AQ$5,$AQ$6,$AQ$7,$AQ$8,$AQ$9,$AQ$10,$AQ$11,$AQ$12),"")</f>
        <v/>
      </c>
      <c r="C1969" s="237"/>
      <c r="D1969" s="237"/>
      <c r="E1969" s="237"/>
      <c r="F1969" s="237"/>
      <c r="G1969" s="237"/>
      <c r="H1969" s="233"/>
      <c r="I1969" s="233"/>
      <c r="J1969" s="233"/>
      <c r="K1969" s="233"/>
      <c r="L1969" s="233"/>
      <c r="M1969" s="250" t="s">
        <v>169</v>
      </c>
      <c r="N1969" s="251"/>
      <c r="O1969" s="251"/>
      <c r="P1969" s="252"/>
      <c r="Q1969" s="40" t="str">
        <f>IF($Q1967&lt;&gt;"",IF($Q1967="W","L","W"),"")</f>
        <v/>
      </c>
      <c r="R1969"/>
      <c r="S1969"/>
      <c r="T1969"/>
      <c r="U1969"/>
      <c r="V1969"/>
      <c r="W1969"/>
      <c r="X1969"/>
      <c r="Y1969"/>
      <c r="Z1969"/>
      <c r="AA1969"/>
      <c r="AB1969"/>
      <c r="AC1969"/>
      <c r="AD1969"/>
      <c r="AE1969"/>
      <c r="AF1969"/>
    </row>
    <row r="1970" spans="1:32" ht="12.75" customHeight="1" x14ac:dyDescent="0.25">
      <c r="A1970" s="260"/>
      <c r="B1970" s="238"/>
      <c r="C1970" s="239"/>
      <c r="D1970" s="239"/>
      <c r="E1970" s="239"/>
      <c r="F1970" s="239"/>
      <c r="G1970" s="239"/>
      <c r="H1970" s="234"/>
      <c r="I1970" s="234"/>
      <c r="J1970" s="235"/>
      <c r="K1970" s="235"/>
      <c r="L1970" s="235"/>
      <c r="M1970" s="250"/>
      <c r="N1970" s="251"/>
      <c r="O1970" s="251"/>
      <c r="P1970" s="252"/>
      <c r="Q1970" s="110" t="str">
        <f>IF($Q1969&lt;&gt;"",IF($Q1969="W",IF(SUM(IF($H1969&gt;$H1967,1,0),IF($I1969&gt;$I1967,1,0),IF($J1969&gt;$J1967,1,0),IF($K1969&gt;$K1967,1,0),IF($L1969&gt;$L1967,1,0))&lt;&gt;3,"Error",""),""),"")</f>
        <v/>
      </c>
      <c r="R1970" t="str">
        <f>$A1965</f>
        <v>3rd Singles</v>
      </c>
      <c r="S1970"/>
      <c r="T1970"/>
      <c r="U1970"/>
      <c r="V1970"/>
      <c r="W1970"/>
      <c r="X1970"/>
      <c r="Y1970"/>
      <c r="Z1970"/>
      <c r="AA1970"/>
      <c r="AB1970"/>
      <c r="AC1970"/>
      <c r="AD1970"/>
      <c r="AE1970"/>
      <c r="AF1970"/>
    </row>
    <row r="1971" spans="1:32" ht="12.75" customHeight="1" x14ac:dyDescent="0.25">
      <c r="Q1971" s="6"/>
      <c r="R1971" s="47" t="s">
        <v>160</v>
      </c>
      <c r="S1971" s="86" t="s">
        <v>58</v>
      </c>
      <c r="T1971" s="87"/>
      <c r="U1971" s="87"/>
      <c r="V1971" s="87"/>
      <c r="W1971" s="87"/>
      <c r="X1971" s="88"/>
      <c r="Y1971" s="47">
        <v>1</v>
      </c>
      <c r="Z1971" s="47">
        <v>2</v>
      </c>
      <c r="AA1971" s="47">
        <v>3</v>
      </c>
      <c r="AB1971" s="47">
        <v>4</v>
      </c>
      <c r="AC1971" s="47">
        <v>5</v>
      </c>
      <c r="AD1971" s="89"/>
      <c r="AE1971" s="90"/>
      <c r="AF1971" s="91"/>
    </row>
    <row r="1972" spans="1:32" ht="12.75" customHeight="1" x14ac:dyDescent="0.25">
      <c r="A1972" s="15" t="s">
        <v>168</v>
      </c>
      <c r="H1972" s="110" t="str">
        <f ca="1">IF($Q1974&lt;&gt;"",IF(AND($B1974&lt;&gt;"Missing Player",$B1976&lt;&gt;"Missing Player"),IF(AND(AND($H1974&gt;-1,$H1976&gt;-1),OR($H1974&gt;10,$H1976&gt;10),ABS($H1974-$H1976)&gt;1,IF(OR($H1974&gt;11,$H1976&gt;11),ABS($H1974-$H1976)=2,TRUE),$H1974=INT($H1974),$H1976=INT($H1976)),"","Error"),""),"")</f>
        <v/>
      </c>
      <c r="I1972" s="110" t="str">
        <f ca="1">IF($Q1974&lt;&gt;"",IF(AND($B1974&lt;&gt;"Missing Player",$B1976&lt;&gt;"Missing Player"),IF(AND(AND($I1974&gt;-1,$I1976&gt;-1),OR($I1974&gt;10,$I1976&gt;10),ABS($I1974-$I1976)&gt;1,IF(OR($I1974&gt;11,$I1976&gt;11),ABS($I1974-$I1976)=2,TRUE),$I1974=INT($I1974),$I1976=INT($I1976)),"","Error"),""),"")</f>
        <v/>
      </c>
      <c r="J1972" s="110" t="str">
        <f ca="1">IF($Q1974&lt;&gt;"",IF(AND($B1974&lt;&gt;"Missing Player",$B1976&lt;&gt;"Missing Player"),IF(AND(AND($J1974&gt;-1,$J1976&gt;-1),OR($J1974&gt;10,$J1976&gt;10),ABS($J1974-$J1976)&gt;1,IF(OR($J1974&gt;11,$J1976&gt;11),ABS($J1974-$J1976)=2,TRUE),$J1974=INT($J1974),$J1976=INT($J1976)),"","Error"),""),"")</f>
        <v/>
      </c>
      <c r="K1972" s="110" t="str">
        <f ca="1">IF($Q1974&lt;&gt;"",IF(AND($K1974&lt;&gt;"",$K1976&lt;&gt;""), IF(AND(AND($K1974&gt;-1,$K1976&gt;-1),OR($K1974&gt;10,$K1976&gt;10),ABS($K1974-$K1976)&gt;1,IF(OR($K1974&gt;11,$K1976&gt;11),ABS($K1974-$K1976)=2,TRUE),$K1974=INT($K1974),$K1976=INT($K1976)),"","Error"),""),"")</f>
        <v/>
      </c>
      <c r="L1972" s="110" t="str">
        <f ca="1">IF($Q1974&lt;&gt;"",IF(AND($L1974&lt;&gt;"",$L1976&lt;&gt;""), IF(AND(AND($L1974&gt;-1,$L1976&gt;-1),OR($L1974&gt;10,$L1976&gt;10),ABS($L1974-$L1976)&gt;1,IF(OR($L1974&gt;11,$L1976&gt;11),ABS($L1974-$L1976)=2,TRUE),$L1974=INT($L1974),$L1976=INT($L1976)),"","Error"),""),"")</f>
        <v/>
      </c>
      <c r="Q1972" s="6"/>
      <c r="R1972" s="259" t="str">
        <f>$B1947</f>
        <v>D</v>
      </c>
      <c r="S1972" s="307" t="str">
        <f ca="1">IF($B1967&lt;&gt;"",$B1967,"")</f>
        <v/>
      </c>
      <c r="T1972" s="308"/>
      <c r="U1972" s="308"/>
      <c r="V1972" s="308"/>
      <c r="W1972" s="308"/>
      <c r="X1972" s="309"/>
      <c r="Y1972" s="284"/>
      <c r="Z1972" s="284"/>
      <c r="AA1972" s="284"/>
      <c r="AB1972" s="284"/>
      <c r="AC1972" s="284"/>
      <c r="AD1972" s="296"/>
      <c r="AE1972" s="290"/>
      <c r="AF1972" s="291"/>
    </row>
    <row r="1973" spans="1:32" ht="12.75" customHeight="1" x14ac:dyDescent="0.25">
      <c r="A1973" s="5" t="s">
        <v>160</v>
      </c>
      <c r="B1973" s="256" t="s">
        <v>58</v>
      </c>
      <c r="C1973" s="257"/>
      <c r="D1973" s="257"/>
      <c r="E1973" s="257"/>
      <c r="F1973" s="257"/>
      <c r="G1973" s="258"/>
      <c r="H1973" s="5">
        <v>1</v>
      </c>
      <c r="I1973" s="5">
        <v>2</v>
      </c>
      <c r="J1973" s="5">
        <v>3</v>
      </c>
      <c r="K1973" s="5">
        <v>4</v>
      </c>
      <c r="L1973" s="5">
        <v>5</v>
      </c>
      <c r="M1973" s="270"/>
      <c r="N1973" s="271"/>
      <c r="O1973" s="271"/>
      <c r="P1973" s="272"/>
      <c r="Q1973" s="6"/>
      <c r="R1973" s="285"/>
      <c r="S1973" s="310"/>
      <c r="T1973" s="311"/>
      <c r="U1973" s="311"/>
      <c r="V1973" s="311"/>
      <c r="W1973" s="311"/>
      <c r="X1973" s="312"/>
      <c r="Y1973" s="285"/>
      <c r="Z1973" s="285"/>
      <c r="AA1973" s="285"/>
      <c r="AB1973" s="285"/>
      <c r="AC1973" s="285"/>
      <c r="AD1973" s="292"/>
      <c r="AE1973" s="293"/>
      <c r="AF1973" s="294"/>
    </row>
    <row r="1974" spans="1:32" ht="12.75" customHeight="1" x14ac:dyDescent="0.25">
      <c r="A1974" s="259" t="str">
        <f>B1947</f>
        <v>D</v>
      </c>
      <c r="B1974" s="236" t="str">
        <f ca="1">IF(AND(OFFSET($AO$1,$C1947-1,8,1,1),$A1948&lt;&gt;"",$J1948&lt;&gt;""),CHOOSE($C1947,$AR$1,$AR$2,$AR$3,$AR$4,$AR$5,$AR$6,$AR$7,$AR$8,$AR$9,$AR$10,$AR$11,$AR$12),"")</f>
        <v/>
      </c>
      <c r="C1974" s="237"/>
      <c r="D1974" s="237"/>
      <c r="E1974" s="237"/>
      <c r="F1974" s="237"/>
      <c r="G1974" s="237"/>
      <c r="H1974" s="233"/>
      <c r="I1974" s="233"/>
      <c r="J1974" s="233"/>
      <c r="K1974" s="233"/>
      <c r="L1974" s="233" t="str">
        <f ca="1">IF(AND($B1974&lt;&gt;"",$Q1953&lt;&gt;""),IF($B1974="Missing Player",0,IF($B1976="Missing Player",11,"")),"")</f>
        <v/>
      </c>
      <c r="M1974" s="245" t="str">
        <f ca="1">IF(OR(AND($B1967&lt;&gt;"",$B1974&lt;&gt;"",$E1978&lt;=$D1978),AND($B1969&lt;&gt;"",$B1976&lt;&gt;"",$I1978&lt;=$H1978)),"Invalid Lineup","")</f>
        <v/>
      </c>
      <c r="N1974" s="246"/>
      <c r="O1974" s="246"/>
      <c r="P1974" s="247"/>
      <c r="Q1974" s="40" t="str">
        <f ca="1">IF($L1974=$L1976,IF($K1974=$K1976,IF($J1974&lt;&gt;"",IF($J1974&gt;$J1976,"W","L"),""),IF($K1974&gt;$K1976,"W","L")),IF($L1974&gt;$L1976,"W","L"))</f>
        <v/>
      </c>
      <c r="R1974" s="259" t="str">
        <f>$K1947</f>
        <v>H</v>
      </c>
      <c r="S1974" s="307" t="str">
        <f ca="1">IF($B1969&lt;&gt;"",$B1969,"")</f>
        <v/>
      </c>
      <c r="T1974" s="308"/>
      <c r="U1974" s="308"/>
      <c r="V1974" s="308"/>
      <c r="W1974" s="308"/>
      <c r="X1974" s="309"/>
      <c r="Y1974" s="284"/>
      <c r="Z1974" s="284"/>
      <c r="AA1974" s="284"/>
      <c r="AB1974" s="284"/>
      <c r="AC1974" s="297"/>
      <c r="AD1974" s="289" t="s">
        <v>169</v>
      </c>
      <c r="AE1974" s="290"/>
      <c r="AF1974" s="291"/>
    </row>
    <row r="1975" spans="1:32" ht="12.75" customHeight="1" x14ac:dyDescent="0.25">
      <c r="A1975" s="260"/>
      <c r="B1975" s="238"/>
      <c r="C1975" s="239"/>
      <c r="D1975" s="239"/>
      <c r="E1975" s="239"/>
      <c r="F1975" s="239"/>
      <c r="G1975" s="239"/>
      <c r="H1975" s="234"/>
      <c r="I1975" s="234"/>
      <c r="J1975" s="234"/>
      <c r="K1975" s="234"/>
      <c r="L1975" s="234"/>
      <c r="M1975" s="245"/>
      <c r="N1975" s="246"/>
      <c r="O1975" s="246"/>
      <c r="P1975" s="247"/>
      <c r="Q1975" s="110" t="str">
        <f ca="1">IF($Q1974&lt;&gt;"",IF($B1976&lt;&gt;"Missing Player",IF($Q1974="W",IF(SUM(IF($H1974&gt;$H1976,1,0),IF($I1974&gt;$I1976,1,0),IF($J1974&gt;$J1976,1,0),IF($K1974&gt;$K1976,1,0),IF($L1974&gt;$L1976,1,0))&lt;&gt;3,"Error",""),""),""),"")</f>
        <v/>
      </c>
      <c r="R1975" s="285"/>
      <c r="S1975" s="310"/>
      <c r="T1975" s="311"/>
      <c r="U1975" s="311"/>
      <c r="V1975" s="311"/>
      <c r="W1975" s="311"/>
      <c r="X1975" s="312"/>
      <c r="Y1975" s="285"/>
      <c r="Z1975" s="285"/>
      <c r="AA1975" s="285"/>
      <c r="AB1975" s="285"/>
      <c r="AC1975" s="285"/>
      <c r="AD1975" s="292"/>
      <c r="AE1975" s="293"/>
      <c r="AF1975" s="294"/>
    </row>
    <row r="1976" spans="1:32" ht="12.75" customHeight="1" x14ac:dyDescent="0.25">
      <c r="A1976" s="259" t="str">
        <f>K1947</f>
        <v>H</v>
      </c>
      <c r="B1976" s="236" t="str">
        <f ca="1">IF(AND(OFFSET($AO$1,$L1947-1,8,1,1),$A1948&lt;&gt;"",$J1948&lt;&gt;""),CHOOSE($L1947,$AR$1,$AR$2,$AR$3,$AR$4,$AR$5,$AR$6,$AR$7,$AR$8,$AR$9,$AR$10,$AR$11,$AR$12),"")</f>
        <v/>
      </c>
      <c r="C1976" s="237"/>
      <c r="D1976" s="237"/>
      <c r="E1976" s="237"/>
      <c r="F1976" s="237"/>
      <c r="G1976" s="237"/>
      <c r="H1976" s="233"/>
      <c r="I1976" s="233"/>
      <c r="J1976" s="233"/>
      <c r="K1976" s="233"/>
      <c r="L1976" s="233" t="str">
        <f ca="1">IF(AND($B1976&lt;&gt;"",$Q1953&lt;&gt;""),IF($B1976="Missing Player",0,IF($B1974="Missing Player",11,"")),"")</f>
        <v/>
      </c>
      <c r="M1976" s="250" t="s">
        <v>169</v>
      </c>
      <c r="N1976" s="251"/>
      <c r="O1976" s="251"/>
      <c r="P1976" s="252"/>
      <c r="Q1976" s="40" t="str">
        <f ca="1">IF($Q1974&lt;&gt;"",IF($Q1974="W","L","W"),"")</f>
        <v/>
      </c>
      <c r="R1976" s="94"/>
      <c r="S1976" s="84"/>
      <c r="T1976" s="84"/>
      <c r="U1976" s="84"/>
      <c r="V1976" s="84"/>
      <c r="W1976" s="84"/>
      <c r="X1976" s="84"/>
      <c r="Y1976" s="93"/>
      <c r="Z1976" s="93"/>
      <c r="AA1976" s="93"/>
      <c r="AB1976" s="93"/>
      <c r="AC1976" s="93"/>
      <c r="AD1976" s="92"/>
      <c r="AE1976" s="93"/>
      <c r="AF1976" s="93"/>
    </row>
    <row r="1977" spans="1:32" ht="12.75" customHeight="1" x14ac:dyDescent="0.25">
      <c r="A1977" s="260"/>
      <c r="B1977" s="238"/>
      <c r="C1977" s="239"/>
      <c r="D1977" s="239"/>
      <c r="E1977" s="239"/>
      <c r="F1977" s="239"/>
      <c r="G1977" s="239"/>
      <c r="H1977" s="234"/>
      <c r="I1977" s="234"/>
      <c r="J1977" s="235"/>
      <c r="K1977" s="235"/>
      <c r="L1977" s="235"/>
      <c r="M1977" s="250"/>
      <c r="N1977" s="251"/>
      <c r="O1977" s="251"/>
      <c r="P1977" s="252"/>
      <c r="Q1977" s="110" t="str">
        <f ca="1">IF($Q1976&lt;&gt;"",IF($B1974&lt;&gt;"Missing Player",IF($Q1976="W",IF(SUM(IF($H1976&gt;$H1974,1,0),IF($I1976&gt;$I1974,1,0),IF($J1976&gt;$J1974,1,0),IF($K1976&gt;$K1974,1,0),IF($L1976&gt;$L1974,1,0))&lt;&gt;3,"Error",""),""),""),"")</f>
        <v/>
      </c>
      <c r="R1977" s="85"/>
      <c r="S1977" s="95"/>
      <c r="T1977" s="95"/>
      <c r="U1977" s="95"/>
      <c r="V1977" s="95"/>
      <c r="W1977" s="95"/>
      <c r="X1977" s="95"/>
      <c r="Y1977" s="85"/>
      <c r="Z1977" s="85"/>
      <c r="AA1977" s="85"/>
      <c r="AB1977" s="85"/>
      <c r="AC1977" s="85"/>
      <c r="AD1977" s="85"/>
      <c r="AE1977" s="85"/>
      <c r="AF1977" s="85"/>
    </row>
    <row r="1978" spans="1:32" ht="12.75" customHeight="1" x14ac:dyDescent="0.25">
      <c r="B1978" s="111" t="str">
        <f ca="1">IF(ISERROR(VLOOKUP($B1953&amp;"("&amp;$B1947&amp;")",Players!$S$4:$T$132,2,FALSE)),"",VLOOKUP($B1953&amp;"("&amp;$B1947&amp;")",Players!$S$4:$T$132,2,FALSE))</f>
        <v>D1</v>
      </c>
      <c r="C1978" s="111" t="str">
        <f ca="1">IF(ISERROR(VLOOKUP($B1960&amp;"("&amp;$B1947&amp;")",Players!$S$4:$T$132,2,FALSE)),"",VLOOKUP($B1960&amp;"("&amp;$B1947&amp;")",Players!$S$4:$T$132,2,FALSE))</f>
        <v>D1</v>
      </c>
      <c r="D1978" s="111" t="str">
        <f ca="1">IF(ISERROR(VLOOKUP($B1967&amp;"("&amp;$B1947&amp;")",Players!$S$4:$T$132,2,FALSE)),"",VLOOKUP($B1967&amp;"("&amp;$B1947&amp;")",Players!$S$4:$T$132,2,FALSE))</f>
        <v>D1</v>
      </c>
      <c r="E1978" s="111" t="str">
        <f ca="1">IF(ISERROR(VLOOKUP($B1974&amp;"("&amp;$B1947&amp;")",Players!$S$4:$T$132,2,FALSE)),"",VLOOKUP($B1974&amp;"("&amp;$B1947&amp;")",Players!$S$4:$T$132,2,FALSE))</f>
        <v>D1</v>
      </c>
      <c r="F1978" s="111" t="str">
        <f ca="1">IF(ISERROR(VLOOKUP($B1955&amp;"("&amp;$K1947&amp;")",Players!$S$4:$T$132,2,FALSE)),"",VLOOKUP($B1955&amp;"("&amp;$K1947&amp;")",Players!$S$4:$T$132,2,FALSE))</f>
        <v>H1</v>
      </c>
      <c r="G1978" s="111" t="str">
        <f ca="1">IF(ISERROR(VLOOKUP($B1962&amp;"("&amp;$K1947&amp;")",Players!$S$4:$T$132,2,FALSE)),"",VLOOKUP($B1962&amp;"("&amp;$K1947&amp;")",Players!$S$4:$T$132,2,FALSE))</f>
        <v>H1</v>
      </c>
      <c r="H1978" s="111" t="str">
        <f ca="1">IF(ISERROR(VLOOKUP($B1969&amp;"("&amp;$K1947&amp;")",Players!$S$4:$T$132,2,FALSE)),"",VLOOKUP($B1969&amp;"("&amp;$K1947&amp;")",Players!$S$4:$T$132,2,FALSE))</f>
        <v>H1</v>
      </c>
      <c r="I1978" s="111" t="str">
        <f ca="1">IF(ISERROR(VLOOKUP($B1976&amp;"("&amp;$K1947&amp;")",Players!$S$4:$T$132,2,FALSE)),"",VLOOKUP($B1976&amp;"("&amp;$K1947&amp;")",Players!$S$4:$T$132,2,FALSE))</f>
        <v>H1</v>
      </c>
      <c r="Q1978" s="6"/>
      <c r="R1978" s="37"/>
      <c r="S1978" s="95"/>
      <c r="T1978" s="95"/>
      <c r="U1978" s="95"/>
      <c r="V1978" s="95"/>
      <c r="W1978" s="95"/>
      <c r="X1978" s="95"/>
      <c r="Y1978" s="85"/>
      <c r="Z1978" s="85"/>
      <c r="AA1978" s="85"/>
      <c r="AB1978" s="85"/>
      <c r="AC1978" s="96"/>
      <c r="AD1978" s="97"/>
      <c r="AE1978" s="85"/>
      <c r="AF1978" s="85"/>
    </row>
    <row r="1979" spans="1:32" ht="12.75" customHeight="1" x14ac:dyDescent="0.25">
      <c r="A1979" s="15" t="s">
        <v>157</v>
      </c>
      <c r="H1979" s="110" t="str">
        <f ca="1">IF($Q1981&lt;&gt;"",IF(AND($B1982&lt;&gt;"Missing Player",$B1984&lt;&gt;"Missing Player"),IF(AND(AND($H1981&gt;-1,$H1983&gt;-1),OR($H1981&gt;10,$H1983&gt;10),ABS($H1981-$H1983)&gt;1,IF(OR($H1981&gt;11,$H1983&gt;11),ABS($H1981-$H1983)=2,TRUE),$H1981=INT($H1981),$H1983=INT($H1983)),"","Error"),""),"")</f>
        <v/>
      </c>
      <c r="I1979" s="110" t="str">
        <f ca="1">IF($Q1981&lt;&gt;"",IF(AND($B1982&lt;&gt;"Missing Player",$B1984&lt;&gt;"Missing Player"),IF(AND(AND($I1981&gt;-1,$I1983&gt;-1),OR($I1981&gt;10,$I1983&gt;10),ABS($I1981-$I1983)&gt;1,IF(OR($I1981&gt;11,$I1983&gt;11),ABS($I1981-$I1983)=2,TRUE),$I1981=INT($I1981),$I1983=INT($I1983)),"","Error"),""),"")</f>
        <v/>
      </c>
      <c r="J1979" s="110" t="str">
        <f ca="1">IF($Q1981&lt;&gt;"",IF(AND($B1982&lt;&gt;"Missing Player",$B1984&lt;&gt;"Missing Player"),IF(AND(AND($J1981&gt;-1,$J1983&gt;-1),OR($J1981&gt;10,$J1983&gt;10),ABS($J1981-$J1983)&gt;1,IF(OR($J1981&gt;11,$J1983&gt;11),ABS($J1981-$J1983)=2,TRUE),$J1981=INT($J1981),$J1983=INT($J1983)),"","Error"),""),"")</f>
        <v/>
      </c>
      <c r="K1979" s="110" t="str">
        <f ca="1">IF($Q1981&lt;&gt;"",IF(AND($K1981&lt;&gt;"",$K1983&lt;&gt;""), IF(AND(AND($K1981&gt;-1,$K1983&gt;-1),OR($K1981&gt;10,$K1983&gt;10),ABS($K1981-$K1983)&gt;1,IF(OR($K1981&gt;11,$K1983&gt;11),ABS($K1981-$K1983)=2,TRUE),$K1981=INT($K1981),$K1983=INT($K1983)),"","Error"),""),"")</f>
        <v/>
      </c>
      <c r="L1979" s="110" t="str">
        <f ca="1">IF($Q1981&lt;&gt;"",IF(AND($L1981&lt;&gt;"",$L1983&lt;&gt;""), IF(AND(AND($L1981&gt;-1,$L1983&gt;-1),OR($L1981&gt;10,$L1983&gt;10),ABS($L1981-$L1983)&gt;1,IF(OR($L1981&gt;11,$L1983&gt;11),ABS($L1981-$L1983)=2,TRUE),$L1981=INT($L1981),$L1983=INT($L1983)),"","Error"),""),"")</f>
        <v/>
      </c>
      <c r="Q1979" s="6"/>
      <c r="R1979" s="85"/>
      <c r="S1979" s="95"/>
      <c r="T1979" s="95"/>
      <c r="U1979" s="95"/>
      <c r="V1979" s="95"/>
      <c r="W1979" s="95"/>
      <c r="X1979" s="95"/>
      <c r="Y1979" s="85"/>
      <c r="Z1979" s="85"/>
      <c r="AA1979" s="85"/>
      <c r="AB1979" s="85"/>
      <c r="AC1979" s="85"/>
      <c r="AD1979" s="85"/>
      <c r="AE1979" s="85"/>
      <c r="AF1979" s="85"/>
    </row>
    <row r="1980" spans="1:32" ht="12.75" customHeight="1" x14ac:dyDescent="0.25">
      <c r="A1980" s="5" t="s">
        <v>160</v>
      </c>
      <c r="B1980" s="256" t="s">
        <v>58</v>
      </c>
      <c r="C1980" s="257"/>
      <c r="D1980" s="257"/>
      <c r="E1980" s="257"/>
      <c r="F1980" s="257"/>
      <c r="G1980" s="258"/>
      <c r="H1980" s="5">
        <v>1</v>
      </c>
      <c r="I1980" s="5">
        <v>2</v>
      </c>
      <c r="J1980" s="5">
        <v>3</v>
      </c>
      <c r="K1980" s="5">
        <v>4</v>
      </c>
      <c r="L1980" s="5">
        <v>5</v>
      </c>
      <c r="M1980" s="270"/>
      <c r="N1980" s="271"/>
      <c r="O1980" s="271"/>
      <c r="P1980" s="272"/>
      <c r="Q1980" s="6"/>
      <c r="T1980" s="7"/>
    </row>
    <row r="1981" spans="1:32" ht="12.75" customHeight="1" x14ac:dyDescent="0.25">
      <c r="A1981" s="259" t="str">
        <f>B1947</f>
        <v>D</v>
      </c>
      <c r="B1981" s="230" t="str">
        <f ca="1">IF($B1953&lt;&gt;"",$B1953,"")</f>
        <v/>
      </c>
      <c r="C1981" s="231"/>
      <c r="D1981" s="231"/>
      <c r="E1981" s="231"/>
      <c r="F1981" s="231"/>
      <c r="G1981" s="232"/>
      <c r="H1981" s="233"/>
      <c r="I1981" s="233"/>
      <c r="J1981" s="233"/>
      <c r="K1981" s="233"/>
      <c r="L1981" s="233" t="str">
        <f ca="1">IF($B1974&lt;&gt;"",IF(AND($B1974="Missing Player",$G1985=2,$J1985=2),0,IF(AND($B1976="Missing Player",$G1985=2,$J1985=2),11,"")),"")</f>
        <v/>
      </c>
      <c r="M1981" s="245" t="str">
        <f ca="1">IF(OR(AND($B1981&lt;&gt;"",$B1982&lt;&gt;"",$B1981=$B1982),AND($B1983&lt;&gt;"",$B1984&lt;&gt;"",$B1983=$B1984)),"Invalid Partner","")</f>
        <v/>
      </c>
      <c r="N1981" s="246"/>
      <c r="O1981" s="246"/>
      <c r="P1981" s="247"/>
      <c r="Q1981" s="37" t="str">
        <f ca="1">IF(L1981=L1983,IF(K1981=K1983,IF(J1981&lt;&gt;"",IF(J1981&gt;J1983,"W","L"),""),IF(K1981&gt;K1983,"W","L")),IF(L1981&gt;L1983,"W","L"))</f>
        <v/>
      </c>
      <c r="T1981" s="7"/>
    </row>
    <row r="1982" spans="1:32" ht="12.75" customHeight="1" x14ac:dyDescent="0.25">
      <c r="A1982" s="260"/>
      <c r="B1982" s="266" t="str">
        <f ca="1">IF($B1974="Missing Player",$B1974,"")</f>
        <v/>
      </c>
      <c r="C1982" s="267"/>
      <c r="D1982" s="267"/>
      <c r="E1982" s="267"/>
      <c r="F1982" s="267"/>
      <c r="G1982" s="268"/>
      <c r="H1982" s="234"/>
      <c r="I1982" s="234"/>
      <c r="J1982" s="234"/>
      <c r="K1982" s="234"/>
      <c r="L1982" s="234"/>
      <c r="M1982" s="245"/>
      <c r="N1982" s="246"/>
      <c r="O1982" s="246"/>
      <c r="P1982" s="247"/>
      <c r="Q1982" s="110" t="str">
        <f ca="1">IF($Q1981&lt;&gt;"",IF($B1984&lt;&gt;"Missing Player",IF($Q1981="W",IF(SUM(IF($H1981&gt;$H1983,1,0),IF($I1981&gt;$I1983,1,0),IF($J1981&gt;$J1983,1,0),IF($K1981&gt;$K1983,1,0),IF($L1981&gt;$L1983,1,0))&lt;&gt;3,"Error",""),""),""),"")</f>
        <v/>
      </c>
      <c r="R1982" s="295" t="str">
        <f>$A1948</f>
        <v/>
      </c>
      <c r="S1982" s="295"/>
      <c r="T1982" s="295"/>
      <c r="U1982" s="295"/>
      <c r="V1982" s="295"/>
      <c r="W1982" s="295"/>
      <c r="X1982" s="219" t="str">
        <f>CONCATENATE("(",$B1947," vs ",$K1947,")")</f>
        <v>(D vs H)</v>
      </c>
      <c r="Y1982" s="219"/>
      <c r="Z1982" s="295" t="str">
        <f>$J1948</f>
        <v/>
      </c>
      <c r="AA1982" s="295"/>
      <c r="AB1982" s="295"/>
      <c r="AC1982" s="295"/>
      <c r="AD1982" s="295"/>
      <c r="AE1982" s="295"/>
      <c r="AF1982"/>
    </row>
    <row r="1983" spans="1:32" ht="12.75" customHeight="1" x14ac:dyDescent="0.25">
      <c r="A1983" s="265" t="str">
        <f>K1947</f>
        <v>H</v>
      </c>
      <c r="B1983" s="230" t="str">
        <f ca="1">IF($B1955&lt;&gt;"",$B1955,"")</f>
        <v/>
      </c>
      <c r="C1983" s="231"/>
      <c r="D1983" s="231"/>
      <c r="E1983" s="231"/>
      <c r="F1983" s="231"/>
      <c r="G1983" s="232"/>
      <c r="H1983" s="233"/>
      <c r="I1983" s="233"/>
      <c r="J1983" s="233"/>
      <c r="K1983" s="233"/>
      <c r="L1983" s="233" t="str">
        <f ca="1">IF($B1976&lt;&gt;"",IF(AND($B1976="Missing Player",$G1985=2,$J1985=2),0,IF(AND($B1974="Missing Player",$G1985=2,$J1985=2),11,"")),"")</f>
        <v/>
      </c>
      <c r="M1983" s="250" t="s">
        <v>169</v>
      </c>
      <c r="N1983" s="251"/>
      <c r="O1983" s="251"/>
      <c r="P1983" s="252"/>
      <c r="Q1983" s="37" t="str">
        <f ca="1">IF(Q1981&lt;&gt;"",IF(Q1981="W","L","W"),"")</f>
        <v/>
      </c>
      <c r="R1983"/>
      <c r="S1983"/>
      <c r="T1983"/>
      <c r="U1983"/>
      <c r="V1983"/>
      <c r="W1983"/>
      <c r="X1983"/>
      <c r="Y1983"/>
      <c r="Z1983"/>
      <c r="AA1983"/>
      <c r="AB1983"/>
      <c r="AC1983"/>
      <c r="AD1983"/>
      <c r="AE1983"/>
      <c r="AF1983"/>
    </row>
    <row r="1984" spans="1:32" ht="12.75" customHeight="1" x14ac:dyDescent="0.25">
      <c r="A1984" s="260"/>
      <c r="B1984" s="266" t="str">
        <f ca="1">IF($B1976="Missing Player",$B1976,"")</f>
        <v/>
      </c>
      <c r="C1984" s="267"/>
      <c r="D1984" s="267"/>
      <c r="E1984" s="267"/>
      <c r="F1984" s="267"/>
      <c r="G1984" s="268"/>
      <c r="H1984" s="234"/>
      <c r="I1984" s="234"/>
      <c r="J1984" s="235"/>
      <c r="K1984" s="235"/>
      <c r="L1984" s="235"/>
      <c r="M1984" s="250"/>
      <c r="N1984" s="251"/>
      <c r="O1984" s="251"/>
      <c r="P1984" s="252"/>
      <c r="Q1984" s="110" t="str">
        <f ca="1">IF($Q1983&lt;&gt;"",IF($B1982&lt;&gt;"Missing Player",IF($Q1983="W",IF(SUM(IF($H1983&gt;$H1981,1,0),IF($I1983&gt;$I1981,1,0),IF($J1983&gt;$J1981,1,0),IF($K1983&gt;$K1981,1,0),IF($L1983&gt;$L1981,1,0))&lt;&gt;3,"Error",""),""),""),"")</f>
        <v/>
      </c>
      <c r="R1984" t="str">
        <f>A1972</f>
        <v>4th Singles</v>
      </c>
      <c r="S1984"/>
      <c r="T1984"/>
      <c r="U1984"/>
      <c r="V1984"/>
      <c r="W1984"/>
      <c r="X1984"/>
      <c r="Y1984"/>
      <c r="Z1984"/>
      <c r="AA1984"/>
      <c r="AB1984"/>
      <c r="AC1984"/>
      <c r="AD1984"/>
      <c r="AE1984"/>
      <c r="AF1984"/>
    </row>
    <row r="1985" spans="1:32" ht="12.75" customHeight="1" x14ac:dyDescent="0.25">
      <c r="G1985" s="53">
        <f ca="1">COUNTIF($Q1953:$Q1953,"W")+COUNTIF($Q1960:$Q1960,"W")+COUNTIF($Q1967:$Q1967,"W")+COUNTIF($Q1974:$Q1974,"W")</f>
        <v>0</v>
      </c>
      <c r="J1985" s="53">
        <f ca="1">COUNTIF($Q1955:$Q1955,"W")+COUNTIF($Q1962:$Q1962,"W")+COUNTIF($Q1969:$Q1969,"W")+COUNTIF($Q1976:$Q1976,"W")</f>
        <v>0</v>
      </c>
      <c r="R1985" s="47" t="s">
        <v>160</v>
      </c>
      <c r="S1985" s="304" t="s">
        <v>58</v>
      </c>
      <c r="T1985" s="305"/>
      <c r="U1985" s="305"/>
      <c r="V1985" s="305"/>
      <c r="W1985" s="305"/>
      <c r="X1985" s="306"/>
      <c r="Y1985" s="47">
        <v>1</v>
      </c>
      <c r="Z1985" s="47">
        <v>2</v>
      </c>
      <c r="AA1985" s="47">
        <v>3</v>
      </c>
      <c r="AB1985" s="47">
        <v>4</v>
      </c>
      <c r="AC1985" s="47">
        <v>5</v>
      </c>
      <c r="AD1985" s="286"/>
      <c r="AE1985" s="287"/>
      <c r="AF1985" s="288"/>
    </row>
    <row r="1986" spans="1:32" ht="12.75" customHeight="1" thickBot="1" x14ac:dyDescent="0.3">
      <c r="F1986" s="212" t="s">
        <v>170</v>
      </c>
      <c r="G1986" s="212"/>
      <c r="H1986" s="212"/>
      <c r="I1986" s="212"/>
      <c r="J1986" s="212"/>
      <c r="K1986" s="212"/>
      <c r="R1986" s="259" t="str">
        <f>B1947</f>
        <v>D</v>
      </c>
      <c r="S1986" s="307" t="str">
        <f ca="1">IF($B1974&lt;&gt;"",$B1974,"")</f>
        <v/>
      </c>
      <c r="T1986" s="308"/>
      <c r="U1986" s="308"/>
      <c r="V1986" s="308"/>
      <c r="W1986" s="308"/>
      <c r="X1986" s="309"/>
      <c r="Y1986" s="284"/>
      <c r="Z1986" s="284"/>
      <c r="AA1986" s="297"/>
      <c r="AB1986" s="297"/>
      <c r="AC1986" s="297"/>
      <c r="AD1986" s="296"/>
      <c r="AE1986" s="298"/>
      <c r="AF1986" s="299"/>
    </row>
    <row r="1987" spans="1:32" ht="12.75" customHeight="1" x14ac:dyDescent="0.25">
      <c r="A1987" s="16"/>
      <c r="B1987" s="16"/>
      <c r="C1987" s="16"/>
      <c r="D1987" s="16"/>
      <c r="E1987" s="16"/>
      <c r="G1987" s="261" t="str">
        <f>B1947</f>
        <v>D</v>
      </c>
      <c r="H1987" s="262"/>
      <c r="I1987" s="263" t="str">
        <f>K1947</f>
        <v>H</v>
      </c>
      <c r="J1987" s="264"/>
      <c r="L1987" s="16"/>
      <c r="M1987" s="16"/>
      <c r="N1987" s="16"/>
      <c r="O1987" s="16"/>
      <c r="P1987" s="16"/>
      <c r="R1987" s="260"/>
      <c r="S1987" s="310"/>
      <c r="T1987" s="311"/>
      <c r="U1987" s="311"/>
      <c r="V1987" s="311"/>
      <c r="W1987" s="311"/>
      <c r="X1987" s="312"/>
      <c r="Y1987" s="285"/>
      <c r="Z1987" s="285"/>
      <c r="AA1987" s="303"/>
      <c r="AB1987" s="303"/>
      <c r="AC1987" s="303"/>
      <c r="AD1987" s="300"/>
      <c r="AE1987" s="301"/>
      <c r="AF1987" s="302"/>
    </row>
    <row r="1988" spans="1:32" ht="12.75" customHeight="1" thickBot="1" x14ac:dyDescent="0.3">
      <c r="A1988" s="2" t="s">
        <v>160</v>
      </c>
      <c r="B1988" s="40" t="str">
        <f>B1947</f>
        <v>D</v>
      </c>
      <c r="C1988" s="3" t="s">
        <v>158</v>
      </c>
      <c r="F1988" s="53" t="str">
        <f>CONCATENATE($B1947,"-",$K1947)</f>
        <v>D-H</v>
      </c>
      <c r="G1988" s="240" t="str">
        <f ca="1">IF(OR(Q1953&lt;&gt;"",Q1960&lt;&gt;"",Q1967&lt;&gt;"",Q1974&lt;&gt;"",Q1981&lt;&gt;""),COUNTIF(Q1953:Q1953,"W")+COUNTIF(Q1960:Q1960,"W")+COUNTIF(Q1967:Q1967,"W")+COUNTIF(Q1974:Q1974,"W")+COUNTIF(Q1981:Q1981,"W"),"")</f>
        <v/>
      </c>
      <c r="H1988" s="241"/>
      <c r="I1988" s="242" t="str">
        <f ca="1">IF(OR(Q1955&lt;&gt;"",Q1962&lt;&gt;"",Q1969&lt;&gt;"",Q1976&lt;&gt;"",Q1983&lt;&gt;""),COUNTIF(Q1955:Q1955,"W")+COUNTIF(Q1962:Q1962,"W")+COUNTIF(Q1969:Q1969,"W")+COUNTIF(Q1976:Q1976,"W")+COUNTIF(Q1983:Q1983,"W"),"")</f>
        <v/>
      </c>
      <c r="J1988" s="243"/>
      <c r="L1988" s="2" t="s">
        <v>160</v>
      </c>
      <c r="M1988" s="40" t="str">
        <f>K1947</f>
        <v>H</v>
      </c>
      <c r="N1988" s="3" t="s">
        <v>158</v>
      </c>
      <c r="R1988" s="259" t="str">
        <f>K1947</f>
        <v>H</v>
      </c>
      <c r="S1988" s="307" t="str">
        <f ca="1">IF($B1976&lt;&gt;"",$B1976,"")</f>
        <v/>
      </c>
      <c r="T1988" s="308"/>
      <c r="U1988" s="308"/>
      <c r="V1988" s="308"/>
      <c r="W1988" s="308"/>
      <c r="X1988" s="309"/>
      <c r="Y1988" s="284"/>
      <c r="Z1988" s="284"/>
      <c r="AA1988" s="297"/>
      <c r="AB1988" s="297"/>
      <c r="AC1988" s="297"/>
      <c r="AD1988" s="289" t="s">
        <v>169</v>
      </c>
      <c r="AE1988" s="290"/>
      <c r="AF1988" s="291"/>
    </row>
    <row r="1989" spans="1:32" ht="12.75" customHeight="1" x14ac:dyDescent="0.35">
      <c r="F1989" s="18" t="s">
        <v>403</v>
      </c>
      <c r="G1989" s="17"/>
      <c r="H1989" s="17"/>
      <c r="I1989" s="17"/>
      <c r="J1989" s="17"/>
      <c r="R1989" s="285"/>
      <c r="S1989" s="310"/>
      <c r="T1989" s="311"/>
      <c r="U1989" s="311"/>
      <c r="V1989" s="311"/>
      <c r="W1989" s="311"/>
      <c r="X1989" s="312"/>
      <c r="Y1989" s="285"/>
      <c r="Z1989" s="285"/>
      <c r="AA1989" s="285"/>
      <c r="AB1989" s="285"/>
      <c r="AC1989" s="285"/>
      <c r="AD1989" s="292"/>
      <c r="AE1989" s="293"/>
      <c r="AF1989" s="294"/>
    </row>
    <row r="1990" spans="1:32" ht="12.75" customHeight="1" x14ac:dyDescent="0.25">
      <c r="R1990" s="1"/>
      <c r="S1990" s="11"/>
      <c r="T1990" s="11"/>
      <c r="U1990" s="11"/>
      <c r="V1990" s="11"/>
      <c r="W1990" s="11"/>
    </row>
    <row r="1991" spans="1:32" ht="12.75" customHeight="1" x14ac:dyDescent="0.25">
      <c r="F1991" s="212"/>
      <c r="G1991" s="212"/>
      <c r="H1991" s="212"/>
      <c r="I1991" s="212"/>
      <c r="R1991" s="1"/>
      <c r="S1991" s="11"/>
      <c r="T1991" s="11"/>
      <c r="U1991" s="11"/>
      <c r="V1991" s="11"/>
      <c r="W1991" s="11"/>
    </row>
    <row r="1992" spans="1:32" ht="12.75" customHeight="1" x14ac:dyDescent="0.25">
      <c r="F1992" s="212"/>
      <c r="G1992" s="212"/>
      <c r="H1992" s="212"/>
      <c r="I1992" s="212"/>
      <c r="R1992" s="1"/>
      <c r="S1992" s="11"/>
      <c r="T1992" s="11"/>
      <c r="U1992" s="11"/>
      <c r="V1992" s="11"/>
      <c r="W1992" s="11"/>
    </row>
    <row r="1993" spans="1:32" ht="12.75" customHeight="1" x14ac:dyDescent="0.25">
      <c r="K1993" s="219" t="s">
        <v>176</v>
      </c>
      <c r="L1993" s="219"/>
      <c r="M1993" s="219"/>
      <c r="N1993" s="219"/>
      <c r="O1993" s="219"/>
      <c r="P1993" s="219"/>
      <c r="R1993" s="1"/>
      <c r="S1993" s="11"/>
      <c r="T1993" s="11"/>
      <c r="U1993" s="11"/>
      <c r="V1993" s="11"/>
      <c r="W1993" s="11"/>
    </row>
    <row r="1994" spans="1:32" ht="12.75" customHeight="1" x14ac:dyDescent="0.25">
      <c r="A1994" s="9" t="s">
        <v>161</v>
      </c>
      <c r="B1994"/>
      <c r="C1994"/>
      <c r="D1994" t="str">
        <f>Draw!$B$1</f>
        <v>Enter Division Name</v>
      </c>
      <c r="E1994"/>
      <c r="F1994" s="6"/>
      <c r="G1994" s="6"/>
      <c r="H1994" s="6"/>
      <c r="I1994"/>
      <c r="J1994"/>
      <c r="K1994"/>
      <c r="L1994"/>
      <c r="M1994" s="219"/>
      <c r="N1994" s="219"/>
      <c r="O1994" s="219"/>
      <c r="P1994" s="219"/>
      <c r="R1994" s="1"/>
      <c r="S1994" s="11"/>
      <c r="T1994" s="11"/>
      <c r="U1994" s="11"/>
      <c r="V1994" s="11"/>
      <c r="W1994" s="11"/>
    </row>
    <row r="1995" spans="1:32" ht="12.75" customHeight="1" x14ac:dyDescent="0.25">
      <c r="A1995" s="2" t="s">
        <v>162</v>
      </c>
      <c r="D1995" t="str">
        <f>Draw!$D$1</f>
        <v>Enter Hosting Location (City, ST)</v>
      </c>
      <c r="J1995" t="str">
        <f ca="1">$J$6</f>
        <v>[NCTTA Teams Template (v3.4).xlsx]</v>
      </c>
      <c r="R1995" s="1"/>
      <c r="S1995" s="11"/>
      <c r="T1995" s="11"/>
      <c r="U1995" s="11"/>
      <c r="V1995" s="11"/>
      <c r="W1995" s="11"/>
    </row>
    <row r="1996" spans="1:32" ht="12.75" customHeight="1" x14ac:dyDescent="0.25">
      <c r="A1996" s="2" t="s">
        <v>163</v>
      </c>
      <c r="D1996" s="275" t="str">
        <f>Draw!$P$1</f>
        <v>Enter Date</v>
      </c>
      <c r="E1996" s="275"/>
      <c r="F1996" s="275"/>
      <c r="G1996" s="275"/>
      <c r="J1996" s="244" t="str">
        <f>CHOOSE(Draw!$T$1,"Round 7, Match 4","","","","","","","","","Round 8, Match 5","Round 8, Match 5")</f>
        <v>Round 7, Match 4</v>
      </c>
      <c r="K1996" s="244"/>
      <c r="L1996" s="244"/>
      <c r="M1996" s="277" t="str">
        <f>IF(AND($J1996&lt;&gt;"",Draw!$AC$10&lt;&gt;"",Draw!$AC$13&lt;&gt;""),Draw!$AC$10+TIME(0,VALUE(MID($J1996,7,FIND(",",$J1996)-FIND(" ",$J1996)-1)-1)*Draw!$AC$13,0),"")</f>
        <v/>
      </c>
      <c r="N1996" s="277"/>
      <c r="O1996" s="125" t="str">
        <f>$F2039</f>
        <v>C-I</v>
      </c>
      <c r="R1996" s="1"/>
      <c r="S1996" s="11"/>
      <c r="T1996" s="11"/>
      <c r="U1996" s="11"/>
      <c r="V1996" s="11"/>
      <c r="W1996" s="11"/>
    </row>
    <row r="1997" spans="1:32" ht="12.75" customHeight="1" x14ac:dyDescent="0.25">
      <c r="A1997" s="6"/>
      <c r="B1997"/>
      <c r="C1997"/>
      <c r="D1997"/>
      <c r="E1997"/>
      <c r="F1997" s="6"/>
      <c r="G1997" s="6"/>
      <c r="H1997" s="11"/>
      <c r="I1997" s="6"/>
      <c r="J1997"/>
      <c r="K1997"/>
      <c r="L1997"/>
      <c r="M1997"/>
      <c r="N1997"/>
      <c r="O1997" s="269" t="str">
        <f>IF(OR(AND(VLOOKUP($B1998,$AM$1:$AX$12,12,FALSE)="C",VLOOKUP($K1998,$AM$1:$AX$12,12,FALSE)="C"),AND(VLOOKUP($B1998,$AM$1:$AX$12,12,FALSE)="W",VLOOKUP($K1998,$AM$1:$AX$12,12,FALSE)="W")),"Official",IF(AND($A1999="",$J1999=""),"","Scrimmage"))</f>
        <v/>
      </c>
      <c r="P1997" s="269"/>
      <c r="R1997" s="1"/>
      <c r="S1997" s="11"/>
      <c r="T1997" s="11"/>
      <c r="U1997" s="11"/>
      <c r="V1997" s="11"/>
      <c r="W1997" s="11"/>
    </row>
    <row r="1998" spans="1:32" ht="12.75" customHeight="1" x14ac:dyDescent="0.25">
      <c r="A1998" s="12" t="s">
        <v>160</v>
      </c>
      <c r="B1998" s="98" t="str">
        <f>CHOOSE(Draw!$T$1,"C","B","C","D","E","E","D","C","B","F","J")</f>
        <v>C</v>
      </c>
      <c r="C1998" s="109">
        <f>VLOOKUP($B1998,$AM$1:$AN$12,2)</f>
        <v>3</v>
      </c>
      <c r="D1998" s="10"/>
      <c r="E1998" s="10"/>
      <c r="F1998" s="8"/>
      <c r="H1998" s="1" t="s">
        <v>164</v>
      </c>
      <c r="J1998" s="12" t="s">
        <v>160</v>
      </c>
      <c r="K1998" s="98" t="str">
        <f>CHOOSE(Draw!$T$1,"I","J","J","G","G","G","K","L","J","G","K")</f>
        <v>I</v>
      </c>
      <c r="L1998" s="109">
        <f>VLOOKUP($K1998,$AM$1:$AN$12,2)</f>
        <v>9</v>
      </c>
      <c r="M1998" s="10"/>
      <c r="N1998" s="10"/>
      <c r="O1998" s="13"/>
      <c r="R1998" s="1"/>
      <c r="S1998" s="11"/>
      <c r="T1998" s="11"/>
      <c r="U1998" s="11"/>
      <c r="V1998" s="11"/>
      <c r="W1998" s="11"/>
    </row>
    <row r="1999" spans="1:32" ht="12.75" customHeight="1" x14ac:dyDescent="0.25">
      <c r="A1999" s="253" t="str">
        <f>IF(VLOOKUP($B1998,Draw!$A$4:$B$27,2)&lt;&gt;0,VLOOKUP($B1998,Draw!$A$4:$B$27,2),"")</f>
        <v/>
      </c>
      <c r="B1999" s="254"/>
      <c r="C1999" s="254"/>
      <c r="D1999" s="254"/>
      <c r="E1999" s="254"/>
      <c r="F1999" s="255"/>
      <c r="G1999" s="273" t="s">
        <v>443</v>
      </c>
      <c r="H1999" s="249"/>
      <c r="I1999" s="274"/>
      <c r="J1999" s="253" t="str">
        <f>IF(VLOOKUP($K1998,Draw!$A$4:$B$27,2)&lt;&gt;0,VLOOKUP($K1998,Draw!$A$4:$B$27,2),"")</f>
        <v/>
      </c>
      <c r="K1999" s="254"/>
      <c r="L1999" s="254"/>
      <c r="M1999" s="254"/>
      <c r="N1999" s="254"/>
      <c r="O1999" s="255"/>
      <c r="P1999"/>
      <c r="R1999" s="1"/>
      <c r="S1999" s="11"/>
      <c r="T1999" s="11"/>
      <c r="U1999" s="11"/>
      <c r="V1999" s="11"/>
      <c r="W1999" s="11"/>
    </row>
    <row r="2000" spans="1:32" ht="12.75" customHeight="1" x14ac:dyDescent="0.25">
      <c r="A2000" s="6"/>
      <c r="B2000"/>
      <c r="C2000"/>
      <c r="D2000"/>
      <c r="E2000"/>
      <c r="F2000" s="6"/>
      <c r="G2000" s="248" t="str">
        <f>"Page "&amp;VALUE(RIGHT($G1999,LEN($G1999)-SEARCH("-",$G1999)))/2</f>
        <v>Page 40</v>
      </c>
      <c r="H2000" s="249"/>
      <c r="I2000" s="249"/>
      <c r="J2000"/>
      <c r="K2000"/>
      <c r="L2000"/>
      <c r="M2000"/>
      <c r="N2000"/>
      <c r="O2000"/>
      <c r="P2000"/>
      <c r="R2000" s="1"/>
      <c r="S2000" s="11"/>
      <c r="T2000" s="11"/>
      <c r="U2000" s="11"/>
      <c r="V2000" s="11"/>
      <c r="W2000" s="11"/>
      <c r="AF2000"/>
    </row>
    <row r="2001" spans="1:32" ht="12.75" customHeight="1" x14ac:dyDescent="0.25">
      <c r="A2001" s="276" t="s">
        <v>177</v>
      </c>
      <c r="B2001" s="276"/>
      <c r="C2001" s="276"/>
      <c r="D2001" s="276"/>
      <c r="E2001" s="276"/>
      <c r="F2001" s="276"/>
      <c r="G2001" s="276"/>
      <c r="H2001" s="276"/>
      <c r="I2001" s="276"/>
      <c r="J2001" s="276"/>
      <c r="K2001" s="276"/>
      <c r="L2001" s="276"/>
      <c r="M2001" s="276"/>
      <c r="N2001" s="276"/>
      <c r="O2001" s="276"/>
      <c r="P2001" s="276"/>
      <c r="Q2001" s="6"/>
      <c r="R2001" s="1"/>
      <c r="S2001" s="11"/>
      <c r="T2001" s="11"/>
      <c r="U2001" s="11"/>
      <c r="V2001" s="11"/>
      <c r="W2001" s="11"/>
      <c r="AF2001" s="14"/>
    </row>
    <row r="2002" spans="1:32" ht="12.75" customHeight="1" x14ac:dyDescent="0.25">
      <c r="A2002" s="15" t="s">
        <v>165</v>
      </c>
      <c r="H2002" s="110" t="str">
        <f>IF($Q2004&lt;&gt;"",IF(AND(AND($H2004&gt;-1,$H2006&gt;-1),OR($H2004&gt;10,$H2006&gt;10),ABS($H2004-$H2006)&gt;1,IF(OR($H2004&gt;11,$H2006&gt;11),ABS($H2004-$H2006)=2,TRUE),$H2004=INT($H2004),$H2006=INT($H2006)),"","Error"),"")</f>
        <v/>
      </c>
      <c r="I2002" s="110" t="str">
        <f>IF($Q2004&lt;&gt;"",IF(AND(AND($I2004&gt;-1,$I2006&gt;-1),OR($I2004&gt;10,$I2006&gt;10),ABS($I2004-$I2006)&gt;1,IF(OR($I2004&gt;11,$I2006&gt;11),ABS($I2004-$I2006)=2,TRUE),$I2004=INT($I2004),$I2006=INT($I2006)),"","Error"),"")</f>
        <v/>
      </c>
      <c r="J2002" s="110" t="str">
        <f>IF($Q2004&lt;&gt;"",IF(AND(AND($J2004&gt;-1,$J2006&gt;-1),OR($J2004&gt;10,$J2006&gt;10),ABS($J2004-$J2006)&gt;1,IF(OR($J2004&gt;11,$J2006&gt;11),ABS($J2004-$J2006)=2,TRUE),$J2004=INT($J2004),$J2006=INT($J2006)),"","Error"),"")</f>
        <v/>
      </c>
      <c r="K2002" s="110" t="str">
        <f>IF($Q2004&lt;&gt;"",IF(AND($K2004&lt;&gt;"",$K2006&lt;&gt;""), IF(AND(AND($K2004&gt;-1,$K2006&gt;-1),OR($K2004&gt;10,$K2006&gt;10),ABS($K2004-$K2006)&gt;1,IF(OR($K2004&gt;11,$K2006&gt;11),ABS($K2004-$K2006)=2,TRUE),$K2004=INT($K2004),$K2006=INT($K2006)),"","Error"),""),"")</f>
        <v/>
      </c>
      <c r="L2002" s="110" t="str">
        <f>IF($Q2004&lt;&gt;"",IF(AND($L2004&lt;&gt;"",$L2006&lt;&gt;""), IF(AND(AND($L2004&gt;-1,$L2006&gt;-1),OR($L2004&gt;10,$L2006&gt;10),ABS($L2004-$L2006)&gt;1,IF(OR($L2004&gt;11,$L2006&gt;11),ABS($L2004-$L2006)=2,TRUE),$L2004=INT($L2004),$L2006=INT($L2006)),"","Error"),""),"")</f>
        <v/>
      </c>
      <c r="R2002" s="1"/>
      <c r="S2002" s="11"/>
      <c r="T2002" s="11"/>
      <c r="U2002" s="11"/>
      <c r="V2002" s="11"/>
      <c r="W2002" s="11"/>
    </row>
    <row r="2003" spans="1:32" ht="12.75" customHeight="1" x14ac:dyDescent="0.25">
      <c r="A2003" s="5" t="s">
        <v>160</v>
      </c>
      <c r="B2003" s="256" t="s">
        <v>58</v>
      </c>
      <c r="C2003" s="257"/>
      <c r="D2003" s="257"/>
      <c r="E2003" s="257"/>
      <c r="F2003" s="257"/>
      <c r="G2003" s="258"/>
      <c r="H2003" s="5">
        <v>1</v>
      </c>
      <c r="I2003" s="5">
        <v>2</v>
      </c>
      <c r="J2003" s="5">
        <v>3</v>
      </c>
      <c r="K2003" s="5">
        <v>4</v>
      </c>
      <c r="L2003" s="5">
        <v>5</v>
      </c>
      <c r="M2003" s="270"/>
      <c r="N2003" s="271"/>
      <c r="O2003" s="271"/>
      <c r="P2003" s="272"/>
      <c r="R2003" s="1"/>
      <c r="S2003" s="11"/>
      <c r="T2003" s="11"/>
      <c r="U2003" s="11"/>
      <c r="V2003" s="11"/>
      <c r="W2003" s="11"/>
    </row>
    <row r="2004" spans="1:32" ht="12.75" customHeight="1" x14ac:dyDescent="0.25">
      <c r="A2004" s="259" t="str">
        <f>B1998</f>
        <v>C</v>
      </c>
      <c r="B2004" s="236" t="str">
        <f ca="1">IF(AND(OFFSET($AO$1,$C1998-1,8,1,1),$A1999&lt;&gt;"",$J1999&lt;&gt;""),CHOOSE($C1998,$AO$1,$AO$2,$AO$3,$AO$4,$AO$5,$AO$6,$AO$7,$AO$8,$AO$9,$AO$10,$AO$11,$AO$12),"")</f>
        <v/>
      </c>
      <c r="C2004" s="237"/>
      <c r="D2004" s="237"/>
      <c r="E2004" s="237"/>
      <c r="F2004" s="237"/>
      <c r="G2004" s="237"/>
      <c r="H2004" s="233"/>
      <c r="I2004" s="233"/>
      <c r="J2004" s="233"/>
      <c r="K2004" s="233"/>
      <c r="L2004" s="233"/>
      <c r="M2004" s="281"/>
      <c r="N2004" s="282"/>
      <c r="O2004" s="282"/>
      <c r="P2004" s="283"/>
      <c r="Q2004" s="40" t="str">
        <f>IF($L2004=$L2006,IF($K2004=$K2006,IF($J2004&lt;&gt;"",IF($J2004&gt;$J2006,"W","L"),""),IF($K2004&gt;$K2006,"W","L")),IF($L2004&gt;$L2006,"W","L"))</f>
        <v/>
      </c>
      <c r="R2004" s="1"/>
      <c r="S2004" s="11"/>
      <c r="T2004" s="11"/>
      <c r="U2004" s="11"/>
      <c r="V2004" s="11"/>
      <c r="W2004" s="11"/>
    </row>
    <row r="2005" spans="1:32" ht="12.75" customHeight="1" x14ac:dyDescent="0.25">
      <c r="A2005" s="260"/>
      <c r="B2005" s="238"/>
      <c r="C2005" s="239"/>
      <c r="D2005" s="239"/>
      <c r="E2005" s="239"/>
      <c r="F2005" s="239"/>
      <c r="G2005" s="239"/>
      <c r="H2005" s="234"/>
      <c r="I2005" s="234"/>
      <c r="J2005" s="234"/>
      <c r="K2005" s="234"/>
      <c r="L2005" s="234"/>
      <c r="M2005" s="281"/>
      <c r="N2005" s="282"/>
      <c r="O2005" s="282"/>
      <c r="P2005" s="283"/>
      <c r="Q2005" s="110" t="str">
        <f>IF($Q2004&lt;&gt;"",IF($Q2004="W",IF(SUM(IF($H2004&gt;$H2006,1,0),IF($I2004&gt;$I2006,1,0),IF($J2004&gt;$J2006,1,0),IF($K2004&gt;$K2006,1,0),IF($L2004&gt;$L2006,1,0))&lt;&gt;3,"Error",""),""),"")</f>
        <v/>
      </c>
      <c r="R2005" s="295" t="str">
        <f>$A1999</f>
        <v/>
      </c>
      <c r="S2005" s="295"/>
      <c r="T2005" s="295"/>
      <c r="U2005" s="295"/>
      <c r="V2005" s="295"/>
      <c r="W2005" s="295"/>
      <c r="X2005" s="219" t="str">
        <f>CONCATENATE("(",$B1998," vs ",$K1998,")")</f>
        <v>(C vs I)</v>
      </c>
      <c r="Y2005" s="219"/>
      <c r="Z2005" s="295" t="str">
        <f>$J1999</f>
        <v/>
      </c>
      <c r="AA2005" s="295"/>
      <c r="AB2005" s="295"/>
      <c r="AC2005" s="295"/>
      <c r="AD2005" s="295"/>
      <c r="AE2005" s="295"/>
      <c r="AF2005"/>
    </row>
    <row r="2006" spans="1:32" ht="12.75" customHeight="1" x14ac:dyDescent="0.25">
      <c r="A2006" s="259" t="str">
        <f>K1998</f>
        <v>I</v>
      </c>
      <c r="B2006" s="236" t="str">
        <f ca="1">IF(AND(OFFSET($AO$1,$L1998-1,8,1,1),$A1999&lt;&gt;"",$J1999&lt;&gt;""),CHOOSE($L1998,$AO$1,$AO$2,$AO$3,$AO$4,$AO$5,$AO$6,$AO$7,$AO$8,$AO$9,$AO$10,$AO$11,$AO$12),"")</f>
        <v/>
      </c>
      <c r="C2006" s="237"/>
      <c r="D2006" s="237"/>
      <c r="E2006" s="237"/>
      <c r="F2006" s="237"/>
      <c r="G2006" s="237"/>
      <c r="H2006" s="233"/>
      <c r="I2006" s="233"/>
      <c r="J2006" s="233"/>
      <c r="K2006" s="233"/>
      <c r="L2006" s="233"/>
      <c r="M2006" s="250" t="s">
        <v>169</v>
      </c>
      <c r="N2006" s="251"/>
      <c r="O2006" s="251"/>
      <c r="P2006" s="252"/>
      <c r="Q2006" s="40" t="str">
        <f>IF($Q2004&lt;&gt;"",IF($Q2004="W","L","W"),"")</f>
        <v/>
      </c>
      <c r="R2006"/>
      <c r="S2006"/>
      <c r="T2006"/>
      <c r="U2006"/>
      <c r="V2006"/>
      <c r="W2006"/>
      <c r="X2006"/>
      <c r="Y2006"/>
      <c r="Z2006"/>
      <c r="AA2006"/>
      <c r="AB2006"/>
      <c r="AC2006"/>
      <c r="AD2006"/>
      <c r="AE2006"/>
      <c r="AF2006"/>
    </row>
    <row r="2007" spans="1:32" ht="12.75" customHeight="1" x14ac:dyDescent="0.25">
      <c r="A2007" s="260"/>
      <c r="B2007" s="238"/>
      <c r="C2007" s="239"/>
      <c r="D2007" s="239"/>
      <c r="E2007" s="239"/>
      <c r="F2007" s="239"/>
      <c r="G2007" s="239"/>
      <c r="H2007" s="234"/>
      <c r="I2007" s="234"/>
      <c r="J2007" s="235"/>
      <c r="K2007" s="235"/>
      <c r="L2007" s="235"/>
      <c r="M2007" s="250"/>
      <c r="N2007" s="251"/>
      <c r="O2007" s="251"/>
      <c r="P2007" s="252"/>
      <c r="Q2007" s="110" t="str">
        <f>IF($Q2006&lt;&gt;"",IF($Q2006="W",IF(SUM(IF($H2006&gt;$H2004,1,0),IF($I2006&gt;$I2004,1,0),IF($J2006&gt;$J2004,1,0),IF($K2006&gt;$K2004,1,0),IF($L2006&gt;$L2004,1,0))&lt;&gt;3,"Error",""),""),"")</f>
        <v/>
      </c>
      <c r="R2007" t="str">
        <f>$A2009</f>
        <v>2nd Singles</v>
      </c>
      <c r="S2007"/>
      <c r="T2007"/>
      <c r="U2007"/>
      <c r="V2007"/>
      <c r="W2007"/>
      <c r="X2007"/>
      <c r="Y2007"/>
      <c r="Z2007"/>
      <c r="AA2007"/>
      <c r="AB2007"/>
      <c r="AC2007"/>
      <c r="AD2007"/>
      <c r="AE2007"/>
      <c r="AF2007"/>
    </row>
    <row r="2008" spans="1:32" ht="12.75" customHeight="1" x14ac:dyDescent="0.25">
      <c r="Q2008" s="6"/>
      <c r="R2008" s="47" t="s">
        <v>160</v>
      </c>
      <c r="S2008" s="304" t="s">
        <v>58</v>
      </c>
      <c r="T2008" s="305"/>
      <c r="U2008" s="305"/>
      <c r="V2008" s="305"/>
      <c r="W2008" s="305"/>
      <c r="X2008" s="306"/>
      <c r="Y2008" s="47">
        <v>1</v>
      </c>
      <c r="Z2008" s="47">
        <v>2</v>
      </c>
      <c r="AA2008" s="47">
        <v>3</v>
      </c>
      <c r="AB2008" s="47">
        <v>4</v>
      </c>
      <c r="AC2008" s="47">
        <v>5</v>
      </c>
      <c r="AD2008" s="286"/>
      <c r="AE2008" s="287"/>
      <c r="AF2008" s="288"/>
    </row>
    <row r="2009" spans="1:32" ht="12.75" customHeight="1" x14ac:dyDescent="0.25">
      <c r="A2009" s="15" t="s">
        <v>166</v>
      </c>
      <c r="H2009" s="110" t="str">
        <f>IF($Q2011&lt;&gt;"",IF(AND(AND($H2011&gt;-1,$H2013&gt;-1),OR($H2011&gt;10,$H2013&gt;10),ABS($H2011-$H2013)&gt;1,IF(OR($H2011&gt;11,$H2013&gt;11),ABS($H2011-$H2013)=2,TRUE),$H2011=INT($H2011),$H2013=INT($H2013)),"","Error"),"")</f>
        <v/>
      </c>
      <c r="I2009" s="110" t="str">
        <f>IF($Q2011&lt;&gt;"",IF(AND(AND($I2011&gt;-1,$I2013&gt;-1),OR($I2011&gt;10,$I2013&gt;10),ABS($I2011-$I2013)&gt;1,IF(OR($I2011&gt;11,$I2013&gt;11),ABS($I2011-$I2013)=2,TRUE),$I2011=INT($I2011),$I2013=INT($I2013)),"","Error"),"")</f>
        <v/>
      </c>
      <c r="J2009" s="110" t="str">
        <f>IF($Q2011&lt;&gt;"",IF(AND(AND($J2011&gt;-1,$J2013&gt;-1),OR($J2011&gt;10,$J2013&gt;10),ABS($J2011-$J2013)&gt;1,IF(OR($J2011&gt;11,$J2013&gt;11),ABS($J2011-$J2013)=2,TRUE),$J2011=INT($J2011),$J2013=INT($J2013)),"","Error"),"")</f>
        <v/>
      </c>
      <c r="K2009" s="110" t="str">
        <f>IF($Q2011&lt;&gt;"",IF(AND($K2011&lt;&gt;"",$K2013&lt;&gt;""), IF(AND(AND($K2011&gt;-1,$K2013&gt;-1),OR($K2011&gt;10,$K2013&gt;10),ABS($K2011-$K2013)&gt;1,IF(OR($K2011&gt;11,$K2013&gt;11),ABS($K2011-$K2013)=2,TRUE),$K2011=INT($K2011),$K2013=INT($K2013)),"","Error"),""),"")</f>
        <v/>
      </c>
      <c r="L2009" s="110" t="str">
        <f>IF($Q2011&lt;&gt;"",IF(AND($L2011&lt;&gt;"",$L2013&lt;&gt;""), IF(AND(AND($L2011&gt;-1,$L2013&gt;-1),OR($L2011&gt;10,$L2013&gt;10),ABS($L2011-$L2013)&gt;1,IF(OR($L2011&gt;11,$L2013&gt;11),ABS($L2011-$L2013)=2,TRUE),$L2011=INT($L2011),$L2013=INT($L2013)),"","Error"),""),"")</f>
        <v/>
      </c>
      <c r="Q2009" s="6"/>
      <c r="R2009" s="259" t="str">
        <f>$B1998</f>
        <v>C</v>
      </c>
      <c r="S2009" s="307" t="str">
        <f ca="1">IF($B2011&lt;&gt;"",$B2011,"")</f>
        <v/>
      </c>
      <c r="T2009" s="308"/>
      <c r="U2009" s="308"/>
      <c r="V2009" s="308"/>
      <c r="W2009" s="308"/>
      <c r="X2009" s="309"/>
      <c r="Y2009" s="284"/>
      <c r="Z2009" s="284"/>
      <c r="AA2009" s="284"/>
      <c r="AB2009" s="284"/>
      <c r="AC2009" s="284"/>
      <c r="AD2009" s="296"/>
      <c r="AE2009" s="290"/>
      <c r="AF2009" s="291"/>
    </row>
    <row r="2010" spans="1:32" ht="12.75" customHeight="1" x14ac:dyDescent="0.25">
      <c r="A2010" s="5" t="s">
        <v>160</v>
      </c>
      <c r="B2010" s="256" t="s">
        <v>58</v>
      </c>
      <c r="C2010" s="257"/>
      <c r="D2010" s="257"/>
      <c r="E2010" s="257"/>
      <c r="F2010" s="257"/>
      <c r="G2010" s="258"/>
      <c r="H2010" s="5">
        <v>1</v>
      </c>
      <c r="I2010" s="5">
        <v>2</v>
      </c>
      <c r="J2010" s="5">
        <v>3</v>
      </c>
      <c r="K2010" s="5">
        <v>4</v>
      </c>
      <c r="L2010" s="5">
        <v>5</v>
      </c>
      <c r="M2010" s="270"/>
      <c r="N2010" s="271"/>
      <c r="O2010" s="271"/>
      <c r="P2010" s="272"/>
      <c r="Q2010" s="6"/>
      <c r="R2010" s="285"/>
      <c r="S2010" s="310"/>
      <c r="T2010" s="311"/>
      <c r="U2010" s="311"/>
      <c r="V2010" s="311"/>
      <c r="W2010" s="311"/>
      <c r="X2010" s="312"/>
      <c r="Y2010" s="285"/>
      <c r="Z2010" s="285"/>
      <c r="AA2010" s="285"/>
      <c r="AB2010" s="285"/>
      <c r="AC2010" s="285"/>
      <c r="AD2010" s="292"/>
      <c r="AE2010" s="293"/>
      <c r="AF2010" s="294"/>
    </row>
    <row r="2011" spans="1:32" ht="12.75" customHeight="1" x14ac:dyDescent="0.25">
      <c r="A2011" s="259" t="str">
        <f>B1998</f>
        <v>C</v>
      </c>
      <c r="B2011" s="236" t="str">
        <f ca="1">IF(AND(OFFSET($AO$1,$C1998-1,8,1,1),$A1999&lt;&gt;"",$J1999&lt;&gt;""),CHOOSE($C1998,$AP$1,$AP$2,$AP$3,$AP$4,$AP$5,$AP$6,$AP$7,$AP$8,$AP$9,$AP$10,$AP$11,$AP$12),"")</f>
        <v/>
      </c>
      <c r="C2011" s="237"/>
      <c r="D2011" s="237"/>
      <c r="E2011" s="237"/>
      <c r="F2011" s="237"/>
      <c r="G2011" s="237"/>
      <c r="H2011" s="233"/>
      <c r="I2011" s="233"/>
      <c r="J2011" s="233"/>
      <c r="K2011" s="233"/>
      <c r="L2011" s="233"/>
      <c r="M2011" s="245" t="str">
        <f ca="1">IF(OR(AND($B2004&lt;&gt;"",$B2011&lt;&gt;"",$C2029&lt;=$B2029),AND($B2006&lt;&gt;"",$B2013&lt;&gt;"",$G2029&lt;=$F2029)),"Invalid Lineup","")</f>
        <v/>
      </c>
      <c r="N2011" s="246"/>
      <c r="O2011" s="246"/>
      <c r="P2011" s="247"/>
      <c r="Q2011" s="40" t="str">
        <f>IF($L2011=$L2013,IF($K2011=$K2013,IF($J2011&lt;&gt;"",IF($J2011&gt;$J2013,"W","L"),""),IF($K2011&gt;$K2013,"W","L")),IF($L2011&gt;$L2013,"W","L"))</f>
        <v/>
      </c>
      <c r="R2011" s="259" t="str">
        <f>$K1998</f>
        <v>I</v>
      </c>
      <c r="S2011" s="307" t="str">
        <f ca="1">IF($B2013&lt;&gt;"",$B2013,"")</f>
        <v/>
      </c>
      <c r="T2011" s="308"/>
      <c r="U2011" s="308"/>
      <c r="V2011" s="308"/>
      <c r="W2011" s="308"/>
      <c r="X2011" s="309"/>
      <c r="Y2011" s="284"/>
      <c r="Z2011" s="284"/>
      <c r="AA2011" s="284"/>
      <c r="AB2011" s="284"/>
      <c r="AC2011" s="297"/>
      <c r="AD2011" s="289" t="s">
        <v>169</v>
      </c>
      <c r="AE2011" s="290"/>
      <c r="AF2011" s="291"/>
    </row>
    <row r="2012" spans="1:32" ht="12.75" customHeight="1" x14ac:dyDescent="0.25">
      <c r="A2012" s="260"/>
      <c r="B2012" s="238"/>
      <c r="C2012" s="239"/>
      <c r="D2012" s="239"/>
      <c r="E2012" s="239"/>
      <c r="F2012" s="239"/>
      <c r="G2012" s="239"/>
      <c r="H2012" s="234"/>
      <c r="I2012" s="234"/>
      <c r="J2012" s="234"/>
      <c r="K2012" s="234"/>
      <c r="L2012" s="234"/>
      <c r="M2012" s="245"/>
      <c r="N2012" s="246"/>
      <c r="O2012" s="246"/>
      <c r="P2012" s="247"/>
      <c r="Q2012" s="110" t="str">
        <f>IF($Q2011&lt;&gt;"",IF($Q2011="W",IF(SUM(IF($H2011&gt;$H2013,1,0),IF($I2011&gt;$I2013,1,0),IF($J2011&gt;$J2013,1,0),IF($K2011&gt;$K2013,1,0),IF($L2011&gt;$L2013,1,0))&lt;&gt;3,"Error",""),""),"")</f>
        <v/>
      </c>
      <c r="R2012" s="285"/>
      <c r="S2012" s="310"/>
      <c r="T2012" s="311"/>
      <c r="U2012" s="311"/>
      <c r="V2012" s="311"/>
      <c r="W2012" s="311"/>
      <c r="X2012" s="312"/>
      <c r="Y2012" s="285"/>
      <c r="Z2012" s="285"/>
      <c r="AA2012" s="285"/>
      <c r="AB2012" s="285"/>
      <c r="AC2012" s="285"/>
      <c r="AD2012" s="292"/>
      <c r="AE2012" s="293"/>
      <c r="AF2012" s="294"/>
    </row>
    <row r="2013" spans="1:32" ht="12.75" customHeight="1" x14ac:dyDescent="0.25">
      <c r="A2013" s="259" t="str">
        <f>K1998</f>
        <v>I</v>
      </c>
      <c r="B2013" s="236" t="str">
        <f ca="1">IF(AND(OFFSET($AO$1,$L1998-1,8,1,1),$A1999&lt;&gt;"",$J1999&lt;&gt;""),CHOOSE($L1998,$AP$1,$AP$2,$AP$3,$AP$4,$AP$5,$AP$6,$AP$7,$AP$8,$AP$9,$AP$10,$AP$11,$AP$12),"")</f>
        <v/>
      </c>
      <c r="C2013" s="237"/>
      <c r="D2013" s="237"/>
      <c r="E2013" s="237"/>
      <c r="F2013" s="237"/>
      <c r="G2013" s="237"/>
      <c r="H2013" s="233"/>
      <c r="I2013" s="233"/>
      <c r="J2013" s="233"/>
      <c r="K2013" s="233"/>
      <c r="L2013" s="233"/>
      <c r="M2013" s="250" t="s">
        <v>169</v>
      </c>
      <c r="N2013" s="251"/>
      <c r="O2013" s="251"/>
      <c r="P2013" s="252"/>
      <c r="Q2013" s="40" t="str">
        <f>IF($Q2011&lt;&gt;"",IF($Q2011="W","L","W"),"")</f>
        <v/>
      </c>
      <c r="R2013" s="14"/>
      <c r="S2013" s="14"/>
      <c r="T2013" s="14"/>
      <c r="U2013" s="14"/>
      <c r="V2013" s="14"/>
      <c r="W2013" s="14"/>
      <c r="X2013" s="7"/>
      <c r="Y2013" s="7"/>
      <c r="Z2013" s="14"/>
      <c r="AA2013" s="14"/>
      <c r="AB2013" s="14"/>
      <c r="AC2013" s="14"/>
      <c r="AD2013" s="14"/>
      <c r="AE2013" s="14"/>
      <c r="AF2013"/>
    </row>
    <row r="2014" spans="1:32" ht="12.75" customHeight="1" x14ac:dyDescent="0.25">
      <c r="A2014" s="260"/>
      <c r="B2014" s="238"/>
      <c r="C2014" s="239"/>
      <c r="D2014" s="239"/>
      <c r="E2014" s="239"/>
      <c r="F2014" s="239"/>
      <c r="G2014" s="239"/>
      <c r="H2014" s="234"/>
      <c r="I2014" s="234"/>
      <c r="J2014" s="235"/>
      <c r="K2014" s="235"/>
      <c r="L2014" s="235"/>
      <c r="M2014" s="250"/>
      <c r="N2014" s="251"/>
      <c r="O2014" s="251"/>
      <c r="P2014" s="252"/>
      <c r="Q2014" s="110" t="str">
        <f>IF($Q2013&lt;&gt;"",IF($Q2013="W",IF(SUM(IF($H2013&gt;$H2011,1,0),IF($I2013&gt;$I2011,1,0),IF($J2013&gt;$J2011,1,0),IF($K2013&gt;$K2011,1,0),IF($L2013&gt;$L2011,1,0))&lt;&gt;3,"Error",""),""),"")</f>
        <v/>
      </c>
      <c r="R2014" s="14"/>
      <c r="S2014" s="14"/>
      <c r="T2014" s="14"/>
      <c r="U2014" s="14"/>
      <c r="V2014" s="14"/>
      <c r="W2014" s="14"/>
      <c r="X2014" s="7"/>
      <c r="Y2014" s="7"/>
      <c r="Z2014" s="14"/>
      <c r="AA2014" s="14"/>
      <c r="AB2014" s="14"/>
      <c r="AC2014" s="14"/>
      <c r="AD2014" s="14"/>
      <c r="AE2014" s="14"/>
      <c r="AF2014"/>
    </row>
    <row r="2015" spans="1:32" ht="12.75" customHeight="1" x14ac:dyDescent="0.25">
      <c r="Q2015" s="6"/>
      <c r="R2015" s="14"/>
      <c r="S2015" s="14"/>
      <c r="T2015" s="14"/>
      <c r="U2015" s="14"/>
      <c r="V2015" s="14"/>
      <c r="W2015" s="14"/>
      <c r="X2015" s="7"/>
      <c r="Y2015" s="7"/>
      <c r="Z2015" s="14"/>
      <c r="AA2015" s="14"/>
      <c r="AB2015" s="14"/>
      <c r="AC2015" s="14"/>
      <c r="AD2015" s="14"/>
      <c r="AE2015" s="14"/>
      <c r="AF2015"/>
    </row>
    <row r="2016" spans="1:32" ht="12.75" customHeight="1" x14ac:dyDescent="0.25">
      <c r="A2016" s="15" t="s">
        <v>167</v>
      </c>
      <c r="H2016" s="110" t="str">
        <f>IF($Q2018&lt;&gt;"",IF(AND(AND($H2018&gt;-1,$H2020&gt;-1),OR($H2018&gt;10,$H2020&gt;10),ABS($H2018-$H2020)&gt;1,IF(OR($H2018&gt;11,$H2020&gt;11),ABS($H2018-$H2020)=2,TRUE),$H2018=INT($H2018),$H2020=INT($H2020)),"","Error"),"")</f>
        <v/>
      </c>
      <c r="I2016" s="110" t="str">
        <f>IF($Q2018&lt;&gt;"",IF(AND(AND($I2018&gt;-1,$I2020&gt;-1),OR($I2018&gt;10,$I2020&gt;10),ABS($I2018-$I2020)&gt;1,IF(OR($I2018&gt;11,$I2020&gt;11),ABS($I2018-$I2020)=2,TRUE),$I2018=INT($I2018),$I2020=INT($I2020)),"","Error"),"")</f>
        <v/>
      </c>
      <c r="J2016" s="110" t="str">
        <f>IF($Q2018&lt;&gt;"",IF(AND(AND($J2018&gt;-1,$J2020&gt;-1),OR($J2018&gt;10,$J2020&gt;10),ABS($J2018-$J2020)&gt;1,IF(OR($J2018&gt;11,$J2020&gt;11),ABS($J2018-$J2020)=2,TRUE),$J2018=INT($J2018),$J2020=INT($J2020)),"","Error"),"")</f>
        <v/>
      </c>
      <c r="K2016" s="110" t="str">
        <f>IF($Q2018&lt;&gt;"",IF(AND($K2018&lt;&gt;"",$K2020&lt;&gt;""), IF(AND(AND($K2018&gt;-1,$K2020&gt;-1),OR($K2018&gt;10,$K2020&gt;10),ABS($K2018-$K2020)&gt;1,IF(OR($K2018&gt;11,$K2020&gt;11),ABS($K2018-$K2020)=2,TRUE),$K2018=INT($K2018),$K2020=INT($K2020)),"","Error"),""),"")</f>
        <v/>
      </c>
      <c r="L2016" s="110" t="str">
        <f>IF($Q2018&lt;&gt;"",IF(AND($L2018&lt;&gt;"",$L2020&lt;&gt;""), IF(AND(AND($L2018&gt;-1,$L2020&gt;-1),OR($L2018&gt;10,$L2020&gt;10),ABS($L2018-$L2020)&gt;1,IF(OR($L2018&gt;11,$L2020&gt;11),ABS($L2018-$L2020)=2,TRUE),$L2018=INT($L2018),$L2020=INT($L2020)),"","Error"),""),"")</f>
        <v/>
      </c>
      <c r="Q2016" s="6"/>
      <c r="R2016" s="14"/>
      <c r="S2016" s="14"/>
      <c r="T2016" s="14"/>
      <c r="U2016" s="14"/>
      <c r="V2016" s="14"/>
      <c r="W2016" s="14"/>
      <c r="X2016" s="7"/>
      <c r="Y2016" s="7"/>
      <c r="Z2016" s="14"/>
      <c r="AA2016" s="14"/>
      <c r="AB2016" s="14"/>
      <c r="AC2016" s="14"/>
      <c r="AD2016" s="14"/>
      <c r="AE2016" s="14"/>
      <c r="AF2016"/>
    </row>
    <row r="2017" spans="1:32" ht="12.75" customHeight="1" x14ac:dyDescent="0.25">
      <c r="A2017" s="5" t="s">
        <v>160</v>
      </c>
      <c r="B2017" s="256" t="s">
        <v>58</v>
      </c>
      <c r="C2017" s="257"/>
      <c r="D2017" s="257"/>
      <c r="E2017" s="257"/>
      <c r="F2017" s="257"/>
      <c r="G2017" s="258"/>
      <c r="H2017" s="5">
        <v>1</v>
      </c>
      <c r="I2017" s="5">
        <v>2</v>
      </c>
      <c r="J2017" s="5">
        <v>3</v>
      </c>
      <c r="K2017" s="5">
        <v>4</v>
      </c>
      <c r="L2017" s="5">
        <v>5</v>
      </c>
      <c r="M2017" s="270"/>
      <c r="N2017" s="271"/>
      <c r="O2017" s="271"/>
      <c r="P2017" s="272"/>
      <c r="Q2017" s="6"/>
      <c r="R2017" s="14"/>
      <c r="S2017" s="14"/>
      <c r="T2017" s="14"/>
      <c r="U2017" s="14"/>
      <c r="V2017" s="14"/>
      <c r="W2017" s="14"/>
      <c r="X2017" s="7"/>
      <c r="Y2017" s="7"/>
      <c r="Z2017" s="14"/>
      <c r="AA2017" s="14"/>
      <c r="AB2017" s="14"/>
      <c r="AC2017" s="14"/>
      <c r="AD2017" s="14"/>
      <c r="AE2017" s="14"/>
      <c r="AF2017"/>
    </row>
    <row r="2018" spans="1:32" ht="12.75" customHeight="1" x14ac:dyDescent="0.25">
      <c r="A2018" s="259" t="str">
        <f>B1998</f>
        <v>C</v>
      </c>
      <c r="B2018" s="236" t="str">
        <f ca="1">IF(AND(OFFSET($AO$1,$C1998-1,8,1,1),$A1999&lt;&gt;"",$J1999&lt;&gt;""),CHOOSE($C1998,$AQ$1,$AQ$2,$AQ$3,$AQ$4,$AQ$5,$AQ$6,$AQ$7,$AQ$8,$AQ$9,$AQ$10,$AQ$11,$AQ$12),"")</f>
        <v/>
      </c>
      <c r="C2018" s="237"/>
      <c r="D2018" s="237"/>
      <c r="E2018" s="237"/>
      <c r="F2018" s="237"/>
      <c r="G2018" s="237"/>
      <c r="H2018" s="233"/>
      <c r="I2018" s="233"/>
      <c r="J2018" s="233"/>
      <c r="K2018" s="233"/>
      <c r="L2018" s="233"/>
      <c r="M2018" s="245" t="str">
        <f ca="1">IF(OR(AND($B2011&lt;&gt;"",$B2018&lt;&gt;"",$D2029&lt;=$C2029),AND($B2013&lt;&gt;"",$B2020&lt;&gt;"",$H2029&lt;=$G2029)),"Invalid Lineup","")</f>
        <v/>
      </c>
      <c r="N2018" s="246"/>
      <c r="O2018" s="246"/>
      <c r="P2018" s="247"/>
      <c r="Q2018" s="40" t="str">
        <f>IF($L2018=$L2020,IF($K2018=$K2020,IF($J2018&lt;&gt;"",IF($J2018&gt;$J2020,"W","L"),""),IF($K2018&gt;$K2020,"W","L")),IF($L2018&gt;$L2020,"W","L"))</f>
        <v/>
      </c>
      <c r="R2018" s="14"/>
      <c r="S2018" s="14"/>
      <c r="T2018" s="14"/>
      <c r="U2018" s="14"/>
      <c r="V2018" s="14"/>
      <c r="W2018" s="14"/>
      <c r="X2018" s="7"/>
      <c r="Y2018" s="7"/>
      <c r="Z2018" s="14"/>
      <c r="AA2018" s="14"/>
      <c r="AB2018" s="14"/>
      <c r="AC2018" s="14"/>
      <c r="AD2018" s="14"/>
      <c r="AE2018" s="14"/>
      <c r="AF2018"/>
    </row>
    <row r="2019" spans="1:32" ht="12.75" customHeight="1" x14ac:dyDescent="0.25">
      <c r="A2019" s="260"/>
      <c r="B2019" s="238"/>
      <c r="C2019" s="239"/>
      <c r="D2019" s="239"/>
      <c r="E2019" s="239"/>
      <c r="F2019" s="239"/>
      <c r="G2019" s="239"/>
      <c r="H2019" s="234"/>
      <c r="I2019" s="234"/>
      <c r="J2019" s="234"/>
      <c r="K2019" s="234"/>
      <c r="L2019" s="234"/>
      <c r="M2019" s="245"/>
      <c r="N2019" s="246"/>
      <c r="O2019" s="246"/>
      <c r="P2019" s="247"/>
      <c r="Q2019" s="110" t="str">
        <f>IF($Q2018&lt;&gt;"",IF($Q2018="W",IF(SUM(IF($H2018&gt;$H2020,1,0),IF($I2018&gt;$I2020,1,0),IF($J2018&gt;$J2020,1,0),IF($K2018&gt;$K2020,1,0),IF($L2018&gt;$L2020,1,0))&lt;&gt;3,"Error",""),""),"")</f>
        <v/>
      </c>
      <c r="R2019" s="295" t="str">
        <f>$A1999</f>
        <v/>
      </c>
      <c r="S2019" s="295"/>
      <c r="T2019" s="295"/>
      <c r="U2019" s="295"/>
      <c r="V2019" s="295"/>
      <c r="W2019" s="295"/>
      <c r="X2019" s="219" t="str">
        <f>CONCATENATE("(",$B1998," vs ",$K1998,")")</f>
        <v>(C vs I)</v>
      </c>
      <c r="Y2019" s="219"/>
      <c r="Z2019" s="295" t="str">
        <f>$J1999</f>
        <v/>
      </c>
      <c r="AA2019" s="295"/>
      <c r="AB2019" s="295"/>
      <c r="AC2019" s="295"/>
      <c r="AD2019" s="295"/>
      <c r="AE2019" s="295"/>
      <c r="AF2019"/>
    </row>
    <row r="2020" spans="1:32" ht="12.75" customHeight="1" x14ac:dyDescent="0.25">
      <c r="A2020" s="259" t="str">
        <f>K1998</f>
        <v>I</v>
      </c>
      <c r="B2020" s="236" t="str">
        <f ca="1">IF(AND(OFFSET($AO$1,$L1998-1,8,1,1),$A1999&lt;&gt;"",$J1999&lt;&gt;""),CHOOSE($L1998,$AQ$1,$AQ$2,$AQ$3,$AQ$4,$AQ$5,$AQ$6,$AQ$7,$AQ$8,$AQ$9,$AQ$10,$AQ$11,$AQ$12),"")</f>
        <v/>
      </c>
      <c r="C2020" s="237"/>
      <c r="D2020" s="237"/>
      <c r="E2020" s="237"/>
      <c r="F2020" s="237"/>
      <c r="G2020" s="237"/>
      <c r="H2020" s="233"/>
      <c r="I2020" s="233"/>
      <c r="J2020" s="233"/>
      <c r="K2020" s="233"/>
      <c r="L2020" s="233"/>
      <c r="M2020" s="250" t="s">
        <v>169</v>
      </c>
      <c r="N2020" s="251"/>
      <c r="O2020" s="251"/>
      <c r="P2020" s="252"/>
      <c r="Q2020" s="40" t="str">
        <f>IF($Q2018&lt;&gt;"",IF($Q2018="W","L","W"),"")</f>
        <v/>
      </c>
      <c r="R2020"/>
      <c r="S2020"/>
      <c r="T2020"/>
      <c r="U2020"/>
      <c r="V2020"/>
      <c r="W2020"/>
      <c r="X2020"/>
      <c r="Y2020"/>
      <c r="Z2020"/>
      <c r="AA2020"/>
      <c r="AB2020"/>
      <c r="AC2020"/>
      <c r="AD2020"/>
      <c r="AE2020"/>
      <c r="AF2020"/>
    </row>
    <row r="2021" spans="1:32" ht="12.75" customHeight="1" x14ac:dyDescent="0.25">
      <c r="A2021" s="260"/>
      <c r="B2021" s="238"/>
      <c r="C2021" s="239"/>
      <c r="D2021" s="239"/>
      <c r="E2021" s="239"/>
      <c r="F2021" s="239"/>
      <c r="G2021" s="239"/>
      <c r="H2021" s="234"/>
      <c r="I2021" s="234"/>
      <c r="J2021" s="235"/>
      <c r="K2021" s="235"/>
      <c r="L2021" s="235"/>
      <c r="M2021" s="250"/>
      <c r="N2021" s="251"/>
      <c r="O2021" s="251"/>
      <c r="P2021" s="252"/>
      <c r="Q2021" s="110" t="str">
        <f>IF($Q2020&lt;&gt;"",IF($Q2020="W",IF(SUM(IF($H2020&gt;$H2018,1,0),IF($I2020&gt;$I2018,1,0),IF($J2020&gt;$J2018,1,0),IF($K2020&gt;$K2018,1,0),IF($L2020&gt;$L2018,1,0))&lt;&gt;3,"Error",""),""),"")</f>
        <v/>
      </c>
      <c r="R2021" t="str">
        <f>$A2016</f>
        <v>3rd Singles</v>
      </c>
      <c r="S2021"/>
      <c r="T2021"/>
      <c r="U2021"/>
      <c r="V2021"/>
      <c r="W2021"/>
      <c r="X2021"/>
      <c r="Y2021"/>
      <c r="Z2021"/>
      <c r="AA2021"/>
      <c r="AB2021"/>
      <c r="AC2021"/>
      <c r="AD2021"/>
      <c r="AE2021"/>
      <c r="AF2021"/>
    </row>
    <row r="2022" spans="1:32" ht="12.75" customHeight="1" x14ac:dyDescent="0.25">
      <c r="Q2022" s="6"/>
      <c r="R2022" s="47" t="s">
        <v>160</v>
      </c>
      <c r="S2022" s="86" t="s">
        <v>58</v>
      </c>
      <c r="T2022" s="87"/>
      <c r="U2022" s="87"/>
      <c r="V2022" s="87"/>
      <c r="W2022" s="87"/>
      <c r="X2022" s="88"/>
      <c r="Y2022" s="47">
        <v>1</v>
      </c>
      <c r="Z2022" s="47">
        <v>2</v>
      </c>
      <c r="AA2022" s="47">
        <v>3</v>
      </c>
      <c r="AB2022" s="47">
        <v>4</v>
      </c>
      <c r="AC2022" s="47">
        <v>5</v>
      </c>
      <c r="AD2022" s="89"/>
      <c r="AE2022" s="90"/>
      <c r="AF2022" s="91"/>
    </row>
    <row r="2023" spans="1:32" ht="12.75" customHeight="1" x14ac:dyDescent="0.25">
      <c r="A2023" s="15" t="s">
        <v>168</v>
      </c>
      <c r="H2023" s="110" t="str">
        <f ca="1">IF($Q2025&lt;&gt;"",IF(AND($B2025&lt;&gt;"Missing Player",$B2027&lt;&gt;"Missing Player"),IF(AND(AND($H2025&gt;-1,$H2027&gt;-1),OR($H2025&gt;10,$H2027&gt;10),ABS($H2025-$H2027)&gt;1,IF(OR($H2025&gt;11,$H2027&gt;11),ABS($H2025-$H2027)=2,TRUE),$H2025=INT($H2025),$H2027=INT($H2027)),"","Error"),""),"")</f>
        <v/>
      </c>
      <c r="I2023" s="110" t="str">
        <f ca="1">IF($Q2025&lt;&gt;"",IF(AND($B2025&lt;&gt;"Missing Player",$B2027&lt;&gt;"Missing Player"),IF(AND(AND($I2025&gt;-1,$I2027&gt;-1),OR($I2025&gt;10,$I2027&gt;10),ABS($I2025-$I2027)&gt;1,IF(OR($I2025&gt;11,$I2027&gt;11),ABS($I2025-$I2027)=2,TRUE),$I2025=INT($I2025),$I2027=INT($I2027)),"","Error"),""),"")</f>
        <v/>
      </c>
      <c r="J2023" s="110" t="str">
        <f ca="1">IF($Q2025&lt;&gt;"",IF(AND($B2025&lt;&gt;"Missing Player",$B2027&lt;&gt;"Missing Player"),IF(AND(AND($J2025&gt;-1,$J2027&gt;-1),OR($J2025&gt;10,$J2027&gt;10),ABS($J2025-$J2027)&gt;1,IF(OR($J2025&gt;11,$J2027&gt;11),ABS($J2025-$J2027)=2,TRUE),$J2025=INT($J2025),$J2027=INT($J2027)),"","Error"),""),"")</f>
        <v/>
      </c>
      <c r="K2023" s="110" t="str">
        <f ca="1">IF($Q2025&lt;&gt;"",IF(AND($K2025&lt;&gt;"",$K2027&lt;&gt;""), IF(AND(AND($K2025&gt;-1,$K2027&gt;-1),OR($K2025&gt;10,$K2027&gt;10),ABS($K2025-$K2027)&gt;1,IF(OR($K2025&gt;11,$K2027&gt;11),ABS($K2025-$K2027)=2,TRUE),$K2025=INT($K2025),$K2027=INT($K2027)),"","Error"),""),"")</f>
        <v/>
      </c>
      <c r="L2023" s="110" t="str">
        <f ca="1">IF($Q2025&lt;&gt;"",IF(AND($L2025&lt;&gt;"",$L2027&lt;&gt;""), IF(AND(AND($L2025&gt;-1,$L2027&gt;-1),OR($L2025&gt;10,$L2027&gt;10),ABS($L2025-$L2027)&gt;1,IF(OR($L2025&gt;11,$L2027&gt;11),ABS($L2025-$L2027)=2,TRUE),$L2025=INT($L2025),$L2027=INT($L2027)),"","Error"),""),"")</f>
        <v/>
      </c>
      <c r="Q2023" s="6"/>
      <c r="R2023" s="259" t="str">
        <f>$B1998</f>
        <v>C</v>
      </c>
      <c r="S2023" s="307" t="str">
        <f ca="1">IF($B2018&lt;&gt;"",$B2018,"")</f>
        <v/>
      </c>
      <c r="T2023" s="308"/>
      <c r="U2023" s="308"/>
      <c r="V2023" s="308"/>
      <c r="W2023" s="308"/>
      <c r="X2023" s="309"/>
      <c r="Y2023" s="284"/>
      <c r="Z2023" s="284"/>
      <c r="AA2023" s="284"/>
      <c r="AB2023" s="284"/>
      <c r="AC2023" s="284"/>
      <c r="AD2023" s="296"/>
      <c r="AE2023" s="290"/>
      <c r="AF2023" s="291"/>
    </row>
    <row r="2024" spans="1:32" ht="12.75" customHeight="1" x14ac:dyDescent="0.25">
      <c r="A2024" s="5" t="s">
        <v>160</v>
      </c>
      <c r="B2024" s="256" t="s">
        <v>58</v>
      </c>
      <c r="C2024" s="257"/>
      <c r="D2024" s="257"/>
      <c r="E2024" s="257"/>
      <c r="F2024" s="257"/>
      <c r="G2024" s="258"/>
      <c r="H2024" s="5">
        <v>1</v>
      </c>
      <c r="I2024" s="5">
        <v>2</v>
      </c>
      <c r="J2024" s="5">
        <v>3</v>
      </c>
      <c r="K2024" s="5">
        <v>4</v>
      </c>
      <c r="L2024" s="5">
        <v>5</v>
      </c>
      <c r="M2024" s="270"/>
      <c r="N2024" s="271"/>
      <c r="O2024" s="271"/>
      <c r="P2024" s="272"/>
      <c r="Q2024" s="6"/>
      <c r="R2024" s="285"/>
      <c r="S2024" s="310"/>
      <c r="T2024" s="311"/>
      <c r="U2024" s="311"/>
      <c r="V2024" s="311"/>
      <c r="W2024" s="311"/>
      <c r="X2024" s="312"/>
      <c r="Y2024" s="285"/>
      <c r="Z2024" s="285"/>
      <c r="AA2024" s="285"/>
      <c r="AB2024" s="285"/>
      <c r="AC2024" s="285"/>
      <c r="AD2024" s="292"/>
      <c r="AE2024" s="293"/>
      <c r="AF2024" s="294"/>
    </row>
    <row r="2025" spans="1:32" ht="12.75" customHeight="1" x14ac:dyDescent="0.25">
      <c r="A2025" s="259" t="str">
        <f>B1998</f>
        <v>C</v>
      </c>
      <c r="B2025" s="236" t="str">
        <f ca="1">IF(AND(OFFSET($AO$1,$C1998-1,8,1,1),$A1999&lt;&gt;"",$J1999&lt;&gt;""),CHOOSE($C1998,$AR$1,$AR$2,$AR$3,$AR$4,$AR$5,$AR$6,$AR$7,$AR$8,$AR$9,$AR$10,$AR$11,$AR$12),"")</f>
        <v/>
      </c>
      <c r="C2025" s="237"/>
      <c r="D2025" s="237"/>
      <c r="E2025" s="237"/>
      <c r="F2025" s="237"/>
      <c r="G2025" s="237"/>
      <c r="H2025" s="233"/>
      <c r="I2025" s="233"/>
      <c r="J2025" s="233"/>
      <c r="K2025" s="233"/>
      <c r="L2025" s="233" t="str">
        <f ca="1">IF(AND($B2025&lt;&gt;"",$Q2004&lt;&gt;""),IF($B2025="Missing Player",0,IF($B2027="Missing Player",11,"")),"")</f>
        <v/>
      </c>
      <c r="M2025" s="245" t="str">
        <f ca="1">IF(OR(AND($B2018&lt;&gt;"",$B2025&lt;&gt;"",$E2029&lt;=$D2029),AND($B2020&lt;&gt;"",$B2027&lt;&gt;"",$I2029&lt;=$H2029)),"Invalid Lineup","")</f>
        <v/>
      </c>
      <c r="N2025" s="246"/>
      <c r="O2025" s="246"/>
      <c r="P2025" s="247"/>
      <c r="Q2025" s="40" t="str">
        <f ca="1">IF($L2025=$L2027,IF($K2025=$K2027,IF($J2025&lt;&gt;"",IF($J2025&gt;$J2027,"W","L"),""),IF($K2025&gt;$K2027,"W","L")),IF($L2025&gt;$L2027,"W","L"))</f>
        <v/>
      </c>
      <c r="R2025" s="259" t="str">
        <f>$K1998</f>
        <v>I</v>
      </c>
      <c r="S2025" s="307" t="str">
        <f ca="1">IF($B2020&lt;&gt;"",$B2020,"")</f>
        <v/>
      </c>
      <c r="T2025" s="308"/>
      <c r="U2025" s="308"/>
      <c r="V2025" s="308"/>
      <c r="W2025" s="308"/>
      <c r="X2025" s="309"/>
      <c r="Y2025" s="284"/>
      <c r="Z2025" s="284"/>
      <c r="AA2025" s="284"/>
      <c r="AB2025" s="284"/>
      <c r="AC2025" s="297"/>
      <c r="AD2025" s="289" t="s">
        <v>169</v>
      </c>
      <c r="AE2025" s="290"/>
      <c r="AF2025" s="291"/>
    </row>
    <row r="2026" spans="1:32" ht="12.75" customHeight="1" x14ac:dyDescent="0.25">
      <c r="A2026" s="260"/>
      <c r="B2026" s="238"/>
      <c r="C2026" s="239"/>
      <c r="D2026" s="239"/>
      <c r="E2026" s="239"/>
      <c r="F2026" s="239"/>
      <c r="G2026" s="239"/>
      <c r="H2026" s="234"/>
      <c r="I2026" s="234"/>
      <c r="J2026" s="234"/>
      <c r="K2026" s="234"/>
      <c r="L2026" s="234"/>
      <c r="M2026" s="245"/>
      <c r="N2026" s="246"/>
      <c r="O2026" s="246"/>
      <c r="P2026" s="247"/>
      <c r="Q2026" s="110" t="str">
        <f ca="1">IF($Q2025&lt;&gt;"",IF($B2027&lt;&gt;"Missing Player",IF($Q2025="W",IF(SUM(IF($H2025&gt;$H2027,1,0),IF($I2025&gt;$I2027,1,0),IF($J2025&gt;$J2027,1,0),IF($K2025&gt;$K2027,1,0),IF($L2025&gt;$L2027,1,0))&lt;&gt;3,"Error",""),""),""),"")</f>
        <v/>
      </c>
      <c r="R2026" s="285"/>
      <c r="S2026" s="310"/>
      <c r="T2026" s="311"/>
      <c r="U2026" s="311"/>
      <c r="V2026" s="311"/>
      <c r="W2026" s="311"/>
      <c r="X2026" s="312"/>
      <c r="Y2026" s="285"/>
      <c r="Z2026" s="285"/>
      <c r="AA2026" s="285"/>
      <c r="AB2026" s="285"/>
      <c r="AC2026" s="285"/>
      <c r="AD2026" s="292"/>
      <c r="AE2026" s="293"/>
      <c r="AF2026" s="294"/>
    </row>
    <row r="2027" spans="1:32" ht="12.75" customHeight="1" x14ac:dyDescent="0.25">
      <c r="A2027" s="259" t="str">
        <f>K1998</f>
        <v>I</v>
      </c>
      <c r="B2027" s="236" t="str">
        <f ca="1">IF(AND(OFFSET($AO$1,$L1998-1,8,1,1),$A1999&lt;&gt;"",$J1999&lt;&gt;""),CHOOSE($L1998,$AR$1,$AR$2,$AR$3,$AR$4,$AR$5,$AR$6,$AR$7,$AR$8,$AR$9,$AR$10,$AR$11,$AR$12),"")</f>
        <v/>
      </c>
      <c r="C2027" s="237"/>
      <c r="D2027" s="237"/>
      <c r="E2027" s="237"/>
      <c r="F2027" s="237"/>
      <c r="G2027" s="237"/>
      <c r="H2027" s="233"/>
      <c r="I2027" s="233"/>
      <c r="J2027" s="233"/>
      <c r="K2027" s="233"/>
      <c r="L2027" s="233" t="str">
        <f ca="1">IF(AND($B2027&lt;&gt;"",$Q2004&lt;&gt;""),IF($B2027="Missing Player",0,IF($B2025="Missing Player",11,"")),"")</f>
        <v/>
      </c>
      <c r="M2027" s="250" t="s">
        <v>169</v>
      </c>
      <c r="N2027" s="251"/>
      <c r="O2027" s="251"/>
      <c r="P2027" s="252"/>
      <c r="Q2027" s="40" t="str">
        <f ca="1">IF($Q2025&lt;&gt;"",IF($Q2025="W","L","W"),"")</f>
        <v/>
      </c>
      <c r="R2027" s="94"/>
      <c r="S2027" s="84"/>
      <c r="T2027" s="84"/>
      <c r="U2027" s="84"/>
      <c r="V2027" s="84"/>
      <c r="W2027" s="84"/>
      <c r="X2027" s="84"/>
      <c r="Y2027" s="93"/>
      <c r="Z2027" s="93"/>
      <c r="AA2027" s="93"/>
      <c r="AB2027" s="93"/>
      <c r="AC2027" s="93"/>
      <c r="AD2027" s="92"/>
      <c r="AE2027" s="93"/>
      <c r="AF2027" s="93"/>
    </row>
    <row r="2028" spans="1:32" ht="12.75" customHeight="1" x14ac:dyDescent="0.25">
      <c r="A2028" s="260"/>
      <c r="B2028" s="238"/>
      <c r="C2028" s="239"/>
      <c r="D2028" s="239"/>
      <c r="E2028" s="239"/>
      <c r="F2028" s="239"/>
      <c r="G2028" s="239"/>
      <c r="H2028" s="234"/>
      <c r="I2028" s="234"/>
      <c r="J2028" s="235"/>
      <c r="K2028" s="235"/>
      <c r="L2028" s="235"/>
      <c r="M2028" s="250"/>
      <c r="N2028" s="251"/>
      <c r="O2028" s="251"/>
      <c r="P2028" s="252"/>
      <c r="Q2028" s="110" t="str">
        <f ca="1">IF($Q2027&lt;&gt;"",IF($B2025&lt;&gt;"Missing Player",IF($Q2027="W",IF(SUM(IF($H2027&gt;$H2025,1,0),IF($I2027&gt;$I2025,1,0),IF($J2027&gt;$J2025,1,0),IF($K2027&gt;$K2025,1,0),IF($L2027&gt;$L2025,1,0))&lt;&gt;3,"Error",""),""),""),"")</f>
        <v/>
      </c>
      <c r="R2028" s="85"/>
      <c r="S2028" s="95"/>
      <c r="T2028" s="95"/>
      <c r="U2028" s="95"/>
      <c r="V2028" s="95"/>
      <c r="W2028" s="95"/>
      <c r="X2028" s="95"/>
      <c r="Y2028" s="85"/>
      <c r="Z2028" s="85"/>
      <c r="AA2028" s="85"/>
      <c r="AB2028" s="85"/>
      <c r="AC2028" s="85"/>
      <c r="AD2028" s="85"/>
      <c r="AE2028" s="85"/>
      <c r="AF2028" s="85"/>
    </row>
    <row r="2029" spans="1:32" ht="12.75" customHeight="1" x14ac:dyDescent="0.25">
      <c r="B2029" s="111" t="str">
        <f ca="1">IF(ISERROR(VLOOKUP($B2004&amp;"("&amp;$B1998&amp;")",Players!$S$4:$T$132,2,FALSE)),"",VLOOKUP($B2004&amp;"("&amp;$B1998&amp;")",Players!$S$4:$T$132,2,FALSE))</f>
        <v>C1</v>
      </c>
      <c r="C2029" s="111" t="str">
        <f ca="1">IF(ISERROR(VLOOKUP($B2011&amp;"("&amp;$B1998&amp;")",Players!$S$4:$T$132,2,FALSE)),"",VLOOKUP($B2011&amp;"("&amp;$B1998&amp;")",Players!$S$4:$T$132,2,FALSE))</f>
        <v>C1</v>
      </c>
      <c r="D2029" s="111" t="str">
        <f ca="1">IF(ISERROR(VLOOKUP($B2018&amp;"("&amp;$B1998&amp;")",Players!$S$4:$T$132,2,FALSE)),"",VLOOKUP($B2018&amp;"("&amp;$B1998&amp;")",Players!$S$4:$T$132,2,FALSE))</f>
        <v>C1</v>
      </c>
      <c r="E2029" s="111" t="str">
        <f ca="1">IF(ISERROR(VLOOKUP($B2025&amp;"("&amp;$B1998&amp;")",Players!$S$4:$T$132,2,FALSE)),"",VLOOKUP($B2025&amp;"("&amp;$B1998&amp;")",Players!$S$4:$T$132,2,FALSE))</f>
        <v>C1</v>
      </c>
      <c r="F2029" s="111" t="str">
        <f ca="1">IF(ISERROR(VLOOKUP($B2006&amp;"("&amp;$K1998&amp;")",Players!$S$4:$T$132,2,FALSE)),"",VLOOKUP($B2006&amp;"("&amp;$K1998&amp;")",Players!$S$4:$T$132,2,FALSE))</f>
        <v>I1</v>
      </c>
      <c r="G2029" s="111" t="str">
        <f ca="1">IF(ISERROR(VLOOKUP($B2013&amp;"("&amp;$K1998&amp;")",Players!$S$4:$T$132,2,FALSE)),"",VLOOKUP($B2013&amp;"("&amp;$K1998&amp;")",Players!$S$4:$T$132,2,FALSE))</f>
        <v>I1</v>
      </c>
      <c r="H2029" s="111" t="str">
        <f ca="1">IF(ISERROR(VLOOKUP($B2020&amp;"("&amp;$K1998&amp;")",Players!$S$4:$T$132,2,FALSE)),"",VLOOKUP($B2020&amp;"("&amp;$K1998&amp;")",Players!$S$4:$T$132,2,FALSE))</f>
        <v>I1</v>
      </c>
      <c r="I2029" s="111" t="str">
        <f ca="1">IF(ISERROR(VLOOKUP($B2027&amp;"("&amp;$K1998&amp;")",Players!$S$4:$T$132,2,FALSE)),"",VLOOKUP($B2027&amp;"("&amp;$K1998&amp;")",Players!$S$4:$T$132,2,FALSE))</f>
        <v>I1</v>
      </c>
      <c r="Q2029" s="6"/>
      <c r="R2029" s="37"/>
      <c r="S2029" s="95"/>
      <c r="T2029" s="95"/>
      <c r="U2029" s="95"/>
      <c r="V2029" s="95"/>
      <c r="W2029" s="95"/>
      <c r="X2029" s="95"/>
      <c r="Y2029" s="85"/>
      <c r="Z2029" s="85"/>
      <c r="AA2029" s="85"/>
      <c r="AB2029" s="85"/>
      <c r="AC2029" s="96"/>
      <c r="AD2029" s="97"/>
      <c r="AE2029" s="85"/>
      <c r="AF2029" s="85"/>
    </row>
    <row r="2030" spans="1:32" ht="12.75" customHeight="1" x14ac:dyDescent="0.25">
      <c r="A2030" s="15" t="s">
        <v>157</v>
      </c>
      <c r="H2030" s="110" t="str">
        <f ca="1">IF($Q2032&lt;&gt;"",IF(AND($B2033&lt;&gt;"Missing Player",$B2035&lt;&gt;"Missing Player"),IF(AND(AND($H2032&gt;-1,$H2034&gt;-1),OR($H2032&gt;10,$H2034&gt;10),ABS($H2032-$H2034)&gt;1,IF(OR($H2032&gt;11,$H2034&gt;11),ABS($H2032-$H2034)=2,TRUE),$H2032=INT($H2032),$H2034=INT($H2034)),"","Error"),""),"")</f>
        <v/>
      </c>
      <c r="I2030" s="110" t="str">
        <f ca="1">IF($Q2032&lt;&gt;"",IF(AND($B2033&lt;&gt;"Missing Player",$B2035&lt;&gt;"Missing Player"),IF(AND(AND($I2032&gt;-1,$I2034&gt;-1),OR($I2032&gt;10,$I2034&gt;10),ABS($I2032-$I2034)&gt;1,IF(OR($I2032&gt;11,$I2034&gt;11),ABS($I2032-$I2034)=2,TRUE),$I2032=INT($I2032),$I2034=INT($I2034)),"","Error"),""),"")</f>
        <v/>
      </c>
      <c r="J2030" s="110" t="str">
        <f ca="1">IF($Q2032&lt;&gt;"",IF(AND($B2033&lt;&gt;"Missing Player",$B2035&lt;&gt;"Missing Player"),IF(AND(AND($J2032&gt;-1,$J2034&gt;-1),OR($J2032&gt;10,$J2034&gt;10),ABS($J2032-$J2034)&gt;1,IF(OR($J2032&gt;11,$J2034&gt;11),ABS($J2032-$J2034)=2,TRUE),$J2032=INT($J2032),$J2034=INT($J2034)),"","Error"),""),"")</f>
        <v/>
      </c>
      <c r="K2030" s="110" t="str">
        <f ca="1">IF($Q2032&lt;&gt;"",IF(AND($K2032&lt;&gt;"",$K2034&lt;&gt;""), IF(AND(AND($K2032&gt;-1,$K2034&gt;-1),OR($K2032&gt;10,$K2034&gt;10),ABS($K2032-$K2034)&gt;1,IF(OR($K2032&gt;11,$K2034&gt;11),ABS($K2032-$K2034)=2,TRUE),$K2032=INT($K2032),$K2034=INT($K2034)),"","Error"),""),"")</f>
        <v/>
      </c>
      <c r="L2030" s="110" t="str">
        <f ca="1">IF($Q2032&lt;&gt;"",IF(AND($L2032&lt;&gt;"",$L2034&lt;&gt;""), IF(AND(AND($L2032&gt;-1,$L2034&gt;-1),OR($L2032&gt;10,$L2034&gt;10),ABS($L2032-$L2034)&gt;1,IF(OR($L2032&gt;11,$L2034&gt;11),ABS($L2032-$L2034)=2,TRUE),$L2032=INT($L2032),$L2034=INT($L2034)),"","Error"),""),"")</f>
        <v/>
      </c>
      <c r="Q2030" s="6"/>
      <c r="R2030" s="85"/>
      <c r="S2030" s="95"/>
      <c r="T2030" s="95"/>
      <c r="U2030" s="95"/>
      <c r="V2030" s="95"/>
      <c r="W2030" s="95"/>
      <c r="X2030" s="95"/>
      <c r="Y2030" s="85"/>
      <c r="Z2030" s="85"/>
      <c r="AA2030" s="85"/>
      <c r="AB2030" s="85"/>
      <c r="AC2030" s="85"/>
      <c r="AD2030" s="85"/>
      <c r="AE2030" s="85"/>
      <c r="AF2030" s="85"/>
    </row>
    <row r="2031" spans="1:32" ht="12.75" customHeight="1" x14ac:dyDescent="0.25">
      <c r="A2031" s="5" t="s">
        <v>160</v>
      </c>
      <c r="B2031" s="256" t="s">
        <v>58</v>
      </c>
      <c r="C2031" s="257"/>
      <c r="D2031" s="257"/>
      <c r="E2031" s="257"/>
      <c r="F2031" s="257"/>
      <c r="G2031" s="258"/>
      <c r="H2031" s="5">
        <v>1</v>
      </c>
      <c r="I2031" s="5">
        <v>2</v>
      </c>
      <c r="J2031" s="5">
        <v>3</v>
      </c>
      <c r="K2031" s="5">
        <v>4</v>
      </c>
      <c r="L2031" s="5">
        <v>5</v>
      </c>
      <c r="M2031" s="270"/>
      <c r="N2031" s="271"/>
      <c r="O2031" s="271"/>
      <c r="P2031" s="272"/>
      <c r="Q2031" s="6"/>
      <c r="T2031" s="7"/>
    </row>
    <row r="2032" spans="1:32" ht="12.75" customHeight="1" x14ac:dyDescent="0.25">
      <c r="A2032" s="259" t="str">
        <f>B1998</f>
        <v>C</v>
      </c>
      <c r="B2032" s="230" t="str">
        <f ca="1">IF($B2004&lt;&gt;"",$B2004,"")</f>
        <v/>
      </c>
      <c r="C2032" s="231"/>
      <c r="D2032" s="231"/>
      <c r="E2032" s="231"/>
      <c r="F2032" s="231"/>
      <c r="G2032" s="232"/>
      <c r="H2032" s="233"/>
      <c r="I2032" s="233"/>
      <c r="J2032" s="233"/>
      <c r="K2032" s="233"/>
      <c r="L2032" s="233" t="str">
        <f ca="1">IF($B2025&lt;&gt;"",IF(AND($B2025="Missing Player",$G2036=2,$J2036=2),0,IF(AND($B2027="Missing Player",$G2036=2,$J2036=2),11,"")),"")</f>
        <v/>
      </c>
      <c r="M2032" s="245" t="str">
        <f ca="1">IF(OR(AND($B2032&lt;&gt;"",$B2033&lt;&gt;"",$B2032=$B2033),AND($B2034&lt;&gt;"",$B2035&lt;&gt;"",$B2034=$B2035)),"Invalid Partner","")</f>
        <v/>
      </c>
      <c r="N2032" s="246"/>
      <c r="O2032" s="246"/>
      <c r="P2032" s="247"/>
      <c r="Q2032" s="37" t="str">
        <f ca="1">IF(L2032=L2034,IF(K2032=K2034,IF(J2032&lt;&gt;"",IF(J2032&gt;J2034,"W","L"),""),IF(K2032&gt;K2034,"W","L")),IF(L2032&gt;L2034,"W","L"))</f>
        <v/>
      </c>
      <c r="T2032" s="7"/>
    </row>
    <row r="2033" spans="1:32" ht="12.75" customHeight="1" x14ac:dyDescent="0.25">
      <c r="A2033" s="260"/>
      <c r="B2033" s="266" t="str">
        <f ca="1">IF($B2025="Missing Player",$B2025,"")</f>
        <v/>
      </c>
      <c r="C2033" s="267"/>
      <c r="D2033" s="267"/>
      <c r="E2033" s="267"/>
      <c r="F2033" s="267"/>
      <c r="G2033" s="268"/>
      <c r="H2033" s="234"/>
      <c r="I2033" s="234"/>
      <c r="J2033" s="234"/>
      <c r="K2033" s="234"/>
      <c r="L2033" s="234"/>
      <c r="M2033" s="245"/>
      <c r="N2033" s="246"/>
      <c r="O2033" s="246"/>
      <c r="P2033" s="247"/>
      <c r="Q2033" s="110" t="str">
        <f ca="1">IF($Q2032&lt;&gt;"",IF($B2035&lt;&gt;"Missing Player",IF($Q2032="W",IF(SUM(IF($H2032&gt;$H2034,1,0),IF($I2032&gt;$I2034,1,0),IF($J2032&gt;$J2034,1,0),IF($K2032&gt;$K2034,1,0),IF($L2032&gt;$L2034,1,0))&lt;&gt;3,"Error",""),""),""),"")</f>
        <v/>
      </c>
      <c r="R2033" s="295" t="str">
        <f>$A1999</f>
        <v/>
      </c>
      <c r="S2033" s="295"/>
      <c r="T2033" s="295"/>
      <c r="U2033" s="295"/>
      <c r="V2033" s="295"/>
      <c r="W2033" s="295"/>
      <c r="X2033" s="219" t="str">
        <f>CONCATENATE("(",$B1998," vs ",$K1998,")")</f>
        <v>(C vs I)</v>
      </c>
      <c r="Y2033" s="219"/>
      <c r="Z2033" s="295" t="str">
        <f>$J1999</f>
        <v/>
      </c>
      <c r="AA2033" s="295"/>
      <c r="AB2033" s="295"/>
      <c r="AC2033" s="295"/>
      <c r="AD2033" s="295"/>
      <c r="AE2033" s="295"/>
      <c r="AF2033"/>
    </row>
    <row r="2034" spans="1:32" ht="12.75" customHeight="1" x14ac:dyDescent="0.25">
      <c r="A2034" s="265" t="str">
        <f>K1998</f>
        <v>I</v>
      </c>
      <c r="B2034" s="230" t="str">
        <f ca="1">IF($B2006&lt;&gt;"",$B2006,"")</f>
        <v/>
      </c>
      <c r="C2034" s="231"/>
      <c r="D2034" s="231"/>
      <c r="E2034" s="231"/>
      <c r="F2034" s="231"/>
      <c r="G2034" s="232"/>
      <c r="H2034" s="233"/>
      <c r="I2034" s="233"/>
      <c r="J2034" s="233"/>
      <c r="K2034" s="233"/>
      <c r="L2034" s="233" t="str">
        <f ca="1">IF($B2027&lt;&gt;"",IF(AND($B2027="Missing Player",$G2036=2,$J2036=2),0,IF(AND($B2025="Missing Player",$G2036=2,$J2036=2),11,"")),"")</f>
        <v/>
      </c>
      <c r="M2034" s="250" t="s">
        <v>169</v>
      </c>
      <c r="N2034" s="251"/>
      <c r="O2034" s="251"/>
      <c r="P2034" s="252"/>
      <c r="Q2034" s="37" t="str">
        <f ca="1">IF(Q2032&lt;&gt;"",IF(Q2032="W","L","W"),"")</f>
        <v/>
      </c>
      <c r="R2034"/>
      <c r="S2034"/>
      <c r="T2034"/>
      <c r="U2034"/>
      <c r="V2034"/>
      <c r="W2034"/>
      <c r="X2034"/>
      <c r="Y2034"/>
      <c r="Z2034"/>
      <c r="AA2034"/>
      <c r="AB2034"/>
      <c r="AC2034"/>
      <c r="AD2034"/>
      <c r="AE2034"/>
      <c r="AF2034"/>
    </row>
    <row r="2035" spans="1:32" ht="12.75" customHeight="1" x14ac:dyDescent="0.25">
      <c r="A2035" s="260"/>
      <c r="B2035" s="266" t="str">
        <f ca="1">IF($B2027="Missing Player",$B2027,"")</f>
        <v/>
      </c>
      <c r="C2035" s="267"/>
      <c r="D2035" s="267"/>
      <c r="E2035" s="267"/>
      <c r="F2035" s="267"/>
      <c r="G2035" s="268"/>
      <c r="H2035" s="234"/>
      <c r="I2035" s="234"/>
      <c r="J2035" s="235"/>
      <c r="K2035" s="235"/>
      <c r="L2035" s="235"/>
      <c r="M2035" s="250"/>
      <c r="N2035" s="251"/>
      <c r="O2035" s="251"/>
      <c r="P2035" s="252"/>
      <c r="Q2035" s="110" t="str">
        <f ca="1">IF($Q2034&lt;&gt;"",IF($B2033&lt;&gt;"Missing Player",IF($Q2034="W",IF(SUM(IF($H2034&gt;$H2032,1,0),IF($I2034&gt;$I2032,1,0),IF($J2034&gt;$J2032,1,0),IF($K2034&gt;$K2032,1,0),IF($L2034&gt;$L2032,1,0))&lt;&gt;3,"Error",""),""),""),"")</f>
        <v/>
      </c>
      <c r="R2035" t="str">
        <f>A2023</f>
        <v>4th Singles</v>
      </c>
      <c r="S2035"/>
      <c r="T2035"/>
      <c r="U2035"/>
      <c r="V2035"/>
      <c r="W2035"/>
      <c r="X2035"/>
      <c r="Y2035"/>
      <c r="Z2035"/>
      <c r="AA2035"/>
      <c r="AB2035"/>
      <c r="AC2035"/>
      <c r="AD2035"/>
      <c r="AE2035"/>
      <c r="AF2035"/>
    </row>
    <row r="2036" spans="1:32" ht="12.75" customHeight="1" x14ac:dyDescent="0.25">
      <c r="G2036" s="53">
        <f ca="1">COUNTIF($Q2004:$Q2004,"W")+COUNTIF($Q2011:$Q2011,"W")+COUNTIF($Q2018:$Q2018,"W")+COUNTIF($Q2025:$Q2025,"W")</f>
        <v>0</v>
      </c>
      <c r="J2036" s="53">
        <f ca="1">COUNTIF($Q2006:$Q2006,"W")+COUNTIF($Q2013:$Q2013,"W")+COUNTIF($Q2020:$Q2020,"W")+COUNTIF($Q2027:$Q2027,"W")</f>
        <v>0</v>
      </c>
      <c r="R2036" s="47" t="s">
        <v>160</v>
      </c>
      <c r="S2036" s="304" t="s">
        <v>58</v>
      </c>
      <c r="T2036" s="305"/>
      <c r="U2036" s="305"/>
      <c r="V2036" s="305"/>
      <c r="W2036" s="305"/>
      <c r="X2036" s="306"/>
      <c r="Y2036" s="47">
        <v>1</v>
      </c>
      <c r="Z2036" s="47">
        <v>2</v>
      </c>
      <c r="AA2036" s="47">
        <v>3</v>
      </c>
      <c r="AB2036" s="47">
        <v>4</v>
      </c>
      <c r="AC2036" s="47">
        <v>5</v>
      </c>
      <c r="AD2036" s="286"/>
      <c r="AE2036" s="287"/>
      <c r="AF2036" s="288"/>
    </row>
    <row r="2037" spans="1:32" ht="12.75" customHeight="1" thickBot="1" x14ac:dyDescent="0.3">
      <c r="F2037" s="212" t="s">
        <v>170</v>
      </c>
      <c r="G2037" s="212"/>
      <c r="H2037" s="212"/>
      <c r="I2037" s="212"/>
      <c r="J2037" s="212"/>
      <c r="K2037" s="212"/>
      <c r="R2037" s="259" t="str">
        <f>B1998</f>
        <v>C</v>
      </c>
      <c r="S2037" s="307" t="str">
        <f ca="1">IF($B2025&lt;&gt;"",$B2025,"")</f>
        <v/>
      </c>
      <c r="T2037" s="308"/>
      <c r="U2037" s="308"/>
      <c r="V2037" s="308"/>
      <c r="W2037" s="308"/>
      <c r="X2037" s="309"/>
      <c r="Y2037" s="284"/>
      <c r="Z2037" s="284"/>
      <c r="AA2037" s="297"/>
      <c r="AB2037" s="297"/>
      <c r="AC2037" s="297"/>
      <c r="AD2037" s="296"/>
      <c r="AE2037" s="298"/>
      <c r="AF2037" s="299"/>
    </row>
    <row r="2038" spans="1:32" ht="12.75" customHeight="1" x14ac:dyDescent="0.25">
      <c r="A2038" s="16"/>
      <c r="B2038" s="16"/>
      <c r="C2038" s="16"/>
      <c r="D2038" s="16"/>
      <c r="E2038" s="16"/>
      <c r="G2038" s="261" t="str">
        <f>B1998</f>
        <v>C</v>
      </c>
      <c r="H2038" s="262"/>
      <c r="I2038" s="263" t="str">
        <f>K1998</f>
        <v>I</v>
      </c>
      <c r="J2038" s="264"/>
      <c r="L2038" s="16"/>
      <c r="M2038" s="16"/>
      <c r="N2038" s="16"/>
      <c r="O2038" s="16"/>
      <c r="P2038" s="16"/>
      <c r="R2038" s="260"/>
      <c r="S2038" s="310"/>
      <c r="T2038" s="311"/>
      <c r="U2038" s="311"/>
      <c r="V2038" s="311"/>
      <c r="W2038" s="311"/>
      <c r="X2038" s="312"/>
      <c r="Y2038" s="285"/>
      <c r="Z2038" s="285"/>
      <c r="AA2038" s="303"/>
      <c r="AB2038" s="303"/>
      <c r="AC2038" s="303"/>
      <c r="AD2038" s="300"/>
      <c r="AE2038" s="301"/>
      <c r="AF2038" s="302"/>
    </row>
    <row r="2039" spans="1:32" ht="12.75" customHeight="1" thickBot="1" x14ac:dyDescent="0.3">
      <c r="A2039" s="2" t="s">
        <v>160</v>
      </c>
      <c r="B2039" s="40" t="str">
        <f>B1998</f>
        <v>C</v>
      </c>
      <c r="C2039" s="3" t="s">
        <v>158</v>
      </c>
      <c r="F2039" s="53" t="str">
        <f>CONCATENATE($B1998,"-",$K1998)</f>
        <v>C-I</v>
      </c>
      <c r="G2039" s="240" t="str">
        <f ca="1">IF(OR(Q2004&lt;&gt;"",Q2011&lt;&gt;"",Q2018&lt;&gt;"",Q2025&lt;&gt;"",Q2032&lt;&gt;""),COUNTIF(Q2004:Q2004,"W")+COUNTIF(Q2011:Q2011,"W")+COUNTIF(Q2018:Q2018,"W")+COUNTIF(Q2025:Q2025,"W")+COUNTIF(Q2032:Q2032,"W"),"")</f>
        <v/>
      </c>
      <c r="H2039" s="241"/>
      <c r="I2039" s="242" t="str">
        <f ca="1">IF(OR(Q2006&lt;&gt;"",Q2013&lt;&gt;"",Q2020&lt;&gt;"",Q2027&lt;&gt;"",Q2034&lt;&gt;""),COUNTIF(Q2006:Q2006,"W")+COUNTIF(Q2013:Q2013,"W")+COUNTIF(Q2020:Q2020,"W")+COUNTIF(Q2027:Q2027,"W")+COUNTIF(Q2034:Q2034,"W"),"")</f>
        <v/>
      </c>
      <c r="J2039" s="243"/>
      <c r="L2039" s="2" t="s">
        <v>160</v>
      </c>
      <c r="M2039" s="40" t="str">
        <f>K1998</f>
        <v>I</v>
      </c>
      <c r="N2039" s="3" t="s">
        <v>158</v>
      </c>
      <c r="R2039" s="259" t="str">
        <f>K1998</f>
        <v>I</v>
      </c>
      <c r="S2039" s="307" t="str">
        <f ca="1">IF($B2027&lt;&gt;"",$B2027,"")</f>
        <v/>
      </c>
      <c r="T2039" s="308"/>
      <c r="U2039" s="308"/>
      <c r="V2039" s="308"/>
      <c r="W2039" s="308"/>
      <c r="X2039" s="309"/>
      <c r="Y2039" s="284"/>
      <c r="Z2039" s="284"/>
      <c r="AA2039" s="297"/>
      <c r="AB2039" s="297"/>
      <c r="AC2039" s="297"/>
      <c r="AD2039" s="289" t="s">
        <v>169</v>
      </c>
      <c r="AE2039" s="290"/>
      <c r="AF2039" s="291"/>
    </row>
    <row r="2040" spans="1:32" ht="12.75" customHeight="1" x14ac:dyDescent="0.35">
      <c r="F2040" s="18" t="s">
        <v>403</v>
      </c>
      <c r="G2040" s="17"/>
      <c r="H2040" s="17"/>
      <c r="I2040" s="17"/>
      <c r="J2040" s="17"/>
      <c r="R2040" s="285"/>
      <c r="S2040" s="310"/>
      <c r="T2040" s="311"/>
      <c r="U2040" s="311"/>
      <c r="V2040" s="311"/>
      <c r="W2040" s="311"/>
      <c r="X2040" s="312"/>
      <c r="Y2040" s="285"/>
      <c r="Z2040" s="285"/>
      <c r="AA2040" s="285"/>
      <c r="AB2040" s="285"/>
      <c r="AC2040" s="285"/>
      <c r="AD2040" s="292"/>
      <c r="AE2040" s="293"/>
      <c r="AF2040" s="294"/>
    </row>
    <row r="2041" spans="1:32" ht="12.75" customHeight="1" x14ac:dyDescent="0.25">
      <c r="R2041" s="1"/>
      <c r="S2041" s="11"/>
      <c r="T2041" s="11"/>
      <c r="U2041" s="11"/>
      <c r="V2041" s="11"/>
      <c r="W2041" s="11"/>
    </row>
    <row r="2042" spans="1:32" ht="12.75" customHeight="1" x14ac:dyDescent="0.25">
      <c r="F2042" s="212"/>
      <c r="G2042" s="212"/>
      <c r="H2042" s="212"/>
      <c r="I2042" s="212"/>
      <c r="R2042" s="1"/>
      <c r="S2042" s="11"/>
      <c r="T2042" s="11"/>
      <c r="U2042" s="11"/>
      <c r="V2042" s="11"/>
      <c r="W2042" s="11"/>
    </row>
    <row r="2043" spans="1:32" ht="12.75" customHeight="1" x14ac:dyDescent="0.25">
      <c r="F2043" s="212"/>
      <c r="G2043" s="212"/>
      <c r="H2043" s="212"/>
      <c r="I2043" s="212"/>
      <c r="R2043" s="1"/>
      <c r="S2043" s="11"/>
      <c r="T2043" s="11"/>
      <c r="U2043" s="11"/>
      <c r="V2043" s="11"/>
      <c r="W2043" s="11"/>
    </row>
    <row r="2044" spans="1:32" ht="12.75" customHeight="1" x14ac:dyDescent="0.25">
      <c r="K2044" s="219" t="s">
        <v>176</v>
      </c>
      <c r="L2044" s="219"/>
      <c r="M2044" s="219"/>
      <c r="N2044" s="219"/>
      <c r="O2044" s="219"/>
      <c r="P2044" s="219"/>
      <c r="R2044" s="1"/>
      <c r="S2044" s="11"/>
      <c r="T2044" s="11"/>
      <c r="U2044" s="11"/>
      <c r="V2044" s="11"/>
      <c r="W2044" s="11"/>
    </row>
    <row r="2045" spans="1:32" ht="12.75" customHeight="1" x14ac:dyDescent="0.25">
      <c r="A2045" s="9" t="s">
        <v>161</v>
      </c>
      <c r="B2045"/>
      <c r="C2045"/>
      <c r="D2045" t="str">
        <f>Draw!$B$1</f>
        <v>Enter Division Name</v>
      </c>
      <c r="E2045"/>
      <c r="F2045" s="6"/>
      <c r="G2045" s="6"/>
      <c r="H2045" s="6"/>
      <c r="I2045"/>
      <c r="J2045"/>
      <c r="K2045"/>
      <c r="L2045"/>
      <c r="M2045" s="219"/>
      <c r="N2045" s="219"/>
      <c r="O2045" s="219"/>
      <c r="P2045" s="219"/>
      <c r="R2045" s="1"/>
      <c r="S2045" s="11"/>
      <c r="T2045" s="11"/>
      <c r="U2045" s="11"/>
      <c r="V2045" s="11"/>
      <c r="W2045" s="11"/>
    </row>
    <row r="2046" spans="1:32" ht="12.75" customHeight="1" x14ac:dyDescent="0.25">
      <c r="A2046" s="2" t="s">
        <v>162</v>
      </c>
      <c r="D2046" t="str">
        <f>Draw!$D$1</f>
        <v>Enter Hosting Location (City, ST)</v>
      </c>
      <c r="J2046" t="str">
        <f ca="1">$J$6</f>
        <v>[NCTTA Teams Template (v3.4).xlsx]</v>
      </c>
      <c r="R2046" s="1"/>
      <c r="S2046" s="11"/>
      <c r="T2046" s="11"/>
      <c r="U2046" s="11"/>
      <c r="V2046" s="11"/>
      <c r="W2046" s="11"/>
    </row>
    <row r="2047" spans="1:32" ht="12.75" customHeight="1" x14ac:dyDescent="0.25">
      <c r="A2047" s="2" t="s">
        <v>163</v>
      </c>
      <c r="D2047" s="275" t="str">
        <f>Draw!$P$1</f>
        <v>Enter Date</v>
      </c>
      <c r="E2047" s="275"/>
      <c r="F2047" s="275"/>
      <c r="G2047" s="275"/>
      <c r="J2047" s="244" t="str">
        <f>CHOOSE(Draw!$T$1,"Round 7, Match 5","","","","","","","","","Round 9, Match 1","Round 9, Match 1")</f>
        <v>Round 7, Match 5</v>
      </c>
      <c r="K2047" s="244"/>
      <c r="L2047" s="244"/>
      <c r="M2047" s="277" t="str">
        <f>IF(AND($J2047&lt;&gt;"",Draw!$AC$10&lt;&gt;"",Draw!$AC$13&lt;&gt;""),Draw!$AC$10+TIME(0,VALUE(MID($J2047,7,FIND(",",$J2047)-FIND(" ",$J2047)-1)-1)*Draw!$AC$13,0),"")</f>
        <v/>
      </c>
      <c r="N2047" s="277"/>
      <c r="O2047" s="125" t="str">
        <f>$F2090</f>
        <v>B-J</v>
      </c>
      <c r="R2047" s="1"/>
      <c r="S2047" s="11"/>
      <c r="T2047" s="11"/>
      <c r="U2047" s="11"/>
      <c r="V2047" s="11"/>
      <c r="W2047" s="11"/>
    </row>
    <row r="2048" spans="1:32" ht="12.75" customHeight="1" x14ac:dyDescent="0.25">
      <c r="A2048" s="6"/>
      <c r="B2048"/>
      <c r="C2048"/>
      <c r="D2048"/>
      <c r="E2048"/>
      <c r="F2048" s="6"/>
      <c r="G2048" s="6"/>
      <c r="H2048" s="11"/>
      <c r="I2048" s="6"/>
      <c r="J2048"/>
      <c r="K2048"/>
      <c r="L2048"/>
      <c r="M2048"/>
      <c r="N2048"/>
      <c r="O2048" s="269" t="str">
        <f>IF(OR(AND(VLOOKUP($B2049,$AM$1:$AX$12,12,FALSE)="C",VLOOKUP($K2049,$AM$1:$AX$12,12,FALSE)="C"),AND(VLOOKUP($B2049,$AM$1:$AX$12,12,FALSE)="W",VLOOKUP($K2049,$AM$1:$AX$12,12,FALSE)="W")),"Official",IF(AND($A2050="",$J2050=""),"","Scrimmage"))</f>
        <v/>
      </c>
      <c r="P2048" s="269"/>
      <c r="R2048" s="1"/>
      <c r="S2048" s="11"/>
      <c r="T2048" s="11"/>
      <c r="U2048" s="11"/>
      <c r="V2048" s="11"/>
      <c r="W2048" s="11"/>
    </row>
    <row r="2049" spans="1:32" ht="12.75" customHeight="1" x14ac:dyDescent="0.25">
      <c r="A2049" s="12" t="s">
        <v>160</v>
      </c>
      <c r="B2049" s="80" t="str">
        <f>CHOOSE(Draw!$T$1,"B","B","C","D","E","E","D","D","B","A","A")</f>
        <v>B</v>
      </c>
      <c r="C2049" s="109">
        <f>VLOOKUP($B2049,$AM$1:$AN$12,2)</f>
        <v>2</v>
      </c>
      <c r="D2049" s="10"/>
      <c r="E2049" s="10"/>
      <c r="F2049" s="8"/>
      <c r="H2049" s="1" t="s">
        <v>164</v>
      </c>
      <c r="J2049" s="12" t="s">
        <v>160</v>
      </c>
      <c r="K2049" s="98" t="str">
        <f>CHOOSE(Draw!$T$1,"J","K","K","H","H","H","L","I","K","G","D")</f>
        <v>J</v>
      </c>
      <c r="L2049" s="109">
        <f>VLOOKUP($K2049,$AM$1:$AN$12,2)</f>
        <v>10</v>
      </c>
      <c r="M2049" s="10"/>
      <c r="N2049" s="10"/>
      <c r="O2049" s="13"/>
      <c r="R2049" s="1"/>
      <c r="S2049" s="11"/>
      <c r="T2049" s="11"/>
      <c r="U2049" s="11"/>
      <c r="V2049" s="11"/>
      <c r="W2049" s="11"/>
    </row>
    <row r="2050" spans="1:32" ht="12.75" customHeight="1" x14ac:dyDescent="0.25">
      <c r="A2050" s="253" t="str">
        <f>IF(VLOOKUP($B2049,Draw!$A$4:$B$27,2)&lt;&gt;0,VLOOKUP($B2049,Draw!$A$4:$B$27,2),"")</f>
        <v/>
      </c>
      <c r="B2050" s="254"/>
      <c r="C2050" s="254"/>
      <c r="D2050" s="254"/>
      <c r="E2050" s="254"/>
      <c r="F2050" s="255"/>
      <c r="G2050" s="273" t="s">
        <v>444</v>
      </c>
      <c r="H2050" s="249"/>
      <c r="I2050" s="274"/>
      <c r="J2050" s="253" t="str">
        <f>IF(VLOOKUP($K2049,Draw!$A$4:$B$27,2)&lt;&gt;0,VLOOKUP($K2049,Draw!$A$4:$B$27,2),"")</f>
        <v/>
      </c>
      <c r="K2050" s="254"/>
      <c r="L2050" s="254"/>
      <c r="M2050" s="254"/>
      <c r="N2050" s="254"/>
      <c r="O2050" s="255"/>
      <c r="P2050"/>
      <c r="R2050" s="1"/>
      <c r="S2050" s="11"/>
      <c r="T2050" s="11"/>
      <c r="U2050" s="11"/>
      <c r="V2050" s="11"/>
      <c r="W2050" s="11"/>
    </row>
    <row r="2051" spans="1:32" ht="12.75" customHeight="1" x14ac:dyDescent="0.25">
      <c r="A2051" s="6"/>
      <c r="B2051"/>
      <c r="C2051"/>
      <c r="D2051"/>
      <c r="E2051"/>
      <c r="F2051" s="6"/>
      <c r="G2051" s="248" t="str">
        <f>"Page "&amp;VALUE(RIGHT($G2050,LEN($G2050)-SEARCH("-",$G2050)))/2</f>
        <v>Page 41</v>
      </c>
      <c r="H2051" s="249"/>
      <c r="I2051" s="249"/>
      <c r="J2051"/>
      <c r="K2051"/>
      <c r="L2051"/>
      <c r="M2051"/>
      <c r="N2051"/>
      <c r="O2051"/>
      <c r="P2051"/>
      <c r="R2051" s="1"/>
      <c r="S2051" s="11"/>
      <c r="T2051" s="11"/>
      <c r="U2051" s="11"/>
      <c r="V2051" s="11"/>
      <c r="W2051" s="11"/>
      <c r="AF2051"/>
    </row>
    <row r="2052" spans="1:32" ht="12.75" customHeight="1" x14ac:dyDescent="0.25">
      <c r="A2052" s="276" t="s">
        <v>177</v>
      </c>
      <c r="B2052" s="276"/>
      <c r="C2052" s="276"/>
      <c r="D2052" s="276"/>
      <c r="E2052" s="276"/>
      <c r="F2052" s="276"/>
      <c r="G2052" s="276"/>
      <c r="H2052" s="276"/>
      <c r="I2052" s="276"/>
      <c r="J2052" s="276"/>
      <c r="K2052" s="276"/>
      <c r="L2052" s="276"/>
      <c r="M2052" s="276"/>
      <c r="N2052" s="276"/>
      <c r="O2052" s="276"/>
      <c r="P2052" s="276"/>
      <c r="Q2052" s="6"/>
      <c r="R2052" s="1"/>
      <c r="S2052" s="11"/>
      <c r="T2052" s="11"/>
      <c r="U2052" s="11"/>
      <c r="V2052" s="11"/>
      <c r="W2052" s="11"/>
      <c r="AF2052" s="14"/>
    </row>
    <row r="2053" spans="1:32" ht="12.75" customHeight="1" x14ac:dyDescent="0.25">
      <c r="A2053" s="15" t="s">
        <v>165</v>
      </c>
      <c r="H2053" s="110" t="str">
        <f>IF($Q2055&lt;&gt;"",IF(AND(AND($H2055&gt;-1,$H2057&gt;-1),OR($H2055&gt;10,$H2057&gt;10),ABS($H2055-$H2057)&gt;1,IF(OR($H2055&gt;11,$H2057&gt;11),ABS($H2055-$H2057)=2,TRUE),$H2055=INT($H2055),$H2057=INT($H2057)),"","Error"),"")</f>
        <v/>
      </c>
      <c r="I2053" s="110" t="str">
        <f>IF($Q2055&lt;&gt;"",IF(AND(AND($I2055&gt;-1,$I2057&gt;-1),OR($I2055&gt;10,$I2057&gt;10),ABS($I2055-$I2057)&gt;1,IF(OR($I2055&gt;11,$I2057&gt;11),ABS($I2055-$I2057)=2,TRUE),$I2055=INT($I2055),$I2057=INT($I2057)),"","Error"),"")</f>
        <v/>
      </c>
      <c r="J2053" s="110" t="str">
        <f>IF($Q2055&lt;&gt;"",IF(AND(AND($J2055&gt;-1,$J2057&gt;-1),OR($J2055&gt;10,$J2057&gt;10),ABS($J2055-$J2057)&gt;1,IF(OR($J2055&gt;11,$J2057&gt;11),ABS($J2055-$J2057)=2,TRUE),$J2055=INT($J2055),$J2057=INT($J2057)),"","Error"),"")</f>
        <v/>
      </c>
      <c r="K2053" s="110" t="str">
        <f>IF($Q2055&lt;&gt;"",IF(AND($K2055&lt;&gt;"",$K2057&lt;&gt;""), IF(AND(AND($K2055&gt;-1,$K2057&gt;-1),OR($K2055&gt;10,$K2057&gt;10),ABS($K2055-$K2057)&gt;1,IF(OR($K2055&gt;11,$K2057&gt;11),ABS($K2055-$K2057)=2,TRUE),$K2055=INT($K2055),$K2057=INT($K2057)),"","Error"),""),"")</f>
        <v/>
      </c>
      <c r="L2053" s="110" t="str">
        <f>IF($Q2055&lt;&gt;"",IF(AND($L2055&lt;&gt;"",$L2057&lt;&gt;""), IF(AND(AND($L2055&gt;-1,$L2057&gt;-1),OR($L2055&gt;10,$L2057&gt;10),ABS($L2055-$L2057)&gt;1,IF(OR($L2055&gt;11,$L2057&gt;11),ABS($L2055-$L2057)=2,TRUE),$L2055=INT($L2055),$L2057=INT($L2057)),"","Error"),""),"")</f>
        <v/>
      </c>
      <c r="R2053" s="1"/>
      <c r="S2053" s="11"/>
      <c r="T2053" s="11"/>
      <c r="U2053" s="11"/>
      <c r="V2053" s="11"/>
      <c r="W2053" s="11"/>
    </row>
    <row r="2054" spans="1:32" ht="12.75" customHeight="1" x14ac:dyDescent="0.25">
      <c r="A2054" s="5" t="s">
        <v>160</v>
      </c>
      <c r="B2054" s="256" t="s">
        <v>58</v>
      </c>
      <c r="C2054" s="257"/>
      <c r="D2054" s="257"/>
      <c r="E2054" s="257"/>
      <c r="F2054" s="257"/>
      <c r="G2054" s="258"/>
      <c r="H2054" s="5">
        <v>1</v>
      </c>
      <c r="I2054" s="5">
        <v>2</v>
      </c>
      <c r="J2054" s="5">
        <v>3</v>
      </c>
      <c r="K2054" s="5">
        <v>4</v>
      </c>
      <c r="L2054" s="5">
        <v>5</v>
      </c>
      <c r="M2054" s="270"/>
      <c r="N2054" s="271"/>
      <c r="O2054" s="271"/>
      <c r="P2054" s="272"/>
      <c r="R2054" s="1"/>
      <c r="S2054" s="11"/>
      <c r="T2054" s="11"/>
      <c r="U2054" s="11"/>
      <c r="V2054" s="11"/>
      <c r="W2054" s="11"/>
    </row>
    <row r="2055" spans="1:32" ht="12.75" customHeight="1" x14ac:dyDescent="0.25">
      <c r="A2055" s="259" t="str">
        <f>B2049</f>
        <v>B</v>
      </c>
      <c r="B2055" s="236" t="str">
        <f ca="1">IF(AND(OFFSET($AO$1,$C2049-1,8,1,1),$A2050&lt;&gt;"",$J2050&lt;&gt;""),CHOOSE($C2049,$AO$1,$AO$2,$AO$3,$AO$4,$AO$5,$AO$6,$AO$7,$AO$8,$AO$9,$AO$10,$AO$11,$AO$12),"")</f>
        <v/>
      </c>
      <c r="C2055" s="237"/>
      <c r="D2055" s="237"/>
      <c r="E2055" s="237"/>
      <c r="F2055" s="237"/>
      <c r="G2055" s="237"/>
      <c r="H2055" s="233"/>
      <c r="I2055" s="233"/>
      <c r="J2055" s="233"/>
      <c r="K2055" s="233"/>
      <c r="L2055" s="233"/>
      <c r="M2055" s="281"/>
      <c r="N2055" s="282"/>
      <c r="O2055" s="282"/>
      <c r="P2055" s="283"/>
      <c r="Q2055" s="40" t="str">
        <f>IF($L2055=$L2057,IF($K2055=$K2057,IF($J2055&lt;&gt;"",IF($J2055&gt;$J2057,"W","L"),""),IF($K2055&gt;$K2057,"W","L")),IF($L2055&gt;$L2057,"W","L"))</f>
        <v/>
      </c>
      <c r="R2055" s="1"/>
      <c r="S2055" s="11"/>
      <c r="T2055" s="11"/>
      <c r="U2055" s="11"/>
      <c r="V2055" s="11"/>
      <c r="W2055" s="11"/>
    </row>
    <row r="2056" spans="1:32" ht="12.75" customHeight="1" x14ac:dyDescent="0.25">
      <c r="A2056" s="260"/>
      <c r="B2056" s="238"/>
      <c r="C2056" s="239"/>
      <c r="D2056" s="239"/>
      <c r="E2056" s="239"/>
      <c r="F2056" s="239"/>
      <c r="G2056" s="239"/>
      <c r="H2056" s="234"/>
      <c r="I2056" s="234"/>
      <c r="J2056" s="234"/>
      <c r="K2056" s="234"/>
      <c r="L2056" s="234"/>
      <c r="M2056" s="281"/>
      <c r="N2056" s="282"/>
      <c r="O2056" s="282"/>
      <c r="P2056" s="283"/>
      <c r="Q2056" s="110" t="str">
        <f>IF($Q2055&lt;&gt;"",IF($Q2055="W",IF(SUM(IF($H2055&gt;$H2057,1,0),IF($I2055&gt;$I2057,1,0),IF($J2055&gt;$J2057,1,0),IF($K2055&gt;$K2057,1,0),IF($L2055&gt;$L2057,1,0))&lt;&gt;3,"Error",""),""),"")</f>
        <v/>
      </c>
      <c r="R2056" s="295" t="str">
        <f>$A2050</f>
        <v/>
      </c>
      <c r="S2056" s="295"/>
      <c r="T2056" s="295"/>
      <c r="U2056" s="295"/>
      <c r="V2056" s="295"/>
      <c r="W2056" s="295"/>
      <c r="X2056" s="219" t="str">
        <f>CONCATENATE("(",$B2049," vs ",$K2049,")")</f>
        <v>(B vs J)</v>
      </c>
      <c r="Y2056" s="219"/>
      <c r="Z2056" s="295" t="str">
        <f>$J2050</f>
        <v/>
      </c>
      <c r="AA2056" s="295"/>
      <c r="AB2056" s="295"/>
      <c r="AC2056" s="295"/>
      <c r="AD2056" s="295"/>
      <c r="AE2056" s="295"/>
      <c r="AF2056"/>
    </row>
    <row r="2057" spans="1:32" ht="12.75" customHeight="1" x14ac:dyDescent="0.25">
      <c r="A2057" s="259" t="str">
        <f>K2049</f>
        <v>J</v>
      </c>
      <c r="B2057" s="236" t="str">
        <f ca="1">IF(AND(OFFSET($AO$1,$L2049-1,8,1,1),$A2050&lt;&gt;"",$J2050&lt;&gt;""),CHOOSE($L2049,$AO$1,$AO$2,$AO$3,$AO$4,$AO$5,$AO$6,$AO$7,$AO$8,$AO$9,$AO$10,$AO$11,$AO$12),"")</f>
        <v/>
      </c>
      <c r="C2057" s="237"/>
      <c r="D2057" s="237"/>
      <c r="E2057" s="237"/>
      <c r="F2057" s="237"/>
      <c r="G2057" s="237"/>
      <c r="H2057" s="233"/>
      <c r="I2057" s="233"/>
      <c r="J2057" s="233"/>
      <c r="K2057" s="233"/>
      <c r="L2057" s="233"/>
      <c r="M2057" s="250" t="s">
        <v>169</v>
      </c>
      <c r="N2057" s="251"/>
      <c r="O2057" s="251"/>
      <c r="P2057" s="252"/>
      <c r="Q2057" s="40" t="str">
        <f>IF($Q2055&lt;&gt;"",IF($Q2055="W","L","W"),"")</f>
        <v/>
      </c>
      <c r="R2057"/>
      <c r="S2057"/>
      <c r="T2057"/>
      <c r="U2057"/>
      <c r="V2057"/>
      <c r="W2057"/>
      <c r="X2057"/>
      <c r="Y2057"/>
      <c r="Z2057"/>
      <c r="AA2057"/>
      <c r="AB2057"/>
      <c r="AC2057"/>
      <c r="AD2057"/>
      <c r="AE2057"/>
      <c r="AF2057"/>
    </row>
    <row r="2058" spans="1:32" ht="12.75" customHeight="1" x14ac:dyDescent="0.25">
      <c r="A2058" s="260"/>
      <c r="B2058" s="238"/>
      <c r="C2058" s="239"/>
      <c r="D2058" s="239"/>
      <c r="E2058" s="239"/>
      <c r="F2058" s="239"/>
      <c r="G2058" s="239"/>
      <c r="H2058" s="234"/>
      <c r="I2058" s="234"/>
      <c r="J2058" s="235"/>
      <c r="K2058" s="235"/>
      <c r="L2058" s="235"/>
      <c r="M2058" s="250"/>
      <c r="N2058" s="251"/>
      <c r="O2058" s="251"/>
      <c r="P2058" s="252"/>
      <c r="Q2058" s="110" t="str">
        <f>IF($Q2057&lt;&gt;"",IF($Q2057="W",IF(SUM(IF($H2057&gt;$H2055,1,0),IF($I2057&gt;$I2055,1,0),IF($J2057&gt;$J2055,1,0),IF($K2057&gt;$K2055,1,0),IF($L2057&gt;$L2055,1,0))&lt;&gt;3,"Error",""),""),"")</f>
        <v/>
      </c>
      <c r="R2058" t="str">
        <f>$A2060</f>
        <v>2nd Singles</v>
      </c>
      <c r="S2058"/>
      <c r="T2058"/>
      <c r="U2058"/>
      <c r="V2058"/>
      <c r="W2058"/>
      <c r="X2058"/>
      <c r="Y2058"/>
      <c r="Z2058"/>
      <c r="AA2058"/>
      <c r="AB2058"/>
      <c r="AC2058"/>
      <c r="AD2058"/>
      <c r="AE2058"/>
      <c r="AF2058"/>
    </row>
    <row r="2059" spans="1:32" ht="12.75" customHeight="1" x14ac:dyDescent="0.25">
      <c r="Q2059" s="6"/>
      <c r="R2059" s="47" t="s">
        <v>160</v>
      </c>
      <c r="S2059" s="304" t="s">
        <v>58</v>
      </c>
      <c r="T2059" s="305"/>
      <c r="U2059" s="305"/>
      <c r="V2059" s="305"/>
      <c r="W2059" s="305"/>
      <c r="X2059" s="306"/>
      <c r="Y2059" s="47">
        <v>1</v>
      </c>
      <c r="Z2059" s="47">
        <v>2</v>
      </c>
      <c r="AA2059" s="47">
        <v>3</v>
      </c>
      <c r="AB2059" s="47">
        <v>4</v>
      </c>
      <c r="AC2059" s="47">
        <v>5</v>
      </c>
      <c r="AD2059" s="286"/>
      <c r="AE2059" s="287"/>
      <c r="AF2059" s="288"/>
    </row>
    <row r="2060" spans="1:32" ht="12.75" customHeight="1" x14ac:dyDescent="0.25">
      <c r="A2060" s="15" t="s">
        <v>166</v>
      </c>
      <c r="H2060" s="110" t="str">
        <f>IF($Q2062&lt;&gt;"",IF(AND(AND($H2062&gt;-1,$H2064&gt;-1),OR($H2062&gt;10,$H2064&gt;10),ABS($H2062-$H2064)&gt;1,IF(OR($H2062&gt;11,$H2064&gt;11),ABS($H2062-$H2064)=2,TRUE),$H2062=INT($H2062),$H2064=INT($H2064)),"","Error"),"")</f>
        <v/>
      </c>
      <c r="I2060" s="110" t="str">
        <f>IF($Q2062&lt;&gt;"",IF(AND(AND($I2062&gt;-1,$I2064&gt;-1),OR($I2062&gt;10,$I2064&gt;10),ABS($I2062-$I2064)&gt;1,IF(OR($I2062&gt;11,$I2064&gt;11),ABS($I2062-$I2064)=2,TRUE),$I2062=INT($I2062),$I2064=INT($I2064)),"","Error"),"")</f>
        <v/>
      </c>
      <c r="J2060" s="110" t="str">
        <f>IF($Q2062&lt;&gt;"",IF(AND(AND($J2062&gt;-1,$J2064&gt;-1),OR($J2062&gt;10,$J2064&gt;10),ABS($J2062-$J2064)&gt;1,IF(OR($J2062&gt;11,$J2064&gt;11),ABS($J2062-$J2064)=2,TRUE),$J2062=INT($J2062),$J2064=INT($J2064)),"","Error"),"")</f>
        <v/>
      </c>
      <c r="K2060" s="110" t="str">
        <f>IF($Q2062&lt;&gt;"",IF(AND($K2062&lt;&gt;"",$K2064&lt;&gt;""), IF(AND(AND($K2062&gt;-1,$K2064&gt;-1),OR($K2062&gt;10,$K2064&gt;10),ABS($K2062-$K2064)&gt;1,IF(OR($K2062&gt;11,$K2064&gt;11),ABS($K2062-$K2064)=2,TRUE),$K2062=INT($K2062),$K2064=INT($K2064)),"","Error"),""),"")</f>
        <v/>
      </c>
      <c r="L2060" s="110" t="str">
        <f>IF($Q2062&lt;&gt;"",IF(AND($L2062&lt;&gt;"",$L2064&lt;&gt;""), IF(AND(AND($L2062&gt;-1,$L2064&gt;-1),OR($L2062&gt;10,$L2064&gt;10),ABS($L2062-$L2064)&gt;1,IF(OR($L2062&gt;11,$L2064&gt;11),ABS($L2062-$L2064)=2,TRUE),$L2062=INT($L2062),$L2064=INT($L2064)),"","Error"),""),"")</f>
        <v/>
      </c>
      <c r="Q2060" s="6"/>
      <c r="R2060" s="259" t="str">
        <f>$B2049</f>
        <v>B</v>
      </c>
      <c r="S2060" s="307" t="str">
        <f ca="1">IF($B2062&lt;&gt;"",$B2062,"")</f>
        <v/>
      </c>
      <c r="T2060" s="308"/>
      <c r="U2060" s="308"/>
      <c r="V2060" s="308"/>
      <c r="W2060" s="308"/>
      <c r="X2060" s="309"/>
      <c r="Y2060" s="284"/>
      <c r="Z2060" s="284"/>
      <c r="AA2060" s="284"/>
      <c r="AB2060" s="284"/>
      <c r="AC2060" s="284"/>
      <c r="AD2060" s="296"/>
      <c r="AE2060" s="290"/>
      <c r="AF2060" s="291"/>
    </row>
    <row r="2061" spans="1:32" ht="12.75" customHeight="1" x14ac:dyDescent="0.25">
      <c r="A2061" s="5" t="s">
        <v>160</v>
      </c>
      <c r="B2061" s="256" t="s">
        <v>58</v>
      </c>
      <c r="C2061" s="257"/>
      <c r="D2061" s="257"/>
      <c r="E2061" s="257"/>
      <c r="F2061" s="257"/>
      <c r="G2061" s="258"/>
      <c r="H2061" s="5">
        <v>1</v>
      </c>
      <c r="I2061" s="5">
        <v>2</v>
      </c>
      <c r="J2061" s="5">
        <v>3</v>
      </c>
      <c r="K2061" s="5">
        <v>4</v>
      </c>
      <c r="L2061" s="5">
        <v>5</v>
      </c>
      <c r="M2061" s="270"/>
      <c r="N2061" s="271"/>
      <c r="O2061" s="271"/>
      <c r="P2061" s="272"/>
      <c r="Q2061" s="6"/>
      <c r="R2061" s="285"/>
      <c r="S2061" s="310"/>
      <c r="T2061" s="311"/>
      <c r="U2061" s="311"/>
      <c r="V2061" s="311"/>
      <c r="W2061" s="311"/>
      <c r="X2061" s="312"/>
      <c r="Y2061" s="285"/>
      <c r="Z2061" s="285"/>
      <c r="AA2061" s="285"/>
      <c r="AB2061" s="285"/>
      <c r="AC2061" s="285"/>
      <c r="AD2061" s="292"/>
      <c r="AE2061" s="293"/>
      <c r="AF2061" s="294"/>
    </row>
    <row r="2062" spans="1:32" ht="12.75" customHeight="1" x14ac:dyDescent="0.25">
      <c r="A2062" s="259" t="str">
        <f>B2049</f>
        <v>B</v>
      </c>
      <c r="B2062" s="236" t="str">
        <f ca="1">IF(AND(OFFSET($AO$1,$C2049-1,8,1,1),$A2050&lt;&gt;"",$J2050&lt;&gt;""),CHOOSE($C2049,$AP$1,$AP$2,$AP$3,$AP$4,$AP$5,$AP$6,$AP$7,$AP$8,$AP$9,$AP$10,$AP$11,$AP$12),"")</f>
        <v/>
      </c>
      <c r="C2062" s="237"/>
      <c r="D2062" s="237"/>
      <c r="E2062" s="237"/>
      <c r="F2062" s="237"/>
      <c r="G2062" s="237"/>
      <c r="H2062" s="233"/>
      <c r="I2062" s="233"/>
      <c r="J2062" s="233"/>
      <c r="K2062" s="233"/>
      <c r="L2062" s="233"/>
      <c r="M2062" s="245" t="str">
        <f ca="1">IF(OR(AND($B2055&lt;&gt;"",$B2062&lt;&gt;"",$C2080&lt;=$B2080),AND($B2057&lt;&gt;"",$B2064&lt;&gt;"",$G2080&lt;=$F2080)),"Invalid Lineup","")</f>
        <v/>
      </c>
      <c r="N2062" s="246"/>
      <c r="O2062" s="246"/>
      <c r="P2062" s="247"/>
      <c r="Q2062" s="40" t="str">
        <f>IF($L2062=$L2064,IF($K2062=$K2064,IF($J2062&lt;&gt;"",IF($J2062&gt;$J2064,"W","L"),""),IF($K2062&gt;$K2064,"W","L")),IF($L2062&gt;$L2064,"W","L"))</f>
        <v/>
      </c>
      <c r="R2062" s="259" t="str">
        <f>$K2049</f>
        <v>J</v>
      </c>
      <c r="S2062" s="307" t="str">
        <f ca="1">IF($B2064&lt;&gt;"",$B2064,"")</f>
        <v/>
      </c>
      <c r="T2062" s="308"/>
      <c r="U2062" s="308"/>
      <c r="V2062" s="308"/>
      <c r="W2062" s="308"/>
      <c r="X2062" s="309"/>
      <c r="Y2062" s="284"/>
      <c r="Z2062" s="284"/>
      <c r="AA2062" s="284"/>
      <c r="AB2062" s="284"/>
      <c r="AC2062" s="297"/>
      <c r="AD2062" s="289" t="s">
        <v>169</v>
      </c>
      <c r="AE2062" s="290"/>
      <c r="AF2062" s="291"/>
    </row>
    <row r="2063" spans="1:32" ht="12.75" customHeight="1" x14ac:dyDescent="0.25">
      <c r="A2063" s="260"/>
      <c r="B2063" s="238"/>
      <c r="C2063" s="239"/>
      <c r="D2063" s="239"/>
      <c r="E2063" s="239"/>
      <c r="F2063" s="239"/>
      <c r="G2063" s="239"/>
      <c r="H2063" s="234"/>
      <c r="I2063" s="234"/>
      <c r="J2063" s="234"/>
      <c r="K2063" s="234"/>
      <c r="L2063" s="234"/>
      <c r="M2063" s="245"/>
      <c r="N2063" s="246"/>
      <c r="O2063" s="246"/>
      <c r="P2063" s="247"/>
      <c r="Q2063" s="110" t="str">
        <f>IF($Q2062&lt;&gt;"",IF($Q2062="W",IF(SUM(IF($H2062&gt;$H2064,1,0),IF($I2062&gt;$I2064,1,0),IF($J2062&gt;$J2064,1,0),IF($K2062&gt;$K2064,1,0),IF($L2062&gt;$L2064,1,0))&lt;&gt;3,"Error",""),""),"")</f>
        <v/>
      </c>
      <c r="R2063" s="285"/>
      <c r="S2063" s="310"/>
      <c r="T2063" s="311"/>
      <c r="U2063" s="311"/>
      <c r="V2063" s="311"/>
      <c r="W2063" s="311"/>
      <c r="X2063" s="312"/>
      <c r="Y2063" s="285"/>
      <c r="Z2063" s="285"/>
      <c r="AA2063" s="285"/>
      <c r="AB2063" s="285"/>
      <c r="AC2063" s="285"/>
      <c r="AD2063" s="292"/>
      <c r="AE2063" s="293"/>
      <c r="AF2063" s="294"/>
    </row>
    <row r="2064" spans="1:32" ht="12.75" customHeight="1" x14ac:dyDescent="0.25">
      <c r="A2064" s="259" t="str">
        <f>K2049</f>
        <v>J</v>
      </c>
      <c r="B2064" s="236" t="str">
        <f ca="1">IF(AND(OFFSET($AO$1,$L2049-1,8,1,1),$A2050&lt;&gt;"",$J2050&lt;&gt;""),CHOOSE($L2049,$AP$1,$AP$2,$AP$3,$AP$4,$AP$5,$AP$6,$AP$7,$AP$8,$AP$9,$AP$10,$AP$11,$AP$12),"")</f>
        <v/>
      </c>
      <c r="C2064" s="237"/>
      <c r="D2064" s="237"/>
      <c r="E2064" s="237"/>
      <c r="F2064" s="237"/>
      <c r="G2064" s="237"/>
      <c r="H2064" s="233"/>
      <c r="I2064" s="233"/>
      <c r="J2064" s="233"/>
      <c r="K2064" s="233"/>
      <c r="L2064" s="233"/>
      <c r="M2064" s="250" t="s">
        <v>169</v>
      </c>
      <c r="N2064" s="251"/>
      <c r="O2064" s="251"/>
      <c r="P2064" s="252"/>
      <c r="Q2064" s="40" t="str">
        <f>IF($Q2062&lt;&gt;"",IF($Q2062="W","L","W"),"")</f>
        <v/>
      </c>
      <c r="R2064" s="14"/>
      <c r="S2064" s="14"/>
      <c r="T2064" s="14"/>
      <c r="U2064" s="14"/>
      <c r="V2064" s="14"/>
      <c r="W2064" s="14"/>
      <c r="X2064" s="7"/>
      <c r="Y2064" s="7"/>
      <c r="Z2064" s="14"/>
      <c r="AA2064" s="14"/>
      <c r="AB2064" s="14"/>
      <c r="AC2064" s="14"/>
      <c r="AD2064" s="14"/>
      <c r="AE2064" s="14"/>
      <c r="AF2064"/>
    </row>
    <row r="2065" spans="1:32" ht="12.75" customHeight="1" x14ac:dyDescent="0.25">
      <c r="A2065" s="260"/>
      <c r="B2065" s="238"/>
      <c r="C2065" s="239"/>
      <c r="D2065" s="239"/>
      <c r="E2065" s="239"/>
      <c r="F2065" s="239"/>
      <c r="G2065" s="239"/>
      <c r="H2065" s="234"/>
      <c r="I2065" s="234"/>
      <c r="J2065" s="235"/>
      <c r="K2065" s="235"/>
      <c r="L2065" s="235"/>
      <c r="M2065" s="250"/>
      <c r="N2065" s="251"/>
      <c r="O2065" s="251"/>
      <c r="P2065" s="252"/>
      <c r="Q2065" s="110" t="str">
        <f>IF($Q2064&lt;&gt;"",IF($Q2064="W",IF(SUM(IF($H2064&gt;$H2062,1,0),IF($I2064&gt;$I2062,1,0),IF($J2064&gt;$J2062,1,0),IF($K2064&gt;$K2062,1,0),IF($L2064&gt;$L2062,1,0))&lt;&gt;3,"Error",""),""),"")</f>
        <v/>
      </c>
      <c r="R2065" s="14"/>
      <c r="S2065" s="14"/>
      <c r="T2065" s="14"/>
      <c r="U2065" s="14"/>
      <c r="V2065" s="14"/>
      <c r="W2065" s="14"/>
      <c r="X2065" s="7"/>
      <c r="Y2065" s="7"/>
      <c r="Z2065" s="14"/>
      <c r="AA2065" s="14"/>
      <c r="AB2065" s="14"/>
      <c r="AC2065" s="14"/>
      <c r="AD2065" s="14"/>
      <c r="AE2065" s="14"/>
      <c r="AF2065"/>
    </row>
    <row r="2066" spans="1:32" ht="12.75" customHeight="1" x14ac:dyDescent="0.25">
      <c r="Q2066" s="6"/>
      <c r="R2066" s="14"/>
      <c r="S2066" s="14"/>
      <c r="T2066" s="14"/>
      <c r="U2066" s="14"/>
      <c r="V2066" s="14"/>
      <c r="W2066" s="14"/>
      <c r="X2066" s="7"/>
      <c r="Y2066" s="7"/>
      <c r="Z2066" s="14"/>
      <c r="AA2066" s="14"/>
      <c r="AB2066" s="14"/>
      <c r="AC2066" s="14"/>
      <c r="AD2066" s="14"/>
      <c r="AE2066" s="14"/>
      <c r="AF2066"/>
    </row>
    <row r="2067" spans="1:32" ht="12.75" customHeight="1" x14ac:dyDescent="0.25">
      <c r="A2067" s="15" t="s">
        <v>167</v>
      </c>
      <c r="H2067" s="110" t="str">
        <f>IF($Q2069&lt;&gt;"",IF(AND(AND($H2069&gt;-1,$H2071&gt;-1),OR($H2069&gt;10,$H2071&gt;10),ABS($H2069-$H2071)&gt;1,IF(OR($H2069&gt;11,$H2071&gt;11),ABS($H2069-$H2071)=2,TRUE),$H2069=INT($H2069),$H2071=INT($H2071)),"","Error"),"")</f>
        <v/>
      </c>
      <c r="I2067" s="110" t="str">
        <f>IF($Q2069&lt;&gt;"",IF(AND(AND($I2069&gt;-1,$I2071&gt;-1),OR($I2069&gt;10,$I2071&gt;10),ABS($I2069-$I2071)&gt;1,IF(OR($I2069&gt;11,$I2071&gt;11),ABS($I2069-$I2071)=2,TRUE),$I2069=INT($I2069),$I2071=INT($I2071)),"","Error"),"")</f>
        <v/>
      </c>
      <c r="J2067" s="110" t="str">
        <f>IF($Q2069&lt;&gt;"",IF(AND(AND($J2069&gt;-1,$J2071&gt;-1),OR($J2069&gt;10,$J2071&gt;10),ABS($J2069-$J2071)&gt;1,IF(OR($J2069&gt;11,$J2071&gt;11),ABS($J2069-$J2071)=2,TRUE),$J2069=INT($J2069),$J2071=INT($J2071)),"","Error"),"")</f>
        <v/>
      </c>
      <c r="K2067" s="110" t="str">
        <f>IF($Q2069&lt;&gt;"",IF(AND($K2069&lt;&gt;"",$K2071&lt;&gt;""), IF(AND(AND($K2069&gt;-1,$K2071&gt;-1),OR($K2069&gt;10,$K2071&gt;10),ABS($K2069-$K2071)&gt;1,IF(OR($K2069&gt;11,$K2071&gt;11),ABS($K2069-$K2071)=2,TRUE),$K2069=INT($K2069),$K2071=INT($K2071)),"","Error"),""),"")</f>
        <v/>
      </c>
      <c r="L2067" s="110" t="str">
        <f>IF($Q2069&lt;&gt;"",IF(AND($L2069&lt;&gt;"",$L2071&lt;&gt;""), IF(AND(AND($L2069&gt;-1,$L2071&gt;-1),OR($L2069&gt;10,$L2071&gt;10),ABS($L2069-$L2071)&gt;1,IF(OR($L2069&gt;11,$L2071&gt;11),ABS($L2069-$L2071)=2,TRUE),$L2069=INT($L2069),$L2071=INT($L2071)),"","Error"),""),"")</f>
        <v/>
      </c>
      <c r="Q2067" s="6"/>
      <c r="R2067" s="14"/>
      <c r="S2067" s="14"/>
      <c r="T2067" s="14"/>
      <c r="U2067" s="14"/>
      <c r="V2067" s="14"/>
      <c r="W2067" s="14"/>
      <c r="X2067" s="7"/>
      <c r="Y2067" s="7"/>
      <c r="Z2067" s="14"/>
      <c r="AA2067" s="14"/>
      <c r="AB2067" s="14"/>
      <c r="AC2067" s="14"/>
      <c r="AD2067" s="14"/>
      <c r="AE2067" s="14"/>
      <c r="AF2067"/>
    </row>
    <row r="2068" spans="1:32" ht="12.75" customHeight="1" x14ac:dyDescent="0.25">
      <c r="A2068" s="5" t="s">
        <v>160</v>
      </c>
      <c r="B2068" s="256" t="s">
        <v>58</v>
      </c>
      <c r="C2068" s="257"/>
      <c r="D2068" s="257"/>
      <c r="E2068" s="257"/>
      <c r="F2068" s="257"/>
      <c r="G2068" s="258"/>
      <c r="H2068" s="5">
        <v>1</v>
      </c>
      <c r="I2068" s="5">
        <v>2</v>
      </c>
      <c r="J2068" s="5">
        <v>3</v>
      </c>
      <c r="K2068" s="5">
        <v>4</v>
      </c>
      <c r="L2068" s="5">
        <v>5</v>
      </c>
      <c r="M2068" s="270"/>
      <c r="N2068" s="271"/>
      <c r="O2068" s="271"/>
      <c r="P2068" s="272"/>
      <c r="Q2068" s="6"/>
      <c r="R2068" s="14"/>
      <c r="S2068" s="14"/>
      <c r="T2068" s="14"/>
      <c r="U2068" s="14"/>
      <c r="V2068" s="14"/>
      <c r="W2068" s="14"/>
      <c r="X2068" s="7"/>
      <c r="Y2068" s="7"/>
      <c r="Z2068" s="14"/>
      <c r="AA2068" s="14"/>
      <c r="AB2068" s="14"/>
      <c r="AC2068" s="14"/>
      <c r="AD2068" s="14"/>
      <c r="AE2068" s="14"/>
      <c r="AF2068"/>
    </row>
    <row r="2069" spans="1:32" ht="12.75" customHeight="1" x14ac:dyDescent="0.25">
      <c r="A2069" s="259" t="str">
        <f>B2049</f>
        <v>B</v>
      </c>
      <c r="B2069" s="236" t="str">
        <f ca="1">IF(AND(OFFSET($AO$1,$C2049-1,8,1,1),$A2050&lt;&gt;"",$J2050&lt;&gt;""),CHOOSE($C2049,$AQ$1,$AQ$2,$AQ$3,$AQ$4,$AQ$5,$AQ$6,$AQ$7,$AQ$8,$AQ$9,$AQ$10,$AQ$11,$AQ$12),"")</f>
        <v/>
      </c>
      <c r="C2069" s="237"/>
      <c r="D2069" s="237"/>
      <c r="E2069" s="237"/>
      <c r="F2069" s="237"/>
      <c r="G2069" s="237"/>
      <c r="H2069" s="233"/>
      <c r="I2069" s="233"/>
      <c r="J2069" s="233"/>
      <c r="K2069" s="233"/>
      <c r="L2069" s="233"/>
      <c r="M2069" s="245" t="str">
        <f ca="1">IF(OR(AND($B2062&lt;&gt;"",$B2069&lt;&gt;"",$D2080&lt;=$C2080),AND($B2064&lt;&gt;"",$B2071&lt;&gt;"",$H2080&lt;=$G2080)),"Invalid Lineup","")</f>
        <v/>
      </c>
      <c r="N2069" s="246"/>
      <c r="O2069" s="246"/>
      <c r="P2069" s="247"/>
      <c r="Q2069" s="40" t="str">
        <f>IF($L2069=$L2071,IF($K2069=$K2071,IF($J2069&lt;&gt;"",IF($J2069&gt;$J2071,"W","L"),""),IF($K2069&gt;$K2071,"W","L")),IF($L2069&gt;$L2071,"W","L"))</f>
        <v/>
      </c>
      <c r="R2069" s="14"/>
      <c r="S2069" s="14"/>
      <c r="T2069" s="14"/>
      <c r="U2069" s="14"/>
      <c r="V2069" s="14"/>
      <c r="W2069" s="14"/>
      <c r="X2069" s="7"/>
      <c r="Y2069" s="7"/>
      <c r="Z2069" s="14"/>
      <c r="AA2069" s="14"/>
      <c r="AB2069" s="14"/>
      <c r="AC2069" s="14"/>
      <c r="AD2069" s="14"/>
      <c r="AE2069" s="14"/>
      <c r="AF2069"/>
    </row>
    <row r="2070" spans="1:32" ht="12.75" customHeight="1" x14ac:dyDescent="0.25">
      <c r="A2070" s="260"/>
      <c r="B2070" s="238"/>
      <c r="C2070" s="239"/>
      <c r="D2070" s="239"/>
      <c r="E2070" s="239"/>
      <c r="F2070" s="239"/>
      <c r="G2070" s="239"/>
      <c r="H2070" s="234"/>
      <c r="I2070" s="234"/>
      <c r="J2070" s="234"/>
      <c r="K2070" s="234"/>
      <c r="L2070" s="234"/>
      <c r="M2070" s="245"/>
      <c r="N2070" s="246"/>
      <c r="O2070" s="246"/>
      <c r="P2070" s="247"/>
      <c r="Q2070" s="110" t="str">
        <f>IF($Q2069&lt;&gt;"",IF($Q2069="W",IF(SUM(IF($H2069&gt;$H2071,1,0),IF($I2069&gt;$I2071,1,0),IF($J2069&gt;$J2071,1,0),IF($K2069&gt;$K2071,1,0),IF($L2069&gt;$L2071,1,0))&lt;&gt;3,"Error",""),""),"")</f>
        <v/>
      </c>
      <c r="R2070" s="295" t="str">
        <f>$A2050</f>
        <v/>
      </c>
      <c r="S2070" s="295"/>
      <c r="T2070" s="295"/>
      <c r="U2070" s="295"/>
      <c r="V2070" s="295"/>
      <c r="W2070" s="295"/>
      <c r="X2070" s="219" t="str">
        <f>CONCATENATE("(",$B2049," vs ",$K2049,")")</f>
        <v>(B vs J)</v>
      </c>
      <c r="Y2070" s="219"/>
      <c r="Z2070" s="295" t="str">
        <f>$J2050</f>
        <v/>
      </c>
      <c r="AA2070" s="295"/>
      <c r="AB2070" s="295"/>
      <c r="AC2070" s="295"/>
      <c r="AD2070" s="295"/>
      <c r="AE2070" s="295"/>
      <c r="AF2070"/>
    </row>
    <row r="2071" spans="1:32" ht="12.75" customHeight="1" x14ac:dyDescent="0.25">
      <c r="A2071" s="259" t="str">
        <f>K2049</f>
        <v>J</v>
      </c>
      <c r="B2071" s="236" t="str">
        <f ca="1">IF(AND(OFFSET($AO$1,$L2049-1,8,1,1),$A2050&lt;&gt;"",$J2050&lt;&gt;""),CHOOSE($L2049,$AQ$1,$AQ$2,$AQ$3,$AQ$4,$AQ$5,$AQ$6,$AQ$7,$AQ$8,$AQ$9,$AQ$10,$AQ$11,$AQ$12),"")</f>
        <v/>
      </c>
      <c r="C2071" s="237"/>
      <c r="D2071" s="237"/>
      <c r="E2071" s="237"/>
      <c r="F2071" s="237"/>
      <c r="G2071" s="237"/>
      <c r="H2071" s="233"/>
      <c r="I2071" s="233"/>
      <c r="J2071" s="233"/>
      <c r="K2071" s="233"/>
      <c r="L2071" s="233"/>
      <c r="M2071" s="250" t="s">
        <v>169</v>
      </c>
      <c r="N2071" s="251"/>
      <c r="O2071" s="251"/>
      <c r="P2071" s="252"/>
      <c r="Q2071" s="40" t="str">
        <f>IF($Q2069&lt;&gt;"",IF($Q2069="W","L","W"),"")</f>
        <v/>
      </c>
      <c r="R2071"/>
      <c r="S2071"/>
      <c r="T2071"/>
      <c r="U2071"/>
      <c r="V2071"/>
      <c r="W2071"/>
      <c r="X2071"/>
      <c r="Y2071"/>
      <c r="Z2071"/>
      <c r="AA2071"/>
      <c r="AB2071"/>
      <c r="AC2071"/>
      <c r="AD2071"/>
      <c r="AE2071"/>
      <c r="AF2071"/>
    </row>
    <row r="2072" spans="1:32" ht="12.75" customHeight="1" x14ac:dyDescent="0.25">
      <c r="A2072" s="260"/>
      <c r="B2072" s="238"/>
      <c r="C2072" s="239"/>
      <c r="D2072" s="239"/>
      <c r="E2072" s="239"/>
      <c r="F2072" s="239"/>
      <c r="G2072" s="239"/>
      <c r="H2072" s="234"/>
      <c r="I2072" s="234"/>
      <c r="J2072" s="235"/>
      <c r="K2072" s="235"/>
      <c r="L2072" s="235"/>
      <c r="M2072" s="250"/>
      <c r="N2072" s="251"/>
      <c r="O2072" s="251"/>
      <c r="P2072" s="252"/>
      <c r="Q2072" s="110" t="str">
        <f>IF($Q2071&lt;&gt;"",IF($Q2071="W",IF(SUM(IF($H2071&gt;$H2069,1,0),IF($I2071&gt;$I2069,1,0),IF($J2071&gt;$J2069,1,0),IF($K2071&gt;$K2069,1,0),IF($L2071&gt;$L2069,1,0))&lt;&gt;3,"Error",""),""),"")</f>
        <v/>
      </c>
      <c r="R2072" t="str">
        <f>$A2067</f>
        <v>3rd Singles</v>
      </c>
      <c r="S2072"/>
      <c r="T2072"/>
      <c r="U2072"/>
      <c r="V2072"/>
      <c r="W2072"/>
      <c r="X2072"/>
      <c r="Y2072"/>
      <c r="Z2072"/>
      <c r="AA2072"/>
      <c r="AB2072"/>
      <c r="AC2072"/>
      <c r="AD2072"/>
      <c r="AE2072"/>
      <c r="AF2072"/>
    </row>
    <row r="2073" spans="1:32" ht="12.75" customHeight="1" x14ac:dyDescent="0.25">
      <c r="Q2073" s="6"/>
      <c r="R2073" s="47" t="s">
        <v>160</v>
      </c>
      <c r="S2073" s="86" t="s">
        <v>58</v>
      </c>
      <c r="T2073" s="87"/>
      <c r="U2073" s="87"/>
      <c r="V2073" s="87"/>
      <c r="W2073" s="87"/>
      <c r="X2073" s="88"/>
      <c r="Y2073" s="47">
        <v>1</v>
      </c>
      <c r="Z2073" s="47">
        <v>2</v>
      </c>
      <c r="AA2073" s="47">
        <v>3</v>
      </c>
      <c r="AB2073" s="47">
        <v>4</v>
      </c>
      <c r="AC2073" s="47">
        <v>5</v>
      </c>
      <c r="AD2073" s="89"/>
      <c r="AE2073" s="90"/>
      <c r="AF2073" s="91"/>
    </row>
    <row r="2074" spans="1:32" ht="12.75" customHeight="1" x14ac:dyDescent="0.25">
      <c r="A2074" s="15" t="s">
        <v>168</v>
      </c>
      <c r="H2074" s="110" t="str">
        <f ca="1">IF($Q2076&lt;&gt;"",IF(AND($B2076&lt;&gt;"Missing Player",$B2078&lt;&gt;"Missing Player"),IF(AND(AND($H2076&gt;-1,$H2078&gt;-1),OR($H2076&gt;10,$H2078&gt;10),ABS($H2076-$H2078)&gt;1,IF(OR($H2076&gt;11,$H2078&gt;11),ABS($H2076-$H2078)=2,TRUE),$H2076=INT($H2076),$H2078=INT($H2078)),"","Error"),""),"")</f>
        <v/>
      </c>
      <c r="I2074" s="110" t="str">
        <f ca="1">IF($Q2076&lt;&gt;"",IF(AND($B2076&lt;&gt;"Missing Player",$B2078&lt;&gt;"Missing Player"),IF(AND(AND($I2076&gt;-1,$I2078&gt;-1),OR($I2076&gt;10,$I2078&gt;10),ABS($I2076-$I2078)&gt;1,IF(OR($I2076&gt;11,$I2078&gt;11),ABS($I2076-$I2078)=2,TRUE),$I2076=INT($I2076),$I2078=INT($I2078)),"","Error"),""),"")</f>
        <v/>
      </c>
      <c r="J2074" s="110" t="str">
        <f ca="1">IF($Q2076&lt;&gt;"",IF(AND($B2076&lt;&gt;"Missing Player",$B2078&lt;&gt;"Missing Player"),IF(AND(AND($J2076&gt;-1,$J2078&gt;-1),OR($J2076&gt;10,$J2078&gt;10),ABS($J2076-$J2078)&gt;1,IF(OR($J2076&gt;11,$J2078&gt;11),ABS($J2076-$J2078)=2,TRUE),$J2076=INT($J2076),$J2078=INT($J2078)),"","Error"),""),"")</f>
        <v/>
      </c>
      <c r="K2074" s="110" t="str">
        <f ca="1">IF($Q2076&lt;&gt;"",IF(AND($K2076&lt;&gt;"",$K2078&lt;&gt;""), IF(AND(AND($K2076&gt;-1,$K2078&gt;-1),OR($K2076&gt;10,$K2078&gt;10),ABS($K2076-$K2078)&gt;1,IF(OR($K2076&gt;11,$K2078&gt;11),ABS($K2076-$K2078)=2,TRUE),$K2076=INT($K2076),$K2078=INT($K2078)),"","Error"),""),"")</f>
        <v/>
      </c>
      <c r="L2074" s="110" t="str">
        <f ca="1">IF($Q2076&lt;&gt;"",IF(AND($L2076&lt;&gt;"",$L2078&lt;&gt;""), IF(AND(AND($L2076&gt;-1,$L2078&gt;-1),OR($L2076&gt;10,$L2078&gt;10),ABS($L2076-$L2078)&gt;1,IF(OR($L2076&gt;11,$L2078&gt;11),ABS($L2076-$L2078)=2,TRUE),$L2076=INT($L2076),$L2078=INT($L2078)),"","Error"),""),"")</f>
        <v/>
      </c>
      <c r="Q2074" s="6"/>
      <c r="R2074" s="259" t="str">
        <f>$B2049</f>
        <v>B</v>
      </c>
      <c r="S2074" s="307" t="str">
        <f ca="1">IF($B2069&lt;&gt;"",$B2069,"")</f>
        <v/>
      </c>
      <c r="T2074" s="308"/>
      <c r="U2074" s="308"/>
      <c r="V2074" s="308"/>
      <c r="W2074" s="308"/>
      <c r="X2074" s="309"/>
      <c r="Y2074" s="284"/>
      <c r="Z2074" s="284"/>
      <c r="AA2074" s="284"/>
      <c r="AB2074" s="284"/>
      <c r="AC2074" s="284"/>
      <c r="AD2074" s="296"/>
      <c r="AE2074" s="290"/>
      <c r="AF2074" s="291"/>
    </row>
    <row r="2075" spans="1:32" ht="12.75" customHeight="1" x14ac:dyDescent="0.25">
      <c r="A2075" s="5" t="s">
        <v>160</v>
      </c>
      <c r="B2075" s="256" t="s">
        <v>58</v>
      </c>
      <c r="C2075" s="257"/>
      <c r="D2075" s="257"/>
      <c r="E2075" s="257"/>
      <c r="F2075" s="257"/>
      <c r="G2075" s="258"/>
      <c r="H2075" s="5">
        <v>1</v>
      </c>
      <c r="I2075" s="5">
        <v>2</v>
      </c>
      <c r="J2075" s="5">
        <v>3</v>
      </c>
      <c r="K2075" s="5">
        <v>4</v>
      </c>
      <c r="L2075" s="5">
        <v>5</v>
      </c>
      <c r="M2075" s="270"/>
      <c r="N2075" s="271"/>
      <c r="O2075" s="271"/>
      <c r="P2075" s="272"/>
      <c r="Q2075" s="6"/>
      <c r="R2075" s="285"/>
      <c r="S2075" s="310"/>
      <c r="T2075" s="311"/>
      <c r="U2075" s="311"/>
      <c r="V2075" s="311"/>
      <c r="W2075" s="311"/>
      <c r="X2075" s="312"/>
      <c r="Y2075" s="285"/>
      <c r="Z2075" s="285"/>
      <c r="AA2075" s="285"/>
      <c r="AB2075" s="285"/>
      <c r="AC2075" s="285"/>
      <c r="AD2075" s="292"/>
      <c r="AE2075" s="293"/>
      <c r="AF2075" s="294"/>
    </row>
    <row r="2076" spans="1:32" ht="12.75" customHeight="1" x14ac:dyDescent="0.25">
      <c r="A2076" s="259" t="str">
        <f>B2049</f>
        <v>B</v>
      </c>
      <c r="B2076" s="236" t="str">
        <f ca="1">IF(AND(OFFSET($AO$1,$C2049-1,8,1,1),$A2050&lt;&gt;"",$J2050&lt;&gt;""),CHOOSE($C2049,$AR$1,$AR$2,$AR$3,$AR$4,$AR$5,$AR$6,$AR$7,$AR$8,$AR$9,$AR$10,$AR$11,$AR$12),"")</f>
        <v/>
      </c>
      <c r="C2076" s="237"/>
      <c r="D2076" s="237"/>
      <c r="E2076" s="237"/>
      <c r="F2076" s="237"/>
      <c r="G2076" s="237"/>
      <c r="H2076" s="233"/>
      <c r="I2076" s="233"/>
      <c r="J2076" s="233"/>
      <c r="K2076" s="233"/>
      <c r="L2076" s="233" t="str">
        <f ca="1">IF(AND($B2076&lt;&gt;"",$Q2055&lt;&gt;""),IF($B2076="Missing Player",0,IF($B2078="Missing Player",11,"")),"")</f>
        <v/>
      </c>
      <c r="M2076" s="245" t="str">
        <f ca="1">IF(OR(AND($B2069&lt;&gt;"",$B2076&lt;&gt;"",$E2080&lt;=$D2080),AND($B2071&lt;&gt;"",$B2078&lt;&gt;"",$I2080&lt;=$H2080)),"Invalid Lineup","")</f>
        <v/>
      </c>
      <c r="N2076" s="246"/>
      <c r="O2076" s="246"/>
      <c r="P2076" s="247"/>
      <c r="Q2076" s="40" t="str">
        <f ca="1">IF($L2076=$L2078,IF($K2076=$K2078,IF($J2076&lt;&gt;"",IF($J2076&gt;$J2078,"W","L"),""),IF($K2076&gt;$K2078,"W","L")),IF($L2076&gt;$L2078,"W","L"))</f>
        <v/>
      </c>
      <c r="R2076" s="259" t="str">
        <f>$K2049</f>
        <v>J</v>
      </c>
      <c r="S2076" s="307" t="str">
        <f ca="1">IF($B2071&lt;&gt;"",$B2071,"")</f>
        <v/>
      </c>
      <c r="T2076" s="308"/>
      <c r="U2076" s="308"/>
      <c r="V2076" s="308"/>
      <c r="W2076" s="308"/>
      <c r="X2076" s="309"/>
      <c r="Y2076" s="284"/>
      <c r="Z2076" s="284"/>
      <c r="AA2076" s="284"/>
      <c r="AB2076" s="284"/>
      <c r="AC2076" s="297"/>
      <c r="AD2076" s="289" t="s">
        <v>169</v>
      </c>
      <c r="AE2076" s="290"/>
      <c r="AF2076" s="291"/>
    </row>
    <row r="2077" spans="1:32" ht="12.75" customHeight="1" x14ac:dyDescent="0.25">
      <c r="A2077" s="260"/>
      <c r="B2077" s="238"/>
      <c r="C2077" s="239"/>
      <c r="D2077" s="239"/>
      <c r="E2077" s="239"/>
      <c r="F2077" s="239"/>
      <c r="G2077" s="239"/>
      <c r="H2077" s="234"/>
      <c r="I2077" s="234"/>
      <c r="J2077" s="234"/>
      <c r="K2077" s="234"/>
      <c r="L2077" s="234"/>
      <c r="M2077" s="245"/>
      <c r="N2077" s="246"/>
      <c r="O2077" s="246"/>
      <c r="P2077" s="247"/>
      <c r="Q2077" s="110" t="str">
        <f ca="1">IF($Q2076&lt;&gt;"",IF($B2078&lt;&gt;"Missing Player",IF($Q2076="W",IF(SUM(IF($H2076&gt;$H2078,1,0),IF($I2076&gt;$I2078,1,0),IF($J2076&gt;$J2078,1,0),IF($K2076&gt;$K2078,1,0),IF($L2076&gt;$L2078,1,0))&lt;&gt;3,"Error",""),""),""),"")</f>
        <v/>
      </c>
      <c r="R2077" s="285"/>
      <c r="S2077" s="310"/>
      <c r="T2077" s="311"/>
      <c r="U2077" s="311"/>
      <c r="V2077" s="311"/>
      <c r="W2077" s="311"/>
      <c r="X2077" s="312"/>
      <c r="Y2077" s="285"/>
      <c r="Z2077" s="285"/>
      <c r="AA2077" s="285"/>
      <c r="AB2077" s="285"/>
      <c r="AC2077" s="285"/>
      <c r="AD2077" s="292"/>
      <c r="AE2077" s="293"/>
      <c r="AF2077" s="294"/>
    </row>
    <row r="2078" spans="1:32" ht="12.75" customHeight="1" x14ac:dyDescent="0.25">
      <c r="A2078" s="259" t="str">
        <f>K2049</f>
        <v>J</v>
      </c>
      <c r="B2078" s="236" t="str">
        <f ca="1">IF(AND(OFFSET($AO$1,$L2049-1,8,1,1),$A2050&lt;&gt;"",$J2050&lt;&gt;""),CHOOSE($L2049,$AR$1,$AR$2,$AR$3,$AR$4,$AR$5,$AR$6,$AR$7,$AR$8,$AR$9,$AR$10,$AR$11,$AR$12),"")</f>
        <v/>
      </c>
      <c r="C2078" s="237"/>
      <c r="D2078" s="237"/>
      <c r="E2078" s="237"/>
      <c r="F2078" s="237"/>
      <c r="G2078" s="237"/>
      <c r="H2078" s="233"/>
      <c r="I2078" s="233"/>
      <c r="J2078" s="233"/>
      <c r="K2078" s="233"/>
      <c r="L2078" s="233" t="str">
        <f ca="1">IF(AND($B2078&lt;&gt;"",$Q2055&lt;&gt;""),IF($B2078="Missing Player",0,IF($B2076="Missing Player",11,"")),"")</f>
        <v/>
      </c>
      <c r="M2078" s="250" t="s">
        <v>169</v>
      </c>
      <c r="N2078" s="251"/>
      <c r="O2078" s="251"/>
      <c r="P2078" s="252"/>
      <c r="Q2078" s="40" t="str">
        <f ca="1">IF($Q2076&lt;&gt;"",IF($Q2076="W","L","W"),"")</f>
        <v/>
      </c>
      <c r="R2078" s="94"/>
      <c r="S2078" s="84"/>
      <c r="T2078" s="84"/>
      <c r="U2078" s="84"/>
      <c r="V2078" s="84"/>
      <c r="W2078" s="84"/>
      <c r="X2078" s="84"/>
      <c r="Y2078" s="93"/>
      <c r="Z2078" s="93"/>
      <c r="AA2078" s="93"/>
      <c r="AB2078" s="93"/>
      <c r="AC2078" s="93"/>
      <c r="AD2078" s="92"/>
      <c r="AE2078" s="93"/>
      <c r="AF2078" s="93"/>
    </row>
    <row r="2079" spans="1:32" ht="12.75" customHeight="1" x14ac:dyDescent="0.25">
      <c r="A2079" s="260"/>
      <c r="B2079" s="238"/>
      <c r="C2079" s="239"/>
      <c r="D2079" s="239"/>
      <c r="E2079" s="239"/>
      <c r="F2079" s="239"/>
      <c r="G2079" s="239"/>
      <c r="H2079" s="234"/>
      <c r="I2079" s="234"/>
      <c r="J2079" s="235"/>
      <c r="K2079" s="235"/>
      <c r="L2079" s="235"/>
      <c r="M2079" s="250"/>
      <c r="N2079" s="251"/>
      <c r="O2079" s="251"/>
      <c r="P2079" s="252"/>
      <c r="Q2079" s="110" t="str">
        <f ca="1">IF($Q2078&lt;&gt;"",IF($B2076&lt;&gt;"Missing Player",IF($Q2078="W",IF(SUM(IF($H2078&gt;$H2076,1,0),IF($I2078&gt;$I2076,1,0),IF($J2078&gt;$J2076,1,0),IF($K2078&gt;$K2076,1,0),IF($L2078&gt;$L2076,1,0))&lt;&gt;3,"Error",""),""),""),"")</f>
        <v/>
      </c>
      <c r="R2079" s="85"/>
      <c r="S2079" s="95"/>
      <c r="T2079" s="95"/>
      <c r="U2079" s="95"/>
      <c r="V2079" s="95"/>
      <c r="W2079" s="95"/>
      <c r="X2079" s="95"/>
      <c r="Y2079" s="85"/>
      <c r="Z2079" s="85"/>
      <c r="AA2079" s="85"/>
      <c r="AB2079" s="85"/>
      <c r="AC2079" s="85"/>
      <c r="AD2079" s="85"/>
      <c r="AE2079" s="85"/>
      <c r="AF2079" s="85"/>
    </row>
    <row r="2080" spans="1:32" ht="12.75" customHeight="1" x14ac:dyDescent="0.25">
      <c r="B2080" s="111" t="str">
        <f ca="1">IF(ISERROR(VLOOKUP($B2055&amp;"("&amp;$B2049&amp;")",Players!$S$4:$T$132,2,FALSE)),"",VLOOKUP($B2055&amp;"("&amp;$B2049&amp;")",Players!$S$4:$T$132,2,FALSE))</f>
        <v>B1</v>
      </c>
      <c r="C2080" s="111" t="str">
        <f ca="1">IF(ISERROR(VLOOKUP($B2062&amp;"("&amp;$B2049&amp;")",Players!$S$4:$T$132,2,FALSE)),"",VLOOKUP($B2062&amp;"("&amp;$B2049&amp;")",Players!$S$4:$T$132,2,FALSE))</f>
        <v>B1</v>
      </c>
      <c r="D2080" s="111" t="str">
        <f ca="1">IF(ISERROR(VLOOKUP($B2069&amp;"("&amp;$B2049&amp;")",Players!$S$4:$T$132,2,FALSE)),"",VLOOKUP($B2069&amp;"("&amp;$B2049&amp;")",Players!$S$4:$T$132,2,FALSE))</f>
        <v>B1</v>
      </c>
      <c r="E2080" s="111" t="str">
        <f ca="1">IF(ISERROR(VLOOKUP($B2076&amp;"("&amp;$B2049&amp;")",Players!$S$4:$T$132,2,FALSE)),"",VLOOKUP($B2076&amp;"("&amp;$B2049&amp;")",Players!$S$4:$T$132,2,FALSE))</f>
        <v>B1</v>
      </c>
      <c r="F2080" s="111" t="str">
        <f ca="1">IF(ISERROR(VLOOKUP($B2057&amp;"("&amp;$K2049&amp;")",Players!$S$4:$T$132,2,FALSE)),"",VLOOKUP($B2057&amp;"("&amp;$K2049&amp;")",Players!$S$4:$T$132,2,FALSE))</f>
        <v>J1</v>
      </c>
      <c r="G2080" s="111" t="str">
        <f ca="1">IF(ISERROR(VLOOKUP($B2064&amp;"("&amp;$K2049&amp;")",Players!$S$4:$T$132,2,FALSE)),"",VLOOKUP($B2064&amp;"("&amp;$K2049&amp;")",Players!$S$4:$T$132,2,FALSE))</f>
        <v>J1</v>
      </c>
      <c r="H2080" s="111" t="str">
        <f ca="1">IF(ISERROR(VLOOKUP($B2071&amp;"("&amp;$K2049&amp;")",Players!$S$4:$T$132,2,FALSE)),"",VLOOKUP($B2071&amp;"("&amp;$K2049&amp;")",Players!$S$4:$T$132,2,FALSE))</f>
        <v>J1</v>
      </c>
      <c r="I2080" s="111" t="str">
        <f ca="1">IF(ISERROR(VLOOKUP($B2078&amp;"("&amp;$K2049&amp;")",Players!$S$4:$T$132,2,FALSE)),"",VLOOKUP($B2078&amp;"("&amp;$K2049&amp;")",Players!$S$4:$T$132,2,FALSE))</f>
        <v>J1</v>
      </c>
      <c r="Q2080" s="6"/>
      <c r="R2080" s="37"/>
      <c r="S2080" s="95"/>
      <c r="T2080" s="95"/>
      <c r="U2080" s="95"/>
      <c r="V2080" s="95"/>
      <c r="W2080" s="95"/>
      <c r="X2080" s="95"/>
      <c r="Y2080" s="85"/>
      <c r="Z2080" s="85"/>
      <c r="AA2080" s="85"/>
      <c r="AB2080" s="85"/>
      <c r="AC2080" s="96"/>
      <c r="AD2080" s="97"/>
      <c r="AE2080" s="85"/>
      <c r="AF2080" s="85"/>
    </row>
    <row r="2081" spans="1:32" ht="12.75" customHeight="1" x14ac:dyDescent="0.25">
      <c r="A2081" s="15" t="s">
        <v>157</v>
      </c>
      <c r="H2081" s="110" t="str">
        <f ca="1">IF($Q2083&lt;&gt;"",IF(AND($B2084&lt;&gt;"Missing Player",$B2086&lt;&gt;"Missing Player"),IF(AND(AND($H2083&gt;-1,$H2085&gt;-1),OR($H2083&gt;10,$H2085&gt;10),ABS($H2083-$H2085)&gt;1,IF(OR($H2083&gt;11,$H2085&gt;11),ABS($H2083-$H2085)=2,TRUE),$H2083=INT($H2083),$H2085=INT($H2085)),"","Error"),""),"")</f>
        <v/>
      </c>
      <c r="I2081" s="110" t="str">
        <f ca="1">IF($Q2083&lt;&gt;"",IF(AND($B2084&lt;&gt;"Missing Player",$B2086&lt;&gt;"Missing Player"),IF(AND(AND($I2083&gt;-1,$I2085&gt;-1),OR($I2083&gt;10,$I2085&gt;10),ABS($I2083-$I2085)&gt;1,IF(OR($I2083&gt;11,$I2085&gt;11),ABS($I2083-$I2085)=2,TRUE),$I2083=INT($I2083),$I2085=INT($I2085)),"","Error"),""),"")</f>
        <v/>
      </c>
      <c r="J2081" s="110" t="str">
        <f ca="1">IF($Q2083&lt;&gt;"",IF(AND($B2084&lt;&gt;"Missing Player",$B2086&lt;&gt;"Missing Player"),IF(AND(AND($J2083&gt;-1,$J2085&gt;-1),OR($J2083&gt;10,$J2085&gt;10),ABS($J2083-$J2085)&gt;1,IF(OR($J2083&gt;11,$J2085&gt;11),ABS($J2083-$J2085)=2,TRUE),$J2083=INT($J2083),$J2085=INT($J2085)),"","Error"),""),"")</f>
        <v/>
      </c>
      <c r="K2081" s="110" t="str">
        <f ca="1">IF($Q2083&lt;&gt;"",IF(AND($K2083&lt;&gt;"",$K2085&lt;&gt;""), IF(AND(AND($K2083&gt;-1,$K2085&gt;-1),OR($K2083&gt;10,$K2085&gt;10),ABS($K2083-$K2085)&gt;1,IF(OR($K2083&gt;11,$K2085&gt;11),ABS($K2083-$K2085)=2,TRUE),$K2083=INT($K2083),$K2085=INT($K2085)),"","Error"),""),"")</f>
        <v/>
      </c>
      <c r="L2081" s="110" t="str">
        <f ca="1">IF($Q2083&lt;&gt;"",IF(AND($L2083&lt;&gt;"",$L2085&lt;&gt;""), IF(AND(AND($L2083&gt;-1,$L2085&gt;-1),OR($L2083&gt;10,$L2085&gt;10),ABS($L2083-$L2085)&gt;1,IF(OR($L2083&gt;11,$L2085&gt;11),ABS($L2083-$L2085)=2,TRUE),$L2083=INT($L2083),$L2085=INT($L2085)),"","Error"),""),"")</f>
        <v/>
      </c>
      <c r="Q2081" s="6"/>
      <c r="R2081" s="85"/>
      <c r="S2081" s="95"/>
      <c r="T2081" s="95"/>
      <c r="U2081" s="95"/>
      <c r="V2081" s="95"/>
      <c r="W2081" s="95"/>
      <c r="X2081" s="95"/>
      <c r="Y2081" s="85"/>
      <c r="Z2081" s="85"/>
      <c r="AA2081" s="85"/>
      <c r="AB2081" s="85"/>
      <c r="AC2081" s="85"/>
      <c r="AD2081" s="85"/>
      <c r="AE2081" s="85"/>
      <c r="AF2081" s="85"/>
    </row>
    <row r="2082" spans="1:32" ht="12.75" customHeight="1" x14ac:dyDescent="0.25">
      <c r="A2082" s="5" t="s">
        <v>160</v>
      </c>
      <c r="B2082" s="256" t="s">
        <v>58</v>
      </c>
      <c r="C2082" s="257"/>
      <c r="D2082" s="257"/>
      <c r="E2082" s="257"/>
      <c r="F2082" s="257"/>
      <c r="G2082" s="258"/>
      <c r="H2082" s="5">
        <v>1</v>
      </c>
      <c r="I2082" s="5">
        <v>2</v>
      </c>
      <c r="J2082" s="5">
        <v>3</v>
      </c>
      <c r="K2082" s="5">
        <v>4</v>
      </c>
      <c r="L2082" s="5">
        <v>5</v>
      </c>
      <c r="M2082" s="270"/>
      <c r="N2082" s="271"/>
      <c r="O2082" s="271"/>
      <c r="P2082" s="272"/>
      <c r="Q2082" s="6"/>
      <c r="T2082" s="7"/>
    </row>
    <row r="2083" spans="1:32" ht="12.75" customHeight="1" x14ac:dyDescent="0.25">
      <c r="A2083" s="259" t="str">
        <f>B2049</f>
        <v>B</v>
      </c>
      <c r="B2083" s="230" t="str">
        <f ca="1">IF($B2055&lt;&gt;"",$B2055,"")</f>
        <v/>
      </c>
      <c r="C2083" s="231"/>
      <c r="D2083" s="231"/>
      <c r="E2083" s="231"/>
      <c r="F2083" s="231"/>
      <c r="G2083" s="232"/>
      <c r="H2083" s="233"/>
      <c r="I2083" s="233"/>
      <c r="J2083" s="233"/>
      <c r="K2083" s="233"/>
      <c r="L2083" s="233" t="str">
        <f ca="1">IF($B2076&lt;&gt;"",IF(AND($B2076="Missing Player",$G2087=2,$J2087=2),0,IF(AND($B2078="Missing Player",$G2087=2,$J2087=2),11,"")),"")</f>
        <v/>
      </c>
      <c r="M2083" s="245" t="str">
        <f ca="1">IF(OR(AND($B2083&lt;&gt;"",$B2084&lt;&gt;"",$B2083=$B2084),AND($B2085&lt;&gt;"",$B2086&lt;&gt;"",$B2085=$B2086)),"Invalid Partner","")</f>
        <v/>
      </c>
      <c r="N2083" s="246"/>
      <c r="O2083" s="246"/>
      <c r="P2083" s="247"/>
      <c r="Q2083" s="37" t="str">
        <f ca="1">IF(L2083=L2085,IF(K2083=K2085,IF(J2083&lt;&gt;"",IF(J2083&gt;J2085,"W","L"),""),IF(K2083&gt;K2085,"W","L")),IF(L2083&gt;L2085,"W","L"))</f>
        <v/>
      </c>
      <c r="T2083" s="7"/>
    </row>
    <row r="2084" spans="1:32" ht="12.75" customHeight="1" x14ac:dyDescent="0.25">
      <c r="A2084" s="260"/>
      <c r="B2084" s="266" t="str">
        <f ca="1">IF($B2076="Missing Player",$B2076,"")</f>
        <v/>
      </c>
      <c r="C2084" s="267"/>
      <c r="D2084" s="267"/>
      <c r="E2084" s="267"/>
      <c r="F2084" s="267"/>
      <c r="G2084" s="268"/>
      <c r="H2084" s="234"/>
      <c r="I2084" s="234"/>
      <c r="J2084" s="234"/>
      <c r="K2084" s="234"/>
      <c r="L2084" s="234"/>
      <c r="M2084" s="245"/>
      <c r="N2084" s="246"/>
      <c r="O2084" s="246"/>
      <c r="P2084" s="247"/>
      <c r="Q2084" s="110" t="str">
        <f ca="1">IF($Q2083&lt;&gt;"",IF($B2086&lt;&gt;"Missing Player",IF($Q2083="W",IF(SUM(IF($H2083&gt;$H2085,1,0),IF($I2083&gt;$I2085,1,0),IF($J2083&gt;$J2085,1,0),IF($K2083&gt;$K2085,1,0),IF($L2083&gt;$L2085,1,0))&lt;&gt;3,"Error",""),""),""),"")</f>
        <v/>
      </c>
      <c r="R2084" s="295" t="str">
        <f>$A2050</f>
        <v/>
      </c>
      <c r="S2084" s="295"/>
      <c r="T2084" s="295"/>
      <c r="U2084" s="295"/>
      <c r="V2084" s="295"/>
      <c r="W2084" s="295"/>
      <c r="X2084" s="219" t="str">
        <f>CONCATENATE("(",$B2049," vs ",$K2049,")")</f>
        <v>(B vs J)</v>
      </c>
      <c r="Y2084" s="219"/>
      <c r="Z2084" s="295" t="str">
        <f>$J2050</f>
        <v/>
      </c>
      <c r="AA2084" s="295"/>
      <c r="AB2084" s="295"/>
      <c r="AC2084" s="295"/>
      <c r="AD2084" s="295"/>
      <c r="AE2084" s="295"/>
      <c r="AF2084"/>
    </row>
    <row r="2085" spans="1:32" ht="12.75" customHeight="1" x14ac:dyDescent="0.25">
      <c r="A2085" s="265" t="str">
        <f>K2049</f>
        <v>J</v>
      </c>
      <c r="B2085" s="230" t="str">
        <f ca="1">IF($B2057&lt;&gt;"",$B2057,"")</f>
        <v/>
      </c>
      <c r="C2085" s="231"/>
      <c r="D2085" s="231"/>
      <c r="E2085" s="231"/>
      <c r="F2085" s="231"/>
      <c r="G2085" s="232"/>
      <c r="H2085" s="233"/>
      <c r="I2085" s="233"/>
      <c r="J2085" s="233"/>
      <c r="K2085" s="233"/>
      <c r="L2085" s="233" t="str">
        <f ca="1">IF($B2078&lt;&gt;"",IF(AND($B2078="Missing Player",$G2087=2,$J2087=2),0,IF(AND($B2076="Missing Player",$G2087=2,$J2087=2),11,"")),"")</f>
        <v/>
      </c>
      <c r="M2085" s="250" t="s">
        <v>169</v>
      </c>
      <c r="N2085" s="251"/>
      <c r="O2085" s="251"/>
      <c r="P2085" s="252"/>
      <c r="Q2085" s="37" t="str">
        <f ca="1">IF(Q2083&lt;&gt;"",IF(Q2083="W","L","W"),"")</f>
        <v/>
      </c>
      <c r="R2085"/>
      <c r="S2085"/>
      <c r="T2085"/>
      <c r="U2085"/>
      <c r="V2085"/>
      <c r="W2085"/>
      <c r="X2085"/>
      <c r="Y2085"/>
      <c r="Z2085"/>
      <c r="AA2085"/>
      <c r="AB2085"/>
      <c r="AC2085"/>
      <c r="AD2085"/>
      <c r="AE2085"/>
      <c r="AF2085"/>
    </row>
    <row r="2086" spans="1:32" ht="12.75" customHeight="1" x14ac:dyDescent="0.25">
      <c r="A2086" s="260"/>
      <c r="B2086" s="266" t="str">
        <f ca="1">IF($B2078="Missing Player",$B2078,"")</f>
        <v/>
      </c>
      <c r="C2086" s="267"/>
      <c r="D2086" s="267"/>
      <c r="E2086" s="267"/>
      <c r="F2086" s="267"/>
      <c r="G2086" s="268"/>
      <c r="H2086" s="234"/>
      <c r="I2086" s="234"/>
      <c r="J2086" s="235"/>
      <c r="K2086" s="235"/>
      <c r="L2086" s="235"/>
      <c r="M2086" s="250"/>
      <c r="N2086" s="251"/>
      <c r="O2086" s="251"/>
      <c r="P2086" s="252"/>
      <c r="Q2086" s="110" t="str">
        <f ca="1">IF($Q2085&lt;&gt;"",IF($B2084&lt;&gt;"Missing Player",IF($Q2085="W",IF(SUM(IF($H2085&gt;$H2083,1,0),IF($I2085&gt;$I2083,1,0),IF($J2085&gt;$J2083,1,0),IF($K2085&gt;$K2083,1,0),IF($L2085&gt;$L2083,1,0))&lt;&gt;3,"Error",""),""),""),"")</f>
        <v/>
      </c>
      <c r="R2086" t="str">
        <f>A2074</f>
        <v>4th Singles</v>
      </c>
      <c r="S2086"/>
      <c r="T2086"/>
      <c r="U2086"/>
      <c r="V2086"/>
      <c r="W2086"/>
      <c r="X2086"/>
      <c r="Y2086"/>
      <c r="Z2086"/>
      <c r="AA2086"/>
      <c r="AB2086"/>
      <c r="AC2086"/>
      <c r="AD2086"/>
      <c r="AE2086"/>
      <c r="AF2086"/>
    </row>
    <row r="2087" spans="1:32" ht="12.75" customHeight="1" x14ac:dyDescent="0.25">
      <c r="G2087" s="53">
        <f ca="1">COUNTIF($Q2055:$Q2055,"W")+COUNTIF($Q2062:$Q2062,"W")+COUNTIF($Q2069:$Q2069,"W")+COUNTIF($Q2076:$Q2076,"W")</f>
        <v>0</v>
      </c>
      <c r="J2087" s="53">
        <f ca="1">COUNTIF($Q2057:$Q2057,"W")+COUNTIF($Q2064:$Q2064,"W")+COUNTIF($Q2071:$Q2071,"W")+COUNTIF($Q2078:$Q2078,"W")</f>
        <v>0</v>
      </c>
      <c r="R2087" s="47" t="s">
        <v>160</v>
      </c>
      <c r="S2087" s="304" t="s">
        <v>58</v>
      </c>
      <c r="T2087" s="305"/>
      <c r="U2087" s="305"/>
      <c r="V2087" s="305"/>
      <c r="W2087" s="305"/>
      <c r="X2087" s="306"/>
      <c r="Y2087" s="47">
        <v>1</v>
      </c>
      <c r="Z2087" s="47">
        <v>2</v>
      </c>
      <c r="AA2087" s="47">
        <v>3</v>
      </c>
      <c r="AB2087" s="47">
        <v>4</v>
      </c>
      <c r="AC2087" s="47">
        <v>5</v>
      </c>
      <c r="AD2087" s="286"/>
      <c r="AE2087" s="287"/>
      <c r="AF2087" s="288"/>
    </row>
    <row r="2088" spans="1:32" ht="12.75" customHeight="1" thickBot="1" x14ac:dyDescent="0.3">
      <c r="F2088" s="212" t="s">
        <v>170</v>
      </c>
      <c r="G2088" s="212"/>
      <c r="H2088" s="212"/>
      <c r="I2088" s="212"/>
      <c r="J2088" s="212"/>
      <c r="K2088" s="212"/>
      <c r="R2088" s="259" t="str">
        <f>B2049</f>
        <v>B</v>
      </c>
      <c r="S2088" s="307" t="str">
        <f ca="1">IF($B2076&lt;&gt;"",$B2076,"")</f>
        <v/>
      </c>
      <c r="T2088" s="308"/>
      <c r="U2088" s="308"/>
      <c r="V2088" s="308"/>
      <c r="W2088" s="308"/>
      <c r="X2088" s="309"/>
      <c r="Y2088" s="284"/>
      <c r="Z2088" s="284"/>
      <c r="AA2088" s="297"/>
      <c r="AB2088" s="297"/>
      <c r="AC2088" s="297"/>
      <c r="AD2088" s="296"/>
      <c r="AE2088" s="298"/>
      <c r="AF2088" s="299"/>
    </row>
    <row r="2089" spans="1:32" ht="12.75" customHeight="1" x14ac:dyDescent="0.25">
      <c r="A2089" s="16"/>
      <c r="B2089" s="16"/>
      <c r="C2089" s="16"/>
      <c r="D2089" s="16"/>
      <c r="E2089" s="16"/>
      <c r="G2089" s="261" t="str">
        <f>B2049</f>
        <v>B</v>
      </c>
      <c r="H2089" s="262"/>
      <c r="I2089" s="263" t="str">
        <f>K2049</f>
        <v>J</v>
      </c>
      <c r="J2089" s="264"/>
      <c r="L2089" s="16"/>
      <c r="M2089" s="16"/>
      <c r="N2089" s="16"/>
      <c r="O2089" s="16"/>
      <c r="P2089" s="16"/>
      <c r="R2089" s="260"/>
      <c r="S2089" s="310"/>
      <c r="T2089" s="311"/>
      <c r="U2089" s="311"/>
      <c r="V2089" s="311"/>
      <c r="W2089" s="311"/>
      <c r="X2089" s="312"/>
      <c r="Y2089" s="285"/>
      <c r="Z2089" s="285"/>
      <c r="AA2089" s="303"/>
      <c r="AB2089" s="303"/>
      <c r="AC2089" s="303"/>
      <c r="AD2089" s="300"/>
      <c r="AE2089" s="301"/>
      <c r="AF2089" s="302"/>
    </row>
    <row r="2090" spans="1:32" ht="12.75" customHeight="1" thickBot="1" x14ac:dyDescent="0.3">
      <c r="A2090" s="2" t="s">
        <v>160</v>
      </c>
      <c r="B2090" s="40" t="str">
        <f>B2049</f>
        <v>B</v>
      </c>
      <c r="C2090" s="3" t="s">
        <v>158</v>
      </c>
      <c r="F2090" s="53" t="str">
        <f>CONCATENATE($B2049,"-",$K2049)</f>
        <v>B-J</v>
      </c>
      <c r="G2090" s="240" t="str">
        <f ca="1">IF(OR(Q2055&lt;&gt;"",Q2062&lt;&gt;"",Q2069&lt;&gt;"",Q2076&lt;&gt;"",Q2083&lt;&gt;""),COUNTIF(Q2055:Q2055,"W")+COUNTIF(Q2062:Q2062,"W")+COUNTIF(Q2069:Q2069,"W")+COUNTIF(Q2076:Q2076,"W")+COUNTIF(Q2083:Q2083,"W"),"")</f>
        <v/>
      </c>
      <c r="H2090" s="241"/>
      <c r="I2090" s="242" t="str">
        <f ca="1">IF(OR(Q2057&lt;&gt;"",Q2064&lt;&gt;"",Q2071&lt;&gt;"",Q2078&lt;&gt;"",Q2085&lt;&gt;""),COUNTIF(Q2057:Q2057,"W")+COUNTIF(Q2064:Q2064,"W")+COUNTIF(Q2071:Q2071,"W")+COUNTIF(Q2078:Q2078,"W")+COUNTIF(Q2085:Q2085,"W"),"")</f>
        <v/>
      </c>
      <c r="J2090" s="243"/>
      <c r="L2090" s="2" t="s">
        <v>160</v>
      </c>
      <c r="M2090" s="40" t="str">
        <f>K2049</f>
        <v>J</v>
      </c>
      <c r="N2090" s="3" t="s">
        <v>158</v>
      </c>
      <c r="R2090" s="259" t="str">
        <f>K2049</f>
        <v>J</v>
      </c>
      <c r="S2090" s="307" t="str">
        <f ca="1">IF($B2078&lt;&gt;"",$B2078,"")</f>
        <v/>
      </c>
      <c r="T2090" s="308"/>
      <c r="U2090" s="308"/>
      <c r="V2090" s="308"/>
      <c r="W2090" s="308"/>
      <c r="X2090" s="309"/>
      <c r="Y2090" s="284"/>
      <c r="Z2090" s="284"/>
      <c r="AA2090" s="297"/>
      <c r="AB2090" s="297"/>
      <c r="AC2090" s="297"/>
      <c r="AD2090" s="289" t="s">
        <v>169</v>
      </c>
      <c r="AE2090" s="290"/>
      <c r="AF2090" s="291"/>
    </row>
    <row r="2091" spans="1:32" ht="12.75" customHeight="1" x14ac:dyDescent="0.35">
      <c r="F2091" s="18" t="s">
        <v>403</v>
      </c>
      <c r="G2091" s="17"/>
      <c r="H2091" s="17"/>
      <c r="I2091" s="17"/>
      <c r="J2091" s="17"/>
      <c r="R2091" s="285"/>
      <c r="S2091" s="310"/>
      <c r="T2091" s="311"/>
      <c r="U2091" s="311"/>
      <c r="V2091" s="311"/>
      <c r="W2091" s="311"/>
      <c r="X2091" s="312"/>
      <c r="Y2091" s="285"/>
      <c r="Z2091" s="285"/>
      <c r="AA2091" s="285"/>
      <c r="AB2091" s="285"/>
      <c r="AC2091" s="285"/>
      <c r="AD2091" s="292"/>
      <c r="AE2091" s="293"/>
      <c r="AF2091" s="294"/>
    </row>
    <row r="2092" spans="1:32" ht="12.75" customHeight="1" x14ac:dyDescent="0.25">
      <c r="R2092" s="1"/>
      <c r="S2092" s="11"/>
      <c r="T2092" s="11"/>
      <c r="U2092" s="11"/>
      <c r="V2092" s="11"/>
      <c r="W2092" s="11"/>
    </row>
    <row r="2093" spans="1:32" ht="12.75" customHeight="1" x14ac:dyDescent="0.25">
      <c r="F2093" s="212"/>
      <c r="G2093" s="212"/>
      <c r="H2093" s="212"/>
      <c r="I2093" s="212"/>
      <c r="R2093" s="1"/>
      <c r="S2093" s="11"/>
      <c r="T2093" s="11"/>
      <c r="U2093" s="11"/>
      <c r="V2093" s="11"/>
      <c r="W2093" s="11"/>
    </row>
    <row r="2094" spans="1:32" ht="12.75" customHeight="1" x14ac:dyDescent="0.25">
      <c r="F2094" s="212"/>
      <c r="G2094" s="212"/>
      <c r="H2094" s="212"/>
      <c r="I2094" s="212"/>
      <c r="R2094" s="1"/>
      <c r="S2094" s="11"/>
      <c r="T2094" s="11"/>
      <c r="U2094" s="11"/>
      <c r="V2094" s="11"/>
      <c r="W2094" s="11"/>
    </row>
    <row r="2095" spans="1:32" ht="12.75" customHeight="1" x14ac:dyDescent="0.25">
      <c r="K2095" s="219" t="s">
        <v>176</v>
      </c>
      <c r="L2095" s="219"/>
      <c r="M2095" s="219"/>
      <c r="N2095" s="219"/>
      <c r="O2095" s="219"/>
      <c r="P2095" s="219"/>
      <c r="R2095" s="1"/>
      <c r="S2095" s="11"/>
      <c r="T2095" s="11"/>
      <c r="U2095" s="11"/>
      <c r="V2095" s="11"/>
      <c r="W2095" s="11"/>
    </row>
    <row r="2096" spans="1:32" ht="12.75" customHeight="1" x14ac:dyDescent="0.25">
      <c r="A2096" s="9" t="s">
        <v>161</v>
      </c>
      <c r="B2096"/>
      <c r="C2096"/>
      <c r="D2096" t="str">
        <f>Draw!$B$1</f>
        <v>Enter Division Name</v>
      </c>
      <c r="E2096"/>
      <c r="F2096" s="6"/>
      <c r="G2096" s="6"/>
      <c r="H2096" s="6"/>
      <c r="I2096"/>
      <c r="J2096"/>
      <c r="K2096"/>
      <c r="L2096"/>
      <c r="M2096" s="219"/>
      <c r="N2096" s="219"/>
      <c r="O2096" s="219"/>
      <c r="P2096" s="219"/>
      <c r="R2096" s="1"/>
      <c r="S2096" s="11"/>
      <c r="T2096" s="11"/>
      <c r="U2096" s="11"/>
      <c r="V2096" s="11"/>
      <c r="W2096" s="11"/>
    </row>
    <row r="2097" spans="1:32" ht="12.75" customHeight="1" x14ac:dyDescent="0.25">
      <c r="A2097" s="2" t="s">
        <v>162</v>
      </c>
      <c r="D2097" t="str">
        <f>Draw!$D$1</f>
        <v>Enter Hosting Location (City, ST)</v>
      </c>
      <c r="J2097" t="str">
        <f ca="1">$J$6</f>
        <v>[NCTTA Teams Template (v3.4).xlsx]</v>
      </c>
      <c r="R2097" s="1"/>
      <c r="S2097" s="11"/>
      <c r="T2097" s="11"/>
      <c r="U2097" s="11"/>
      <c r="V2097" s="11"/>
      <c r="W2097" s="11"/>
    </row>
    <row r="2098" spans="1:32" ht="12.75" customHeight="1" x14ac:dyDescent="0.25">
      <c r="A2098" s="2" t="s">
        <v>163</v>
      </c>
      <c r="D2098" s="275" t="str">
        <f>Draw!$P$1</f>
        <v>Enter Date</v>
      </c>
      <c r="E2098" s="275"/>
      <c r="F2098" s="275"/>
      <c r="G2098" s="275"/>
      <c r="J2098" s="244" t="str">
        <f>CHOOSE(Draw!$T$1,"Round 7, Match 6","","","","","","","","","Round 9, Match 2","Round 9, Match 2")</f>
        <v>Round 7, Match 6</v>
      </c>
      <c r="K2098" s="244"/>
      <c r="L2098" s="244"/>
      <c r="M2098" s="277" t="str">
        <f>IF(AND($J2098&lt;&gt;"",Draw!$AC$10&lt;&gt;"",Draw!$AC$13&lt;&gt;""),Draw!$AC$10+TIME(0,VALUE(MID($J2098,7,FIND(",",$J2098)-FIND(" ",$J2098)-1)-1)*Draw!$AC$13,0),"")</f>
        <v/>
      </c>
      <c r="N2098" s="277"/>
      <c r="O2098" s="125" t="str">
        <f>$F2141</f>
        <v>K-L</v>
      </c>
      <c r="R2098" s="1"/>
      <c r="S2098" s="11"/>
      <c r="T2098" s="11"/>
      <c r="U2098" s="11"/>
      <c r="V2098" s="11"/>
      <c r="W2098" s="11"/>
    </row>
    <row r="2099" spans="1:32" ht="12.75" customHeight="1" x14ac:dyDescent="0.25">
      <c r="A2099" s="6"/>
      <c r="B2099"/>
      <c r="C2099"/>
      <c r="D2099"/>
      <c r="E2099"/>
      <c r="F2099" s="6"/>
      <c r="G2099" s="6"/>
      <c r="H2099" s="11"/>
      <c r="I2099" s="6"/>
      <c r="J2099"/>
      <c r="K2099"/>
      <c r="L2099"/>
      <c r="M2099"/>
      <c r="N2099"/>
      <c r="O2099" s="269" t="str">
        <f>IF(OR(AND(VLOOKUP($B2100,$AM$1:$AX$12,12,FALSE)="C",VLOOKUP($K2100,$AM$1:$AX$12,12,FALSE)="C"),AND(VLOOKUP($B2100,$AM$1:$AX$12,12,FALSE)="W",VLOOKUP($K2100,$AM$1:$AX$12,12,FALSE)="W")),"Official",IF(AND($A2101="",$J2101=""),"","Scrimmage"))</f>
        <v/>
      </c>
      <c r="P2099" s="269"/>
      <c r="R2099" s="1"/>
      <c r="S2099" s="11"/>
      <c r="T2099" s="11"/>
      <c r="U2099" s="11"/>
      <c r="V2099" s="11"/>
      <c r="W2099" s="11"/>
    </row>
    <row r="2100" spans="1:32" ht="12.75" customHeight="1" x14ac:dyDescent="0.25">
      <c r="A2100" s="12" t="s">
        <v>160</v>
      </c>
      <c r="B2100" s="98" t="str">
        <f>CHOOSE(Draw!$T$1,"K","B","C","D","E","E","E","D","B","F","C")</f>
        <v>K</v>
      </c>
      <c r="C2100" s="109">
        <f>VLOOKUP($B2100,$AM$1:$AN$12,2)</f>
        <v>11</v>
      </c>
      <c r="D2100" s="10"/>
      <c r="E2100" s="10"/>
      <c r="F2100" s="8"/>
      <c r="H2100" s="1" t="s">
        <v>164</v>
      </c>
      <c r="J2100" s="12" t="s">
        <v>160</v>
      </c>
      <c r="K2100" s="98" t="str">
        <f>CHOOSE(Draw!$T$1,"L","L","L","I","I","I","H","J","L","H","E")</f>
        <v>L</v>
      </c>
      <c r="L2100" s="109">
        <f>VLOOKUP($K2100,$AM$1:$AN$12,2)</f>
        <v>12</v>
      </c>
      <c r="M2100" s="10"/>
      <c r="N2100" s="10"/>
      <c r="O2100" s="13"/>
      <c r="R2100" s="1"/>
      <c r="S2100" s="11"/>
      <c r="T2100" s="11"/>
      <c r="U2100" s="11"/>
      <c r="V2100" s="11"/>
      <c r="W2100" s="11"/>
    </row>
    <row r="2101" spans="1:32" ht="12.75" customHeight="1" x14ac:dyDescent="0.25">
      <c r="A2101" s="253" t="str">
        <f>IF(VLOOKUP($B2100,Draw!$A$4:$B$27,2)&lt;&gt;0,VLOOKUP($B2100,Draw!$A$4:$B$27,2),"")</f>
        <v/>
      </c>
      <c r="B2101" s="254"/>
      <c r="C2101" s="254"/>
      <c r="D2101" s="254"/>
      <c r="E2101" s="254"/>
      <c r="F2101" s="255"/>
      <c r="G2101" s="273" t="s">
        <v>445</v>
      </c>
      <c r="H2101" s="249"/>
      <c r="I2101" s="274"/>
      <c r="J2101" s="253" t="str">
        <f>IF(VLOOKUP($K2100,Draw!$A$4:$B$27,2)&lt;&gt;0,VLOOKUP($K2100,Draw!$A$4:$B$27,2),"")</f>
        <v/>
      </c>
      <c r="K2101" s="254"/>
      <c r="L2101" s="254"/>
      <c r="M2101" s="254"/>
      <c r="N2101" s="254"/>
      <c r="O2101" s="255"/>
      <c r="P2101"/>
      <c r="R2101" s="1"/>
      <c r="S2101" s="11"/>
      <c r="T2101" s="11"/>
      <c r="U2101" s="11"/>
      <c r="V2101" s="11"/>
      <c r="W2101" s="11"/>
    </row>
    <row r="2102" spans="1:32" ht="12.75" customHeight="1" x14ac:dyDescent="0.25">
      <c r="A2102" s="6"/>
      <c r="B2102"/>
      <c r="C2102"/>
      <c r="D2102"/>
      <c r="E2102"/>
      <c r="F2102" s="6"/>
      <c r="G2102" s="248" t="str">
        <f>"Page "&amp;VALUE(RIGHT($G2101,LEN($G2101)-SEARCH("-",$G2101)))/2</f>
        <v>Page 42</v>
      </c>
      <c r="H2102" s="249"/>
      <c r="I2102" s="249"/>
      <c r="J2102"/>
      <c r="K2102"/>
      <c r="L2102"/>
      <c r="M2102"/>
      <c r="N2102"/>
      <c r="O2102"/>
      <c r="P2102"/>
      <c r="R2102" s="1"/>
      <c r="S2102" s="11"/>
      <c r="T2102" s="11"/>
      <c r="U2102" s="11"/>
      <c r="V2102" s="11"/>
      <c r="W2102" s="11"/>
      <c r="AF2102"/>
    </row>
    <row r="2103" spans="1:32" ht="12.75" customHeight="1" x14ac:dyDescent="0.25">
      <c r="A2103" s="276" t="s">
        <v>177</v>
      </c>
      <c r="B2103" s="276"/>
      <c r="C2103" s="276"/>
      <c r="D2103" s="276"/>
      <c r="E2103" s="276"/>
      <c r="F2103" s="276"/>
      <c r="G2103" s="276"/>
      <c r="H2103" s="276"/>
      <c r="I2103" s="276"/>
      <c r="J2103" s="276"/>
      <c r="K2103" s="276"/>
      <c r="L2103" s="276"/>
      <c r="M2103" s="276"/>
      <c r="N2103" s="276"/>
      <c r="O2103" s="276"/>
      <c r="P2103" s="276"/>
      <c r="Q2103" s="6"/>
      <c r="R2103" s="1"/>
      <c r="S2103" s="11"/>
      <c r="T2103" s="11"/>
      <c r="U2103" s="11"/>
      <c r="V2103" s="11"/>
      <c r="W2103" s="11"/>
      <c r="AF2103" s="14"/>
    </row>
    <row r="2104" spans="1:32" ht="12.75" customHeight="1" x14ac:dyDescent="0.25">
      <c r="A2104" s="15" t="s">
        <v>165</v>
      </c>
      <c r="H2104" s="110" t="str">
        <f>IF($Q2106&lt;&gt;"",IF(AND(AND($H2106&gt;-1,$H2108&gt;-1),OR($H2106&gt;10,$H2108&gt;10),ABS($H2106-$H2108)&gt;1,IF(OR($H2106&gt;11,$H2108&gt;11),ABS($H2106-$H2108)=2,TRUE),$H2106=INT($H2106),$H2108=INT($H2108)),"","Error"),"")</f>
        <v/>
      </c>
      <c r="I2104" s="110" t="str">
        <f>IF($Q2106&lt;&gt;"",IF(AND(AND($I2106&gt;-1,$I2108&gt;-1),OR($I2106&gt;10,$I2108&gt;10),ABS($I2106-$I2108)&gt;1,IF(OR($I2106&gt;11,$I2108&gt;11),ABS($I2106-$I2108)=2,TRUE),$I2106=INT($I2106),$I2108=INT($I2108)),"","Error"),"")</f>
        <v/>
      </c>
      <c r="J2104" s="110" t="str">
        <f>IF($Q2106&lt;&gt;"",IF(AND(AND($J2106&gt;-1,$J2108&gt;-1),OR($J2106&gt;10,$J2108&gt;10),ABS($J2106-$J2108)&gt;1,IF(OR($J2106&gt;11,$J2108&gt;11),ABS($J2106-$J2108)=2,TRUE),$J2106=INT($J2106),$J2108=INT($J2108)),"","Error"),"")</f>
        <v/>
      </c>
      <c r="K2104" s="110" t="str">
        <f>IF($Q2106&lt;&gt;"",IF(AND($K2106&lt;&gt;"",$K2108&lt;&gt;""), IF(AND(AND($K2106&gt;-1,$K2108&gt;-1),OR($K2106&gt;10,$K2108&gt;10),ABS($K2106-$K2108)&gt;1,IF(OR($K2106&gt;11,$K2108&gt;11),ABS($K2106-$K2108)=2,TRUE),$K2106=INT($K2106),$K2108=INT($K2108)),"","Error"),""),"")</f>
        <v/>
      </c>
      <c r="L2104" s="110" t="str">
        <f>IF($Q2106&lt;&gt;"",IF(AND($L2106&lt;&gt;"",$L2108&lt;&gt;""), IF(AND(AND($L2106&gt;-1,$L2108&gt;-1),OR($L2106&gt;10,$L2108&gt;10),ABS($L2106-$L2108)&gt;1,IF(OR($L2106&gt;11,$L2108&gt;11),ABS($L2106-$L2108)=2,TRUE),$L2106=INT($L2106),$L2108=INT($L2108)),"","Error"),""),"")</f>
        <v/>
      </c>
      <c r="R2104" s="1"/>
      <c r="S2104" s="11"/>
      <c r="T2104" s="11"/>
      <c r="U2104" s="11"/>
      <c r="V2104" s="11"/>
      <c r="W2104" s="11"/>
    </row>
    <row r="2105" spans="1:32" ht="12.75" customHeight="1" x14ac:dyDescent="0.25">
      <c r="A2105" s="5" t="s">
        <v>160</v>
      </c>
      <c r="B2105" s="256" t="s">
        <v>58</v>
      </c>
      <c r="C2105" s="257"/>
      <c r="D2105" s="257"/>
      <c r="E2105" s="257"/>
      <c r="F2105" s="257"/>
      <c r="G2105" s="258"/>
      <c r="H2105" s="5">
        <v>1</v>
      </c>
      <c r="I2105" s="5">
        <v>2</v>
      </c>
      <c r="J2105" s="5">
        <v>3</v>
      </c>
      <c r="K2105" s="5">
        <v>4</v>
      </c>
      <c r="L2105" s="5">
        <v>5</v>
      </c>
      <c r="M2105" s="270"/>
      <c r="N2105" s="271"/>
      <c r="O2105" s="271"/>
      <c r="P2105" s="272"/>
      <c r="R2105" s="1"/>
      <c r="S2105" s="11"/>
      <c r="T2105" s="11"/>
      <c r="U2105" s="11"/>
      <c r="V2105" s="11"/>
      <c r="W2105" s="11"/>
    </row>
    <row r="2106" spans="1:32" ht="12.75" customHeight="1" x14ac:dyDescent="0.25">
      <c r="A2106" s="259" t="str">
        <f>B2100</f>
        <v>K</v>
      </c>
      <c r="B2106" s="236" t="str">
        <f ca="1">IF(AND(OFFSET($AO$1,$C2100-1,8,1,1),$A2101&lt;&gt;"",$J2101&lt;&gt;""),CHOOSE($C2100,$AO$1,$AO$2,$AO$3,$AO$4,$AO$5,$AO$6,$AO$7,$AO$8,$AO$9,$AO$10,$AO$11,$AO$12),"")</f>
        <v/>
      </c>
      <c r="C2106" s="237"/>
      <c r="D2106" s="237"/>
      <c r="E2106" s="237"/>
      <c r="F2106" s="237"/>
      <c r="G2106" s="237"/>
      <c r="H2106" s="233"/>
      <c r="I2106" s="233"/>
      <c r="J2106" s="233"/>
      <c r="K2106" s="233"/>
      <c r="L2106" s="233"/>
      <c r="M2106" s="281"/>
      <c r="N2106" s="282"/>
      <c r="O2106" s="282"/>
      <c r="P2106" s="283"/>
      <c r="Q2106" s="40" t="str">
        <f>IF($L2106=$L2108,IF($K2106=$K2108,IF($J2106&lt;&gt;"",IF($J2106&gt;$J2108,"W","L"),""),IF($K2106&gt;$K2108,"W","L")),IF($L2106&gt;$L2108,"W","L"))</f>
        <v/>
      </c>
      <c r="R2106" s="1"/>
      <c r="S2106" s="11"/>
      <c r="T2106" s="11"/>
      <c r="U2106" s="11"/>
      <c r="V2106" s="11"/>
      <c r="W2106" s="11"/>
    </row>
    <row r="2107" spans="1:32" ht="12.75" customHeight="1" x14ac:dyDescent="0.25">
      <c r="A2107" s="260"/>
      <c r="B2107" s="238"/>
      <c r="C2107" s="239"/>
      <c r="D2107" s="239"/>
      <c r="E2107" s="239"/>
      <c r="F2107" s="239"/>
      <c r="G2107" s="239"/>
      <c r="H2107" s="234"/>
      <c r="I2107" s="234"/>
      <c r="J2107" s="234"/>
      <c r="K2107" s="234"/>
      <c r="L2107" s="234"/>
      <c r="M2107" s="281"/>
      <c r="N2107" s="282"/>
      <c r="O2107" s="282"/>
      <c r="P2107" s="283"/>
      <c r="Q2107" s="110" t="str">
        <f>IF($Q2106&lt;&gt;"",IF($Q2106="W",IF(SUM(IF($H2106&gt;$H2108,1,0),IF($I2106&gt;$I2108,1,0),IF($J2106&gt;$J2108,1,0),IF($K2106&gt;$K2108,1,0),IF($L2106&gt;$L2108,1,0))&lt;&gt;3,"Error",""),""),"")</f>
        <v/>
      </c>
      <c r="R2107" s="295" t="str">
        <f>$A2101</f>
        <v/>
      </c>
      <c r="S2107" s="295"/>
      <c r="T2107" s="295"/>
      <c r="U2107" s="295"/>
      <c r="V2107" s="295"/>
      <c r="W2107" s="295"/>
      <c r="X2107" s="219" t="str">
        <f>CONCATENATE("(",$B2100," vs ",$K2100,")")</f>
        <v>(K vs L)</v>
      </c>
      <c r="Y2107" s="219"/>
      <c r="Z2107" s="295" t="str">
        <f>$J2101</f>
        <v/>
      </c>
      <c r="AA2107" s="295"/>
      <c r="AB2107" s="295"/>
      <c r="AC2107" s="295"/>
      <c r="AD2107" s="295"/>
      <c r="AE2107" s="295"/>
      <c r="AF2107"/>
    </row>
    <row r="2108" spans="1:32" ht="12.75" customHeight="1" x14ac:dyDescent="0.25">
      <c r="A2108" s="259" t="str">
        <f>K2100</f>
        <v>L</v>
      </c>
      <c r="B2108" s="236" t="str">
        <f ca="1">IF(AND(OFFSET($AO$1,$L2100-1,8,1,1),$A2101&lt;&gt;"",$J2101&lt;&gt;""),CHOOSE($L2100,$AO$1,$AO$2,$AO$3,$AO$4,$AO$5,$AO$6,$AO$7,$AO$8,$AO$9,$AO$10,$AO$11,$AO$12),"")</f>
        <v/>
      </c>
      <c r="C2108" s="237"/>
      <c r="D2108" s="237"/>
      <c r="E2108" s="237"/>
      <c r="F2108" s="237"/>
      <c r="G2108" s="237"/>
      <c r="H2108" s="233"/>
      <c r="I2108" s="233"/>
      <c r="J2108" s="233"/>
      <c r="K2108" s="233"/>
      <c r="L2108" s="233"/>
      <c r="M2108" s="250" t="s">
        <v>169</v>
      </c>
      <c r="N2108" s="251"/>
      <c r="O2108" s="251"/>
      <c r="P2108" s="252"/>
      <c r="Q2108" s="40" t="str">
        <f>IF($Q2106&lt;&gt;"",IF($Q2106="W","L","W"),"")</f>
        <v/>
      </c>
      <c r="R2108"/>
      <c r="S2108"/>
      <c r="T2108"/>
      <c r="U2108"/>
      <c r="V2108"/>
      <c r="W2108"/>
      <c r="X2108"/>
      <c r="Y2108"/>
      <c r="Z2108"/>
      <c r="AA2108"/>
      <c r="AB2108"/>
      <c r="AC2108"/>
      <c r="AD2108"/>
      <c r="AE2108"/>
      <c r="AF2108"/>
    </row>
    <row r="2109" spans="1:32" ht="12.75" customHeight="1" x14ac:dyDescent="0.25">
      <c r="A2109" s="260"/>
      <c r="B2109" s="238"/>
      <c r="C2109" s="239"/>
      <c r="D2109" s="239"/>
      <c r="E2109" s="239"/>
      <c r="F2109" s="239"/>
      <c r="G2109" s="239"/>
      <c r="H2109" s="234"/>
      <c r="I2109" s="234"/>
      <c r="J2109" s="235"/>
      <c r="K2109" s="235"/>
      <c r="L2109" s="235"/>
      <c r="M2109" s="250"/>
      <c r="N2109" s="251"/>
      <c r="O2109" s="251"/>
      <c r="P2109" s="252"/>
      <c r="Q2109" s="110" t="str">
        <f>IF($Q2108&lt;&gt;"",IF($Q2108="W",IF(SUM(IF($H2108&gt;$H2106,1,0),IF($I2108&gt;$I2106,1,0),IF($J2108&gt;$J2106,1,0),IF($K2108&gt;$K2106,1,0),IF($L2108&gt;$L2106,1,0))&lt;&gt;3,"Error",""),""),"")</f>
        <v/>
      </c>
      <c r="R2109" t="str">
        <f>$A2111</f>
        <v>2nd Singles</v>
      </c>
      <c r="S2109"/>
      <c r="T2109"/>
      <c r="U2109"/>
      <c r="V2109"/>
      <c r="W2109"/>
      <c r="X2109"/>
      <c r="Y2109"/>
      <c r="Z2109"/>
      <c r="AA2109"/>
      <c r="AB2109"/>
      <c r="AC2109"/>
      <c r="AD2109"/>
      <c r="AE2109"/>
      <c r="AF2109"/>
    </row>
    <row r="2110" spans="1:32" ht="12.75" customHeight="1" x14ac:dyDescent="0.25">
      <c r="Q2110" s="6"/>
      <c r="R2110" s="47" t="s">
        <v>160</v>
      </c>
      <c r="S2110" s="304" t="s">
        <v>58</v>
      </c>
      <c r="T2110" s="305"/>
      <c r="U2110" s="305"/>
      <c r="V2110" s="305"/>
      <c r="W2110" s="305"/>
      <c r="X2110" s="306"/>
      <c r="Y2110" s="47">
        <v>1</v>
      </c>
      <c r="Z2110" s="47">
        <v>2</v>
      </c>
      <c r="AA2110" s="47">
        <v>3</v>
      </c>
      <c r="AB2110" s="47">
        <v>4</v>
      </c>
      <c r="AC2110" s="47">
        <v>5</v>
      </c>
      <c r="AD2110" s="286"/>
      <c r="AE2110" s="287"/>
      <c r="AF2110" s="288"/>
    </row>
    <row r="2111" spans="1:32" ht="12.75" customHeight="1" x14ac:dyDescent="0.25">
      <c r="A2111" s="15" t="s">
        <v>166</v>
      </c>
      <c r="H2111" s="110" t="str">
        <f>IF($Q2113&lt;&gt;"",IF(AND(AND($H2113&gt;-1,$H2115&gt;-1),OR($H2113&gt;10,$H2115&gt;10),ABS($H2113-$H2115)&gt;1,IF(OR($H2113&gt;11,$H2115&gt;11),ABS($H2113-$H2115)=2,TRUE),$H2113=INT($H2113),$H2115=INT($H2115)),"","Error"),"")</f>
        <v/>
      </c>
      <c r="I2111" s="110" t="str">
        <f>IF($Q2113&lt;&gt;"",IF(AND(AND($I2113&gt;-1,$I2115&gt;-1),OR($I2113&gt;10,$I2115&gt;10),ABS($I2113-$I2115)&gt;1,IF(OR($I2113&gt;11,$I2115&gt;11),ABS($I2113-$I2115)=2,TRUE),$I2113=INT($I2113),$I2115=INT($I2115)),"","Error"),"")</f>
        <v/>
      </c>
      <c r="J2111" s="110" t="str">
        <f>IF($Q2113&lt;&gt;"",IF(AND(AND($J2113&gt;-1,$J2115&gt;-1),OR($J2113&gt;10,$J2115&gt;10),ABS($J2113-$J2115)&gt;1,IF(OR($J2113&gt;11,$J2115&gt;11),ABS($J2113-$J2115)=2,TRUE),$J2113=INT($J2113),$J2115=INT($J2115)),"","Error"),"")</f>
        <v/>
      </c>
      <c r="K2111" s="110" t="str">
        <f>IF($Q2113&lt;&gt;"",IF(AND($K2113&lt;&gt;"",$K2115&lt;&gt;""), IF(AND(AND($K2113&gt;-1,$K2115&gt;-1),OR($K2113&gt;10,$K2115&gt;10),ABS($K2113-$K2115)&gt;1,IF(OR($K2113&gt;11,$K2115&gt;11),ABS($K2113-$K2115)=2,TRUE),$K2113=INT($K2113),$K2115=INT($K2115)),"","Error"),""),"")</f>
        <v/>
      </c>
      <c r="L2111" s="110" t="str">
        <f>IF($Q2113&lt;&gt;"",IF(AND($L2113&lt;&gt;"",$L2115&lt;&gt;""), IF(AND(AND($L2113&gt;-1,$L2115&gt;-1),OR($L2113&gt;10,$L2115&gt;10),ABS($L2113-$L2115)&gt;1,IF(OR($L2113&gt;11,$L2115&gt;11),ABS($L2113-$L2115)=2,TRUE),$L2113=INT($L2113),$L2115=INT($L2115)),"","Error"),""),"")</f>
        <v/>
      </c>
      <c r="Q2111" s="6"/>
      <c r="R2111" s="259" t="str">
        <f>$B2100</f>
        <v>K</v>
      </c>
      <c r="S2111" s="307" t="str">
        <f ca="1">IF($B2113&lt;&gt;"",$B2113,"")</f>
        <v/>
      </c>
      <c r="T2111" s="308"/>
      <c r="U2111" s="308"/>
      <c r="V2111" s="308"/>
      <c r="W2111" s="308"/>
      <c r="X2111" s="309"/>
      <c r="Y2111" s="284"/>
      <c r="Z2111" s="284"/>
      <c r="AA2111" s="284"/>
      <c r="AB2111" s="284"/>
      <c r="AC2111" s="284"/>
      <c r="AD2111" s="296"/>
      <c r="AE2111" s="290"/>
      <c r="AF2111" s="291"/>
    </row>
    <row r="2112" spans="1:32" ht="12.75" customHeight="1" x14ac:dyDescent="0.25">
      <c r="A2112" s="5" t="s">
        <v>160</v>
      </c>
      <c r="B2112" s="256" t="s">
        <v>58</v>
      </c>
      <c r="C2112" s="257"/>
      <c r="D2112" s="257"/>
      <c r="E2112" s="257"/>
      <c r="F2112" s="257"/>
      <c r="G2112" s="258"/>
      <c r="H2112" s="5">
        <v>1</v>
      </c>
      <c r="I2112" s="5">
        <v>2</v>
      </c>
      <c r="J2112" s="5">
        <v>3</v>
      </c>
      <c r="K2112" s="5">
        <v>4</v>
      </c>
      <c r="L2112" s="5">
        <v>5</v>
      </c>
      <c r="M2112" s="270"/>
      <c r="N2112" s="271"/>
      <c r="O2112" s="271"/>
      <c r="P2112" s="272"/>
      <c r="Q2112" s="6"/>
      <c r="R2112" s="285"/>
      <c r="S2112" s="310"/>
      <c r="T2112" s="311"/>
      <c r="U2112" s="311"/>
      <c r="V2112" s="311"/>
      <c r="W2112" s="311"/>
      <c r="X2112" s="312"/>
      <c r="Y2112" s="285"/>
      <c r="Z2112" s="285"/>
      <c r="AA2112" s="285"/>
      <c r="AB2112" s="285"/>
      <c r="AC2112" s="285"/>
      <c r="AD2112" s="292"/>
      <c r="AE2112" s="293"/>
      <c r="AF2112" s="294"/>
    </row>
    <row r="2113" spans="1:32" ht="12.75" customHeight="1" x14ac:dyDescent="0.25">
      <c r="A2113" s="259" t="str">
        <f>B2100</f>
        <v>K</v>
      </c>
      <c r="B2113" s="236" t="str">
        <f ca="1">IF(AND(OFFSET($AO$1,$C2100-1,8,1,1),$A2101&lt;&gt;"",$J2101&lt;&gt;""),CHOOSE($C2100,$AP$1,$AP$2,$AP$3,$AP$4,$AP$5,$AP$6,$AP$7,$AP$8,$AP$9,$AP$10,$AP$11,$AP$12),"")</f>
        <v/>
      </c>
      <c r="C2113" s="237"/>
      <c r="D2113" s="237"/>
      <c r="E2113" s="237"/>
      <c r="F2113" s="237"/>
      <c r="G2113" s="237"/>
      <c r="H2113" s="233"/>
      <c r="I2113" s="233"/>
      <c r="J2113" s="233"/>
      <c r="K2113" s="233"/>
      <c r="L2113" s="233"/>
      <c r="M2113" s="245" t="str">
        <f ca="1">IF(OR(AND($B2106&lt;&gt;"",$B2113&lt;&gt;"",$C2131&lt;=$B2131),AND($B2108&lt;&gt;"",$B2115&lt;&gt;"",$G2131&lt;=$F2131)),"Invalid Lineup","")</f>
        <v/>
      </c>
      <c r="N2113" s="246"/>
      <c r="O2113" s="246"/>
      <c r="P2113" s="247"/>
      <c r="Q2113" s="40" t="str">
        <f>IF($L2113=$L2115,IF($K2113=$K2115,IF($J2113&lt;&gt;"",IF($J2113&gt;$J2115,"W","L"),""),IF($K2113&gt;$K2115,"W","L")),IF($L2113&gt;$L2115,"W","L"))</f>
        <v/>
      </c>
      <c r="R2113" s="259" t="str">
        <f>$K2100</f>
        <v>L</v>
      </c>
      <c r="S2113" s="307" t="str">
        <f ca="1">IF($B2115&lt;&gt;"",$B2115,"")</f>
        <v/>
      </c>
      <c r="T2113" s="308"/>
      <c r="U2113" s="308"/>
      <c r="V2113" s="308"/>
      <c r="W2113" s="308"/>
      <c r="X2113" s="309"/>
      <c r="Y2113" s="284"/>
      <c r="Z2113" s="284"/>
      <c r="AA2113" s="284"/>
      <c r="AB2113" s="284"/>
      <c r="AC2113" s="297"/>
      <c r="AD2113" s="289" t="s">
        <v>169</v>
      </c>
      <c r="AE2113" s="290"/>
      <c r="AF2113" s="291"/>
    </row>
    <row r="2114" spans="1:32" ht="12.75" customHeight="1" x14ac:dyDescent="0.25">
      <c r="A2114" s="260"/>
      <c r="B2114" s="238"/>
      <c r="C2114" s="239"/>
      <c r="D2114" s="239"/>
      <c r="E2114" s="239"/>
      <c r="F2114" s="239"/>
      <c r="G2114" s="239"/>
      <c r="H2114" s="234"/>
      <c r="I2114" s="234"/>
      <c r="J2114" s="234"/>
      <c r="K2114" s="234"/>
      <c r="L2114" s="234"/>
      <c r="M2114" s="245"/>
      <c r="N2114" s="246"/>
      <c r="O2114" s="246"/>
      <c r="P2114" s="247"/>
      <c r="Q2114" s="110" t="str">
        <f>IF($Q2113&lt;&gt;"",IF($Q2113="W",IF(SUM(IF($H2113&gt;$H2115,1,0),IF($I2113&gt;$I2115,1,0),IF($J2113&gt;$J2115,1,0),IF($K2113&gt;$K2115,1,0),IF($L2113&gt;$L2115,1,0))&lt;&gt;3,"Error",""),""),"")</f>
        <v/>
      </c>
      <c r="R2114" s="285"/>
      <c r="S2114" s="310"/>
      <c r="T2114" s="311"/>
      <c r="U2114" s="311"/>
      <c r="V2114" s="311"/>
      <c r="W2114" s="311"/>
      <c r="X2114" s="312"/>
      <c r="Y2114" s="285"/>
      <c r="Z2114" s="285"/>
      <c r="AA2114" s="285"/>
      <c r="AB2114" s="285"/>
      <c r="AC2114" s="285"/>
      <c r="AD2114" s="292"/>
      <c r="AE2114" s="293"/>
      <c r="AF2114" s="294"/>
    </row>
    <row r="2115" spans="1:32" ht="12.75" customHeight="1" x14ac:dyDescent="0.25">
      <c r="A2115" s="259" t="str">
        <f>K2100</f>
        <v>L</v>
      </c>
      <c r="B2115" s="236" t="str">
        <f ca="1">IF(AND(OFFSET($AO$1,$L2100-1,8,1,1),$A2101&lt;&gt;"",$J2101&lt;&gt;""),CHOOSE($L2100,$AP$1,$AP$2,$AP$3,$AP$4,$AP$5,$AP$6,$AP$7,$AP$8,$AP$9,$AP$10,$AP$11,$AP$12),"")</f>
        <v/>
      </c>
      <c r="C2115" s="237"/>
      <c r="D2115" s="237"/>
      <c r="E2115" s="237"/>
      <c r="F2115" s="237"/>
      <c r="G2115" s="237"/>
      <c r="H2115" s="233"/>
      <c r="I2115" s="233"/>
      <c r="J2115" s="233"/>
      <c r="K2115" s="233"/>
      <c r="L2115" s="233"/>
      <c r="M2115" s="250" t="s">
        <v>169</v>
      </c>
      <c r="N2115" s="251"/>
      <c r="O2115" s="251"/>
      <c r="P2115" s="252"/>
      <c r="Q2115" s="40" t="str">
        <f>IF($Q2113&lt;&gt;"",IF($Q2113="W","L","W"),"")</f>
        <v/>
      </c>
      <c r="R2115" s="14"/>
      <c r="S2115" s="14"/>
      <c r="T2115" s="14"/>
      <c r="U2115" s="14"/>
      <c r="V2115" s="14"/>
      <c r="W2115" s="14"/>
      <c r="X2115" s="7"/>
      <c r="Y2115" s="7"/>
      <c r="Z2115" s="14"/>
      <c r="AA2115" s="14"/>
      <c r="AB2115" s="14"/>
      <c r="AC2115" s="14"/>
      <c r="AD2115" s="14"/>
      <c r="AE2115" s="14"/>
      <c r="AF2115"/>
    </row>
    <row r="2116" spans="1:32" ht="12.75" customHeight="1" x14ac:dyDescent="0.25">
      <c r="A2116" s="260"/>
      <c r="B2116" s="238"/>
      <c r="C2116" s="239"/>
      <c r="D2116" s="239"/>
      <c r="E2116" s="239"/>
      <c r="F2116" s="239"/>
      <c r="G2116" s="239"/>
      <c r="H2116" s="234"/>
      <c r="I2116" s="234"/>
      <c r="J2116" s="235"/>
      <c r="K2116" s="235"/>
      <c r="L2116" s="235"/>
      <c r="M2116" s="250"/>
      <c r="N2116" s="251"/>
      <c r="O2116" s="251"/>
      <c r="P2116" s="252"/>
      <c r="Q2116" s="110" t="str">
        <f>IF($Q2115&lt;&gt;"",IF($Q2115="W",IF(SUM(IF($H2115&gt;$H2113,1,0),IF($I2115&gt;$I2113,1,0),IF($J2115&gt;$J2113,1,0),IF($K2115&gt;$K2113,1,0),IF($L2115&gt;$L2113,1,0))&lt;&gt;3,"Error",""),""),"")</f>
        <v/>
      </c>
      <c r="R2116" s="14"/>
      <c r="S2116" s="14"/>
      <c r="T2116" s="14"/>
      <c r="U2116" s="14"/>
      <c r="V2116" s="14"/>
      <c r="W2116" s="14"/>
      <c r="X2116" s="7"/>
      <c r="Y2116" s="7"/>
      <c r="Z2116" s="14"/>
      <c r="AA2116" s="14"/>
      <c r="AB2116" s="14"/>
      <c r="AC2116" s="14"/>
      <c r="AD2116" s="14"/>
      <c r="AE2116" s="14"/>
      <c r="AF2116"/>
    </row>
    <row r="2117" spans="1:32" ht="12.75" customHeight="1" x14ac:dyDescent="0.25">
      <c r="Q2117" s="6"/>
      <c r="R2117" s="14"/>
      <c r="S2117" s="14"/>
      <c r="T2117" s="14"/>
      <c r="U2117" s="14"/>
      <c r="V2117" s="14"/>
      <c r="W2117" s="14"/>
      <c r="X2117" s="7"/>
      <c r="Y2117" s="7"/>
      <c r="Z2117" s="14"/>
      <c r="AA2117" s="14"/>
      <c r="AB2117" s="14"/>
      <c r="AC2117" s="14"/>
      <c r="AD2117" s="14"/>
      <c r="AE2117" s="14"/>
      <c r="AF2117"/>
    </row>
    <row r="2118" spans="1:32" ht="12.75" customHeight="1" x14ac:dyDescent="0.25">
      <c r="A2118" s="15" t="s">
        <v>167</v>
      </c>
      <c r="H2118" s="110" t="str">
        <f>IF($Q2120&lt;&gt;"",IF(AND(AND($H2120&gt;-1,$H2122&gt;-1),OR($H2120&gt;10,$H2122&gt;10),ABS($H2120-$H2122)&gt;1,IF(OR($H2120&gt;11,$H2122&gt;11),ABS($H2120-$H2122)=2,TRUE),$H2120=INT($H2120),$H2122=INT($H2122)),"","Error"),"")</f>
        <v/>
      </c>
      <c r="I2118" s="110" t="str">
        <f>IF($Q2120&lt;&gt;"",IF(AND(AND($I2120&gt;-1,$I2122&gt;-1),OR($I2120&gt;10,$I2122&gt;10),ABS($I2120-$I2122)&gt;1,IF(OR($I2120&gt;11,$I2122&gt;11),ABS($I2120-$I2122)=2,TRUE),$I2120=INT($I2120),$I2122=INT($I2122)),"","Error"),"")</f>
        <v/>
      </c>
      <c r="J2118" s="110" t="str">
        <f>IF($Q2120&lt;&gt;"",IF(AND(AND($J2120&gt;-1,$J2122&gt;-1),OR($J2120&gt;10,$J2122&gt;10),ABS($J2120-$J2122)&gt;1,IF(OR($J2120&gt;11,$J2122&gt;11),ABS($J2120-$J2122)=2,TRUE),$J2120=INT($J2120),$J2122=INT($J2122)),"","Error"),"")</f>
        <v/>
      </c>
      <c r="K2118" s="110" t="str">
        <f>IF($Q2120&lt;&gt;"",IF(AND($K2120&lt;&gt;"",$K2122&lt;&gt;""), IF(AND(AND($K2120&gt;-1,$K2122&gt;-1),OR($K2120&gt;10,$K2122&gt;10),ABS($K2120-$K2122)&gt;1,IF(OR($K2120&gt;11,$K2122&gt;11),ABS($K2120-$K2122)=2,TRUE),$K2120=INT($K2120),$K2122=INT($K2122)),"","Error"),""),"")</f>
        <v/>
      </c>
      <c r="L2118" s="110" t="str">
        <f>IF($Q2120&lt;&gt;"",IF(AND($L2120&lt;&gt;"",$L2122&lt;&gt;""), IF(AND(AND($L2120&gt;-1,$L2122&gt;-1),OR($L2120&gt;10,$L2122&gt;10),ABS($L2120-$L2122)&gt;1,IF(OR($L2120&gt;11,$L2122&gt;11),ABS($L2120-$L2122)=2,TRUE),$L2120=INT($L2120),$L2122=INT($L2122)),"","Error"),""),"")</f>
        <v/>
      </c>
      <c r="Q2118" s="6"/>
      <c r="R2118" s="14"/>
      <c r="S2118" s="14"/>
      <c r="T2118" s="14"/>
      <c r="U2118" s="14"/>
      <c r="V2118" s="14"/>
      <c r="W2118" s="14"/>
      <c r="X2118" s="7"/>
      <c r="Y2118" s="7"/>
      <c r="Z2118" s="14"/>
      <c r="AA2118" s="14"/>
      <c r="AB2118" s="14"/>
      <c r="AC2118" s="14"/>
      <c r="AD2118" s="14"/>
      <c r="AE2118" s="14"/>
      <c r="AF2118"/>
    </row>
    <row r="2119" spans="1:32" ht="12.75" customHeight="1" x14ac:dyDescent="0.25">
      <c r="A2119" s="5" t="s">
        <v>160</v>
      </c>
      <c r="B2119" s="256" t="s">
        <v>58</v>
      </c>
      <c r="C2119" s="257"/>
      <c r="D2119" s="257"/>
      <c r="E2119" s="257"/>
      <c r="F2119" s="257"/>
      <c r="G2119" s="258"/>
      <c r="H2119" s="5">
        <v>1</v>
      </c>
      <c r="I2119" s="5">
        <v>2</v>
      </c>
      <c r="J2119" s="5">
        <v>3</v>
      </c>
      <c r="K2119" s="5">
        <v>4</v>
      </c>
      <c r="L2119" s="5">
        <v>5</v>
      </c>
      <c r="M2119" s="270"/>
      <c r="N2119" s="271"/>
      <c r="O2119" s="271"/>
      <c r="P2119" s="272"/>
      <c r="Q2119" s="6"/>
      <c r="R2119" s="14"/>
      <c r="S2119" s="14"/>
      <c r="T2119" s="14"/>
      <c r="U2119" s="14"/>
      <c r="V2119" s="14"/>
      <c r="W2119" s="14"/>
      <c r="X2119" s="7"/>
      <c r="Y2119" s="7"/>
      <c r="Z2119" s="14"/>
      <c r="AA2119" s="14"/>
      <c r="AB2119" s="14"/>
      <c r="AC2119" s="14"/>
      <c r="AD2119" s="14"/>
      <c r="AE2119" s="14"/>
      <c r="AF2119"/>
    </row>
    <row r="2120" spans="1:32" ht="12.75" customHeight="1" x14ac:dyDescent="0.25">
      <c r="A2120" s="259" t="str">
        <f>B2100</f>
        <v>K</v>
      </c>
      <c r="B2120" s="236" t="str">
        <f ca="1">IF(AND(OFFSET($AO$1,$C2100-1,8,1,1),$A2101&lt;&gt;"",$J2101&lt;&gt;""),CHOOSE($C2100,$AQ$1,$AQ$2,$AQ$3,$AQ$4,$AQ$5,$AQ$6,$AQ$7,$AQ$8,$AQ$9,$AQ$10,$AQ$11,$AQ$12),"")</f>
        <v/>
      </c>
      <c r="C2120" s="237"/>
      <c r="D2120" s="237"/>
      <c r="E2120" s="237"/>
      <c r="F2120" s="237"/>
      <c r="G2120" s="237"/>
      <c r="H2120" s="233"/>
      <c r="I2120" s="233"/>
      <c r="J2120" s="233"/>
      <c r="K2120" s="233"/>
      <c r="L2120" s="233"/>
      <c r="M2120" s="245" t="str">
        <f ca="1">IF(OR(AND($B2113&lt;&gt;"",$B2120&lt;&gt;"",$D2131&lt;=$C2131),AND($B2115&lt;&gt;"",$B2122&lt;&gt;"",$H2131&lt;=$G2131)),"Invalid Lineup","")</f>
        <v/>
      </c>
      <c r="N2120" s="246"/>
      <c r="O2120" s="246"/>
      <c r="P2120" s="247"/>
      <c r="Q2120" s="40" t="str">
        <f>IF($L2120=$L2122,IF($K2120=$K2122,IF($J2120&lt;&gt;"",IF($J2120&gt;$J2122,"W","L"),""),IF($K2120&gt;$K2122,"W","L")),IF($L2120&gt;$L2122,"W","L"))</f>
        <v/>
      </c>
      <c r="R2120" s="14"/>
      <c r="S2120" s="14"/>
      <c r="T2120" s="14"/>
      <c r="U2120" s="14"/>
      <c r="V2120" s="14"/>
      <c r="W2120" s="14"/>
      <c r="X2120" s="7"/>
      <c r="Y2120" s="7"/>
      <c r="Z2120" s="14"/>
      <c r="AA2120" s="14"/>
      <c r="AB2120" s="14"/>
      <c r="AC2120" s="14"/>
      <c r="AD2120" s="14"/>
      <c r="AE2120" s="14"/>
      <c r="AF2120"/>
    </row>
    <row r="2121" spans="1:32" ht="12.75" customHeight="1" x14ac:dyDescent="0.25">
      <c r="A2121" s="260"/>
      <c r="B2121" s="238"/>
      <c r="C2121" s="239"/>
      <c r="D2121" s="239"/>
      <c r="E2121" s="239"/>
      <c r="F2121" s="239"/>
      <c r="G2121" s="239"/>
      <c r="H2121" s="234"/>
      <c r="I2121" s="234"/>
      <c r="J2121" s="234"/>
      <c r="K2121" s="234"/>
      <c r="L2121" s="234"/>
      <c r="M2121" s="245"/>
      <c r="N2121" s="246"/>
      <c r="O2121" s="246"/>
      <c r="P2121" s="247"/>
      <c r="Q2121" s="110" t="str">
        <f>IF($Q2120&lt;&gt;"",IF($Q2120="W",IF(SUM(IF($H2120&gt;$H2122,1,0),IF($I2120&gt;$I2122,1,0),IF($J2120&gt;$J2122,1,0),IF($K2120&gt;$K2122,1,0),IF($L2120&gt;$L2122,1,0))&lt;&gt;3,"Error",""),""),"")</f>
        <v/>
      </c>
      <c r="R2121" s="295" t="str">
        <f>$A2101</f>
        <v/>
      </c>
      <c r="S2121" s="295"/>
      <c r="T2121" s="295"/>
      <c r="U2121" s="295"/>
      <c r="V2121" s="295"/>
      <c r="W2121" s="295"/>
      <c r="X2121" s="219" t="str">
        <f>CONCATENATE("(",$B2100," vs ",$K2100,")")</f>
        <v>(K vs L)</v>
      </c>
      <c r="Y2121" s="219"/>
      <c r="Z2121" s="295" t="str">
        <f>$J2101</f>
        <v/>
      </c>
      <c r="AA2121" s="295"/>
      <c r="AB2121" s="295"/>
      <c r="AC2121" s="295"/>
      <c r="AD2121" s="295"/>
      <c r="AE2121" s="295"/>
      <c r="AF2121"/>
    </row>
    <row r="2122" spans="1:32" ht="12.75" customHeight="1" x14ac:dyDescent="0.25">
      <c r="A2122" s="259" t="str">
        <f>K2100</f>
        <v>L</v>
      </c>
      <c r="B2122" s="236" t="str">
        <f ca="1">IF(AND(OFFSET($AO$1,$L2100-1,8,1,1),$A2101&lt;&gt;"",$J2101&lt;&gt;""),CHOOSE($L2100,$AQ$1,$AQ$2,$AQ$3,$AQ$4,$AQ$5,$AQ$6,$AQ$7,$AQ$8,$AQ$9,$AQ$10,$AQ$11,$AQ$12),"")</f>
        <v/>
      </c>
      <c r="C2122" s="237"/>
      <c r="D2122" s="237"/>
      <c r="E2122" s="237"/>
      <c r="F2122" s="237"/>
      <c r="G2122" s="237"/>
      <c r="H2122" s="233"/>
      <c r="I2122" s="233"/>
      <c r="J2122" s="233"/>
      <c r="K2122" s="233"/>
      <c r="L2122" s="233"/>
      <c r="M2122" s="250" t="s">
        <v>169</v>
      </c>
      <c r="N2122" s="251"/>
      <c r="O2122" s="251"/>
      <c r="P2122" s="252"/>
      <c r="Q2122" s="40" t="str">
        <f>IF($Q2120&lt;&gt;"",IF($Q2120="W","L","W"),"")</f>
        <v/>
      </c>
      <c r="R2122"/>
      <c r="S2122"/>
      <c r="T2122"/>
      <c r="U2122"/>
      <c r="V2122"/>
      <c r="W2122"/>
      <c r="X2122"/>
      <c r="Y2122"/>
      <c r="Z2122"/>
      <c r="AA2122"/>
      <c r="AB2122"/>
      <c r="AC2122"/>
      <c r="AD2122"/>
      <c r="AE2122"/>
      <c r="AF2122"/>
    </row>
    <row r="2123" spans="1:32" ht="12.75" customHeight="1" x14ac:dyDescent="0.25">
      <c r="A2123" s="260"/>
      <c r="B2123" s="238"/>
      <c r="C2123" s="239"/>
      <c r="D2123" s="239"/>
      <c r="E2123" s="239"/>
      <c r="F2123" s="239"/>
      <c r="G2123" s="239"/>
      <c r="H2123" s="234"/>
      <c r="I2123" s="234"/>
      <c r="J2123" s="235"/>
      <c r="K2123" s="235"/>
      <c r="L2123" s="235"/>
      <c r="M2123" s="250"/>
      <c r="N2123" s="251"/>
      <c r="O2123" s="251"/>
      <c r="P2123" s="252"/>
      <c r="Q2123" s="110" t="str">
        <f>IF($Q2122&lt;&gt;"",IF($Q2122="W",IF(SUM(IF($H2122&gt;$H2120,1,0),IF($I2122&gt;$I2120,1,0),IF($J2122&gt;$J2120,1,0),IF($K2122&gt;$K2120,1,0),IF($L2122&gt;$L2120,1,0))&lt;&gt;3,"Error",""),""),"")</f>
        <v/>
      </c>
      <c r="R2123" t="str">
        <f>$A2118</f>
        <v>3rd Singles</v>
      </c>
      <c r="S2123"/>
      <c r="T2123"/>
      <c r="U2123"/>
      <c r="V2123"/>
      <c r="W2123"/>
      <c r="X2123"/>
      <c r="Y2123"/>
      <c r="Z2123"/>
      <c r="AA2123"/>
      <c r="AB2123"/>
      <c r="AC2123"/>
      <c r="AD2123"/>
      <c r="AE2123"/>
      <c r="AF2123"/>
    </row>
    <row r="2124" spans="1:32" ht="12.75" customHeight="1" x14ac:dyDescent="0.25">
      <c r="Q2124" s="6"/>
      <c r="R2124" s="47" t="s">
        <v>160</v>
      </c>
      <c r="S2124" s="86" t="s">
        <v>58</v>
      </c>
      <c r="T2124" s="87"/>
      <c r="U2124" s="87"/>
      <c r="V2124" s="87"/>
      <c r="W2124" s="87"/>
      <c r="X2124" s="88"/>
      <c r="Y2124" s="47">
        <v>1</v>
      </c>
      <c r="Z2124" s="47">
        <v>2</v>
      </c>
      <c r="AA2124" s="47">
        <v>3</v>
      </c>
      <c r="AB2124" s="47">
        <v>4</v>
      </c>
      <c r="AC2124" s="47">
        <v>5</v>
      </c>
      <c r="AD2124" s="89"/>
      <c r="AE2124" s="90"/>
      <c r="AF2124" s="91"/>
    </row>
    <row r="2125" spans="1:32" ht="12.75" customHeight="1" x14ac:dyDescent="0.25">
      <c r="A2125" s="15" t="s">
        <v>168</v>
      </c>
      <c r="H2125" s="110" t="str">
        <f ca="1">IF($Q2127&lt;&gt;"",IF(AND($B2127&lt;&gt;"Missing Player",$B2129&lt;&gt;"Missing Player"),IF(AND(AND($H2127&gt;-1,$H2129&gt;-1),OR($H2127&gt;10,$H2129&gt;10),ABS($H2127-$H2129)&gt;1,IF(OR($H2127&gt;11,$H2129&gt;11),ABS($H2127-$H2129)=2,TRUE),$H2127=INT($H2127),$H2129=INT($H2129)),"","Error"),""),"")</f>
        <v/>
      </c>
      <c r="I2125" s="110" t="str">
        <f ca="1">IF($Q2127&lt;&gt;"",IF(AND($B2127&lt;&gt;"Missing Player",$B2129&lt;&gt;"Missing Player"),IF(AND(AND($I2127&gt;-1,$I2129&gt;-1),OR($I2127&gt;10,$I2129&gt;10),ABS($I2127-$I2129)&gt;1,IF(OR($I2127&gt;11,$I2129&gt;11),ABS($I2127-$I2129)=2,TRUE),$I2127=INT($I2127),$I2129=INT($I2129)),"","Error"),""),"")</f>
        <v/>
      </c>
      <c r="J2125" s="110" t="str">
        <f ca="1">IF($Q2127&lt;&gt;"",IF(AND($B2127&lt;&gt;"Missing Player",$B2129&lt;&gt;"Missing Player"),IF(AND(AND($J2127&gt;-1,$J2129&gt;-1),OR($J2127&gt;10,$J2129&gt;10),ABS($J2127-$J2129)&gt;1,IF(OR($J2127&gt;11,$J2129&gt;11),ABS($J2127-$J2129)=2,TRUE),$J2127=INT($J2127),$J2129=INT($J2129)),"","Error"),""),"")</f>
        <v/>
      </c>
      <c r="K2125" s="110" t="str">
        <f ca="1">IF($Q2127&lt;&gt;"",IF(AND($K2127&lt;&gt;"",$K2129&lt;&gt;""), IF(AND(AND($K2127&gt;-1,$K2129&gt;-1),OR($K2127&gt;10,$K2129&gt;10),ABS($K2127-$K2129)&gt;1,IF(OR($K2127&gt;11,$K2129&gt;11),ABS($K2127-$K2129)=2,TRUE),$K2127=INT($K2127),$K2129=INT($K2129)),"","Error"),""),"")</f>
        <v/>
      </c>
      <c r="L2125" s="110" t="str">
        <f ca="1">IF($Q2127&lt;&gt;"",IF(AND($L2127&lt;&gt;"",$L2129&lt;&gt;""), IF(AND(AND($L2127&gt;-1,$L2129&gt;-1),OR($L2127&gt;10,$L2129&gt;10),ABS($L2127-$L2129)&gt;1,IF(OR($L2127&gt;11,$L2129&gt;11),ABS($L2127-$L2129)=2,TRUE),$L2127=INT($L2127),$L2129=INT($L2129)),"","Error"),""),"")</f>
        <v/>
      </c>
      <c r="Q2125" s="6"/>
      <c r="R2125" s="259" t="str">
        <f>$B2100</f>
        <v>K</v>
      </c>
      <c r="S2125" s="307" t="str">
        <f ca="1">IF($B2120&lt;&gt;"",$B2120,"")</f>
        <v/>
      </c>
      <c r="T2125" s="308"/>
      <c r="U2125" s="308"/>
      <c r="V2125" s="308"/>
      <c r="W2125" s="308"/>
      <c r="X2125" s="309"/>
      <c r="Y2125" s="284"/>
      <c r="Z2125" s="284"/>
      <c r="AA2125" s="284"/>
      <c r="AB2125" s="284"/>
      <c r="AC2125" s="284"/>
      <c r="AD2125" s="296"/>
      <c r="AE2125" s="290"/>
      <c r="AF2125" s="291"/>
    </row>
    <row r="2126" spans="1:32" ht="12.75" customHeight="1" x14ac:dyDescent="0.25">
      <c r="A2126" s="5" t="s">
        <v>160</v>
      </c>
      <c r="B2126" s="256" t="s">
        <v>58</v>
      </c>
      <c r="C2126" s="257"/>
      <c r="D2126" s="257"/>
      <c r="E2126" s="257"/>
      <c r="F2126" s="257"/>
      <c r="G2126" s="258"/>
      <c r="H2126" s="5">
        <v>1</v>
      </c>
      <c r="I2126" s="5">
        <v>2</v>
      </c>
      <c r="J2126" s="5">
        <v>3</v>
      </c>
      <c r="K2126" s="5">
        <v>4</v>
      </c>
      <c r="L2126" s="5">
        <v>5</v>
      </c>
      <c r="M2126" s="270"/>
      <c r="N2126" s="271"/>
      <c r="O2126" s="271"/>
      <c r="P2126" s="272"/>
      <c r="Q2126" s="6"/>
      <c r="R2126" s="285"/>
      <c r="S2126" s="310"/>
      <c r="T2126" s="311"/>
      <c r="U2126" s="311"/>
      <c r="V2126" s="311"/>
      <c r="W2126" s="311"/>
      <c r="X2126" s="312"/>
      <c r="Y2126" s="285"/>
      <c r="Z2126" s="285"/>
      <c r="AA2126" s="285"/>
      <c r="AB2126" s="285"/>
      <c r="AC2126" s="285"/>
      <c r="AD2126" s="292"/>
      <c r="AE2126" s="293"/>
      <c r="AF2126" s="294"/>
    </row>
    <row r="2127" spans="1:32" ht="12.75" customHeight="1" x14ac:dyDescent="0.25">
      <c r="A2127" s="259" t="str">
        <f>B2100</f>
        <v>K</v>
      </c>
      <c r="B2127" s="236" t="str">
        <f ca="1">IF(AND(OFFSET($AO$1,$C2100-1,8,1,1),$A2101&lt;&gt;"",$J2101&lt;&gt;""),CHOOSE($C2100,$AR$1,$AR$2,$AR$3,$AR$4,$AR$5,$AR$6,$AR$7,$AR$8,$AR$9,$AR$10,$AR$11,$AR$12),"")</f>
        <v/>
      </c>
      <c r="C2127" s="237"/>
      <c r="D2127" s="237"/>
      <c r="E2127" s="237"/>
      <c r="F2127" s="237"/>
      <c r="G2127" s="237"/>
      <c r="H2127" s="233"/>
      <c r="I2127" s="233"/>
      <c r="J2127" s="233"/>
      <c r="K2127" s="233"/>
      <c r="L2127" s="233" t="str">
        <f ca="1">IF(AND($B2127&lt;&gt;"",$Q2106&lt;&gt;""),IF($B2127="Missing Player",0,IF($B2129="Missing Player",11,"")),"")</f>
        <v/>
      </c>
      <c r="M2127" s="245" t="str">
        <f ca="1">IF(OR(AND($B2120&lt;&gt;"",$B2127&lt;&gt;"",$E2131&lt;=$D2131),AND($B2122&lt;&gt;"",$B2129&lt;&gt;"",$I2131&lt;=$H2131)),"Invalid Lineup","")</f>
        <v/>
      </c>
      <c r="N2127" s="246"/>
      <c r="O2127" s="246"/>
      <c r="P2127" s="247"/>
      <c r="Q2127" s="40" t="str">
        <f ca="1">IF($L2127=$L2129,IF($K2127=$K2129,IF($J2127&lt;&gt;"",IF($J2127&gt;$J2129,"W","L"),""),IF($K2127&gt;$K2129,"W","L")),IF($L2127&gt;$L2129,"W","L"))</f>
        <v/>
      </c>
      <c r="R2127" s="259" t="str">
        <f>$K2100</f>
        <v>L</v>
      </c>
      <c r="S2127" s="307" t="str">
        <f ca="1">IF($B2122&lt;&gt;"",$B2122,"")</f>
        <v/>
      </c>
      <c r="T2127" s="308"/>
      <c r="U2127" s="308"/>
      <c r="V2127" s="308"/>
      <c r="W2127" s="308"/>
      <c r="X2127" s="309"/>
      <c r="Y2127" s="284"/>
      <c r="Z2127" s="284"/>
      <c r="AA2127" s="284"/>
      <c r="AB2127" s="284"/>
      <c r="AC2127" s="297"/>
      <c r="AD2127" s="289" t="s">
        <v>169</v>
      </c>
      <c r="AE2127" s="290"/>
      <c r="AF2127" s="291"/>
    </row>
    <row r="2128" spans="1:32" ht="12.75" customHeight="1" x14ac:dyDescent="0.25">
      <c r="A2128" s="260"/>
      <c r="B2128" s="238"/>
      <c r="C2128" s="239"/>
      <c r="D2128" s="239"/>
      <c r="E2128" s="239"/>
      <c r="F2128" s="239"/>
      <c r="G2128" s="239"/>
      <c r="H2128" s="234"/>
      <c r="I2128" s="234"/>
      <c r="J2128" s="234"/>
      <c r="K2128" s="234"/>
      <c r="L2128" s="234"/>
      <c r="M2128" s="245"/>
      <c r="N2128" s="246"/>
      <c r="O2128" s="246"/>
      <c r="P2128" s="247"/>
      <c r="Q2128" s="110" t="str">
        <f ca="1">IF($Q2127&lt;&gt;"",IF($B2129&lt;&gt;"Missing Player",IF($Q2127="W",IF(SUM(IF($H2127&gt;$H2129,1,0),IF($I2127&gt;$I2129,1,0),IF($J2127&gt;$J2129,1,0),IF($K2127&gt;$K2129,1,0),IF($L2127&gt;$L2129,1,0))&lt;&gt;3,"Error",""),""),""),"")</f>
        <v/>
      </c>
      <c r="R2128" s="285"/>
      <c r="S2128" s="310"/>
      <c r="T2128" s="311"/>
      <c r="U2128" s="311"/>
      <c r="V2128" s="311"/>
      <c r="W2128" s="311"/>
      <c r="X2128" s="312"/>
      <c r="Y2128" s="285"/>
      <c r="Z2128" s="285"/>
      <c r="AA2128" s="285"/>
      <c r="AB2128" s="285"/>
      <c r="AC2128" s="285"/>
      <c r="AD2128" s="292"/>
      <c r="AE2128" s="293"/>
      <c r="AF2128" s="294"/>
    </row>
    <row r="2129" spans="1:32" ht="12.75" customHeight="1" x14ac:dyDescent="0.25">
      <c r="A2129" s="259" t="str">
        <f>K2100</f>
        <v>L</v>
      </c>
      <c r="B2129" s="236" t="str">
        <f ca="1">IF(AND(OFFSET($AO$1,$L2100-1,8,1,1),$A2101&lt;&gt;"",$J2101&lt;&gt;""),CHOOSE($L2100,$AR$1,$AR$2,$AR$3,$AR$4,$AR$5,$AR$6,$AR$7,$AR$8,$AR$9,$AR$10,$AR$11,$AR$12),"")</f>
        <v/>
      </c>
      <c r="C2129" s="237"/>
      <c r="D2129" s="237"/>
      <c r="E2129" s="237"/>
      <c r="F2129" s="237"/>
      <c r="G2129" s="237"/>
      <c r="H2129" s="233"/>
      <c r="I2129" s="233"/>
      <c r="J2129" s="233"/>
      <c r="K2129" s="233"/>
      <c r="L2129" s="233" t="str">
        <f ca="1">IF(AND($B2129&lt;&gt;"",$Q2106&lt;&gt;""),IF($B2129="Missing Player",0,IF($B2127="Missing Player",11,"")),"")</f>
        <v/>
      </c>
      <c r="M2129" s="250" t="s">
        <v>169</v>
      </c>
      <c r="N2129" s="251"/>
      <c r="O2129" s="251"/>
      <c r="P2129" s="252"/>
      <c r="Q2129" s="40" t="str">
        <f ca="1">IF($Q2127&lt;&gt;"",IF($Q2127="W","L","W"),"")</f>
        <v/>
      </c>
      <c r="R2129" s="94"/>
      <c r="S2129" s="84"/>
      <c r="T2129" s="84"/>
      <c r="U2129" s="84"/>
      <c r="V2129" s="84"/>
      <c r="W2129" s="84"/>
      <c r="X2129" s="84"/>
      <c r="Y2129" s="93"/>
      <c r="Z2129" s="93"/>
      <c r="AA2129" s="93"/>
      <c r="AB2129" s="93"/>
      <c r="AC2129" s="93"/>
      <c r="AD2129" s="92"/>
      <c r="AE2129" s="93"/>
      <c r="AF2129" s="93"/>
    </row>
    <row r="2130" spans="1:32" ht="12.75" customHeight="1" x14ac:dyDescent="0.25">
      <c r="A2130" s="260"/>
      <c r="B2130" s="238"/>
      <c r="C2130" s="239"/>
      <c r="D2130" s="239"/>
      <c r="E2130" s="239"/>
      <c r="F2130" s="239"/>
      <c r="G2130" s="239"/>
      <c r="H2130" s="234"/>
      <c r="I2130" s="234"/>
      <c r="J2130" s="235"/>
      <c r="K2130" s="235"/>
      <c r="L2130" s="235"/>
      <c r="M2130" s="250"/>
      <c r="N2130" s="251"/>
      <c r="O2130" s="251"/>
      <c r="P2130" s="252"/>
      <c r="Q2130" s="110" t="str">
        <f ca="1">IF($Q2129&lt;&gt;"",IF($B2127&lt;&gt;"Missing Player",IF($Q2129="W",IF(SUM(IF($H2129&gt;$H2127,1,0),IF($I2129&gt;$I2127,1,0),IF($J2129&gt;$J2127,1,0),IF($K2129&gt;$K2127,1,0),IF($L2129&gt;$L2127,1,0))&lt;&gt;3,"Error",""),""),""),"")</f>
        <v/>
      </c>
      <c r="R2130" s="85"/>
      <c r="S2130" s="95"/>
      <c r="T2130" s="95"/>
      <c r="U2130" s="95"/>
      <c r="V2130" s="95"/>
      <c r="W2130" s="95"/>
      <c r="X2130" s="95"/>
      <c r="Y2130" s="85"/>
      <c r="Z2130" s="85"/>
      <c r="AA2130" s="85"/>
      <c r="AB2130" s="85"/>
      <c r="AC2130" s="85"/>
      <c r="AD2130" s="85"/>
      <c r="AE2130" s="85"/>
      <c r="AF2130" s="85"/>
    </row>
    <row r="2131" spans="1:32" ht="12.75" customHeight="1" x14ac:dyDescent="0.25">
      <c r="B2131" s="111" t="str">
        <f ca="1">IF(ISERROR(VLOOKUP($B2106&amp;"("&amp;$B2100&amp;")",Players!$S$4:$T$132,2,FALSE)),"",VLOOKUP($B2106&amp;"("&amp;$B2100&amp;")",Players!$S$4:$T$132,2,FALSE))</f>
        <v>K1</v>
      </c>
      <c r="C2131" s="111" t="str">
        <f ca="1">IF(ISERROR(VLOOKUP($B2113&amp;"("&amp;$B2100&amp;")",Players!$S$4:$T$132,2,FALSE)),"",VLOOKUP($B2113&amp;"("&amp;$B2100&amp;")",Players!$S$4:$T$132,2,FALSE))</f>
        <v>K1</v>
      </c>
      <c r="D2131" s="111" t="str">
        <f ca="1">IF(ISERROR(VLOOKUP($B2120&amp;"("&amp;$B2100&amp;")",Players!$S$4:$T$132,2,FALSE)),"",VLOOKUP($B2120&amp;"("&amp;$B2100&amp;")",Players!$S$4:$T$132,2,FALSE))</f>
        <v>K1</v>
      </c>
      <c r="E2131" s="111" t="str">
        <f ca="1">IF(ISERROR(VLOOKUP($B2127&amp;"("&amp;$B2100&amp;")",Players!$S$4:$T$132,2,FALSE)),"",VLOOKUP($B2127&amp;"("&amp;$B2100&amp;")",Players!$S$4:$T$132,2,FALSE))</f>
        <v>K1</v>
      </c>
      <c r="F2131" s="111" t="str">
        <f ca="1">IF(ISERROR(VLOOKUP($B2108&amp;"("&amp;$K2100&amp;")",Players!$S$4:$T$132,2,FALSE)),"",VLOOKUP($B2108&amp;"("&amp;$K2100&amp;")",Players!$S$4:$T$132,2,FALSE))</f>
        <v>L1</v>
      </c>
      <c r="G2131" s="111" t="str">
        <f ca="1">IF(ISERROR(VLOOKUP($B2115&amp;"("&amp;$K2100&amp;")",Players!$S$4:$T$132,2,FALSE)),"",VLOOKUP($B2115&amp;"("&amp;$K2100&amp;")",Players!$S$4:$T$132,2,FALSE))</f>
        <v>L1</v>
      </c>
      <c r="H2131" s="111" t="str">
        <f ca="1">IF(ISERROR(VLOOKUP($B2122&amp;"("&amp;$K2100&amp;")",Players!$S$4:$T$132,2,FALSE)),"",VLOOKUP($B2122&amp;"("&amp;$K2100&amp;")",Players!$S$4:$T$132,2,FALSE))</f>
        <v>L1</v>
      </c>
      <c r="I2131" s="111" t="str">
        <f ca="1">IF(ISERROR(VLOOKUP($B2129&amp;"("&amp;$K2100&amp;")",Players!$S$4:$T$132,2,FALSE)),"",VLOOKUP($B2129&amp;"("&amp;$K2100&amp;")",Players!$S$4:$T$132,2,FALSE))</f>
        <v>L1</v>
      </c>
      <c r="Q2131" s="6"/>
      <c r="R2131" s="37"/>
      <c r="S2131" s="95"/>
      <c r="T2131" s="95"/>
      <c r="U2131" s="95"/>
      <c r="V2131" s="95"/>
      <c r="W2131" s="95"/>
      <c r="X2131" s="95"/>
      <c r="Y2131" s="85"/>
      <c r="Z2131" s="85"/>
      <c r="AA2131" s="85"/>
      <c r="AB2131" s="85"/>
      <c r="AC2131" s="96"/>
      <c r="AD2131" s="97"/>
      <c r="AE2131" s="85"/>
      <c r="AF2131" s="85"/>
    </row>
    <row r="2132" spans="1:32" ht="12.75" customHeight="1" x14ac:dyDescent="0.25">
      <c r="A2132" s="15" t="s">
        <v>157</v>
      </c>
      <c r="H2132" s="110" t="str">
        <f ca="1">IF($Q2134&lt;&gt;"",IF(AND($B2135&lt;&gt;"Missing Player",$B2137&lt;&gt;"Missing Player"),IF(AND(AND($H2134&gt;-1,$H2136&gt;-1),OR($H2134&gt;10,$H2136&gt;10),ABS($H2134-$H2136)&gt;1,IF(OR($H2134&gt;11,$H2136&gt;11),ABS($H2134-$H2136)=2,TRUE),$H2134=INT($H2134),$H2136=INT($H2136)),"","Error"),""),"")</f>
        <v/>
      </c>
      <c r="I2132" s="110" t="str">
        <f ca="1">IF($Q2134&lt;&gt;"",IF(AND($B2135&lt;&gt;"Missing Player",$B2137&lt;&gt;"Missing Player"),IF(AND(AND($I2134&gt;-1,$I2136&gt;-1),OR($I2134&gt;10,$I2136&gt;10),ABS($I2134-$I2136)&gt;1,IF(OR($I2134&gt;11,$I2136&gt;11),ABS($I2134-$I2136)=2,TRUE),$I2134=INT($I2134),$I2136=INT($I2136)),"","Error"),""),"")</f>
        <v/>
      </c>
      <c r="J2132" s="110" t="str">
        <f ca="1">IF($Q2134&lt;&gt;"",IF(AND($B2135&lt;&gt;"Missing Player",$B2137&lt;&gt;"Missing Player"),IF(AND(AND($J2134&gt;-1,$J2136&gt;-1),OR($J2134&gt;10,$J2136&gt;10),ABS($J2134-$J2136)&gt;1,IF(OR($J2134&gt;11,$J2136&gt;11),ABS($J2134-$J2136)=2,TRUE),$J2134=INT($J2134),$J2136=INT($J2136)),"","Error"),""),"")</f>
        <v/>
      </c>
      <c r="K2132" s="110" t="str">
        <f ca="1">IF($Q2134&lt;&gt;"",IF(AND($K2134&lt;&gt;"",$K2136&lt;&gt;""), IF(AND(AND($K2134&gt;-1,$K2136&gt;-1),OR($K2134&gt;10,$K2136&gt;10),ABS($K2134-$K2136)&gt;1,IF(OR($K2134&gt;11,$K2136&gt;11),ABS($K2134-$K2136)=2,TRUE),$K2134=INT($K2134),$K2136=INT($K2136)),"","Error"),""),"")</f>
        <v/>
      </c>
      <c r="L2132" s="110" t="str">
        <f ca="1">IF($Q2134&lt;&gt;"",IF(AND($L2134&lt;&gt;"",$L2136&lt;&gt;""), IF(AND(AND($L2134&gt;-1,$L2136&gt;-1),OR($L2134&gt;10,$L2136&gt;10),ABS($L2134-$L2136)&gt;1,IF(OR($L2134&gt;11,$L2136&gt;11),ABS($L2134-$L2136)=2,TRUE),$L2134=INT($L2134),$L2136=INT($L2136)),"","Error"),""),"")</f>
        <v/>
      </c>
      <c r="Q2132" s="6"/>
      <c r="R2132" s="85"/>
      <c r="S2132" s="95"/>
      <c r="T2132" s="95"/>
      <c r="U2132" s="95"/>
      <c r="V2132" s="95"/>
      <c r="W2132" s="95"/>
      <c r="X2132" s="95"/>
      <c r="Y2132" s="85"/>
      <c r="Z2132" s="85"/>
      <c r="AA2132" s="85"/>
      <c r="AB2132" s="85"/>
      <c r="AC2132" s="85"/>
      <c r="AD2132" s="85"/>
      <c r="AE2132" s="85"/>
      <c r="AF2132" s="85"/>
    </row>
    <row r="2133" spans="1:32" ht="12.75" customHeight="1" x14ac:dyDescent="0.25">
      <c r="A2133" s="5" t="s">
        <v>160</v>
      </c>
      <c r="B2133" s="256" t="s">
        <v>58</v>
      </c>
      <c r="C2133" s="257"/>
      <c r="D2133" s="257"/>
      <c r="E2133" s="257"/>
      <c r="F2133" s="257"/>
      <c r="G2133" s="258"/>
      <c r="H2133" s="5">
        <v>1</v>
      </c>
      <c r="I2133" s="5">
        <v>2</v>
      </c>
      <c r="J2133" s="5">
        <v>3</v>
      </c>
      <c r="K2133" s="5">
        <v>4</v>
      </c>
      <c r="L2133" s="5">
        <v>5</v>
      </c>
      <c r="M2133" s="270"/>
      <c r="N2133" s="271"/>
      <c r="O2133" s="271"/>
      <c r="P2133" s="272"/>
      <c r="Q2133" s="6"/>
      <c r="T2133" s="7"/>
    </row>
    <row r="2134" spans="1:32" ht="12.75" customHeight="1" x14ac:dyDescent="0.25">
      <c r="A2134" s="259" t="str">
        <f>B2100</f>
        <v>K</v>
      </c>
      <c r="B2134" s="230" t="str">
        <f ca="1">IF($B2106&lt;&gt;"",$B2106,"")</f>
        <v/>
      </c>
      <c r="C2134" s="231"/>
      <c r="D2134" s="231"/>
      <c r="E2134" s="231"/>
      <c r="F2134" s="231"/>
      <c r="G2134" s="232"/>
      <c r="H2134" s="233"/>
      <c r="I2134" s="233"/>
      <c r="J2134" s="233"/>
      <c r="K2134" s="233"/>
      <c r="L2134" s="233" t="str">
        <f ca="1">IF($B2127&lt;&gt;"",IF(AND($B2127="Missing Player",$G2138=2,$J2138=2),0,IF(AND($B2129="Missing Player",$G2138=2,$J2138=2),11,"")),"")</f>
        <v/>
      </c>
      <c r="M2134" s="245" t="str">
        <f ca="1">IF(OR(AND($B2134&lt;&gt;"",$B2135&lt;&gt;"",$B2134=$B2135),AND($B2136&lt;&gt;"",$B2137&lt;&gt;"",$B2136=$B2137)),"Invalid Partner","")</f>
        <v/>
      </c>
      <c r="N2134" s="246"/>
      <c r="O2134" s="246"/>
      <c r="P2134" s="247"/>
      <c r="Q2134" s="37" t="str">
        <f ca="1">IF(L2134=L2136,IF(K2134=K2136,IF(J2134&lt;&gt;"",IF(J2134&gt;J2136,"W","L"),""),IF(K2134&gt;K2136,"W","L")),IF(L2134&gt;L2136,"W","L"))</f>
        <v/>
      </c>
      <c r="T2134" s="7"/>
    </row>
    <row r="2135" spans="1:32" ht="12.75" customHeight="1" x14ac:dyDescent="0.25">
      <c r="A2135" s="260"/>
      <c r="B2135" s="266" t="str">
        <f ca="1">IF($B2127="Missing Player",$B2127,"")</f>
        <v/>
      </c>
      <c r="C2135" s="267"/>
      <c r="D2135" s="267"/>
      <c r="E2135" s="267"/>
      <c r="F2135" s="267"/>
      <c r="G2135" s="268"/>
      <c r="H2135" s="234"/>
      <c r="I2135" s="234"/>
      <c r="J2135" s="234"/>
      <c r="K2135" s="234"/>
      <c r="L2135" s="234"/>
      <c r="M2135" s="245"/>
      <c r="N2135" s="246"/>
      <c r="O2135" s="246"/>
      <c r="P2135" s="247"/>
      <c r="Q2135" s="110" t="str">
        <f ca="1">IF($Q2134&lt;&gt;"",IF($B2137&lt;&gt;"Missing Player",IF($Q2134="W",IF(SUM(IF($H2134&gt;$H2136,1,0),IF($I2134&gt;$I2136,1,0),IF($J2134&gt;$J2136,1,0),IF($K2134&gt;$K2136,1,0),IF($L2134&gt;$L2136,1,0))&lt;&gt;3,"Error",""),""),""),"")</f>
        <v/>
      </c>
      <c r="R2135" s="295" t="str">
        <f>$A2101</f>
        <v/>
      </c>
      <c r="S2135" s="295"/>
      <c r="T2135" s="295"/>
      <c r="U2135" s="295"/>
      <c r="V2135" s="295"/>
      <c r="W2135" s="295"/>
      <c r="X2135" s="219" t="str">
        <f>CONCATENATE("(",$B2100," vs ",$K2100,")")</f>
        <v>(K vs L)</v>
      </c>
      <c r="Y2135" s="219"/>
      <c r="Z2135" s="295" t="str">
        <f>$J2101</f>
        <v/>
      </c>
      <c r="AA2135" s="295"/>
      <c r="AB2135" s="295"/>
      <c r="AC2135" s="295"/>
      <c r="AD2135" s="295"/>
      <c r="AE2135" s="295"/>
      <c r="AF2135"/>
    </row>
    <row r="2136" spans="1:32" ht="12.75" customHeight="1" x14ac:dyDescent="0.25">
      <c r="A2136" s="265" t="str">
        <f>K2100</f>
        <v>L</v>
      </c>
      <c r="B2136" s="230" t="str">
        <f ca="1">IF($B2108&lt;&gt;"",$B2108,"")</f>
        <v/>
      </c>
      <c r="C2136" s="231"/>
      <c r="D2136" s="231"/>
      <c r="E2136" s="231"/>
      <c r="F2136" s="231"/>
      <c r="G2136" s="232"/>
      <c r="H2136" s="233"/>
      <c r="I2136" s="233"/>
      <c r="J2136" s="233"/>
      <c r="K2136" s="233"/>
      <c r="L2136" s="233" t="str">
        <f ca="1">IF($B2129&lt;&gt;"",IF(AND($B2129="Missing Player",$G2138=2,$J2138=2),0,IF(AND($B2127="Missing Player",$G2138=2,$J2138=2),11,"")),"")</f>
        <v/>
      </c>
      <c r="M2136" s="250" t="s">
        <v>169</v>
      </c>
      <c r="N2136" s="251"/>
      <c r="O2136" s="251"/>
      <c r="P2136" s="252"/>
      <c r="Q2136" s="37" t="str">
        <f ca="1">IF(Q2134&lt;&gt;"",IF(Q2134="W","L","W"),"")</f>
        <v/>
      </c>
      <c r="R2136"/>
      <c r="S2136"/>
      <c r="T2136"/>
      <c r="U2136"/>
      <c r="V2136"/>
      <c r="W2136"/>
      <c r="X2136"/>
      <c r="Y2136"/>
      <c r="Z2136"/>
      <c r="AA2136"/>
      <c r="AB2136"/>
      <c r="AC2136"/>
      <c r="AD2136"/>
      <c r="AE2136"/>
      <c r="AF2136"/>
    </row>
    <row r="2137" spans="1:32" ht="12.75" customHeight="1" x14ac:dyDescent="0.25">
      <c r="A2137" s="260"/>
      <c r="B2137" s="266" t="str">
        <f ca="1">IF($B2129="Missing Player",$B2129,"")</f>
        <v/>
      </c>
      <c r="C2137" s="267"/>
      <c r="D2137" s="267"/>
      <c r="E2137" s="267"/>
      <c r="F2137" s="267"/>
      <c r="G2137" s="268"/>
      <c r="H2137" s="234"/>
      <c r="I2137" s="234"/>
      <c r="J2137" s="235"/>
      <c r="K2137" s="235"/>
      <c r="L2137" s="235"/>
      <c r="M2137" s="250"/>
      <c r="N2137" s="251"/>
      <c r="O2137" s="251"/>
      <c r="P2137" s="252"/>
      <c r="Q2137" s="110" t="str">
        <f ca="1">IF($Q2136&lt;&gt;"",IF($B2135&lt;&gt;"Missing Player",IF($Q2136="W",IF(SUM(IF($H2136&gt;$H2134,1,0),IF($I2136&gt;$I2134,1,0),IF($J2136&gt;$J2134,1,0),IF($K2136&gt;$K2134,1,0),IF($L2136&gt;$L2134,1,0))&lt;&gt;3,"Error",""),""),""),"")</f>
        <v/>
      </c>
      <c r="R2137" t="str">
        <f>A2125</f>
        <v>4th Singles</v>
      </c>
      <c r="S2137"/>
      <c r="T2137"/>
      <c r="U2137"/>
      <c r="V2137"/>
      <c r="W2137"/>
      <c r="X2137"/>
      <c r="Y2137"/>
      <c r="Z2137"/>
      <c r="AA2137"/>
      <c r="AB2137"/>
      <c r="AC2137"/>
      <c r="AD2137"/>
      <c r="AE2137"/>
      <c r="AF2137"/>
    </row>
    <row r="2138" spans="1:32" ht="12.75" customHeight="1" x14ac:dyDescent="0.25">
      <c r="G2138" s="53">
        <f ca="1">COUNTIF($Q2106:$Q2106,"W")+COUNTIF($Q2113:$Q2113,"W")+COUNTIF($Q2120:$Q2120,"W")+COUNTIF($Q2127:$Q2127,"W")</f>
        <v>0</v>
      </c>
      <c r="J2138" s="53">
        <f ca="1">COUNTIF($Q2108:$Q2108,"W")+COUNTIF($Q2115:$Q2115,"W")+COUNTIF($Q2122:$Q2122,"W")+COUNTIF($Q2129:$Q2129,"W")</f>
        <v>0</v>
      </c>
      <c r="R2138" s="47" t="s">
        <v>160</v>
      </c>
      <c r="S2138" s="304" t="s">
        <v>58</v>
      </c>
      <c r="T2138" s="305"/>
      <c r="U2138" s="305"/>
      <c r="V2138" s="305"/>
      <c r="W2138" s="305"/>
      <c r="X2138" s="306"/>
      <c r="Y2138" s="47">
        <v>1</v>
      </c>
      <c r="Z2138" s="47">
        <v>2</v>
      </c>
      <c r="AA2138" s="47">
        <v>3</v>
      </c>
      <c r="AB2138" s="47">
        <v>4</v>
      </c>
      <c r="AC2138" s="47">
        <v>5</v>
      </c>
      <c r="AD2138" s="286"/>
      <c r="AE2138" s="287"/>
      <c r="AF2138" s="288"/>
    </row>
    <row r="2139" spans="1:32" ht="12.75" customHeight="1" thickBot="1" x14ac:dyDescent="0.3">
      <c r="F2139" s="212" t="s">
        <v>170</v>
      </c>
      <c r="G2139" s="212"/>
      <c r="H2139" s="212"/>
      <c r="I2139" s="212"/>
      <c r="J2139" s="212"/>
      <c r="K2139" s="212"/>
      <c r="R2139" s="259" t="str">
        <f>B2100</f>
        <v>K</v>
      </c>
      <c r="S2139" s="307" t="str">
        <f ca="1">IF($B2127&lt;&gt;"",$B2127,"")</f>
        <v/>
      </c>
      <c r="T2139" s="308"/>
      <c r="U2139" s="308"/>
      <c r="V2139" s="308"/>
      <c r="W2139" s="308"/>
      <c r="X2139" s="309"/>
      <c r="Y2139" s="284"/>
      <c r="Z2139" s="284"/>
      <c r="AA2139" s="297"/>
      <c r="AB2139" s="297"/>
      <c r="AC2139" s="297"/>
      <c r="AD2139" s="296"/>
      <c r="AE2139" s="298"/>
      <c r="AF2139" s="299"/>
    </row>
    <row r="2140" spans="1:32" ht="12.75" customHeight="1" x14ac:dyDescent="0.25">
      <c r="A2140" s="16"/>
      <c r="B2140" s="16"/>
      <c r="C2140" s="16"/>
      <c r="D2140" s="16"/>
      <c r="E2140" s="16"/>
      <c r="G2140" s="261" t="str">
        <f>B2100</f>
        <v>K</v>
      </c>
      <c r="H2140" s="262"/>
      <c r="I2140" s="263" t="str">
        <f>K2100</f>
        <v>L</v>
      </c>
      <c r="J2140" s="264"/>
      <c r="L2140" s="16"/>
      <c r="M2140" s="16"/>
      <c r="N2140" s="16"/>
      <c r="O2140" s="16"/>
      <c r="P2140" s="16"/>
      <c r="R2140" s="260"/>
      <c r="S2140" s="310"/>
      <c r="T2140" s="311"/>
      <c r="U2140" s="311"/>
      <c r="V2140" s="311"/>
      <c r="W2140" s="311"/>
      <c r="X2140" s="312"/>
      <c r="Y2140" s="285"/>
      <c r="Z2140" s="285"/>
      <c r="AA2140" s="303"/>
      <c r="AB2140" s="303"/>
      <c r="AC2140" s="303"/>
      <c r="AD2140" s="300"/>
      <c r="AE2140" s="301"/>
      <c r="AF2140" s="302"/>
    </row>
    <row r="2141" spans="1:32" ht="12.75" customHeight="1" thickBot="1" x14ac:dyDescent="0.3">
      <c r="A2141" s="2" t="s">
        <v>160</v>
      </c>
      <c r="B2141" s="40" t="str">
        <f>B2100</f>
        <v>K</v>
      </c>
      <c r="C2141" s="3" t="s">
        <v>158</v>
      </c>
      <c r="F2141" s="53" t="str">
        <f>CONCATENATE($B2100,"-",$K2100)</f>
        <v>K-L</v>
      </c>
      <c r="G2141" s="240" t="str">
        <f ca="1">IF(OR(Q2106&lt;&gt;"",Q2113&lt;&gt;"",Q2120&lt;&gt;"",Q2127&lt;&gt;"",Q2134&lt;&gt;""),COUNTIF(Q2106:Q2106,"W")+COUNTIF(Q2113:Q2113,"W")+COUNTIF(Q2120:Q2120,"W")+COUNTIF(Q2127:Q2127,"W")+COUNTIF(Q2134:Q2134,"W"),"")</f>
        <v/>
      </c>
      <c r="H2141" s="241"/>
      <c r="I2141" s="242" t="str">
        <f ca="1">IF(OR(Q2108&lt;&gt;"",Q2115&lt;&gt;"",Q2122&lt;&gt;"",Q2129&lt;&gt;"",Q2136&lt;&gt;""),COUNTIF(Q2108:Q2108,"W")+COUNTIF(Q2115:Q2115,"W")+COUNTIF(Q2122:Q2122,"W")+COUNTIF(Q2129:Q2129,"W")+COUNTIF(Q2136:Q2136,"W"),"")</f>
        <v/>
      </c>
      <c r="J2141" s="243"/>
      <c r="L2141" s="2" t="s">
        <v>160</v>
      </c>
      <c r="M2141" s="40" t="str">
        <f>K2100</f>
        <v>L</v>
      </c>
      <c r="N2141" s="3" t="s">
        <v>158</v>
      </c>
      <c r="R2141" s="259" t="str">
        <f>K2100</f>
        <v>L</v>
      </c>
      <c r="S2141" s="307" t="str">
        <f ca="1">IF($B2129&lt;&gt;"",$B2129,"")</f>
        <v/>
      </c>
      <c r="T2141" s="308"/>
      <c r="U2141" s="308"/>
      <c r="V2141" s="308"/>
      <c r="W2141" s="308"/>
      <c r="X2141" s="309"/>
      <c r="Y2141" s="284"/>
      <c r="Z2141" s="284"/>
      <c r="AA2141" s="297"/>
      <c r="AB2141" s="297"/>
      <c r="AC2141" s="297"/>
      <c r="AD2141" s="289" t="s">
        <v>169</v>
      </c>
      <c r="AE2141" s="290"/>
      <c r="AF2141" s="291"/>
    </row>
    <row r="2142" spans="1:32" ht="12.75" customHeight="1" x14ac:dyDescent="0.35">
      <c r="F2142" s="18" t="s">
        <v>403</v>
      </c>
      <c r="G2142" s="17"/>
      <c r="H2142" s="17"/>
      <c r="I2142" s="17"/>
      <c r="J2142" s="17"/>
      <c r="R2142" s="285"/>
      <c r="S2142" s="310"/>
      <c r="T2142" s="311"/>
      <c r="U2142" s="311"/>
      <c r="V2142" s="311"/>
      <c r="W2142" s="311"/>
      <c r="X2142" s="312"/>
      <c r="Y2142" s="285"/>
      <c r="Z2142" s="285"/>
      <c r="AA2142" s="285"/>
      <c r="AB2142" s="285"/>
      <c r="AC2142" s="285"/>
      <c r="AD2142" s="292"/>
      <c r="AE2142" s="293"/>
      <c r="AF2142" s="294"/>
    </row>
    <row r="2143" spans="1:32" ht="12.75" customHeight="1" x14ac:dyDescent="0.25">
      <c r="R2143" s="1"/>
      <c r="S2143" s="11"/>
      <c r="T2143" s="11"/>
      <c r="U2143" s="11"/>
      <c r="V2143" s="11"/>
      <c r="W2143" s="11"/>
    </row>
    <row r="2144" spans="1:32" ht="12.75" customHeight="1" x14ac:dyDescent="0.25">
      <c r="F2144" s="212"/>
      <c r="G2144" s="212"/>
      <c r="H2144" s="212"/>
      <c r="I2144" s="212"/>
      <c r="R2144" s="1"/>
      <c r="S2144" s="11"/>
      <c r="T2144" s="11"/>
      <c r="U2144" s="11"/>
      <c r="V2144" s="11"/>
      <c r="W2144" s="11"/>
    </row>
    <row r="2145" spans="1:32" ht="12.75" customHeight="1" x14ac:dyDescent="0.25">
      <c r="F2145" s="212"/>
      <c r="G2145" s="212"/>
      <c r="H2145" s="212"/>
      <c r="I2145" s="212"/>
      <c r="R2145" s="1"/>
      <c r="S2145" s="11"/>
      <c r="T2145" s="11"/>
      <c r="U2145" s="11"/>
      <c r="V2145" s="11"/>
      <c r="W2145" s="11"/>
    </row>
    <row r="2146" spans="1:32" ht="12.75" customHeight="1" x14ac:dyDescent="0.25">
      <c r="K2146" s="219" t="s">
        <v>176</v>
      </c>
      <c r="L2146" s="219"/>
      <c r="M2146" s="219"/>
      <c r="N2146" s="219"/>
      <c r="O2146" s="219"/>
      <c r="P2146" s="219"/>
      <c r="R2146" s="1"/>
      <c r="S2146" s="11"/>
      <c r="T2146" s="11"/>
      <c r="U2146" s="11"/>
      <c r="V2146" s="11"/>
      <c r="W2146" s="11"/>
    </row>
    <row r="2147" spans="1:32" ht="12.75" customHeight="1" x14ac:dyDescent="0.25">
      <c r="A2147" s="9" t="s">
        <v>161</v>
      </c>
      <c r="B2147"/>
      <c r="C2147"/>
      <c r="D2147" t="str">
        <f>Draw!$B$1</f>
        <v>Enter Division Name</v>
      </c>
      <c r="E2147"/>
      <c r="F2147" s="6"/>
      <c r="G2147" s="6"/>
      <c r="H2147" s="6"/>
      <c r="I2147"/>
      <c r="J2147"/>
      <c r="K2147"/>
      <c r="L2147"/>
      <c r="M2147" s="219"/>
      <c r="N2147" s="219"/>
      <c r="O2147" s="219"/>
      <c r="P2147" s="219"/>
      <c r="R2147" s="1"/>
      <c r="S2147" s="11"/>
      <c r="T2147" s="11"/>
      <c r="U2147" s="11"/>
      <c r="V2147" s="11"/>
      <c r="W2147" s="11"/>
    </row>
    <row r="2148" spans="1:32" ht="12.75" customHeight="1" x14ac:dyDescent="0.25">
      <c r="A2148" s="2" t="s">
        <v>162</v>
      </c>
      <c r="D2148" t="str">
        <f>Draw!$D$1</f>
        <v>Enter Hosting Location (City, ST)</v>
      </c>
      <c r="J2148" t="str">
        <f ca="1">$J$6</f>
        <v>[NCTTA Teams Template (v3.4).xlsx]</v>
      </c>
      <c r="R2148" s="1"/>
      <c r="S2148" s="11"/>
      <c r="T2148" s="11"/>
      <c r="U2148" s="11"/>
      <c r="V2148" s="11"/>
      <c r="W2148" s="11"/>
    </row>
    <row r="2149" spans="1:32" ht="12.75" customHeight="1" x14ac:dyDescent="0.25">
      <c r="A2149" s="2" t="s">
        <v>163</v>
      </c>
      <c r="D2149" s="275" t="str">
        <f>Draw!$P$1</f>
        <v>Enter Date</v>
      </c>
      <c r="E2149" s="275"/>
      <c r="F2149" s="275"/>
      <c r="G2149" s="275"/>
      <c r="J2149" s="244" t="str">
        <f>CHOOSE(Draw!$T$1,"Round 8, Match 1","","","","","","","","","Round 9, Match 3","Round 9, Match 3")</f>
        <v>Round 8, Match 1</v>
      </c>
      <c r="K2149" s="244"/>
      <c r="L2149" s="244"/>
      <c r="M2149" s="277" t="str">
        <f>IF(AND($J2149&lt;&gt;"",Draw!$AC$10&lt;&gt;"",Draw!$AC$13&lt;&gt;""),Draw!$AC$10+TIME(0,VALUE(MID($J2149,7,FIND(",",$J2149)-FIND(" ",$J2149)-1)-1)*Draw!$AC$13,0),"")</f>
        <v/>
      </c>
      <c r="N2149" s="277"/>
      <c r="O2149" s="125" t="str">
        <f>$F2192</f>
        <v>A-E</v>
      </c>
      <c r="R2149" s="1"/>
      <c r="S2149" s="11"/>
      <c r="T2149" s="11"/>
      <c r="U2149" s="11"/>
      <c r="V2149" s="11"/>
      <c r="W2149" s="11"/>
    </row>
    <row r="2150" spans="1:32" ht="12.75" customHeight="1" x14ac:dyDescent="0.25">
      <c r="A2150" s="6"/>
      <c r="B2150"/>
      <c r="C2150"/>
      <c r="D2150"/>
      <c r="E2150"/>
      <c r="F2150" s="6"/>
      <c r="G2150" s="6"/>
      <c r="H2150" s="11"/>
      <c r="I2150" s="6"/>
      <c r="J2150"/>
      <c r="K2150"/>
      <c r="L2150"/>
      <c r="M2150"/>
      <c r="N2150"/>
      <c r="O2150" s="269" t="str">
        <f>IF(OR(AND(VLOOKUP($B2151,$AM$1:$AX$12,12,FALSE)="C",VLOOKUP($K2151,$AM$1:$AX$12,12,FALSE)="C"),AND(VLOOKUP($B2151,$AM$1:$AX$12,12,FALSE)="W",VLOOKUP($K2151,$AM$1:$AX$12,12,FALSE)="W")),"Official",IF(AND($A2152="",$J2152=""),"","Scrimmage"))</f>
        <v/>
      </c>
      <c r="P2150" s="269"/>
      <c r="R2150" s="1"/>
      <c r="S2150" s="11"/>
      <c r="T2150" s="11"/>
      <c r="U2150" s="11"/>
      <c r="V2150" s="11"/>
      <c r="W2150" s="11"/>
    </row>
    <row r="2151" spans="1:32" ht="12.75" customHeight="1" x14ac:dyDescent="0.25">
      <c r="A2151" s="12" t="s">
        <v>160</v>
      </c>
      <c r="B2151" s="98" t="str">
        <f>CHOOSE(Draw!$T$1,"A","C","D","D","E","E","E","D","C","E","B")</f>
        <v>A</v>
      </c>
      <c r="C2151" s="109">
        <f>VLOOKUP($B2151,$AM$1:$AN$12,2)</f>
        <v>1</v>
      </c>
      <c r="D2151" s="10"/>
      <c r="E2151" s="10"/>
      <c r="F2151" s="8"/>
      <c r="H2151" s="1" t="s">
        <v>164</v>
      </c>
      <c r="J2151" s="12" t="s">
        <v>160</v>
      </c>
      <c r="K2151" s="98" t="str">
        <f>CHOOSE(Draw!$T$1,"E","G","E","J","J","J","I","K","J","I","F")</f>
        <v>E</v>
      </c>
      <c r="L2151" s="109">
        <f>VLOOKUP($K2151,$AM$1:$AN$12,2)</f>
        <v>5</v>
      </c>
      <c r="M2151" s="10"/>
      <c r="N2151" s="10"/>
      <c r="O2151" s="13"/>
      <c r="R2151" s="1"/>
      <c r="S2151" s="11"/>
      <c r="T2151" s="11"/>
      <c r="U2151" s="11"/>
      <c r="V2151" s="11"/>
      <c r="W2151" s="11"/>
    </row>
    <row r="2152" spans="1:32" ht="12.75" customHeight="1" x14ac:dyDescent="0.25">
      <c r="A2152" s="253" t="str">
        <f>IF(VLOOKUP($B2151,Draw!$A$4:$B$27,2)&lt;&gt;0,VLOOKUP($B2151,Draw!$A$4:$B$27,2),"")</f>
        <v/>
      </c>
      <c r="B2152" s="254"/>
      <c r="C2152" s="254"/>
      <c r="D2152" s="254"/>
      <c r="E2152" s="254"/>
      <c r="F2152" s="255"/>
      <c r="G2152" s="273" t="s">
        <v>446</v>
      </c>
      <c r="H2152" s="249"/>
      <c r="I2152" s="274"/>
      <c r="J2152" s="253" t="str">
        <f>IF(VLOOKUP($K2151,Draw!$A$4:$B$27,2)&lt;&gt;0,VLOOKUP($K2151,Draw!$A$4:$B$27,2),"")</f>
        <v/>
      </c>
      <c r="K2152" s="254"/>
      <c r="L2152" s="254"/>
      <c r="M2152" s="254"/>
      <c r="N2152" s="254"/>
      <c r="O2152" s="255"/>
      <c r="P2152"/>
      <c r="R2152" s="1"/>
      <c r="S2152" s="11"/>
      <c r="T2152" s="11"/>
      <c r="U2152" s="11"/>
      <c r="V2152" s="11"/>
      <c r="W2152" s="11"/>
    </row>
    <row r="2153" spans="1:32" ht="12.75" customHeight="1" x14ac:dyDescent="0.25">
      <c r="A2153" s="6"/>
      <c r="B2153"/>
      <c r="C2153"/>
      <c r="D2153"/>
      <c r="E2153"/>
      <c r="F2153" s="6"/>
      <c r="G2153" s="248" t="str">
        <f>"Page "&amp;VALUE(RIGHT($G2152,LEN($G2152)-SEARCH("-",$G2152)))/2</f>
        <v>Page 43</v>
      </c>
      <c r="H2153" s="249"/>
      <c r="I2153" s="249"/>
      <c r="J2153"/>
      <c r="K2153"/>
      <c r="L2153"/>
      <c r="M2153"/>
      <c r="N2153"/>
      <c r="O2153"/>
      <c r="P2153"/>
      <c r="R2153" s="1"/>
      <c r="S2153" s="11"/>
      <c r="T2153" s="11"/>
      <c r="U2153" s="11"/>
      <c r="V2153" s="11"/>
      <c r="W2153" s="11"/>
      <c r="AF2153"/>
    </row>
    <row r="2154" spans="1:32" ht="12.75" customHeight="1" x14ac:dyDescent="0.25">
      <c r="A2154" s="276" t="s">
        <v>177</v>
      </c>
      <c r="B2154" s="276"/>
      <c r="C2154" s="276"/>
      <c r="D2154" s="276"/>
      <c r="E2154" s="276"/>
      <c r="F2154" s="276"/>
      <c r="G2154" s="276"/>
      <c r="H2154" s="276"/>
      <c r="I2154" s="276"/>
      <c r="J2154" s="276"/>
      <c r="K2154" s="276"/>
      <c r="L2154" s="276"/>
      <c r="M2154" s="276"/>
      <c r="N2154" s="276"/>
      <c r="O2154" s="276"/>
      <c r="P2154" s="276"/>
      <c r="Q2154" s="6"/>
      <c r="R2154" s="1"/>
      <c r="S2154" s="11"/>
      <c r="T2154" s="11"/>
      <c r="U2154" s="11"/>
      <c r="V2154" s="11"/>
      <c r="W2154" s="11"/>
      <c r="AF2154" s="14"/>
    </row>
    <row r="2155" spans="1:32" ht="12.75" customHeight="1" x14ac:dyDescent="0.25">
      <c r="A2155" s="15" t="s">
        <v>165</v>
      </c>
      <c r="H2155" s="110" t="str">
        <f>IF($Q2157&lt;&gt;"",IF(AND(AND($H2157&gt;-1,$H2159&gt;-1),OR($H2157&gt;10,$H2159&gt;10),ABS($H2157-$H2159)&gt;1,IF(OR($H2157&gt;11,$H2159&gt;11),ABS($H2157-$H2159)=2,TRUE),$H2157=INT($H2157),$H2159=INT($H2159)),"","Error"),"")</f>
        <v/>
      </c>
      <c r="I2155" s="110" t="str">
        <f>IF($Q2157&lt;&gt;"",IF(AND(AND($I2157&gt;-1,$I2159&gt;-1),OR($I2157&gt;10,$I2159&gt;10),ABS($I2157-$I2159)&gt;1,IF(OR($I2157&gt;11,$I2159&gt;11),ABS($I2157-$I2159)=2,TRUE),$I2157=INT($I2157),$I2159=INT($I2159)),"","Error"),"")</f>
        <v/>
      </c>
      <c r="J2155" s="110" t="str">
        <f>IF($Q2157&lt;&gt;"",IF(AND(AND($J2157&gt;-1,$J2159&gt;-1),OR($J2157&gt;10,$J2159&gt;10),ABS($J2157-$J2159)&gt;1,IF(OR($J2157&gt;11,$J2159&gt;11),ABS($J2157-$J2159)=2,TRUE),$J2157=INT($J2157),$J2159=INT($J2159)),"","Error"),"")</f>
        <v/>
      </c>
      <c r="K2155" s="110" t="str">
        <f>IF($Q2157&lt;&gt;"",IF(AND($K2157&lt;&gt;"",$K2159&lt;&gt;""), IF(AND(AND($K2157&gt;-1,$K2159&gt;-1),OR($K2157&gt;10,$K2159&gt;10),ABS($K2157-$K2159)&gt;1,IF(OR($K2157&gt;11,$K2159&gt;11),ABS($K2157-$K2159)=2,TRUE),$K2157=INT($K2157),$K2159=INT($K2159)),"","Error"),""),"")</f>
        <v/>
      </c>
      <c r="L2155" s="110" t="str">
        <f>IF($Q2157&lt;&gt;"",IF(AND($L2157&lt;&gt;"",$L2159&lt;&gt;""), IF(AND(AND($L2157&gt;-1,$L2159&gt;-1),OR($L2157&gt;10,$L2159&gt;10),ABS($L2157-$L2159)&gt;1,IF(OR($L2157&gt;11,$L2159&gt;11),ABS($L2157-$L2159)=2,TRUE),$L2157=INT($L2157),$L2159=INT($L2159)),"","Error"),""),"")</f>
        <v/>
      </c>
      <c r="R2155" s="1"/>
      <c r="S2155" s="11"/>
      <c r="T2155" s="11"/>
      <c r="U2155" s="11"/>
      <c r="V2155" s="11"/>
      <c r="W2155" s="11"/>
    </row>
    <row r="2156" spans="1:32" ht="12.75" customHeight="1" x14ac:dyDescent="0.25">
      <c r="A2156" s="5" t="s">
        <v>160</v>
      </c>
      <c r="B2156" s="256" t="s">
        <v>58</v>
      </c>
      <c r="C2156" s="257"/>
      <c r="D2156" s="257"/>
      <c r="E2156" s="257"/>
      <c r="F2156" s="257"/>
      <c r="G2156" s="258"/>
      <c r="H2156" s="5">
        <v>1</v>
      </c>
      <c r="I2156" s="5">
        <v>2</v>
      </c>
      <c r="J2156" s="5">
        <v>3</v>
      </c>
      <c r="K2156" s="5">
        <v>4</v>
      </c>
      <c r="L2156" s="5">
        <v>5</v>
      </c>
      <c r="M2156" s="270"/>
      <c r="N2156" s="271"/>
      <c r="O2156" s="271"/>
      <c r="P2156" s="272"/>
      <c r="R2156" s="1"/>
      <c r="S2156" s="11"/>
      <c r="T2156" s="11"/>
      <c r="U2156" s="11"/>
      <c r="V2156" s="11"/>
      <c r="W2156" s="11"/>
    </row>
    <row r="2157" spans="1:32" ht="12.75" customHeight="1" x14ac:dyDescent="0.25">
      <c r="A2157" s="259" t="str">
        <f>B2151</f>
        <v>A</v>
      </c>
      <c r="B2157" s="236" t="str">
        <f ca="1">IF(AND(OFFSET($AO$1,$C2151-1,8,1,1),$A2152&lt;&gt;"",$J2152&lt;&gt;""),CHOOSE($C2151,$AO$1,$AO$2,$AO$3,$AO$4,$AO$5,$AO$6,$AO$7,$AO$8,$AO$9,$AO$10,$AO$11,$AO$12),"")</f>
        <v/>
      </c>
      <c r="C2157" s="237"/>
      <c r="D2157" s="237"/>
      <c r="E2157" s="237"/>
      <c r="F2157" s="237"/>
      <c r="G2157" s="237"/>
      <c r="H2157" s="233"/>
      <c r="I2157" s="233"/>
      <c r="J2157" s="233"/>
      <c r="K2157" s="233"/>
      <c r="L2157" s="233"/>
      <c r="M2157" s="281"/>
      <c r="N2157" s="282"/>
      <c r="O2157" s="282"/>
      <c r="P2157" s="283"/>
      <c r="Q2157" s="40" t="str">
        <f>IF($L2157=$L2159,IF($K2157=$K2159,IF($J2157&lt;&gt;"",IF($J2157&gt;$J2159,"W","L"),""),IF($K2157&gt;$K2159,"W","L")),IF($L2157&gt;$L2159,"W","L"))</f>
        <v/>
      </c>
      <c r="R2157" s="1"/>
      <c r="S2157" s="11"/>
      <c r="T2157" s="11"/>
      <c r="U2157" s="11"/>
      <c r="V2157" s="11"/>
      <c r="W2157" s="11"/>
    </row>
    <row r="2158" spans="1:32" ht="12.75" customHeight="1" x14ac:dyDescent="0.25">
      <c r="A2158" s="260"/>
      <c r="B2158" s="238"/>
      <c r="C2158" s="239"/>
      <c r="D2158" s="239"/>
      <c r="E2158" s="239"/>
      <c r="F2158" s="239"/>
      <c r="G2158" s="239"/>
      <c r="H2158" s="234"/>
      <c r="I2158" s="234"/>
      <c r="J2158" s="234"/>
      <c r="K2158" s="234"/>
      <c r="L2158" s="234"/>
      <c r="M2158" s="281"/>
      <c r="N2158" s="282"/>
      <c r="O2158" s="282"/>
      <c r="P2158" s="283"/>
      <c r="Q2158" s="110" t="str">
        <f>IF($Q2157&lt;&gt;"",IF($Q2157="W",IF(SUM(IF($H2157&gt;$H2159,1,0),IF($I2157&gt;$I2159,1,0),IF($J2157&gt;$J2159,1,0),IF($K2157&gt;$K2159,1,0),IF($L2157&gt;$L2159,1,0))&lt;&gt;3,"Error",""),""),"")</f>
        <v/>
      </c>
      <c r="R2158" s="295" t="str">
        <f>$A2152</f>
        <v/>
      </c>
      <c r="S2158" s="295"/>
      <c r="T2158" s="295"/>
      <c r="U2158" s="295"/>
      <c r="V2158" s="295"/>
      <c r="W2158" s="295"/>
      <c r="X2158" s="219" t="str">
        <f>CONCATENATE("(",$B2151," vs ",$K2151,")")</f>
        <v>(A vs E)</v>
      </c>
      <c r="Y2158" s="219"/>
      <c r="Z2158" s="295" t="str">
        <f>$J2152</f>
        <v/>
      </c>
      <c r="AA2158" s="295"/>
      <c r="AB2158" s="295"/>
      <c r="AC2158" s="295"/>
      <c r="AD2158" s="295"/>
      <c r="AE2158" s="295"/>
      <c r="AF2158"/>
    </row>
    <row r="2159" spans="1:32" ht="12.75" customHeight="1" x14ac:dyDescent="0.25">
      <c r="A2159" s="259" t="str">
        <f>K2151</f>
        <v>E</v>
      </c>
      <c r="B2159" s="236" t="str">
        <f ca="1">IF(AND(OFFSET($AO$1,$L2151-1,8,1,1),$A2152&lt;&gt;"",$J2152&lt;&gt;""),CHOOSE($L2151,$AO$1,$AO$2,$AO$3,$AO$4,$AO$5,$AO$6,$AO$7,$AO$8,$AO$9,$AO$10,$AO$11,$AO$12),"")</f>
        <v/>
      </c>
      <c r="C2159" s="237"/>
      <c r="D2159" s="237"/>
      <c r="E2159" s="237"/>
      <c r="F2159" s="237"/>
      <c r="G2159" s="237"/>
      <c r="H2159" s="233"/>
      <c r="I2159" s="233"/>
      <c r="J2159" s="233"/>
      <c r="K2159" s="233"/>
      <c r="L2159" s="233"/>
      <c r="M2159" s="250" t="s">
        <v>169</v>
      </c>
      <c r="N2159" s="251"/>
      <c r="O2159" s="251"/>
      <c r="P2159" s="252"/>
      <c r="Q2159" s="40" t="str">
        <f>IF($Q2157&lt;&gt;"",IF($Q2157="W","L","W"),"")</f>
        <v/>
      </c>
      <c r="R2159"/>
      <c r="S2159"/>
      <c r="T2159"/>
      <c r="U2159"/>
      <c r="V2159"/>
      <c r="W2159"/>
      <c r="X2159"/>
      <c r="Y2159"/>
      <c r="Z2159"/>
      <c r="AA2159"/>
      <c r="AB2159"/>
      <c r="AC2159"/>
      <c r="AD2159"/>
      <c r="AE2159"/>
      <c r="AF2159"/>
    </row>
    <row r="2160" spans="1:32" ht="12.75" customHeight="1" x14ac:dyDescent="0.25">
      <c r="A2160" s="260"/>
      <c r="B2160" s="238"/>
      <c r="C2160" s="239"/>
      <c r="D2160" s="239"/>
      <c r="E2160" s="239"/>
      <c r="F2160" s="239"/>
      <c r="G2160" s="239"/>
      <c r="H2160" s="234"/>
      <c r="I2160" s="234"/>
      <c r="J2160" s="235"/>
      <c r="K2160" s="235"/>
      <c r="L2160" s="235"/>
      <c r="M2160" s="250"/>
      <c r="N2160" s="251"/>
      <c r="O2160" s="251"/>
      <c r="P2160" s="252"/>
      <c r="Q2160" s="110" t="str">
        <f>IF($Q2159&lt;&gt;"",IF($Q2159="W",IF(SUM(IF($H2159&gt;$H2157,1,0),IF($I2159&gt;$I2157,1,0),IF($J2159&gt;$J2157,1,0),IF($K2159&gt;$K2157,1,0),IF($L2159&gt;$L2157,1,0))&lt;&gt;3,"Error",""),""),"")</f>
        <v/>
      </c>
      <c r="R2160" t="str">
        <f>$A2162</f>
        <v>2nd Singles</v>
      </c>
      <c r="S2160"/>
      <c r="T2160"/>
      <c r="U2160"/>
      <c r="V2160"/>
      <c r="W2160"/>
      <c r="X2160"/>
      <c r="Y2160"/>
      <c r="Z2160"/>
      <c r="AA2160"/>
      <c r="AB2160"/>
      <c r="AC2160"/>
      <c r="AD2160"/>
      <c r="AE2160"/>
      <c r="AF2160"/>
    </row>
    <row r="2161" spans="1:32" ht="12.75" customHeight="1" x14ac:dyDescent="0.25">
      <c r="Q2161" s="6"/>
      <c r="R2161" s="47" t="s">
        <v>160</v>
      </c>
      <c r="S2161" s="304" t="s">
        <v>58</v>
      </c>
      <c r="T2161" s="305"/>
      <c r="U2161" s="305"/>
      <c r="V2161" s="305"/>
      <c r="W2161" s="305"/>
      <c r="X2161" s="306"/>
      <c r="Y2161" s="47">
        <v>1</v>
      </c>
      <c r="Z2161" s="47">
        <v>2</v>
      </c>
      <c r="AA2161" s="47">
        <v>3</v>
      </c>
      <c r="AB2161" s="47">
        <v>4</v>
      </c>
      <c r="AC2161" s="47">
        <v>5</v>
      </c>
      <c r="AD2161" s="286"/>
      <c r="AE2161" s="287"/>
      <c r="AF2161" s="288"/>
    </row>
    <row r="2162" spans="1:32" ht="12.75" customHeight="1" x14ac:dyDescent="0.25">
      <c r="A2162" s="15" t="s">
        <v>166</v>
      </c>
      <c r="H2162" s="110" t="str">
        <f>IF($Q2164&lt;&gt;"",IF(AND(AND($H2164&gt;-1,$H2166&gt;-1),OR($H2164&gt;10,$H2166&gt;10),ABS($H2164-$H2166)&gt;1,IF(OR($H2164&gt;11,$H2166&gt;11),ABS($H2164-$H2166)=2,TRUE),$H2164=INT($H2164),$H2166=INT($H2166)),"","Error"),"")</f>
        <v/>
      </c>
      <c r="I2162" s="110" t="str">
        <f>IF($Q2164&lt;&gt;"",IF(AND(AND($I2164&gt;-1,$I2166&gt;-1),OR($I2164&gt;10,$I2166&gt;10),ABS($I2164-$I2166)&gt;1,IF(OR($I2164&gt;11,$I2166&gt;11),ABS($I2164-$I2166)=2,TRUE),$I2164=INT($I2164),$I2166=INT($I2166)),"","Error"),"")</f>
        <v/>
      </c>
      <c r="J2162" s="110" t="str">
        <f>IF($Q2164&lt;&gt;"",IF(AND(AND($J2164&gt;-1,$J2166&gt;-1),OR($J2164&gt;10,$J2166&gt;10),ABS($J2164-$J2166)&gt;1,IF(OR($J2164&gt;11,$J2166&gt;11),ABS($J2164-$J2166)=2,TRUE),$J2164=INT($J2164),$J2166=INT($J2166)),"","Error"),"")</f>
        <v/>
      </c>
      <c r="K2162" s="110" t="str">
        <f>IF($Q2164&lt;&gt;"",IF(AND($K2164&lt;&gt;"",$K2166&lt;&gt;""), IF(AND(AND($K2164&gt;-1,$K2166&gt;-1),OR($K2164&gt;10,$K2166&gt;10),ABS($K2164-$K2166)&gt;1,IF(OR($K2164&gt;11,$K2166&gt;11),ABS($K2164-$K2166)=2,TRUE),$K2164=INT($K2164),$K2166=INT($K2166)),"","Error"),""),"")</f>
        <v/>
      </c>
      <c r="L2162" s="110" t="str">
        <f>IF($Q2164&lt;&gt;"",IF(AND($L2164&lt;&gt;"",$L2166&lt;&gt;""), IF(AND(AND($L2164&gt;-1,$L2166&gt;-1),OR($L2164&gt;10,$L2166&gt;10),ABS($L2164-$L2166)&gt;1,IF(OR($L2164&gt;11,$L2166&gt;11),ABS($L2164-$L2166)=2,TRUE),$L2164=INT($L2164),$L2166=INT($L2166)),"","Error"),""),"")</f>
        <v/>
      </c>
      <c r="Q2162" s="6"/>
      <c r="R2162" s="259" t="str">
        <f>$B2151</f>
        <v>A</v>
      </c>
      <c r="S2162" s="307" t="str">
        <f ca="1">IF($B2164&lt;&gt;"",$B2164,"")</f>
        <v/>
      </c>
      <c r="T2162" s="308"/>
      <c r="U2162" s="308"/>
      <c r="V2162" s="308"/>
      <c r="W2162" s="308"/>
      <c r="X2162" s="309"/>
      <c r="Y2162" s="284"/>
      <c r="Z2162" s="284"/>
      <c r="AA2162" s="284"/>
      <c r="AB2162" s="284"/>
      <c r="AC2162" s="284"/>
      <c r="AD2162" s="296"/>
      <c r="AE2162" s="290"/>
      <c r="AF2162" s="291"/>
    </row>
    <row r="2163" spans="1:32" ht="12.75" customHeight="1" x14ac:dyDescent="0.25">
      <c r="A2163" s="5" t="s">
        <v>160</v>
      </c>
      <c r="B2163" s="256" t="s">
        <v>58</v>
      </c>
      <c r="C2163" s="257"/>
      <c r="D2163" s="257"/>
      <c r="E2163" s="257"/>
      <c r="F2163" s="257"/>
      <c r="G2163" s="258"/>
      <c r="H2163" s="5">
        <v>1</v>
      </c>
      <c r="I2163" s="5">
        <v>2</v>
      </c>
      <c r="J2163" s="5">
        <v>3</v>
      </c>
      <c r="K2163" s="5">
        <v>4</v>
      </c>
      <c r="L2163" s="5">
        <v>5</v>
      </c>
      <c r="M2163" s="270"/>
      <c r="N2163" s="271"/>
      <c r="O2163" s="271"/>
      <c r="P2163" s="272"/>
      <c r="Q2163" s="6"/>
      <c r="R2163" s="285"/>
      <c r="S2163" s="310"/>
      <c r="T2163" s="311"/>
      <c r="U2163" s="311"/>
      <c r="V2163" s="311"/>
      <c r="W2163" s="311"/>
      <c r="X2163" s="312"/>
      <c r="Y2163" s="285"/>
      <c r="Z2163" s="285"/>
      <c r="AA2163" s="285"/>
      <c r="AB2163" s="285"/>
      <c r="AC2163" s="285"/>
      <c r="AD2163" s="292"/>
      <c r="AE2163" s="293"/>
      <c r="AF2163" s="294"/>
    </row>
    <row r="2164" spans="1:32" ht="12.75" customHeight="1" x14ac:dyDescent="0.25">
      <c r="A2164" s="259" t="str">
        <f>B2151</f>
        <v>A</v>
      </c>
      <c r="B2164" s="236" t="str">
        <f ca="1">IF(AND(OFFSET($AO$1,$C2151-1,8,1,1),$A2152&lt;&gt;"",$J2152&lt;&gt;""),CHOOSE($C2151,$AP$1,$AP$2,$AP$3,$AP$4,$AP$5,$AP$6,$AP$7,$AP$8,$AP$9,$AP$10,$AP$11,$AP$12),"")</f>
        <v/>
      </c>
      <c r="C2164" s="237"/>
      <c r="D2164" s="237"/>
      <c r="E2164" s="237"/>
      <c r="F2164" s="237"/>
      <c r="G2164" s="237"/>
      <c r="H2164" s="233"/>
      <c r="I2164" s="233"/>
      <c r="J2164" s="233"/>
      <c r="K2164" s="233"/>
      <c r="L2164" s="233"/>
      <c r="M2164" s="245" t="str">
        <f ca="1">IF(OR(AND($B2157&lt;&gt;"",$B2164&lt;&gt;"",$C2182&lt;=$B2182),AND($B2159&lt;&gt;"",$B2166&lt;&gt;"",$G2182&lt;=$F2182)),"Invalid Lineup","")</f>
        <v/>
      </c>
      <c r="N2164" s="246"/>
      <c r="O2164" s="246"/>
      <c r="P2164" s="247"/>
      <c r="Q2164" s="40" t="str">
        <f>IF($L2164=$L2166,IF($K2164=$K2166,IF($J2164&lt;&gt;"",IF($J2164&gt;$J2166,"W","L"),""),IF($K2164&gt;$K2166,"W","L")),IF($L2164&gt;$L2166,"W","L"))</f>
        <v/>
      </c>
      <c r="R2164" s="259" t="str">
        <f>$K2151</f>
        <v>E</v>
      </c>
      <c r="S2164" s="307" t="str">
        <f ca="1">IF($B2166&lt;&gt;"",$B2166,"")</f>
        <v/>
      </c>
      <c r="T2164" s="308"/>
      <c r="U2164" s="308"/>
      <c r="V2164" s="308"/>
      <c r="W2164" s="308"/>
      <c r="X2164" s="309"/>
      <c r="Y2164" s="284"/>
      <c r="Z2164" s="284"/>
      <c r="AA2164" s="284"/>
      <c r="AB2164" s="284"/>
      <c r="AC2164" s="297"/>
      <c r="AD2164" s="289" t="s">
        <v>169</v>
      </c>
      <c r="AE2164" s="290"/>
      <c r="AF2164" s="291"/>
    </row>
    <row r="2165" spans="1:32" ht="12.75" customHeight="1" x14ac:dyDescent="0.25">
      <c r="A2165" s="260"/>
      <c r="B2165" s="238"/>
      <c r="C2165" s="239"/>
      <c r="D2165" s="239"/>
      <c r="E2165" s="239"/>
      <c r="F2165" s="239"/>
      <c r="G2165" s="239"/>
      <c r="H2165" s="234"/>
      <c r="I2165" s="234"/>
      <c r="J2165" s="234"/>
      <c r="K2165" s="234"/>
      <c r="L2165" s="234"/>
      <c r="M2165" s="245"/>
      <c r="N2165" s="246"/>
      <c r="O2165" s="246"/>
      <c r="P2165" s="247"/>
      <c r="Q2165" s="110" t="str">
        <f>IF($Q2164&lt;&gt;"",IF($Q2164="W",IF(SUM(IF($H2164&gt;$H2166,1,0),IF($I2164&gt;$I2166,1,0),IF($J2164&gt;$J2166,1,0),IF($K2164&gt;$K2166,1,0),IF($L2164&gt;$L2166,1,0))&lt;&gt;3,"Error",""),""),"")</f>
        <v/>
      </c>
      <c r="R2165" s="285"/>
      <c r="S2165" s="310"/>
      <c r="T2165" s="311"/>
      <c r="U2165" s="311"/>
      <c r="V2165" s="311"/>
      <c r="W2165" s="311"/>
      <c r="X2165" s="312"/>
      <c r="Y2165" s="285"/>
      <c r="Z2165" s="285"/>
      <c r="AA2165" s="285"/>
      <c r="AB2165" s="285"/>
      <c r="AC2165" s="285"/>
      <c r="AD2165" s="292"/>
      <c r="AE2165" s="293"/>
      <c r="AF2165" s="294"/>
    </row>
    <row r="2166" spans="1:32" ht="12.75" customHeight="1" x14ac:dyDescent="0.25">
      <c r="A2166" s="259" t="str">
        <f>K2151</f>
        <v>E</v>
      </c>
      <c r="B2166" s="236" t="str">
        <f ca="1">IF(AND(OFFSET($AO$1,$L2151-1,8,1,1),$A2152&lt;&gt;"",$J2152&lt;&gt;""),CHOOSE($L2151,$AP$1,$AP$2,$AP$3,$AP$4,$AP$5,$AP$6,$AP$7,$AP$8,$AP$9,$AP$10,$AP$11,$AP$12),"")</f>
        <v/>
      </c>
      <c r="C2166" s="237"/>
      <c r="D2166" s="237"/>
      <c r="E2166" s="237"/>
      <c r="F2166" s="237"/>
      <c r="G2166" s="237"/>
      <c r="H2166" s="233"/>
      <c r="I2166" s="233"/>
      <c r="J2166" s="233"/>
      <c r="K2166" s="233"/>
      <c r="L2166" s="233"/>
      <c r="M2166" s="250" t="s">
        <v>169</v>
      </c>
      <c r="N2166" s="251"/>
      <c r="O2166" s="251"/>
      <c r="P2166" s="252"/>
      <c r="Q2166" s="40" t="str">
        <f>IF($Q2164&lt;&gt;"",IF($Q2164="W","L","W"),"")</f>
        <v/>
      </c>
      <c r="R2166" s="14"/>
      <c r="S2166" s="14"/>
      <c r="T2166" s="14"/>
      <c r="U2166" s="14"/>
      <c r="V2166" s="14"/>
      <c r="W2166" s="14"/>
      <c r="X2166" s="7"/>
      <c r="Y2166" s="7"/>
      <c r="Z2166" s="14"/>
      <c r="AA2166" s="14"/>
      <c r="AB2166" s="14"/>
      <c r="AC2166" s="14"/>
      <c r="AD2166" s="14"/>
      <c r="AE2166" s="14"/>
      <c r="AF2166"/>
    </row>
    <row r="2167" spans="1:32" ht="12.75" customHeight="1" x14ac:dyDescent="0.25">
      <c r="A2167" s="260"/>
      <c r="B2167" s="238"/>
      <c r="C2167" s="239"/>
      <c r="D2167" s="239"/>
      <c r="E2167" s="239"/>
      <c r="F2167" s="239"/>
      <c r="G2167" s="239"/>
      <c r="H2167" s="234"/>
      <c r="I2167" s="234"/>
      <c r="J2167" s="235"/>
      <c r="K2167" s="235"/>
      <c r="L2167" s="235"/>
      <c r="M2167" s="250"/>
      <c r="N2167" s="251"/>
      <c r="O2167" s="251"/>
      <c r="P2167" s="252"/>
      <c r="Q2167" s="110" t="str">
        <f>IF($Q2166&lt;&gt;"",IF($Q2166="W",IF(SUM(IF($H2166&gt;$H2164,1,0),IF($I2166&gt;$I2164,1,0),IF($J2166&gt;$J2164,1,0),IF($K2166&gt;$K2164,1,0),IF($L2166&gt;$L2164,1,0))&lt;&gt;3,"Error",""),""),"")</f>
        <v/>
      </c>
      <c r="R2167" s="14"/>
      <c r="S2167" s="14"/>
      <c r="T2167" s="14"/>
      <c r="U2167" s="14"/>
      <c r="V2167" s="14"/>
      <c r="W2167" s="14"/>
      <c r="X2167" s="7"/>
      <c r="Y2167" s="7"/>
      <c r="Z2167" s="14"/>
      <c r="AA2167" s="14"/>
      <c r="AB2167" s="14"/>
      <c r="AC2167" s="14"/>
      <c r="AD2167" s="14"/>
      <c r="AE2167" s="14"/>
      <c r="AF2167"/>
    </row>
    <row r="2168" spans="1:32" ht="12.75" customHeight="1" x14ac:dyDescent="0.25">
      <c r="Q2168" s="6"/>
      <c r="R2168" s="14"/>
      <c r="S2168" s="14"/>
      <c r="T2168" s="14"/>
      <c r="U2168" s="14"/>
      <c r="V2168" s="14"/>
      <c r="W2168" s="14"/>
      <c r="X2168" s="7"/>
      <c r="Y2168" s="7"/>
      <c r="Z2168" s="14"/>
      <c r="AA2168" s="14"/>
      <c r="AB2168" s="14"/>
      <c r="AC2168" s="14"/>
      <c r="AD2168" s="14"/>
      <c r="AE2168" s="14"/>
      <c r="AF2168"/>
    </row>
    <row r="2169" spans="1:32" ht="12.75" customHeight="1" x14ac:dyDescent="0.25">
      <c r="A2169" s="15" t="s">
        <v>167</v>
      </c>
      <c r="H2169" s="110" t="str">
        <f>IF($Q2171&lt;&gt;"",IF(AND(AND($H2171&gt;-1,$H2173&gt;-1),OR($H2171&gt;10,$H2173&gt;10),ABS($H2171-$H2173)&gt;1,IF(OR($H2171&gt;11,$H2173&gt;11),ABS($H2171-$H2173)=2,TRUE),$H2171=INT($H2171),$H2173=INT($H2173)),"","Error"),"")</f>
        <v/>
      </c>
      <c r="I2169" s="110" t="str">
        <f>IF($Q2171&lt;&gt;"",IF(AND(AND($I2171&gt;-1,$I2173&gt;-1),OR($I2171&gt;10,$I2173&gt;10),ABS($I2171-$I2173)&gt;1,IF(OR($I2171&gt;11,$I2173&gt;11),ABS($I2171-$I2173)=2,TRUE),$I2171=INT($I2171),$I2173=INT($I2173)),"","Error"),"")</f>
        <v/>
      </c>
      <c r="J2169" s="110" t="str">
        <f>IF($Q2171&lt;&gt;"",IF(AND(AND($J2171&gt;-1,$J2173&gt;-1),OR($J2171&gt;10,$J2173&gt;10),ABS($J2171-$J2173)&gt;1,IF(OR($J2171&gt;11,$J2173&gt;11),ABS($J2171-$J2173)=2,TRUE),$J2171=INT($J2171),$J2173=INT($J2173)),"","Error"),"")</f>
        <v/>
      </c>
      <c r="K2169" s="110" t="str">
        <f>IF($Q2171&lt;&gt;"",IF(AND($K2171&lt;&gt;"",$K2173&lt;&gt;""), IF(AND(AND($K2171&gt;-1,$K2173&gt;-1),OR($K2171&gt;10,$K2173&gt;10),ABS($K2171-$K2173)&gt;1,IF(OR($K2171&gt;11,$K2173&gt;11),ABS($K2171-$K2173)=2,TRUE),$K2171=INT($K2171),$K2173=INT($K2173)),"","Error"),""),"")</f>
        <v/>
      </c>
      <c r="L2169" s="110" t="str">
        <f>IF($Q2171&lt;&gt;"",IF(AND($L2171&lt;&gt;"",$L2173&lt;&gt;""), IF(AND(AND($L2171&gt;-1,$L2173&gt;-1),OR($L2171&gt;10,$L2173&gt;10),ABS($L2171-$L2173)&gt;1,IF(OR($L2171&gt;11,$L2173&gt;11),ABS($L2171-$L2173)=2,TRUE),$L2171=INT($L2171),$L2173=INT($L2173)),"","Error"),""),"")</f>
        <v/>
      </c>
      <c r="Q2169" s="6"/>
      <c r="R2169" s="14"/>
      <c r="S2169" s="14"/>
      <c r="T2169" s="14"/>
      <c r="U2169" s="14"/>
      <c r="V2169" s="14"/>
      <c r="W2169" s="14"/>
      <c r="X2169" s="7"/>
      <c r="Y2169" s="7"/>
      <c r="Z2169" s="14"/>
      <c r="AA2169" s="14"/>
      <c r="AB2169" s="14"/>
      <c r="AC2169" s="14"/>
      <c r="AD2169" s="14"/>
      <c r="AE2169" s="14"/>
      <c r="AF2169"/>
    </row>
    <row r="2170" spans="1:32" ht="12.75" customHeight="1" x14ac:dyDescent="0.25">
      <c r="A2170" s="5" t="s">
        <v>160</v>
      </c>
      <c r="B2170" s="256" t="s">
        <v>58</v>
      </c>
      <c r="C2170" s="257"/>
      <c r="D2170" s="257"/>
      <c r="E2170" s="257"/>
      <c r="F2170" s="257"/>
      <c r="G2170" s="258"/>
      <c r="H2170" s="5">
        <v>1</v>
      </c>
      <c r="I2170" s="5">
        <v>2</v>
      </c>
      <c r="J2170" s="5">
        <v>3</v>
      </c>
      <c r="K2170" s="5">
        <v>4</v>
      </c>
      <c r="L2170" s="5">
        <v>5</v>
      </c>
      <c r="M2170" s="270"/>
      <c r="N2170" s="271"/>
      <c r="O2170" s="271"/>
      <c r="P2170" s="272"/>
      <c r="Q2170" s="6"/>
      <c r="R2170" s="14"/>
      <c r="S2170" s="14"/>
      <c r="T2170" s="14"/>
      <c r="U2170" s="14"/>
      <c r="V2170" s="14"/>
      <c r="W2170" s="14"/>
      <c r="X2170" s="7"/>
      <c r="Y2170" s="7"/>
      <c r="Z2170" s="14"/>
      <c r="AA2170" s="14"/>
      <c r="AB2170" s="14"/>
      <c r="AC2170" s="14"/>
      <c r="AD2170" s="14"/>
      <c r="AE2170" s="14"/>
      <c r="AF2170"/>
    </row>
    <row r="2171" spans="1:32" ht="12.75" customHeight="1" x14ac:dyDescent="0.25">
      <c r="A2171" s="259" t="str">
        <f>B2151</f>
        <v>A</v>
      </c>
      <c r="B2171" s="236" t="str">
        <f ca="1">IF(AND(OFFSET($AO$1,$C2151-1,8,1,1),$A2152&lt;&gt;"",$J2152&lt;&gt;""),CHOOSE($C2151,$AQ$1,$AQ$2,$AQ$3,$AQ$4,$AQ$5,$AQ$6,$AQ$7,$AQ$8,$AQ$9,$AQ$10,$AQ$11,$AQ$12),"")</f>
        <v/>
      </c>
      <c r="C2171" s="237"/>
      <c r="D2171" s="237"/>
      <c r="E2171" s="237"/>
      <c r="F2171" s="237"/>
      <c r="G2171" s="237"/>
      <c r="H2171" s="233"/>
      <c r="I2171" s="233"/>
      <c r="J2171" s="233"/>
      <c r="K2171" s="233"/>
      <c r="L2171" s="233"/>
      <c r="M2171" s="245" t="str">
        <f ca="1">IF(OR(AND($B2164&lt;&gt;"",$B2171&lt;&gt;"",$D2182&lt;=$C2182),AND($B2166&lt;&gt;"",$B2173&lt;&gt;"",$H2182&lt;=$G2182)),"Invalid Lineup","")</f>
        <v/>
      </c>
      <c r="N2171" s="246"/>
      <c r="O2171" s="246"/>
      <c r="P2171" s="247"/>
      <c r="Q2171" s="40" t="str">
        <f>IF($L2171=$L2173,IF($K2171=$K2173,IF($J2171&lt;&gt;"",IF($J2171&gt;$J2173,"W","L"),""),IF($K2171&gt;$K2173,"W","L")),IF($L2171&gt;$L2173,"W","L"))</f>
        <v/>
      </c>
      <c r="R2171" s="14"/>
      <c r="S2171" s="14"/>
      <c r="T2171" s="14"/>
      <c r="U2171" s="14"/>
      <c r="V2171" s="14"/>
      <c r="W2171" s="14"/>
      <c r="X2171" s="7"/>
      <c r="Y2171" s="7"/>
      <c r="Z2171" s="14"/>
      <c r="AA2171" s="14"/>
      <c r="AB2171" s="14"/>
      <c r="AC2171" s="14"/>
      <c r="AD2171" s="14"/>
      <c r="AE2171" s="14"/>
      <c r="AF2171"/>
    </row>
    <row r="2172" spans="1:32" ht="12.75" customHeight="1" x14ac:dyDescent="0.25">
      <c r="A2172" s="260"/>
      <c r="B2172" s="238"/>
      <c r="C2172" s="239"/>
      <c r="D2172" s="239"/>
      <c r="E2172" s="239"/>
      <c r="F2172" s="239"/>
      <c r="G2172" s="239"/>
      <c r="H2172" s="234"/>
      <c r="I2172" s="234"/>
      <c r="J2172" s="234"/>
      <c r="K2172" s="234"/>
      <c r="L2172" s="234"/>
      <c r="M2172" s="245"/>
      <c r="N2172" s="246"/>
      <c r="O2172" s="246"/>
      <c r="P2172" s="247"/>
      <c r="Q2172" s="110" t="str">
        <f>IF($Q2171&lt;&gt;"",IF($Q2171="W",IF(SUM(IF($H2171&gt;$H2173,1,0),IF($I2171&gt;$I2173,1,0),IF($J2171&gt;$J2173,1,0),IF($K2171&gt;$K2173,1,0),IF($L2171&gt;$L2173,1,0))&lt;&gt;3,"Error",""),""),"")</f>
        <v/>
      </c>
      <c r="R2172" s="295" t="str">
        <f>$A2152</f>
        <v/>
      </c>
      <c r="S2172" s="295"/>
      <c r="T2172" s="295"/>
      <c r="U2172" s="295"/>
      <c r="V2172" s="295"/>
      <c r="W2172" s="295"/>
      <c r="X2172" s="219" t="str">
        <f>CONCATENATE("(",$B2151," vs ",$K2151,")")</f>
        <v>(A vs E)</v>
      </c>
      <c r="Y2172" s="219"/>
      <c r="Z2172" s="295" t="str">
        <f>$J2152</f>
        <v/>
      </c>
      <c r="AA2172" s="295"/>
      <c r="AB2172" s="295"/>
      <c r="AC2172" s="295"/>
      <c r="AD2172" s="295"/>
      <c r="AE2172" s="295"/>
      <c r="AF2172"/>
    </row>
    <row r="2173" spans="1:32" ht="12.75" customHeight="1" x14ac:dyDescent="0.25">
      <c r="A2173" s="259" t="str">
        <f>K2151</f>
        <v>E</v>
      </c>
      <c r="B2173" s="236" t="str">
        <f ca="1">IF(AND(OFFSET($AO$1,$L2151-1,8,1,1),$A2152&lt;&gt;"",$J2152&lt;&gt;""),CHOOSE($L2151,$AQ$1,$AQ$2,$AQ$3,$AQ$4,$AQ$5,$AQ$6,$AQ$7,$AQ$8,$AQ$9,$AQ$10,$AQ$11,$AQ$12),"")</f>
        <v/>
      </c>
      <c r="C2173" s="237"/>
      <c r="D2173" s="237"/>
      <c r="E2173" s="237"/>
      <c r="F2173" s="237"/>
      <c r="G2173" s="237"/>
      <c r="H2173" s="233"/>
      <c r="I2173" s="233"/>
      <c r="J2173" s="233"/>
      <c r="K2173" s="233"/>
      <c r="L2173" s="233"/>
      <c r="M2173" s="250" t="s">
        <v>169</v>
      </c>
      <c r="N2173" s="251"/>
      <c r="O2173" s="251"/>
      <c r="P2173" s="252"/>
      <c r="Q2173" s="40" t="str">
        <f>IF($Q2171&lt;&gt;"",IF($Q2171="W","L","W"),"")</f>
        <v/>
      </c>
      <c r="R2173"/>
      <c r="S2173"/>
      <c r="T2173"/>
      <c r="U2173"/>
      <c r="V2173"/>
      <c r="W2173"/>
      <c r="X2173"/>
      <c r="Y2173"/>
      <c r="Z2173"/>
      <c r="AA2173"/>
      <c r="AB2173"/>
      <c r="AC2173"/>
      <c r="AD2173"/>
      <c r="AE2173"/>
      <c r="AF2173"/>
    </row>
    <row r="2174" spans="1:32" ht="12.75" customHeight="1" x14ac:dyDescent="0.25">
      <c r="A2174" s="260"/>
      <c r="B2174" s="238"/>
      <c r="C2174" s="239"/>
      <c r="D2174" s="239"/>
      <c r="E2174" s="239"/>
      <c r="F2174" s="239"/>
      <c r="G2174" s="239"/>
      <c r="H2174" s="234"/>
      <c r="I2174" s="234"/>
      <c r="J2174" s="235"/>
      <c r="K2174" s="235"/>
      <c r="L2174" s="235"/>
      <c r="M2174" s="250"/>
      <c r="N2174" s="251"/>
      <c r="O2174" s="251"/>
      <c r="P2174" s="252"/>
      <c r="Q2174" s="110" t="str">
        <f>IF($Q2173&lt;&gt;"",IF($Q2173="W",IF(SUM(IF($H2173&gt;$H2171,1,0),IF($I2173&gt;$I2171,1,0),IF($J2173&gt;$J2171,1,0),IF($K2173&gt;$K2171,1,0),IF($L2173&gt;$L2171,1,0))&lt;&gt;3,"Error",""),""),"")</f>
        <v/>
      </c>
      <c r="R2174" t="str">
        <f>$A2169</f>
        <v>3rd Singles</v>
      </c>
      <c r="S2174"/>
      <c r="T2174"/>
      <c r="U2174"/>
      <c r="V2174"/>
      <c r="W2174"/>
      <c r="X2174"/>
      <c r="Y2174"/>
      <c r="Z2174"/>
      <c r="AA2174"/>
      <c r="AB2174"/>
      <c r="AC2174"/>
      <c r="AD2174"/>
      <c r="AE2174"/>
      <c r="AF2174"/>
    </row>
    <row r="2175" spans="1:32" ht="12.75" customHeight="1" x14ac:dyDescent="0.25">
      <c r="Q2175" s="6"/>
      <c r="R2175" s="47" t="s">
        <v>160</v>
      </c>
      <c r="S2175" s="86" t="s">
        <v>58</v>
      </c>
      <c r="T2175" s="87"/>
      <c r="U2175" s="87"/>
      <c r="V2175" s="87"/>
      <c r="W2175" s="87"/>
      <c r="X2175" s="88"/>
      <c r="Y2175" s="47">
        <v>1</v>
      </c>
      <c r="Z2175" s="47">
        <v>2</v>
      </c>
      <c r="AA2175" s="47">
        <v>3</v>
      </c>
      <c r="AB2175" s="47">
        <v>4</v>
      </c>
      <c r="AC2175" s="47">
        <v>5</v>
      </c>
      <c r="AD2175" s="89"/>
      <c r="AE2175" s="90"/>
      <c r="AF2175" s="91"/>
    </row>
    <row r="2176" spans="1:32" ht="12.75" customHeight="1" x14ac:dyDescent="0.25">
      <c r="A2176" s="15" t="s">
        <v>168</v>
      </c>
      <c r="H2176" s="110" t="str">
        <f ca="1">IF($Q2178&lt;&gt;"",IF(AND($B2178&lt;&gt;"Missing Player",$B2180&lt;&gt;"Missing Player"),IF(AND(AND($H2178&gt;-1,$H2180&gt;-1),OR($H2178&gt;10,$H2180&gt;10),ABS($H2178-$H2180)&gt;1,IF(OR($H2178&gt;11,$H2180&gt;11),ABS($H2178-$H2180)=2,TRUE),$H2178=INT($H2178),$H2180=INT($H2180)),"","Error"),""),"")</f>
        <v/>
      </c>
      <c r="I2176" s="110" t="str">
        <f ca="1">IF($Q2178&lt;&gt;"",IF(AND($B2178&lt;&gt;"Missing Player",$B2180&lt;&gt;"Missing Player"),IF(AND(AND($I2178&gt;-1,$I2180&gt;-1),OR($I2178&gt;10,$I2180&gt;10),ABS($I2178-$I2180)&gt;1,IF(OR($I2178&gt;11,$I2180&gt;11),ABS($I2178-$I2180)=2,TRUE),$I2178=INT($I2178),$I2180=INT($I2180)),"","Error"),""),"")</f>
        <v/>
      </c>
      <c r="J2176" s="110" t="str">
        <f ca="1">IF($Q2178&lt;&gt;"",IF(AND($B2178&lt;&gt;"Missing Player",$B2180&lt;&gt;"Missing Player"),IF(AND(AND($J2178&gt;-1,$J2180&gt;-1),OR($J2178&gt;10,$J2180&gt;10),ABS($J2178-$J2180)&gt;1,IF(OR($J2178&gt;11,$J2180&gt;11),ABS($J2178-$J2180)=2,TRUE),$J2178=INT($J2178),$J2180=INT($J2180)),"","Error"),""),"")</f>
        <v/>
      </c>
      <c r="K2176" s="110" t="str">
        <f ca="1">IF($Q2178&lt;&gt;"",IF(AND($K2178&lt;&gt;"",$K2180&lt;&gt;""), IF(AND(AND($K2178&gt;-1,$K2180&gt;-1),OR($K2178&gt;10,$K2180&gt;10),ABS($K2178-$K2180)&gt;1,IF(OR($K2178&gt;11,$K2180&gt;11),ABS($K2178-$K2180)=2,TRUE),$K2178=INT($K2178),$K2180=INT($K2180)),"","Error"),""),"")</f>
        <v/>
      </c>
      <c r="L2176" s="110" t="str">
        <f ca="1">IF($Q2178&lt;&gt;"",IF(AND($L2178&lt;&gt;"",$L2180&lt;&gt;""), IF(AND(AND($L2178&gt;-1,$L2180&gt;-1),OR($L2178&gt;10,$L2180&gt;10),ABS($L2178-$L2180)&gt;1,IF(OR($L2178&gt;11,$L2180&gt;11),ABS($L2178-$L2180)=2,TRUE),$L2178=INT($L2178),$L2180=INT($L2180)),"","Error"),""),"")</f>
        <v/>
      </c>
      <c r="Q2176" s="6"/>
      <c r="R2176" s="259" t="str">
        <f>$B2151</f>
        <v>A</v>
      </c>
      <c r="S2176" s="307" t="str">
        <f ca="1">IF($B2171&lt;&gt;"",$B2171,"")</f>
        <v/>
      </c>
      <c r="T2176" s="308"/>
      <c r="U2176" s="308"/>
      <c r="V2176" s="308"/>
      <c r="W2176" s="308"/>
      <c r="X2176" s="309"/>
      <c r="Y2176" s="284"/>
      <c r="Z2176" s="284"/>
      <c r="AA2176" s="284"/>
      <c r="AB2176" s="284"/>
      <c r="AC2176" s="284"/>
      <c r="AD2176" s="296"/>
      <c r="AE2176" s="290"/>
      <c r="AF2176" s="291"/>
    </row>
    <row r="2177" spans="1:32" ht="12.75" customHeight="1" x14ac:dyDescent="0.25">
      <c r="A2177" s="5" t="s">
        <v>160</v>
      </c>
      <c r="B2177" s="256" t="s">
        <v>58</v>
      </c>
      <c r="C2177" s="257"/>
      <c r="D2177" s="257"/>
      <c r="E2177" s="257"/>
      <c r="F2177" s="257"/>
      <c r="G2177" s="258"/>
      <c r="H2177" s="5">
        <v>1</v>
      </c>
      <c r="I2177" s="5">
        <v>2</v>
      </c>
      <c r="J2177" s="5">
        <v>3</v>
      </c>
      <c r="K2177" s="5">
        <v>4</v>
      </c>
      <c r="L2177" s="5">
        <v>5</v>
      </c>
      <c r="M2177" s="270"/>
      <c r="N2177" s="271"/>
      <c r="O2177" s="271"/>
      <c r="P2177" s="272"/>
      <c r="Q2177" s="6"/>
      <c r="R2177" s="285"/>
      <c r="S2177" s="310"/>
      <c r="T2177" s="311"/>
      <c r="U2177" s="311"/>
      <c r="V2177" s="311"/>
      <c r="W2177" s="311"/>
      <c r="X2177" s="312"/>
      <c r="Y2177" s="285"/>
      <c r="Z2177" s="285"/>
      <c r="AA2177" s="285"/>
      <c r="AB2177" s="285"/>
      <c r="AC2177" s="285"/>
      <c r="AD2177" s="292"/>
      <c r="AE2177" s="293"/>
      <c r="AF2177" s="294"/>
    </row>
    <row r="2178" spans="1:32" ht="12.75" customHeight="1" x14ac:dyDescent="0.25">
      <c r="A2178" s="259" t="str">
        <f>B2151</f>
        <v>A</v>
      </c>
      <c r="B2178" s="236" t="str">
        <f ca="1">IF(AND(OFFSET($AO$1,$C2151-1,8,1,1),$A2152&lt;&gt;"",$J2152&lt;&gt;""),CHOOSE($C2151,$AR$1,$AR$2,$AR$3,$AR$4,$AR$5,$AR$6,$AR$7,$AR$8,$AR$9,$AR$10,$AR$11,$AR$12),"")</f>
        <v/>
      </c>
      <c r="C2178" s="237"/>
      <c r="D2178" s="237"/>
      <c r="E2178" s="237"/>
      <c r="F2178" s="237"/>
      <c r="G2178" s="237"/>
      <c r="H2178" s="233"/>
      <c r="I2178" s="233"/>
      <c r="J2178" s="233"/>
      <c r="K2178" s="233"/>
      <c r="L2178" s="233" t="str">
        <f ca="1">IF(AND($B2178&lt;&gt;"",$Q2157&lt;&gt;""),IF($B2178="Missing Player",0,IF($B2180="Missing Player",11,"")),"")</f>
        <v/>
      </c>
      <c r="M2178" s="245" t="str">
        <f ca="1">IF(OR(AND($B2171&lt;&gt;"",$B2178&lt;&gt;"",$E2182&lt;=$D2182),AND($B2173&lt;&gt;"",$B2180&lt;&gt;"",$I2182&lt;=$H2182)),"Invalid Lineup","")</f>
        <v/>
      </c>
      <c r="N2178" s="246"/>
      <c r="O2178" s="246"/>
      <c r="P2178" s="247"/>
      <c r="Q2178" s="40" t="str">
        <f ca="1">IF($L2178=$L2180,IF($K2178=$K2180,IF($J2178&lt;&gt;"",IF($J2178&gt;$J2180,"W","L"),""),IF($K2178&gt;$K2180,"W","L")),IF($L2178&gt;$L2180,"W","L"))</f>
        <v/>
      </c>
      <c r="R2178" s="259" t="str">
        <f>$K2151</f>
        <v>E</v>
      </c>
      <c r="S2178" s="307" t="str">
        <f ca="1">IF($B2173&lt;&gt;"",$B2173,"")</f>
        <v/>
      </c>
      <c r="T2178" s="308"/>
      <c r="U2178" s="308"/>
      <c r="V2178" s="308"/>
      <c r="W2178" s="308"/>
      <c r="X2178" s="309"/>
      <c r="Y2178" s="284"/>
      <c r="Z2178" s="284"/>
      <c r="AA2178" s="284"/>
      <c r="AB2178" s="284"/>
      <c r="AC2178" s="297"/>
      <c r="AD2178" s="289" t="s">
        <v>169</v>
      </c>
      <c r="AE2178" s="290"/>
      <c r="AF2178" s="291"/>
    </row>
    <row r="2179" spans="1:32" ht="12.75" customHeight="1" x14ac:dyDescent="0.25">
      <c r="A2179" s="260"/>
      <c r="B2179" s="238"/>
      <c r="C2179" s="239"/>
      <c r="D2179" s="239"/>
      <c r="E2179" s="239"/>
      <c r="F2179" s="239"/>
      <c r="G2179" s="239"/>
      <c r="H2179" s="234"/>
      <c r="I2179" s="234"/>
      <c r="J2179" s="234"/>
      <c r="K2179" s="234"/>
      <c r="L2179" s="234"/>
      <c r="M2179" s="245"/>
      <c r="N2179" s="246"/>
      <c r="O2179" s="246"/>
      <c r="P2179" s="247"/>
      <c r="Q2179" s="110" t="str">
        <f ca="1">IF($Q2178&lt;&gt;"",IF($B2180&lt;&gt;"Missing Player",IF($Q2178="W",IF(SUM(IF($H2178&gt;$H2180,1,0),IF($I2178&gt;$I2180,1,0),IF($J2178&gt;$J2180,1,0),IF($K2178&gt;$K2180,1,0),IF($L2178&gt;$L2180,1,0))&lt;&gt;3,"Error",""),""),""),"")</f>
        <v/>
      </c>
      <c r="R2179" s="285"/>
      <c r="S2179" s="310"/>
      <c r="T2179" s="311"/>
      <c r="U2179" s="311"/>
      <c r="V2179" s="311"/>
      <c r="W2179" s="311"/>
      <c r="X2179" s="312"/>
      <c r="Y2179" s="285"/>
      <c r="Z2179" s="285"/>
      <c r="AA2179" s="285"/>
      <c r="AB2179" s="285"/>
      <c r="AC2179" s="285"/>
      <c r="AD2179" s="292"/>
      <c r="AE2179" s="293"/>
      <c r="AF2179" s="294"/>
    </row>
    <row r="2180" spans="1:32" ht="12.75" customHeight="1" x14ac:dyDescent="0.25">
      <c r="A2180" s="259" t="str">
        <f>K2151</f>
        <v>E</v>
      </c>
      <c r="B2180" s="236" t="str">
        <f ca="1">IF(AND(OFFSET($AO$1,$L2151-1,8,1,1),$A2152&lt;&gt;"",$J2152&lt;&gt;""),CHOOSE($L2151,$AR$1,$AR$2,$AR$3,$AR$4,$AR$5,$AR$6,$AR$7,$AR$8,$AR$9,$AR$10,$AR$11,$AR$12),"")</f>
        <v/>
      </c>
      <c r="C2180" s="237"/>
      <c r="D2180" s="237"/>
      <c r="E2180" s="237"/>
      <c r="F2180" s="237"/>
      <c r="G2180" s="237"/>
      <c r="H2180" s="233"/>
      <c r="I2180" s="233"/>
      <c r="J2180" s="233"/>
      <c r="K2180" s="233"/>
      <c r="L2180" s="233" t="str">
        <f ca="1">IF(AND($B2180&lt;&gt;"",$Q2157&lt;&gt;""),IF($B2180="Missing Player",0,IF($B2178="Missing Player",11,"")),"")</f>
        <v/>
      </c>
      <c r="M2180" s="250" t="s">
        <v>169</v>
      </c>
      <c r="N2180" s="251"/>
      <c r="O2180" s="251"/>
      <c r="P2180" s="252"/>
      <c r="Q2180" s="40" t="str">
        <f ca="1">IF($Q2178&lt;&gt;"",IF($Q2178="W","L","W"),"")</f>
        <v/>
      </c>
      <c r="R2180" s="94"/>
      <c r="S2180" s="84"/>
      <c r="T2180" s="84"/>
      <c r="U2180" s="84"/>
      <c r="V2180" s="84"/>
      <c r="W2180" s="84"/>
      <c r="X2180" s="84"/>
      <c r="Y2180" s="93"/>
      <c r="Z2180" s="93"/>
      <c r="AA2180" s="93"/>
      <c r="AB2180" s="93"/>
      <c r="AC2180" s="93"/>
      <c r="AD2180" s="92"/>
      <c r="AE2180" s="93"/>
      <c r="AF2180" s="93"/>
    </row>
    <row r="2181" spans="1:32" ht="12.75" customHeight="1" x14ac:dyDescent="0.25">
      <c r="A2181" s="260"/>
      <c r="B2181" s="238"/>
      <c r="C2181" s="239"/>
      <c r="D2181" s="239"/>
      <c r="E2181" s="239"/>
      <c r="F2181" s="239"/>
      <c r="G2181" s="239"/>
      <c r="H2181" s="234"/>
      <c r="I2181" s="234"/>
      <c r="J2181" s="235"/>
      <c r="K2181" s="235"/>
      <c r="L2181" s="235"/>
      <c r="M2181" s="250"/>
      <c r="N2181" s="251"/>
      <c r="O2181" s="251"/>
      <c r="P2181" s="252"/>
      <c r="Q2181" s="110" t="str">
        <f ca="1">IF($Q2180&lt;&gt;"",IF($B2178&lt;&gt;"Missing Player",IF($Q2180="W",IF(SUM(IF($H2180&gt;$H2178,1,0),IF($I2180&gt;$I2178,1,0),IF($J2180&gt;$J2178,1,0),IF($K2180&gt;$K2178,1,0),IF($L2180&gt;$L2178,1,0))&lt;&gt;3,"Error",""),""),""),"")</f>
        <v/>
      </c>
      <c r="R2181" s="85"/>
      <c r="S2181" s="95"/>
      <c r="T2181" s="95"/>
      <c r="U2181" s="95"/>
      <c r="V2181" s="95"/>
      <c r="W2181" s="95"/>
      <c r="X2181" s="95"/>
      <c r="Y2181" s="85"/>
      <c r="Z2181" s="85"/>
      <c r="AA2181" s="85"/>
      <c r="AB2181" s="85"/>
      <c r="AC2181" s="85"/>
      <c r="AD2181" s="85"/>
      <c r="AE2181" s="85"/>
      <c r="AF2181" s="85"/>
    </row>
    <row r="2182" spans="1:32" ht="12.75" customHeight="1" x14ac:dyDescent="0.25">
      <c r="B2182" s="111" t="str">
        <f ca="1">IF(ISERROR(VLOOKUP($B2157&amp;"("&amp;$B2151&amp;")",Players!$S$4:$T$132,2,FALSE)),"",VLOOKUP($B2157&amp;"("&amp;$B2151&amp;")",Players!$S$4:$T$132,2,FALSE))</f>
        <v>A1</v>
      </c>
      <c r="C2182" s="111" t="str">
        <f ca="1">IF(ISERROR(VLOOKUP($B2164&amp;"("&amp;$B2151&amp;")",Players!$S$4:$T$132,2,FALSE)),"",VLOOKUP($B2164&amp;"("&amp;$B2151&amp;")",Players!$S$4:$T$132,2,FALSE))</f>
        <v>A1</v>
      </c>
      <c r="D2182" s="111" t="str">
        <f ca="1">IF(ISERROR(VLOOKUP($B2171&amp;"("&amp;$B2151&amp;")",Players!$S$4:$T$132,2,FALSE)),"",VLOOKUP($B2171&amp;"("&amp;$B2151&amp;")",Players!$S$4:$T$132,2,FALSE))</f>
        <v>A1</v>
      </c>
      <c r="E2182" s="111" t="str">
        <f ca="1">IF(ISERROR(VLOOKUP($B2178&amp;"("&amp;$B2151&amp;")",Players!$S$4:$T$132,2,FALSE)),"",VLOOKUP($B2178&amp;"("&amp;$B2151&amp;")",Players!$S$4:$T$132,2,FALSE))</f>
        <v>A1</v>
      </c>
      <c r="F2182" s="111" t="str">
        <f ca="1">IF(ISERROR(VLOOKUP($B2159&amp;"("&amp;$K2151&amp;")",Players!$S$4:$T$132,2,FALSE)),"",VLOOKUP($B2159&amp;"("&amp;$K2151&amp;")",Players!$S$4:$T$132,2,FALSE))</f>
        <v>E1</v>
      </c>
      <c r="G2182" s="111" t="str">
        <f ca="1">IF(ISERROR(VLOOKUP($B2166&amp;"("&amp;$K2151&amp;")",Players!$S$4:$T$132,2,FALSE)),"",VLOOKUP($B2166&amp;"("&amp;$K2151&amp;")",Players!$S$4:$T$132,2,FALSE))</f>
        <v>E1</v>
      </c>
      <c r="H2182" s="111" t="str">
        <f ca="1">IF(ISERROR(VLOOKUP($B2173&amp;"("&amp;$K2151&amp;")",Players!$S$4:$T$132,2,FALSE)),"",VLOOKUP($B2173&amp;"("&amp;$K2151&amp;")",Players!$S$4:$T$132,2,FALSE))</f>
        <v>E1</v>
      </c>
      <c r="I2182" s="111" t="str">
        <f ca="1">IF(ISERROR(VLOOKUP($B2180&amp;"("&amp;$K2151&amp;")",Players!$S$4:$T$132,2,FALSE)),"",VLOOKUP($B2180&amp;"("&amp;$K2151&amp;")",Players!$S$4:$T$132,2,FALSE))</f>
        <v>E1</v>
      </c>
      <c r="Q2182" s="6"/>
      <c r="R2182" s="37"/>
      <c r="S2182" s="95"/>
      <c r="T2182" s="95"/>
      <c r="U2182" s="95"/>
      <c r="V2182" s="95"/>
      <c r="W2182" s="95"/>
      <c r="X2182" s="95"/>
      <c r="Y2182" s="85"/>
      <c r="Z2182" s="85"/>
      <c r="AA2182" s="85"/>
      <c r="AB2182" s="85"/>
      <c r="AC2182" s="96"/>
      <c r="AD2182" s="97"/>
      <c r="AE2182" s="85"/>
      <c r="AF2182" s="85"/>
    </row>
    <row r="2183" spans="1:32" ht="12.75" customHeight="1" x14ac:dyDescent="0.25">
      <c r="A2183" s="15" t="s">
        <v>157</v>
      </c>
      <c r="H2183" s="110" t="str">
        <f ca="1">IF($Q2185&lt;&gt;"",IF(AND($B2186&lt;&gt;"Missing Player",$B2188&lt;&gt;"Missing Player"),IF(AND(AND($H2185&gt;-1,$H2187&gt;-1),OR($H2185&gt;10,$H2187&gt;10),ABS($H2185-$H2187)&gt;1,IF(OR($H2185&gt;11,$H2187&gt;11),ABS($H2185-$H2187)=2,TRUE),$H2185=INT($H2185),$H2187=INT($H2187)),"","Error"),""),"")</f>
        <v/>
      </c>
      <c r="I2183" s="110" t="str">
        <f ca="1">IF($Q2185&lt;&gt;"",IF(AND($B2186&lt;&gt;"Missing Player",$B2188&lt;&gt;"Missing Player"),IF(AND(AND($I2185&gt;-1,$I2187&gt;-1),OR($I2185&gt;10,$I2187&gt;10),ABS($I2185-$I2187)&gt;1,IF(OR($I2185&gt;11,$I2187&gt;11),ABS($I2185-$I2187)=2,TRUE),$I2185=INT($I2185),$I2187=INT($I2187)),"","Error"),""),"")</f>
        <v/>
      </c>
      <c r="J2183" s="110" t="str">
        <f ca="1">IF($Q2185&lt;&gt;"",IF(AND($B2186&lt;&gt;"Missing Player",$B2188&lt;&gt;"Missing Player"),IF(AND(AND($J2185&gt;-1,$J2187&gt;-1),OR($J2185&gt;10,$J2187&gt;10),ABS($J2185-$J2187)&gt;1,IF(OR($J2185&gt;11,$J2187&gt;11),ABS($J2185-$J2187)=2,TRUE),$J2185=INT($J2185),$J2187=INT($J2187)),"","Error"),""),"")</f>
        <v/>
      </c>
      <c r="K2183" s="110" t="str">
        <f ca="1">IF($Q2185&lt;&gt;"",IF(AND($K2185&lt;&gt;"",$K2187&lt;&gt;""), IF(AND(AND($K2185&gt;-1,$K2187&gt;-1),OR($K2185&gt;10,$K2187&gt;10),ABS($K2185-$K2187)&gt;1,IF(OR($K2185&gt;11,$K2187&gt;11),ABS($K2185-$K2187)=2,TRUE),$K2185=INT($K2185),$K2187=INT($K2187)),"","Error"),""),"")</f>
        <v/>
      </c>
      <c r="L2183" s="110" t="str">
        <f ca="1">IF($Q2185&lt;&gt;"",IF(AND($L2185&lt;&gt;"",$L2187&lt;&gt;""), IF(AND(AND($L2185&gt;-1,$L2187&gt;-1),OR($L2185&gt;10,$L2187&gt;10),ABS($L2185-$L2187)&gt;1,IF(OR($L2185&gt;11,$L2187&gt;11),ABS($L2185-$L2187)=2,TRUE),$L2185=INT($L2185),$L2187=INT($L2187)),"","Error"),""),"")</f>
        <v/>
      </c>
      <c r="Q2183" s="6"/>
      <c r="R2183" s="85"/>
      <c r="S2183" s="95"/>
      <c r="T2183" s="95"/>
      <c r="U2183" s="95"/>
      <c r="V2183" s="95"/>
      <c r="W2183" s="95"/>
      <c r="X2183" s="95"/>
      <c r="Y2183" s="85"/>
      <c r="Z2183" s="85"/>
      <c r="AA2183" s="85"/>
      <c r="AB2183" s="85"/>
      <c r="AC2183" s="85"/>
      <c r="AD2183" s="85"/>
      <c r="AE2183" s="85"/>
      <c r="AF2183" s="85"/>
    </row>
    <row r="2184" spans="1:32" ht="12.75" customHeight="1" x14ac:dyDescent="0.25">
      <c r="A2184" s="5" t="s">
        <v>160</v>
      </c>
      <c r="B2184" s="256" t="s">
        <v>58</v>
      </c>
      <c r="C2184" s="257"/>
      <c r="D2184" s="257"/>
      <c r="E2184" s="257"/>
      <c r="F2184" s="257"/>
      <c r="G2184" s="258"/>
      <c r="H2184" s="5">
        <v>1</v>
      </c>
      <c r="I2184" s="5">
        <v>2</v>
      </c>
      <c r="J2184" s="5">
        <v>3</v>
      </c>
      <c r="K2184" s="5">
        <v>4</v>
      </c>
      <c r="L2184" s="5">
        <v>5</v>
      </c>
      <c r="M2184" s="270"/>
      <c r="N2184" s="271"/>
      <c r="O2184" s="271"/>
      <c r="P2184" s="272"/>
      <c r="Q2184" s="6"/>
      <c r="T2184" s="7"/>
    </row>
    <row r="2185" spans="1:32" ht="12.75" customHeight="1" x14ac:dyDescent="0.25">
      <c r="A2185" s="259" t="str">
        <f>B2151</f>
        <v>A</v>
      </c>
      <c r="B2185" s="230" t="str">
        <f ca="1">IF($B2157&lt;&gt;"",$B2157,"")</f>
        <v/>
      </c>
      <c r="C2185" s="231"/>
      <c r="D2185" s="231"/>
      <c r="E2185" s="231"/>
      <c r="F2185" s="231"/>
      <c r="G2185" s="232"/>
      <c r="H2185" s="233"/>
      <c r="I2185" s="233"/>
      <c r="J2185" s="233"/>
      <c r="K2185" s="233"/>
      <c r="L2185" s="233" t="str">
        <f ca="1">IF($B2178&lt;&gt;"",IF(AND($B2178="Missing Player",$G2189=2,$J2189=2),0,IF(AND($B2180="Missing Player",$G2189=2,$J2189=2),11,"")),"")</f>
        <v/>
      </c>
      <c r="M2185" s="245" t="str">
        <f ca="1">IF(OR(AND($B2185&lt;&gt;"",$B2186&lt;&gt;"",$B2185=$B2186),AND($B2187&lt;&gt;"",$B2188&lt;&gt;"",$B2187=$B2188)),"Invalid Partner","")</f>
        <v/>
      </c>
      <c r="N2185" s="246"/>
      <c r="O2185" s="246"/>
      <c r="P2185" s="247"/>
      <c r="Q2185" s="37" t="str">
        <f ca="1">IF(L2185=L2187,IF(K2185=K2187,IF(J2185&lt;&gt;"",IF(J2185&gt;J2187,"W","L"),""),IF(K2185&gt;K2187,"W","L")),IF(L2185&gt;L2187,"W","L"))</f>
        <v/>
      </c>
      <c r="T2185" s="7"/>
    </row>
    <row r="2186" spans="1:32" ht="12.75" customHeight="1" x14ac:dyDescent="0.25">
      <c r="A2186" s="260"/>
      <c r="B2186" s="266" t="str">
        <f ca="1">IF($B2178="Missing Player",$B2178,"")</f>
        <v/>
      </c>
      <c r="C2186" s="267"/>
      <c r="D2186" s="267"/>
      <c r="E2186" s="267"/>
      <c r="F2186" s="267"/>
      <c r="G2186" s="268"/>
      <c r="H2186" s="234"/>
      <c r="I2186" s="234"/>
      <c r="J2186" s="234"/>
      <c r="K2186" s="234"/>
      <c r="L2186" s="234"/>
      <c r="M2186" s="245"/>
      <c r="N2186" s="246"/>
      <c r="O2186" s="246"/>
      <c r="P2186" s="247"/>
      <c r="Q2186" s="110" t="str">
        <f ca="1">IF($Q2185&lt;&gt;"",IF($B2188&lt;&gt;"Missing Player",IF($Q2185="W",IF(SUM(IF($H2185&gt;$H2187,1,0),IF($I2185&gt;$I2187,1,0),IF($J2185&gt;$J2187,1,0),IF($K2185&gt;$K2187,1,0),IF($L2185&gt;$L2187,1,0))&lt;&gt;3,"Error",""),""),""),"")</f>
        <v/>
      </c>
      <c r="R2186" s="295" t="str">
        <f>$A2152</f>
        <v/>
      </c>
      <c r="S2186" s="295"/>
      <c r="T2186" s="295"/>
      <c r="U2186" s="295"/>
      <c r="V2186" s="295"/>
      <c r="W2186" s="295"/>
      <c r="X2186" s="219" t="str">
        <f>CONCATENATE("(",$B2151," vs ",$K2151,")")</f>
        <v>(A vs E)</v>
      </c>
      <c r="Y2186" s="219"/>
      <c r="Z2186" s="295" t="str">
        <f>$J2152</f>
        <v/>
      </c>
      <c r="AA2186" s="295"/>
      <c r="AB2186" s="295"/>
      <c r="AC2186" s="295"/>
      <c r="AD2186" s="295"/>
      <c r="AE2186" s="295"/>
      <c r="AF2186"/>
    </row>
    <row r="2187" spans="1:32" ht="12.75" customHeight="1" x14ac:dyDescent="0.25">
      <c r="A2187" s="265" t="str">
        <f>K2151</f>
        <v>E</v>
      </c>
      <c r="B2187" s="230" t="str">
        <f ca="1">IF($B2159&lt;&gt;"",$B2159,"")</f>
        <v/>
      </c>
      <c r="C2187" s="231"/>
      <c r="D2187" s="231"/>
      <c r="E2187" s="231"/>
      <c r="F2187" s="231"/>
      <c r="G2187" s="232"/>
      <c r="H2187" s="233"/>
      <c r="I2187" s="233"/>
      <c r="J2187" s="233"/>
      <c r="K2187" s="233"/>
      <c r="L2187" s="233" t="str">
        <f ca="1">IF($B2180&lt;&gt;"",IF(AND($B2180="Missing Player",$G2189=2,$J2189=2),0,IF(AND($B2178="Missing Player",$G2189=2,$J2189=2),11,"")),"")</f>
        <v/>
      </c>
      <c r="M2187" s="250" t="s">
        <v>169</v>
      </c>
      <c r="N2187" s="251"/>
      <c r="O2187" s="251"/>
      <c r="P2187" s="252"/>
      <c r="Q2187" s="37" t="str">
        <f ca="1">IF(Q2185&lt;&gt;"",IF(Q2185="W","L","W"),"")</f>
        <v/>
      </c>
      <c r="R2187"/>
      <c r="S2187"/>
      <c r="T2187"/>
      <c r="U2187"/>
      <c r="V2187"/>
      <c r="W2187"/>
      <c r="X2187"/>
      <c r="Y2187"/>
      <c r="Z2187"/>
      <c r="AA2187"/>
      <c r="AB2187"/>
      <c r="AC2187"/>
      <c r="AD2187"/>
      <c r="AE2187"/>
      <c r="AF2187"/>
    </row>
    <row r="2188" spans="1:32" ht="12.75" customHeight="1" x14ac:dyDescent="0.25">
      <c r="A2188" s="260"/>
      <c r="B2188" s="266" t="str">
        <f ca="1">IF($B2180="Missing Player",$B2180,"")</f>
        <v/>
      </c>
      <c r="C2188" s="267"/>
      <c r="D2188" s="267"/>
      <c r="E2188" s="267"/>
      <c r="F2188" s="267"/>
      <c r="G2188" s="268"/>
      <c r="H2188" s="234"/>
      <c r="I2188" s="234"/>
      <c r="J2188" s="235"/>
      <c r="K2188" s="235"/>
      <c r="L2188" s="235"/>
      <c r="M2188" s="250"/>
      <c r="N2188" s="251"/>
      <c r="O2188" s="251"/>
      <c r="P2188" s="252"/>
      <c r="Q2188" s="110" t="str">
        <f ca="1">IF($Q2187&lt;&gt;"",IF($B2186&lt;&gt;"Missing Player",IF($Q2187="W",IF(SUM(IF($H2187&gt;$H2185,1,0),IF($I2187&gt;$I2185,1,0),IF($J2187&gt;$J2185,1,0),IF($K2187&gt;$K2185,1,0),IF($L2187&gt;$L2185,1,0))&lt;&gt;3,"Error",""),""),""),"")</f>
        <v/>
      </c>
      <c r="R2188" t="str">
        <f>A2176</f>
        <v>4th Singles</v>
      </c>
      <c r="S2188"/>
      <c r="T2188"/>
      <c r="U2188"/>
      <c r="V2188"/>
      <c r="W2188"/>
      <c r="X2188"/>
      <c r="Y2188"/>
      <c r="Z2188"/>
      <c r="AA2188"/>
      <c r="AB2188"/>
      <c r="AC2188"/>
      <c r="AD2188"/>
      <c r="AE2188"/>
      <c r="AF2188"/>
    </row>
    <row r="2189" spans="1:32" ht="12.75" customHeight="1" x14ac:dyDescent="0.25">
      <c r="G2189" s="53">
        <f ca="1">COUNTIF($Q2157:$Q2157,"W")+COUNTIF($Q2164:$Q2164,"W")+COUNTIF($Q2171:$Q2171,"W")+COUNTIF($Q2178:$Q2178,"W")</f>
        <v>0</v>
      </c>
      <c r="J2189" s="53">
        <f ca="1">COUNTIF($Q2159:$Q2159,"W")+COUNTIF($Q2166:$Q2166,"W")+COUNTIF($Q2173:$Q2173,"W")+COUNTIF($Q2180:$Q2180,"W")</f>
        <v>0</v>
      </c>
      <c r="R2189" s="47" t="s">
        <v>160</v>
      </c>
      <c r="S2189" s="304" t="s">
        <v>58</v>
      </c>
      <c r="T2189" s="305"/>
      <c r="U2189" s="305"/>
      <c r="V2189" s="305"/>
      <c r="W2189" s="305"/>
      <c r="X2189" s="306"/>
      <c r="Y2189" s="47">
        <v>1</v>
      </c>
      <c r="Z2189" s="47">
        <v>2</v>
      </c>
      <c r="AA2189" s="47">
        <v>3</v>
      </c>
      <c r="AB2189" s="47">
        <v>4</v>
      </c>
      <c r="AC2189" s="47">
        <v>5</v>
      </c>
      <c r="AD2189" s="286"/>
      <c r="AE2189" s="287"/>
      <c r="AF2189" s="288"/>
    </row>
    <row r="2190" spans="1:32" ht="12.75" customHeight="1" thickBot="1" x14ac:dyDescent="0.3">
      <c r="F2190" s="212" t="s">
        <v>170</v>
      </c>
      <c r="G2190" s="212"/>
      <c r="H2190" s="212"/>
      <c r="I2190" s="212"/>
      <c r="J2190" s="212"/>
      <c r="K2190" s="212"/>
      <c r="R2190" s="259" t="str">
        <f>B2151</f>
        <v>A</v>
      </c>
      <c r="S2190" s="307" t="str">
        <f ca="1">IF($B2178&lt;&gt;"",$B2178,"")</f>
        <v/>
      </c>
      <c r="T2190" s="308"/>
      <c r="U2190" s="308"/>
      <c r="V2190" s="308"/>
      <c r="W2190" s="308"/>
      <c r="X2190" s="309"/>
      <c r="Y2190" s="284"/>
      <c r="Z2190" s="284"/>
      <c r="AA2190" s="297"/>
      <c r="AB2190" s="297"/>
      <c r="AC2190" s="297"/>
      <c r="AD2190" s="296"/>
      <c r="AE2190" s="298"/>
      <c r="AF2190" s="299"/>
    </row>
    <row r="2191" spans="1:32" ht="12.75" customHeight="1" x14ac:dyDescent="0.25">
      <c r="A2191" s="16"/>
      <c r="B2191" s="16"/>
      <c r="C2191" s="16"/>
      <c r="D2191" s="16"/>
      <c r="E2191" s="16"/>
      <c r="G2191" s="261" t="str">
        <f>B2151</f>
        <v>A</v>
      </c>
      <c r="H2191" s="262"/>
      <c r="I2191" s="263" t="str">
        <f>K2151</f>
        <v>E</v>
      </c>
      <c r="J2191" s="264"/>
      <c r="L2191" s="16"/>
      <c r="M2191" s="16"/>
      <c r="N2191" s="16"/>
      <c r="O2191" s="16"/>
      <c r="P2191" s="16"/>
      <c r="R2191" s="260"/>
      <c r="S2191" s="310"/>
      <c r="T2191" s="311"/>
      <c r="U2191" s="311"/>
      <c r="V2191" s="311"/>
      <c r="W2191" s="311"/>
      <c r="X2191" s="312"/>
      <c r="Y2191" s="285"/>
      <c r="Z2191" s="285"/>
      <c r="AA2191" s="303"/>
      <c r="AB2191" s="303"/>
      <c r="AC2191" s="303"/>
      <c r="AD2191" s="300"/>
      <c r="AE2191" s="301"/>
      <c r="AF2191" s="302"/>
    </row>
    <row r="2192" spans="1:32" ht="12.75" customHeight="1" thickBot="1" x14ac:dyDescent="0.3">
      <c r="A2192" s="2" t="s">
        <v>160</v>
      </c>
      <c r="B2192" s="40" t="str">
        <f>B2151</f>
        <v>A</v>
      </c>
      <c r="C2192" s="3" t="s">
        <v>158</v>
      </c>
      <c r="F2192" s="53" t="str">
        <f>CONCATENATE($B2151,"-",$K2151)</f>
        <v>A-E</v>
      </c>
      <c r="G2192" s="240" t="str">
        <f ca="1">IF(OR(Q2157&lt;&gt;"",Q2164&lt;&gt;"",Q2171&lt;&gt;"",Q2178&lt;&gt;"",Q2185&lt;&gt;""),COUNTIF(Q2157:Q2157,"W")+COUNTIF(Q2164:Q2164,"W")+COUNTIF(Q2171:Q2171,"W")+COUNTIF(Q2178:Q2178,"W")+COUNTIF(Q2185:Q2185,"W"),"")</f>
        <v/>
      </c>
      <c r="H2192" s="241"/>
      <c r="I2192" s="242" t="str">
        <f ca="1">IF(OR(Q2159&lt;&gt;"",Q2166&lt;&gt;"",Q2173&lt;&gt;"",Q2180&lt;&gt;"",Q2187&lt;&gt;""),COUNTIF(Q2159:Q2159,"W")+COUNTIF(Q2166:Q2166,"W")+COUNTIF(Q2173:Q2173,"W")+COUNTIF(Q2180:Q2180,"W")+COUNTIF(Q2187:Q2187,"W"),"")</f>
        <v/>
      </c>
      <c r="J2192" s="243"/>
      <c r="L2192" s="2" t="s">
        <v>160</v>
      </c>
      <c r="M2192" s="40" t="str">
        <f>K2151</f>
        <v>E</v>
      </c>
      <c r="N2192" s="3" t="s">
        <v>158</v>
      </c>
      <c r="R2192" s="259" t="str">
        <f>K2151</f>
        <v>E</v>
      </c>
      <c r="S2192" s="307" t="str">
        <f ca="1">IF($B2180&lt;&gt;"",$B2180,"")</f>
        <v/>
      </c>
      <c r="T2192" s="308"/>
      <c r="U2192" s="308"/>
      <c r="V2192" s="308"/>
      <c r="W2192" s="308"/>
      <c r="X2192" s="309"/>
      <c r="Y2192" s="284"/>
      <c r="Z2192" s="284"/>
      <c r="AA2192" s="297"/>
      <c r="AB2192" s="297"/>
      <c r="AC2192" s="297"/>
      <c r="AD2192" s="289" t="s">
        <v>169</v>
      </c>
      <c r="AE2192" s="290"/>
      <c r="AF2192" s="291"/>
    </row>
    <row r="2193" spans="1:32" ht="12.75" customHeight="1" x14ac:dyDescent="0.35">
      <c r="F2193" s="18" t="s">
        <v>403</v>
      </c>
      <c r="G2193" s="17"/>
      <c r="H2193" s="17"/>
      <c r="I2193" s="17"/>
      <c r="J2193" s="17"/>
      <c r="R2193" s="285"/>
      <c r="S2193" s="310"/>
      <c r="T2193" s="311"/>
      <c r="U2193" s="311"/>
      <c r="V2193" s="311"/>
      <c r="W2193" s="311"/>
      <c r="X2193" s="312"/>
      <c r="Y2193" s="285"/>
      <c r="Z2193" s="285"/>
      <c r="AA2193" s="285"/>
      <c r="AB2193" s="285"/>
      <c r="AC2193" s="285"/>
      <c r="AD2193" s="292"/>
      <c r="AE2193" s="293"/>
      <c r="AF2193" s="294"/>
    </row>
    <row r="2194" spans="1:32" ht="12.75" customHeight="1" x14ac:dyDescent="0.25">
      <c r="R2194" s="1"/>
      <c r="S2194" s="11"/>
      <c r="T2194" s="11"/>
      <c r="U2194" s="11"/>
      <c r="V2194" s="11"/>
      <c r="W2194" s="11"/>
    </row>
    <row r="2195" spans="1:32" ht="12.75" customHeight="1" x14ac:dyDescent="0.25">
      <c r="F2195" s="212"/>
      <c r="G2195" s="212"/>
      <c r="H2195" s="212"/>
      <c r="I2195" s="212"/>
      <c r="R2195" s="1"/>
      <c r="S2195" s="11"/>
      <c r="T2195" s="11"/>
      <c r="U2195" s="11"/>
      <c r="V2195" s="11"/>
      <c r="W2195" s="11"/>
    </row>
    <row r="2196" spans="1:32" ht="12.75" customHeight="1" x14ac:dyDescent="0.25">
      <c r="F2196" s="212"/>
      <c r="G2196" s="212"/>
      <c r="H2196" s="212"/>
      <c r="I2196" s="212"/>
      <c r="R2196" s="1"/>
      <c r="S2196" s="11"/>
      <c r="T2196" s="11"/>
      <c r="U2196" s="11"/>
      <c r="V2196" s="11"/>
      <c r="W2196" s="11"/>
    </row>
    <row r="2197" spans="1:32" ht="12.75" customHeight="1" x14ac:dyDescent="0.25">
      <c r="K2197" s="219" t="s">
        <v>176</v>
      </c>
      <c r="L2197" s="219"/>
      <c r="M2197" s="219"/>
      <c r="N2197" s="219"/>
      <c r="O2197" s="219"/>
      <c r="P2197" s="219"/>
      <c r="R2197" s="1"/>
      <c r="S2197" s="11"/>
      <c r="T2197" s="11"/>
      <c r="U2197" s="11"/>
      <c r="V2197" s="11"/>
      <c r="W2197" s="11"/>
    </row>
    <row r="2198" spans="1:32" ht="12.75" customHeight="1" x14ac:dyDescent="0.25">
      <c r="A2198" s="9" t="s">
        <v>161</v>
      </c>
      <c r="B2198"/>
      <c r="C2198"/>
      <c r="D2198" t="str">
        <f>Draw!$B$1</f>
        <v>Enter Division Name</v>
      </c>
      <c r="E2198"/>
      <c r="F2198" s="6"/>
      <c r="G2198" s="6"/>
      <c r="H2198" s="6"/>
      <c r="I2198"/>
      <c r="J2198"/>
      <c r="K2198"/>
      <c r="L2198"/>
      <c r="M2198" s="219"/>
      <c r="N2198" s="219"/>
      <c r="O2198" s="219"/>
      <c r="P2198" s="219"/>
      <c r="R2198" s="1"/>
      <c r="S2198" s="11"/>
      <c r="T2198" s="11"/>
      <c r="U2198" s="11"/>
      <c r="V2198" s="11"/>
      <c r="W2198" s="11"/>
    </row>
    <row r="2199" spans="1:32" ht="12.75" customHeight="1" x14ac:dyDescent="0.25">
      <c r="A2199" s="2" t="s">
        <v>162</v>
      </c>
      <c r="D2199" t="str">
        <f>Draw!$D$1</f>
        <v>Enter Hosting Location (City, ST)</v>
      </c>
      <c r="J2199" t="str">
        <f ca="1">$J$6</f>
        <v>[NCTTA Teams Template (v3.4).xlsx]</v>
      </c>
      <c r="R2199" s="1"/>
      <c r="S2199" s="11"/>
      <c r="T2199" s="11"/>
      <c r="U2199" s="11"/>
      <c r="V2199" s="11"/>
      <c r="W2199" s="11"/>
    </row>
    <row r="2200" spans="1:32" ht="12.75" customHeight="1" x14ac:dyDescent="0.25">
      <c r="A2200" s="2" t="s">
        <v>163</v>
      </c>
      <c r="D2200" s="275" t="str">
        <f>Draw!$P$1</f>
        <v>Enter Date</v>
      </c>
      <c r="E2200" s="275"/>
      <c r="F2200" s="275"/>
      <c r="G2200" s="275"/>
      <c r="J2200" s="244" t="str">
        <f>CHOOSE(Draw!$T$1,"Round 8, Match 2","","","","","","","","","Round 9, Match 4","Round 9, Match 4")</f>
        <v>Round 8, Match 2</v>
      </c>
      <c r="K2200" s="244"/>
      <c r="L2200" s="244"/>
      <c r="M2200" s="277" t="str">
        <f>IF(AND($J2200&lt;&gt;"",Draw!$AC$10&lt;&gt;"",Draw!$AC$13&lt;&gt;""),Draw!$AC$10+TIME(0,VALUE(MID($J2200,7,FIND(",",$J2200)-FIND(" ",$J2200)-1)-1)*Draw!$AC$13,0),"")</f>
        <v/>
      </c>
      <c r="N2200" s="277"/>
      <c r="O2200" s="125" t="str">
        <f>$F2243</f>
        <v>D-F</v>
      </c>
      <c r="R2200" s="1"/>
      <c r="S2200" s="11"/>
      <c r="T2200" s="11"/>
      <c r="U2200" s="11"/>
      <c r="V2200" s="11"/>
      <c r="W2200" s="11"/>
    </row>
    <row r="2201" spans="1:32" ht="12.75" customHeight="1" x14ac:dyDescent="0.25">
      <c r="A2201" s="6"/>
      <c r="B2201"/>
      <c r="C2201"/>
      <c r="D2201"/>
      <c r="E2201"/>
      <c r="F2201" s="6"/>
      <c r="G2201" s="6"/>
      <c r="H2201" s="11"/>
      <c r="I2201" s="6"/>
      <c r="J2201"/>
      <c r="K2201"/>
      <c r="L2201"/>
      <c r="M2201"/>
      <c r="N2201"/>
      <c r="O2201" s="269" t="str">
        <f>IF(OR(AND(VLOOKUP($B2202,$AM$1:$AX$12,12,FALSE)="C",VLOOKUP($K2202,$AM$1:$AX$12,12,FALSE)="C"),AND(VLOOKUP($B2202,$AM$1:$AX$12,12,FALSE)="W",VLOOKUP($K2202,$AM$1:$AX$12,12,FALSE)="W")),"Official",IF(AND($A2203="",$J2203=""),"","Scrimmage"))</f>
        <v/>
      </c>
      <c r="P2201" s="269"/>
      <c r="R2201" s="1"/>
      <c r="S2201" s="11"/>
      <c r="T2201" s="11"/>
      <c r="U2201" s="11"/>
      <c r="V2201" s="11"/>
      <c r="W2201" s="11"/>
    </row>
    <row r="2202" spans="1:32" ht="12.75" customHeight="1" x14ac:dyDescent="0.25">
      <c r="A2202" s="12" t="s">
        <v>160</v>
      </c>
      <c r="B2202" s="98" t="str">
        <f>CHOOSE(Draw!$T$1,"D","C","D","D","E","E","E","D","C","D","H")</f>
        <v>D</v>
      </c>
      <c r="C2202" s="109">
        <f>VLOOKUP($B2202,$AM$1:$AN$12,2)</f>
        <v>4</v>
      </c>
      <c r="D2202" s="10"/>
      <c r="E2202" s="10"/>
      <c r="F2202" s="8"/>
      <c r="H2202" s="1" t="s">
        <v>164</v>
      </c>
      <c r="J2202" s="12" t="s">
        <v>160</v>
      </c>
      <c r="K2202" s="98" t="str">
        <f>CHOOSE(Draw!$T$1,"F","H","F","K","K","K","J","L","K","J","K")</f>
        <v>F</v>
      </c>
      <c r="L2202" s="109">
        <f>VLOOKUP($K2202,$AM$1:$AN$12,2)</f>
        <v>6</v>
      </c>
      <c r="M2202" s="10"/>
      <c r="N2202" s="10"/>
      <c r="O2202" s="13"/>
      <c r="R2202" s="1"/>
      <c r="S2202" s="11"/>
      <c r="T2202" s="11"/>
      <c r="U2202" s="11"/>
      <c r="V2202" s="11"/>
      <c r="W2202" s="11"/>
    </row>
    <row r="2203" spans="1:32" ht="12.75" customHeight="1" x14ac:dyDescent="0.25">
      <c r="A2203" s="253" t="str">
        <f>IF(VLOOKUP($B2202,Draw!$A$4:$B$27,2)&lt;&gt;0,VLOOKUP($B2202,Draw!$A$4:$B$27,2),"")</f>
        <v/>
      </c>
      <c r="B2203" s="254"/>
      <c r="C2203" s="254"/>
      <c r="D2203" s="254"/>
      <c r="E2203" s="254"/>
      <c r="F2203" s="255"/>
      <c r="G2203" s="273" t="s">
        <v>447</v>
      </c>
      <c r="H2203" s="249"/>
      <c r="I2203" s="274"/>
      <c r="J2203" s="253" t="str">
        <f>IF(VLOOKUP($K2202,Draw!$A$4:$B$27,2)&lt;&gt;0,VLOOKUP($K2202,Draw!$A$4:$B$27,2),"")</f>
        <v/>
      </c>
      <c r="K2203" s="254"/>
      <c r="L2203" s="254"/>
      <c r="M2203" s="254"/>
      <c r="N2203" s="254"/>
      <c r="O2203" s="255"/>
      <c r="P2203"/>
      <c r="R2203" s="1"/>
      <c r="S2203" s="11"/>
      <c r="T2203" s="11"/>
      <c r="U2203" s="11"/>
      <c r="V2203" s="11"/>
      <c r="W2203" s="11"/>
    </row>
    <row r="2204" spans="1:32" ht="12.75" customHeight="1" x14ac:dyDescent="0.25">
      <c r="A2204" s="6"/>
      <c r="B2204"/>
      <c r="C2204"/>
      <c r="D2204"/>
      <c r="E2204"/>
      <c r="F2204" s="6"/>
      <c r="G2204" s="248" t="str">
        <f>"Page "&amp;VALUE(RIGHT($G2203,LEN($G2203)-SEARCH("-",$G2203)))/2</f>
        <v>Page 44</v>
      </c>
      <c r="H2204" s="249"/>
      <c r="I2204" s="249"/>
      <c r="J2204"/>
      <c r="K2204"/>
      <c r="L2204"/>
      <c r="M2204"/>
      <c r="N2204"/>
      <c r="O2204"/>
      <c r="P2204"/>
      <c r="R2204" s="1"/>
      <c r="S2204" s="11"/>
      <c r="T2204" s="11"/>
      <c r="U2204" s="11"/>
      <c r="V2204" s="11"/>
      <c r="W2204" s="11"/>
      <c r="AF2204"/>
    </row>
    <row r="2205" spans="1:32" ht="12.75" customHeight="1" x14ac:dyDescent="0.25">
      <c r="A2205" s="276" t="s">
        <v>177</v>
      </c>
      <c r="B2205" s="276"/>
      <c r="C2205" s="276"/>
      <c r="D2205" s="276"/>
      <c r="E2205" s="276"/>
      <c r="F2205" s="276"/>
      <c r="G2205" s="276"/>
      <c r="H2205" s="276"/>
      <c r="I2205" s="276"/>
      <c r="J2205" s="276"/>
      <c r="K2205" s="276"/>
      <c r="L2205" s="276"/>
      <c r="M2205" s="276"/>
      <c r="N2205" s="276"/>
      <c r="O2205" s="276"/>
      <c r="P2205" s="276"/>
      <c r="Q2205" s="6"/>
      <c r="R2205" s="1"/>
      <c r="S2205" s="11"/>
      <c r="T2205" s="11"/>
      <c r="U2205" s="11"/>
      <c r="V2205" s="11"/>
      <c r="W2205" s="11"/>
      <c r="AF2205" s="14"/>
    </row>
    <row r="2206" spans="1:32" ht="12.75" customHeight="1" x14ac:dyDescent="0.25">
      <c r="A2206" s="15" t="s">
        <v>165</v>
      </c>
      <c r="H2206" s="110" t="str">
        <f>IF($Q2208&lt;&gt;"",IF(AND(AND($H2208&gt;-1,$H2210&gt;-1),OR($H2208&gt;10,$H2210&gt;10),ABS($H2208-$H2210)&gt;1,IF(OR($H2208&gt;11,$H2210&gt;11),ABS($H2208-$H2210)=2,TRUE),$H2208=INT($H2208),$H2210=INT($H2210)),"","Error"),"")</f>
        <v/>
      </c>
      <c r="I2206" s="110" t="str">
        <f>IF($Q2208&lt;&gt;"",IF(AND(AND($I2208&gt;-1,$I2210&gt;-1),OR($I2208&gt;10,$I2210&gt;10),ABS($I2208-$I2210)&gt;1,IF(OR($I2208&gt;11,$I2210&gt;11),ABS($I2208-$I2210)=2,TRUE),$I2208=INT($I2208),$I2210=INT($I2210)),"","Error"),"")</f>
        <v/>
      </c>
      <c r="J2206" s="110" t="str">
        <f>IF($Q2208&lt;&gt;"",IF(AND(AND($J2208&gt;-1,$J2210&gt;-1),OR($J2208&gt;10,$J2210&gt;10),ABS($J2208-$J2210)&gt;1,IF(OR($J2208&gt;11,$J2210&gt;11),ABS($J2208-$J2210)=2,TRUE),$J2208=INT($J2208),$J2210=INT($J2210)),"","Error"),"")</f>
        <v/>
      </c>
      <c r="K2206" s="110" t="str">
        <f>IF($Q2208&lt;&gt;"",IF(AND($K2208&lt;&gt;"",$K2210&lt;&gt;""), IF(AND(AND($K2208&gt;-1,$K2210&gt;-1),OR($K2208&gt;10,$K2210&gt;10),ABS($K2208-$K2210)&gt;1,IF(OR($K2208&gt;11,$K2210&gt;11),ABS($K2208-$K2210)=2,TRUE),$K2208=INT($K2208),$K2210=INT($K2210)),"","Error"),""),"")</f>
        <v/>
      </c>
      <c r="L2206" s="110" t="str">
        <f>IF($Q2208&lt;&gt;"",IF(AND($L2208&lt;&gt;"",$L2210&lt;&gt;""), IF(AND(AND($L2208&gt;-1,$L2210&gt;-1),OR($L2208&gt;10,$L2210&gt;10),ABS($L2208-$L2210)&gt;1,IF(OR($L2208&gt;11,$L2210&gt;11),ABS($L2208-$L2210)=2,TRUE),$L2208=INT($L2208),$L2210=INT($L2210)),"","Error"),""),"")</f>
        <v/>
      </c>
      <c r="R2206" s="1"/>
      <c r="S2206" s="11"/>
      <c r="T2206" s="11"/>
      <c r="U2206" s="11"/>
      <c r="V2206" s="11"/>
      <c r="W2206" s="11"/>
    </row>
    <row r="2207" spans="1:32" ht="12.75" customHeight="1" x14ac:dyDescent="0.25">
      <c r="A2207" s="5" t="s">
        <v>160</v>
      </c>
      <c r="B2207" s="256" t="s">
        <v>58</v>
      </c>
      <c r="C2207" s="257"/>
      <c r="D2207" s="257"/>
      <c r="E2207" s="257"/>
      <c r="F2207" s="257"/>
      <c r="G2207" s="258"/>
      <c r="H2207" s="5">
        <v>1</v>
      </c>
      <c r="I2207" s="5">
        <v>2</v>
      </c>
      <c r="J2207" s="5">
        <v>3</v>
      </c>
      <c r="K2207" s="5">
        <v>4</v>
      </c>
      <c r="L2207" s="5">
        <v>5</v>
      </c>
      <c r="M2207" s="270"/>
      <c r="N2207" s="271"/>
      <c r="O2207" s="271"/>
      <c r="P2207" s="272"/>
      <c r="R2207" s="1"/>
      <c r="S2207" s="11"/>
      <c r="T2207" s="11"/>
      <c r="U2207" s="11"/>
      <c r="V2207" s="11"/>
      <c r="W2207" s="11"/>
    </row>
    <row r="2208" spans="1:32" ht="12.75" customHeight="1" x14ac:dyDescent="0.25">
      <c r="A2208" s="259" t="str">
        <f>B2202</f>
        <v>D</v>
      </c>
      <c r="B2208" s="236" t="str">
        <f ca="1">IF(AND(OFFSET($AO$1,$C2202-1,8,1,1),$A2203&lt;&gt;"",$J2203&lt;&gt;""),CHOOSE($C2202,$AO$1,$AO$2,$AO$3,$AO$4,$AO$5,$AO$6,$AO$7,$AO$8,$AO$9,$AO$10,$AO$11,$AO$12),"")</f>
        <v/>
      </c>
      <c r="C2208" s="237"/>
      <c r="D2208" s="237"/>
      <c r="E2208" s="237"/>
      <c r="F2208" s="237"/>
      <c r="G2208" s="237"/>
      <c r="H2208" s="233"/>
      <c r="I2208" s="233"/>
      <c r="J2208" s="233"/>
      <c r="K2208" s="233"/>
      <c r="L2208" s="233"/>
      <c r="M2208" s="281"/>
      <c r="N2208" s="282"/>
      <c r="O2208" s="282"/>
      <c r="P2208" s="283"/>
      <c r="Q2208" s="40" t="str">
        <f>IF($L2208=$L2210,IF($K2208=$K2210,IF($J2208&lt;&gt;"",IF($J2208&gt;$J2210,"W","L"),""),IF($K2208&gt;$K2210,"W","L")),IF($L2208&gt;$L2210,"W","L"))</f>
        <v/>
      </c>
      <c r="R2208" s="1"/>
      <c r="S2208" s="11"/>
      <c r="T2208" s="11"/>
      <c r="U2208" s="11"/>
      <c r="V2208" s="11"/>
      <c r="W2208" s="11"/>
    </row>
    <row r="2209" spans="1:32" ht="12.75" customHeight="1" x14ac:dyDescent="0.25">
      <c r="A2209" s="260"/>
      <c r="B2209" s="238"/>
      <c r="C2209" s="239"/>
      <c r="D2209" s="239"/>
      <c r="E2209" s="239"/>
      <c r="F2209" s="239"/>
      <c r="G2209" s="239"/>
      <c r="H2209" s="234"/>
      <c r="I2209" s="234"/>
      <c r="J2209" s="234"/>
      <c r="K2209" s="234"/>
      <c r="L2209" s="234"/>
      <c r="M2209" s="281"/>
      <c r="N2209" s="282"/>
      <c r="O2209" s="282"/>
      <c r="P2209" s="283"/>
      <c r="Q2209" s="110" t="str">
        <f>IF($Q2208&lt;&gt;"",IF($Q2208="W",IF(SUM(IF($H2208&gt;$H2210,1,0),IF($I2208&gt;$I2210,1,0),IF($J2208&gt;$J2210,1,0),IF($K2208&gt;$K2210,1,0),IF($L2208&gt;$L2210,1,0))&lt;&gt;3,"Error",""),""),"")</f>
        <v/>
      </c>
      <c r="R2209" s="295" t="str">
        <f>$A2203</f>
        <v/>
      </c>
      <c r="S2209" s="295"/>
      <c r="T2209" s="295"/>
      <c r="U2209" s="295"/>
      <c r="V2209" s="295"/>
      <c r="W2209" s="295"/>
      <c r="X2209" s="219" t="str">
        <f>CONCATENATE("(",$B2202," vs ",$K2202,")")</f>
        <v>(D vs F)</v>
      </c>
      <c r="Y2209" s="219"/>
      <c r="Z2209" s="295" t="str">
        <f>$J2203</f>
        <v/>
      </c>
      <c r="AA2209" s="295"/>
      <c r="AB2209" s="295"/>
      <c r="AC2209" s="295"/>
      <c r="AD2209" s="295"/>
      <c r="AE2209" s="295"/>
      <c r="AF2209"/>
    </row>
    <row r="2210" spans="1:32" ht="12.75" customHeight="1" x14ac:dyDescent="0.25">
      <c r="A2210" s="259" t="str">
        <f>K2202</f>
        <v>F</v>
      </c>
      <c r="B2210" s="236" t="str">
        <f ca="1">IF(AND(OFFSET($AO$1,$L2202-1,8,1,1),$A2203&lt;&gt;"",$J2203&lt;&gt;""),CHOOSE($L2202,$AO$1,$AO$2,$AO$3,$AO$4,$AO$5,$AO$6,$AO$7,$AO$8,$AO$9,$AO$10,$AO$11,$AO$12),"")</f>
        <v/>
      </c>
      <c r="C2210" s="237"/>
      <c r="D2210" s="237"/>
      <c r="E2210" s="237"/>
      <c r="F2210" s="237"/>
      <c r="G2210" s="237"/>
      <c r="H2210" s="233"/>
      <c r="I2210" s="233"/>
      <c r="J2210" s="233"/>
      <c r="K2210" s="233"/>
      <c r="L2210" s="233"/>
      <c r="M2210" s="250" t="s">
        <v>169</v>
      </c>
      <c r="N2210" s="251"/>
      <c r="O2210" s="251"/>
      <c r="P2210" s="252"/>
      <c r="Q2210" s="40" t="str">
        <f>IF($Q2208&lt;&gt;"",IF($Q2208="W","L","W"),"")</f>
        <v/>
      </c>
      <c r="R2210"/>
      <c r="S2210"/>
      <c r="T2210"/>
      <c r="U2210"/>
      <c r="V2210"/>
      <c r="W2210"/>
      <c r="X2210"/>
      <c r="Y2210"/>
      <c r="Z2210"/>
      <c r="AA2210"/>
      <c r="AB2210"/>
      <c r="AC2210"/>
      <c r="AD2210"/>
      <c r="AE2210"/>
      <c r="AF2210"/>
    </row>
    <row r="2211" spans="1:32" ht="12.75" customHeight="1" x14ac:dyDescent="0.25">
      <c r="A2211" s="260"/>
      <c r="B2211" s="238"/>
      <c r="C2211" s="239"/>
      <c r="D2211" s="239"/>
      <c r="E2211" s="239"/>
      <c r="F2211" s="239"/>
      <c r="G2211" s="239"/>
      <c r="H2211" s="234"/>
      <c r="I2211" s="234"/>
      <c r="J2211" s="235"/>
      <c r="K2211" s="235"/>
      <c r="L2211" s="235"/>
      <c r="M2211" s="250"/>
      <c r="N2211" s="251"/>
      <c r="O2211" s="251"/>
      <c r="P2211" s="252"/>
      <c r="Q2211" s="110" t="str">
        <f>IF($Q2210&lt;&gt;"",IF($Q2210="W",IF(SUM(IF($H2210&gt;$H2208,1,0),IF($I2210&gt;$I2208,1,0),IF($J2210&gt;$J2208,1,0),IF($K2210&gt;$K2208,1,0),IF($L2210&gt;$L2208,1,0))&lt;&gt;3,"Error",""),""),"")</f>
        <v/>
      </c>
      <c r="R2211" t="str">
        <f>$A2213</f>
        <v>2nd Singles</v>
      </c>
      <c r="S2211"/>
      <c r="T2211"/>
      <c r="U2211"/>
      <c r="V2211"/>
      <c r="W2211"/>
      <c r="X2211"/>
      <c r="Y2211"/>
      <c r="Z2211"/>
      <c r="AA2211"/>
      <c r="AB2211"/>
      <c r="AC2211"/>
      <c r="AD2211"/>
      <c r="AE2211"/>
      <c r="AF2211"/>
    </row>
    <row r="2212" spans="1:32" ht="12.75" customHeight="1" x14ac:dyDescent="0.25">
      <c r="Q2212" s="6"/>
      <c r="R2212" s="47" t="s">
        <v>160</v>
      </c>
      <c r="S2212" s="304" t="s">
        <v>58</v>
      </c>
      <c r="T2212" s="305"/>
      <c r="U2212" s="305"/>
      <c r="V2212" s="305"/>
      <c r="W2212" s="305"/>
      <c r="X2212" s="306"/>
      <c r="Y2212" s="47">
        <v>1</v>
      </c>
      <c r="Z2212" s="47">
        <v>2</v>
      </c>
      <c r="AA2212" s="47">
        <v>3</v>
      </c>
      <c r="AB2212" s="47">
        <v>4</v>
      </c>
      <c r="AC2212" s="47">
        <v>5</v>
      </c>
      <c r="AD2212" s="286"/>
      <c r="AE2212" s="287"/>
      <c r="AF2212" s="288"/>
    </row>
    <row r="2213" spans="1:32" ht="12.75" customHeight="1" x14ac:dyDescent="0.25">
      <c r="A2213" s="15" t="s">
        <v>166</v>
      </c>
      <c r="H2213" s="110" t="str">
        <f>IF($Q2215&lt;&gt;"",IF(AND(AND($H2215&gt;-1,$H2217&gt;-1),OR($H2215&gt;10,$H2217&gt;10),ABS($H2215-$H2217)&gt;1,IF(OR($H2215&gt;11,$H2217&gt;11),ABS($H2215-$H2217)=2,TRUE),$H2215=INT($H2215),$H2217=INT($H2217)),"","Error"),"")</f>
        <v/>
      </c>
      <c r="I2213" s="110" t="str">
        <f>IF($Q2215&lt;&gt;"",IF(AND(AND($I2215&gt;-1,$I2217&gt;-1),OR($I2215&gt;10,$I2217&gt;10),ABS($I2215-$I2217)&gt;1,IF(OR($I2215&gt;11,$I2217&gt;11),ABS($I2215-$I2217)=2,TRUE),$I2215=INT($I2215),$I2217=INT($I2217)),"","Error"),"")</f>
        <v/>
      </c>
      <c r="J2213" s="110" t="str">
        <f>IF($Q2215&lt;&gt;"",IF(AND(AND($J2215&gt;-1,$J2217&gt;-1),OR($J2215&gt;10,$J2217&gt;10),ABS($J2215-$J2217)&gt;1,IF(OR($J2215&gt;11,$J2217&gt;11),ABS($J2215-$J2217)=2,TRUE),$J2215=INT($J2215),$J2217=INT($J2217)),"","Error"),"")</f>
        <v/>
      </c>
      <c r="K2213" s="110" t="str">
        <f>IF($Q2215&lt;&gt;"",IF(AND($K2215&lt;&gt;"",$K2217&lt;&gt;""), IF(AND(AND($K2215&gt;-1,$K2217&gt;-1),OR($K2215&gt;10,$K2217&gt;10),ABS($K2215-$K2217)&gt;1,IF(OR($K2215&gt;11,$K2217&gt;11),ABS($K2215-$K2217)=2,TRUE),$K2215=INT($K2215),$K2217=INT($K2217)),"","Error"),""),"")</f>
        <v/>
      </c>
      <c r="L2213" s="110" t="str">
        <f>IF($Q2215&lt;&gt;"",IF(AND($L2215&lt;&gt;"",$L2217&lt;&gt;""), IF(AND(AND($L2215&gt;-1,$L2217&gt;-1),OR($L2215&gt;10,$L2217&gt;10),ABS($L2215-$L2217)&gt;1,IF(OR($L2215&gt;11,$L2217&gt;11),ABS($L2215-$L2217)=2,TRUE),$L2215=INT($L2215),$L2217=INT($L2217)),"","Error"),""),"")</f>
        <v/>
      </c>
      <c r="Q2213" s="6"/>
      <c r="R2213" s="259" t="str">
        <f>$B2202</f>
        <v>D</v>
      </c>
      <c r="S2213" s="307" t="str">
        <f ca="1">IF($B2215&lt;&gt;"",$B2215,"")</f>
        <v/>
      </c>
      <c r="T2213" s="308"/>
      <c r="U2213" s="308"/>
      <c r="V2213" s="308"/>
      <c r="W2213" s="308"/>
      <c r="X2213" s="309"/>
      <c r="Y2213" s="284"/>
      <c r="Z2213" s="284"/>
      <c r="AA2213" s="284"/>
      <c r="AB2213" s="284"/>
      <c r="AC2213" s="284"/>
      <c r="AD2213" s="296"/>
      <c r="AE2213" s="290"/>
      <c r="AF2213" s="291"/>
    </row>
    <row r="2214" spans="1:32" ht="12.75" customHeight="1" x14ac:dyDescent="0.25">
      <c r="A2214" s="5" t="s">
        <v>160</v>
      </c>
      <c r="B2214" s="256" t="s">
        <v>58</v>
      </c>
      <c r="C2214" s="257"/>
      <c r="D2214" s="257"/>
      <c r="E2214" s="257"/>
      <c r="F2214" s="257"/>
      <c r="G2214" s="258"/>
      <c r="H2214" s="5">
        <v>1</v>
      </c>
      <c r="I2214" s="5">
        <v>2</v>
      </c>
      <c r="J2214" s="5">
        <v>3</v>
      </c>
      <c r="K2214" s="5">
        <v>4</v>
      </c>
      <c r="L2214" s="5">
        <v>5</v>
      </c>
      <c r="M2214" s="270"/>
      <c r="N2214" s="271"/>
      <c r="O2214" s="271"/>
      <c r="P2214" s="272"/>
      <c r="Q2214" s="6"/>
      <c r="R2214" s="285"/>
      <c r="S2214" s="310"/>
      <c r="T2214" s="311"/>
      <c r="U2214" s="311"/>
      <c r="V2214" s="311"/>
      <c r="W2214" s="311"/>
      <c r="X2214" s="312"/>
      <c r="Y2214" s="285"/>
      <c r="Z2214" s="285"/>
      <c r="AA2214" s="285"/>
      <c r="AB2214" s="285"/>
      <c r="AC2214" s="285"/>
      <c r="AD2214" s="292"/>
      <c r="AE2214" s="293"/>
      <c r="AF2214" s="294"/>
    </row>
    <row r="2215" spans="1:32" ht="12.75" customHeight="1" x14ac:dyDescent="0.25">
      <c r="A2215" s="259" t="str">
        <f>B2202</f>
        <v>D</v>
      </c>
      <c r="B2215" s="236" t="str">
        <f ca="1">IF(AND(OFFSET($AO$1,$C2202-1,8,1,1),$A2203&lt;&gt;"",$J2203&lt;&gt;""),CHOOSE($C2202,$AP$1,$AP$2,$AP$3,$AP$4,$AP$5,$AP$6,$AP$7,$AP$8,$AP$9,$AP$10,$AP$11,$AP$12),"")</f>
        <v/>
      </c>
      <c r="C2215" s="237"/>
      <c r="D2215" s="237"/>
      <c r="E2215" s="237"/>
      <c r="F2215" s="237"/>
      <c r="G2215" s="237"/>
      <c r="H2215" s="233"/>
      <c r="I2215" s="233"/>
      <c r="J2215" s="233"/>
      <c r="K2215" s="233"/>
      <c r="L2215" s="233"/>
      <c r="M2215" s="245" t="str">
        <f ca="1">IF(OR(AND($B2208&lt;&gt;"",$B2215&lt;&gt;"",$C2233&lt;=$B2233),AND($B2210&lt;&gt;"",$B2217&lt;&gt;"",$G2233&lt;=$F2233)),"Invalid Lineup","")</f>
        <v/>
      </c>
      <c r="N2215" s="246"/>
      <c r="O2215" s="246"/>
      <c r="P2215" s="247"/>
      <c r="Q2215" s="40" t="str">
        <f>IF($L2215=$L2217,IF($K2215=$K2217,IF($J2215&lt;&gt;"",IF($J2215&gt;$J2217,"W","L"),""),IF($K2215&gt;$K2217,"W","L")),IF($L2215&gt;$L2217,"W","L"))</f>
        <v/>
      </c>
      <c r="R2215" s="259" t="str">
        <f>$K2202</f>
        <v>F</v>
      </c>
      <c r="S2215" s="307" t="str">
        <f ca="1">IF($B2217&lt;&gt;"",$B2217,"")</f>
        <v/>
      </c>
      <c r="T2215" s="308"/>
      <c r="U2215" s="308"/>
      <c r="V2215" s="308"/>
      <c r="W2215" s="308"/>
      <c r="X2215" s="309"/>
      <c r="Y2215" s="284"/>
      <c r="Z2215" s="284"/>
      <c r="AA2215" s="284"/>
      <c r="AB2215" s="284"/>
      <c r="AC2215" s="297"/>
      <c r="AD2215" s="289" t="s">
        <v>169</v>
      </c>
      <c r="AE2215" s="290"/>
      <c r="AF2215" s="291"/>
    </row>
    <row r="2216" spans="1:32" ht="12.75" customHeight="1" x14ac:dyDescent="0.25">
      <c r="A2216" s="260"/>
      <c r="B2216" s="238"/>
      <c r="C2216" s="239"/>
      <c r="D2216" s="239"/>
      <c r="E2216" s="239"/>
      <c r="F2216" s="239"/>
      <c r="G2216" s="239"/>
      <c r="H2216" s="234"/>
      <c r="I2216" s="234"/>
      <c r="J2216" s="234"/>
      <c r="K2216" s="234"/>
      <c r="L2216" s="234"/>
      <c r="M2216" s="245"/>
      <c r="N2216" s="246"/>
      <c r="O2216" s="246"/>
      <c r="P2216" s="247"/>
      <c r="Q2216" s="110" t="str">
        <f>IF($Q2215&lt;&gt;"",IF($Q2215="W",IF(SUM(IF($H2215&gt;$H2217,1,0),IF($I2215&gt;$I2217,1,0),IF($J2215&gt;$J2217,1,0),IF($K2215&gt;$K2217,1,0),IF($L2215&gt;$L2217,1,0))&lt;&gt;3,"Error",""),""),"")</f>
        <v/>
      </c>
      <c r="R2216" s="285"/>
      <c r="S2216" s="310"/>
      <c r="T2216" s="311"/>
      <c r="U2216" s="311"/>
      <c r="V2216" s="311"/>
      <c r="W2216" s="311"/>
      <c r="X2216" s="312"/>
      <c r="Y2216" s="285"/>
      <c r="Z2216" s="285"/>
      <c r="AA2216" s="285"/>
      <c r="AB2216" s="285"/>
      <c r="AC2216" s="285"/>
      <c r="AD2216" s="292"/>
      <c r="AE2216" s="293"/>
      <c r="AF2216" s="294"/>
    </row>
    <row r="2217" spans="1:32" ht="12.75" customHeight="1" x14ac:dyDescent="0.25">
      <c r="A2217" s="259" t="str">
        <f>K2202</f>
        <v>F</v>
      </c>
      <c r="B2217" s="236" t="str">
        <f ca="1">IF(AND(OFFSET($AO$1,$L2202-1,8,1,1),$A2203&lt;&gt;"",$J2203&lt;&gt;""),CHOOSE($L2202,$AP$1,$AP$2,$AP$3,$AP$4,$AP$5,$AP$6,$AP$7,$AP$8,$AP$9,$AP$10,$AP$11,$AP$12),"")</f>
        <v/>
      </c>
      <c r="C2217" s="237"/>
      <c r="D2217" s="237"/>
      <c r="E2217" s="237"/>
      <c r="F2217" s="237"/>
      <c r="G2217" s="237"/>
      <c r="H2217" s="233"/>
      <c r="I2217" s="233"/>
      <c r="J2217" s="233"/>
      <c r="K2217" s="233"/>
      <c r="L2217" s="233"/>
      <c r="M2217" s="250" t="s">
        <v>169</v>
      </c>
      <c r="N2217" s="251"/>
      <c r="O2217" s="251"/>
      <c r="P2217" s="252"/>
      <c r="Q2217" s="40" t="str">
        <f>IF($Q2215&lt;&gt;"",IF($Q2215="W","L","W"),"")</f>
        <v/>
      </c>
      <c r="R2217" s="14"/>
      <c r="S2217" s="14"/>
      <c r="T2217" s="14"/>
      <c r="U2217" s="14"/>
      <c r="V2217" s="14"/>
      <c r="W2217" s="14"/>
      <c r="X2217" s="7"/>
      <c r="Y2217" s="7"/>
      <c r="Z2217" s="14"/>
      <c r="AA2217" s="14"/>
      <c r="AB2217" s="14"/>
      <c r="AC2217" s="14"/>
      <c r="AD2217" s="14"/>
      <c r="AE2217" s="14"/>
      <c r="AF2217"/>
    </row>
    <row r="2218" spans="1:32" ht="12.75" customHeight="1" x14ac:dyDescent="0.25">
      <c r="A2218" s="260"/>
      <c r="B2218" s="238"/>
      <c r="C2218" s="239"/>
      <c r="D2218" s="239"/>
      <c r="E2218" s="239"/>
      <c r="F2218" s="239"/>
      <c r="G2218" s="239"/>
      <c r="H2218" s="234"/>
      <c r="I2218" s="234"/>
      <c r="J2218" s="235"/>
      <c r="K2218" s="235"/>
      <c r="L2218" s="235"/>
      <c r="M2218" s="250"/>
      <c r="N2218" s="251"/>
      <c r="O2218" s="251"/>
      <c r="P2218" s="252"/>
      <c r="Q2218" s="110" t="str">
        <f>IF($Q2217&lt;&gt;"",IF($Q2217="W",IF(SUM(IF($H2217&gt;$H2215,1,0),IF($I2217&gt;$I2215,1,0),IF($J2217&gt;$J2215,1,0),IF($K2217&gt;$K2215,1,0),IF($L2217&gt;$L2215,1,0))&lt;&gt;3,"Error",""),""),"")</f>
        <v/>
      </c>
      <c r="R2218" s="14"/>
      <c r="S2218" s="14"/>
      <c r="T2218" s="14"/>
      <c r="U2218" s="14"/>
      <c r="V2218" s="14"/>
      <c r="W2218" s="14"/>
      <c r="X2218" s="7"/>
      <c r="Y2218" s="7"/>
      <c r="Z2218" s="14"/>
      <c r="AA2218" s="14"/>
      <c r="AB2218" s="14"/>
      <c r="AC2218" s="14"/>
      <c r="AD2218" s="14"/>
      <c r="AE2218" s="14"/>
      <c r="AF2218"/>
    </row>
    <row r="2219" spans="1:32" ht="12.75" customHeight="1" x14ac:dyDescent="0.25">
      <c r="Q2219" s="6"/>
      <c r="R2219" s="14"/>
      <c r="S2219" s="14"/>
      <c r="T2219" s="14"/>
      <c r="U2219" s="14"/>
      <c r="V2219" s="14"/>
      <c r="W2219" s="14"/>
      <c r="X2219" s="7"/>
      <c r="Y2219" s="7"/>
      <c r="Z2219" s="14"/>
      <c r="AA2219" s="14"/>
      <c r="AB2219" s="14"/>
      <c r="AC2219" s="14"/>
      <c r="AD2219" s="14"/>
      <c r="AE2219" s="14"/>
      <c r="AF2219"/>
    </row>
    <row r="2220" spans="1:32" ht="12.75" customHeight="1" x14ac:dyDescent="0.25">
      <c r="A2220" s="15" t="s">
        <v>167</v>
      </c>
      <c r="H2220" s="110" t="str">
        <f>IF($Q2222&lt;&gt;"",IF(AND(AND($H2222&gt;-1,$H2224&gt;-1),OR($H2222&gt;10,$H2224&gt;10),ABS($H2222-$H2224)&gt;1,IF(OR($H2222&gt;11,$H2224&gt;11),ABS($H2222-$H2224)=2,TRUE),$H2222=INT($H2222),$H2224=INT($H2224)),"","Error"),"")</f>
        <v/>
      </c>
      <c r="I2220" s="110" t="str">
        <f>IF($Q2222&lt;&gt;"",IF(AND(AND($I2222&gt;-1,$I2224&gt;-1),OR($I2222&gt;10,$I2224&gt;10),ABS($I2222-$I2224)&gt;1,IF(OR($I2222&gt;11,$I2224&gt;11),ABS($I2222-$I2224)=2,TRUE),$I2222=INT($I2222),$I2224=INT($I2224)),"","Error"),"")</f>
        <v/>
      </c>
      <c r="J2220" s="110" t="str">
        <f>IF($Q2222&lt;&gt;"",IF(AND(AND($J2222&gt;-1,$J2224&gt;-1),OR($J2222&gt;10,$J2224&gt;10),ABS($J2222-$J2224)&gt;1,IF(OR($J2222&gt;11,$J2224&gt;11),ABS($J2222-$J2224)=2,TRUE),$J2222=INT($J2222),$J2224=INT($J2224)),"","Error"),"")</f>
        <v/>
      </c>
      <c r="K2220" s="110" t="str">
        <f>IF($Q2222&lt;&gt;"",IF(AND($K2222&lt;&gt;"",$K2224&lt;&gt;""), IF(AND(AND($K2222&gt;-1,$K2224&gt;-1),OR($K2222&gt;10,$K2224&gt;10),ABS($K2222-$K2224)&gt;1,IF(OR($K2222&gt;11,$K2224&gt;11),ABS($K2222-$K2224)=2,TRUE),$K2222=INT($K2222),$K2224=INT($K2224)),"","Error"),""),"")</f>
        <v/>
      </c>
      <c r="L2220" s="110" t="str">
        <f>IF($Q2222&lt;&gt;"",IF(AND($L2222&lt;&gt;"",$L2224&lt;&gt;""), IF(AND(AND($L2222&gt;-1,$L2224&gt;-1),OR($L2222&gt;10,$L2224&gt;10),ABS($L2222-$L2224)&gt;1,IF(OR($L2222&gt;11,$L2224&gt;11),ABS($L2222-$L2224)=2,TRUE),$L2222=INT($L2222),$L2224=INT($L2224)),"","Error"),""),"")</f>
        <v/>
      </c>
      <c r="Q2220" s="6"/>
      <c r="R2220" s="14"/>
      <c r="S2220" s="14"/>
      <c r="T2220" s="14"/>
      <c r="U2220" s="14"/>
      <c r="V2220" s="14"/>
      <c r="W2220" s="14"/>
      <c r="X2220" s="7"/>
      <c r="Y2220" s="7"/>
      <c r="Z2220" s="14"/>
      <c r="AA2220" s="14"/>
      <c r="AB2220" s="14"/>
      <c r="AC2220" s="14"/>
      <c r="AD2220" s="14"/>
      <c r="AE2220" s="14"/>
      <c r="AF2220"/>
    </row>
    <row r="2221" spans="1:32" ht="12.75" customHeight="1" x14ac:dyDescent="0.25">
      <c r="A2221" s="5" t="s">
        <v>160</v>
      </c>
      <c r="B2221" s="256" t="s">
        <v>58</v>
      </c>
      <c r="C2221" s="257"/>
      <c r="D2221" s="257"/>
      <c r="E2221" s="257"/>
      <c r="F2221" s="257"/>
      <c r="G2221" s="258"/>
      <c r="H2221" s="5">
        <v>1</v>
      </c>
      <c r="I2221" s="5">
        <v>2</v>
      </c>
      <c r="J2221" s="5">
        <v>3</v>
      </c>
      <c r="K2221" s="5">
        <v>4</v>
      </c>
      <c r="L2221" s="5">
        <v>5</v>
      </c>
      <c r="M2221" s="270"/>
      <c r="N2221" s="271"/>
      <c r="O2221" s="271"/>
      <c r="P2221" s="272"/>
      <c r="Q2221" s="6"/>
      <c r="R2221" s="14"/>
      <c r="S2221" s="14"/>
      <c r="T2221" s="14"/>
      <c r="U2221" s="14"/>
      <c r="V2221" s="14"/>
      <c r="W2221" s="14"/>
      <c r="X2221" s="7"/>
      <c r="Y2221" s="7"/>
      <c r="Z2221" s="14"/>
      <c r="AA2221" s="14"/>
      <c r="AB2221" s="14"/>
      <c r="AC2221" s="14"/>
      <c r="AD2221" s="14"/>
      <c r="AE2221" s="14"/>
      <c r="AF2221"/>
    </row>
    <row r="2222" spans="1:32" ht="12.75" customHeight="1" x14ac:dyDescent="0.25">
      <c r="A2222" s="259" t="str">
        <f>B2202</f>
        <v>D</v>
      </c>
      <c r="B2222" s="236" t="str">
        <f ca="1">IF(AND(OFFSET($AO$1,$C2202-1,8,1,1),$A2203&lt;&gt;"",$J2203&lt;&gt;""),CHOOSE($C2202,$AQ$1,$AQ$2,$AQ$3,$AQ$4,$AQ$5,$AQ$6,$AQ$7,$AQ$8,$AQ$9,$AQ$10,$AQ$11,$AQ$12),"")</f>
        <v/>
      </c>
      <c r="C2222" s="237"/>
      <c r="D2222" s="237"/>
      <c r="E2222" s="237"/>
      <c r="F2222" s="237"/>
      <c r="G2222" s="237"/>
      <c r="H2222" s="233"/>
      <c r="I2222" s="233"/>
      <c r="J2222" s="233"/>
      <c r="K2222" s="233"/>
      <c r="L2222" s="233"/>
      <c r="M2222" s="245" t="str">
        <f ca="1">IF(OR(AND($B2215&lt;&gt;"",$B2222&lt;&gt;"",$D2233&lt;=$C2233),AND($B2217&lt;&gt;"",$B2224&lt;&gt;"",$H2233&lt;=$G2233)),"Invalid Lineup","")</f>
        <v/>
      </c>
      <c r="N2222" s="246"/>
      <c r="O2222" s="246"/>
      <c r="P2222" s="247"/>
      <c r="Q2222" s="40" t="str">
        <f>IF($L2222=$L2224,IF($K2222=$K2224,IF($J2222&lt;&gt;"",IF($J2222&gt;$J2224,"W","L"),""),IF($K2222&gt;$K2224,"W","L")),IF($L2222&gt;$L2224,"W","L"))</f>
        <v/>
      </c>
      <c r="R2222" s="14"/>
      <c r="S2222" s="14"/>
      <c r="T2222" s="14"/>
      <c r="U2222" s="14"/>
      <c r="V2222" s="14"/>
      <c r="W2222" s="14"/>
      <c r="X2222" s="7"/>
      <c r="Y2222" s="7"/>
      <c r="Z2222" s="14"/>
      <c r="AA2222" s="14"/>
      <c r="AB2222" s="14"/>
      <c r="AC2222" s="14"/>
      <c r="AD2222" s="14"/>
      <c r="AE2222" s="14"/>
      <c r="AF2222"/>
    </row>
    <row r="2223" spans="1:32" ht="12.75" customHeight="1" x14ac:dyDescent="0.25">
      <c r="A2223" s="260"/>
      <c r="B2223" s="238"/>
      <c r="C2223" s="239"/>
      <c r="D2223" s="239"/>
      <c r="E2223" s="239"/>
      <c r="F2223" s="239"/>
      <c r="G2223" s="239"/>
      <c r="H2223" s="234"/>
      <c r="I2223" s="234"/>
      <c r="J2223" s="234"/>
      <c r="K2223" s="234"/>
      <c r="L2223" s="234"/>
      <c r="M2223" s="245"/>
      <c r="N2223" s="246"/>
      <c r="O2223" s="246"/>
      <c r="P2223" s="247"/>
      <c r="Q2223" s="110" t="str">
        <f>IF($Q2222&lt;&gt;"",IF($Q2222="W",IF(SUM(IF($H2222&gt;$H2224,1,0),IF($I2222&gt;$I2224,1,0),IF($J2222&gt;$J2224,1,0),IF($K2222&gt;$K2224,1,0),IF($L2222&gt;$L2224,1,0))&lt;&gt;3,"Error",""),""),"")</f>
        <v/>
      </c>
      <c r="R2223" s="295" t="str">
        <f>$A2203</f>
        <v/>
      </c>
      <c r="S2223" s="295"/>
      <c r="T2223" s="295"/>
      <c r="U2223" s="295"/>
      <c r="V2223" s="295"/>
      <c r="W2223" s="295"/>
      <c r="X2223" s="219" t="str">
        <f>CONCATENATE("(",$B2202," vs ",$K2202,")")</f>
        <v>(D vs F)</v>
      </c>
      <c r="Y2223" s="219"/>
      <c r="Z2223" s="295" t="str">
        <f>$J2203</f>
        <v/>
      </c>
      <c r="AA2223" s="295"/>
      <c r="AB2223" s="295"/>
      <c r="AC2223" s="295"/>
      <c r="AD2223" s="295"/>
      <c r="AE2223" s="295"/>
      <c r="AF2223"/>
    </row>
    <row r="2224" spans="1:32" ht="12.75" customHeight="1" x14ac:dyDescent="0.25">
      <c r="A2224" s="259" t="str">
        <f>K2202</f>
        <v>F</v>
      </c>
      <c r="B2224" s="236" t="str">
        <f ca="1">IF(AND(OFFSET($AO$1,$L2202-1,8,1,1),$A2203&lt;&gt;"",$J2203&lt;&gt;""),CHOOSE($L2202,$AQ$1,$AQ$2,$AQ$3,$AQ$4,$AQ$5,$AQ$6,$AQ$7,$AQ$8,$AQ$9,$AQ$10,$AQ$11,$AQ$12),"")</f>
        <v/>
      </c>
      <c r="C2224" s="237"/>
      <c r="D2224" s="237"/>
      <c r="E2224" s="237"/>
      <c r="F2224" s="237"/>
      <c r="G2224" s="237"/>
      <c r="H2224" s="233"/>
      <c r="I2224" s="233"/>
      <c r="J2224" s="233"/>
      <c r="K2224" s="233"/>
      <c r="L2224" s="233"/>
      <c r="M2224" s="250" t="s">
        <v>169</v>
      </c>
      <c r="N2224" s="251"/>
      <c r="O2224" s="251"/>
      <c r="P2224" s="252"/>
      <c r="Q2224" s="40" t="str">
        <f>IF($Q2222&lt;&gt;"",IF($Q2222="W","L","W"),"")</f>
        <v/>
      </c>
      <c r="R2224"/>
      <c r="S2224"/>
      <c r="T2224"/>
      <c r="U2224"/>
      <c r="V2224"/>
      <c r="W2224"/>
      <c r="X2224"/>
      <c r="Y2224"/>
      <c r="Z2224"/>
      <c r="AA2224"/>
      <c r="AB2224"/>
      <c r="AC2224"/>
      <c r="AD2224"/>
      <c r="AE2224"/>
      <c r="AF2224"/>
    </row>
    <row r="2225" spans="1:32" ht="12.75" customHeight="1" x14ac:dyDescent="0.25">
      <c r="A2225" s="260"/>
      <c r="B2225" s="238"/>
      <c r="C2225" s="239"/>
      <c r="D2225" s="239"/>
      <c r="E2225" s="239"/>
      <c r="F2225" s="239"/>
      <c r="G2225" s="239"/>
      <c r="H2225" s="234"/>
      <c r="I2225" s="234"/>
      <c r="J2225" s="235"/>
      <c r="K2225" s="235"/>
      <c r="L2225" s="235"/>
      <c r="M2225" s="250"/>
      <c r="N2225" s="251"/>
      <c r="O2225" s="251"/>
      <c r="P2225" s="252"/>
      <c r="Q2225" s="110" t="str">
        <f>IF($Q2224&lt;&gt;"",IF($Q2224="W",IF(SUM(IF($H2224&gt;$H2222,1,0),IF($I2224&gt;$I2222,1,0),IF($J2224&gt;$J2222,1,0),IF($K2224&gt;$K2222,1,0),IF($L2224&gt;$L2222,1,0))&lt;&gt;3,"Error",""),""),"")</f>
        <v/>
      </c>
      <c r="R2225" t="str">
        <f>$A2220</f>
        <v>3rd Singles</v>
      </c>
      <c r="S2225"/>
      <c r="T2225"/>
      <c r="U2225"/>
      <c r="V2225"/>
      <c r="W2225"/>
      <c r="X2225"/>
      <c r="Y2225"/>
      <c r="Z2225"/>
      <c r="AA2225"/>
      <c r="AB2225"/>
      <c r="AC2225"/>
      <c r="AD2225"/>
      <c r="AE2225"/>
      <c r="AF2225"/>
    </row>
    <row r="2226" spans="1:32" ht="12.75" customHeight="1" x14ac:dyDescent="0.25">
      <c r="Q2226" s="6"/>
      <c r="R2226" s="47" t="s">
        <v>160</v>
      </c>
      <c r="S2226" s="86" t="s">
        <v>58</v>
      </c>
      <c r="T2226" s="87"/>
      <c r="U2226" s="87"/>
      <c r="V2226" s="87"/>
      <c r="W2226" s="87"/>
      <c r="X2226" s="88"/>
      <c r="Y2226" s="47">
        <v>1</v>
      </c>
      <c r="Z2226" s="47">
        <v>2</v>
      </c>
      <c r="AA2226" s="47">
        <v>3</v>
      </c>
      <c r="AB2226" s="47">
        <v>4</v>
      </c>
      <c r="AC2226" s="47">
        <v>5</v>
      </c>
      <c r="AD2226" s="89"/>
      <c r="AE2226" s="90"/>
      <c r="AF2226" s="91"/>
    </row>
    <row r="2227" spans="1:32" ht="12.75" customHeight="1" x14ac:dyDescent="0.25">
      <c r="A2227" s="15" t="s">
        <v>168</v>
      </c>
      <c r="H2227" s="110" t="str">
        <f ca="1">IF($Q2229&lt;&gt;"",IF(AND($B2229&lt;&gt;"Missing Player",$B2231&lt;&gt;"Missing Player"),IF(AND(AND($H2229&gt;-1,$H2231&gt;-1),OR($H2229&gt;10,$H2231&gt;10),ABS($H2229-$H2231)&gt;1,IF(OR($H2229&gt;11,$H2231&gt;11),ABS($H2229-$H2231)=2,TRUE),$H2229=INT($H2229),$H2231=INT($H2231)),"","Error"),""),"")</f>
        <v/>
      </c>
      <c r="I2227" s="110" t="str">
        <f ca="1">IF($Q2229&lt;&gt;"",IF(AND($B2229&lt;&gt;"Missing Player",$B2231&lt;&gt;"Missing Player"),IF(AND(AND($I2229&gt;-1,$I2231&gt;-1),OR($I2229&gt;10,$I2231&gt;10),ABS($I2229-$I2231)&gt;1,IF(OR($I2229&gt;11,$I2231&gt;11),ABS($I2229-$I2231)=2,TRUE),$I2229=INT($I2229),$I2231=INT($I2231)),"","Error"),""),"")</f>
        <v/>
      </c>
      <c r="J2227" s="110" t="str">
        <f ca="1">IF($Q2229&lt;&gt;"",IF(AND($B2229&lt;&gt;"Missing Player",$B2231&lt;&gt;"Missing Player"),IF(AND(AND($J2229&gt;-1,$J2231&gt;-1),OR($J2229&gt;10,$J2231&gt;10),ABS($J2229-$J2231)&gt;1,IF(OR($J2229&gt;11,$J2231&gt;11),ABS($J2229-$J2231)=2,TRUE),$J2229=INT($J2229),$J2231=INT($J2231)),"","Error"),""),"")</f>
        <v/>
      </c>
      <c r="K2227" s="110" t="str">
        <f ca="1">IF($Q2229&lt;&gt;"",IF(AND($K2229&lt;&gt;"",$K2231&lt;&gt;""), IF(AND(AND($K2229&gt;-1,$K2231&gt;-1),OR($K2229&gt;10,$K2231&gt;10),ABS($K2229-$K2231)&gt;1,IF(OR($K2229&gt;11,$K2231&gt;11),ABS($K2229-$K2231)=2,TRUE),$K2229=INT($K2229),$K2231=INT($K2231)),"","Error"),""),"")</f>
        <v/>
      </c>
      <c r="L2227" s="110" t="str">
        <f ca="1">IF($Q2229&lt;&gt;"",IF(AND($L2229&lt;&gt;"",$L2231&lt;&gt;""), IF(AND(AND($L2229&gt;-1,$L2231&gt;-1),OR($L2229&gt;10,$L2231&gt;10),ABS($L2229-$L2231)&gt;1,IF(OR($L2229&gt;11,$L2231&gt;11),ABS($L2229-$L2231)=2,TRUE),$L2229=INT($L2229),$L2231=INT($L2231)),"","Error"),""),"")</f>
        <v/>
      </c>
      <c r="Q2227" s="6"/>
      <c r="R2227" s="259" t="str">
        <f>$B2202</f>
        <v>D</v>
      </c>
      <c r="S2227" s="307" t="str">
        <f ca="1">IF($B2222&lt;&gt;"",$B2222,"")</f>
        <v/>
      </c>
      <c r="T2227" s="308"/>
      <c r="U2227" s="308"/>
      <c r="V2227" s="308"/>
      <c r="W2227" s="308"/>
      <c r="X2227" s="309"/>
      <c r="Y2227" s="284"/>
      <c r="Z2227" s="284"/>
      <c r="AA2227" s="284"/>
      <c r="AB2227" s="284"/>
      <c r="AC2227" s="284"/>
      <c r="AD2227" s="296"/>
      <c r="AE2227" s="290"/>
      <c r="AF2227" s="291"/>
    </row>
    <row r="2228" spans="1:32" ht="12.75" customHeight="1" x14ac:dyDescent="0.25">
      <c r="A2228" s="5" t="s">
        <v>160</v>
      </c>
      <c r="B2228" s="256" t="s">
        <v>58</v>
      </c>
      <c r="C2228" s="257"/>
      <c r="D2228" s="257"/>
      <c r="E2228" s="257"/>
      <c r="F2228" s="257"/>
      <c r="G2228" s="258"/>
      <c r="H2228" s="5">
        <v>1</v>
      </c>
      <c r="I2228" s="5">
        <v>2</v>
      </c>
      <c r="J2228" s="5">
        <v>3</v>
      </c>
      <c r="K2228" s="5">
        <v>4</v>
      </c>
      <c r="L2228" s="5">
        <v>5</v>
      </c>
      <c r="M2228" s="270"/>
      <c r="N2228" s="271"/>
      <c r="O2228" s="271"/>
      <c r="P2228" s="272"/>
      <c r="Q2228" s="6"/>
      <c r="R2228" s="285"/>
      <c r="S2228" s="310"/>
      <c r="T2228" s="311"/>
      <c r="U2228" s="311"/>
      <c r="V2228" s="311"/>
      <c r="W2228" s="311"/>
      <c r="X2228" s="312"/>
      <c r="Y2228" s="285"/>
      <c r="Z2228" s="285"/>
      <c r="AA2228" s="285"/>
      <c r="AB2228" s="285"/>
      <c r="AC2228" s="285"/>
      <c r="AD2228" s="292"/>
      <c r="AE2228" s="293"/>
      <c r="AF2228" s="294"/>
    </row>
    <row r="2229" spans="1:32" ht="12.75" customHeight="1" x14ac:dyDescent="0.25">
      <c r="A2229" s="259" t="str">
        <f>B2202</f>
        <v>D</v>
      </c>
      <c r="B2229" s="236" t="str">
        <f ca="1">IF(AND(OFFSET($AO$1,$C2202-1,8,1,1),$A2203&lt;&gt;"",$J2203&lt;&gt;""),CHOOSE($C2202,$AR$1,$AR$2,$AR$3,$AR$4,$AR$5,$AR$6,$AR$7,$AR$8,$AR$9,$AR$10,$AR$11,$AR$12),"")</f>
        <v/>
      </c>
      <c r="C2229" s="237"/>
      <c r="D2229" s="237"/>
      <c r="E2229" s="237"/>
      <c r="F2229" s="237"/>
      <c r="G2229" s="237"/>
      <c r="H2229" s="233"/>
      <c r="I2229" s="233"/>
      <c r="J2229" s="233"/>
      <c r="K2229" s="233"/>
      <c r="L2229" s="233" t="str">
        <f ca="1">IF(AND($B2229&lt;&gt;"",$Q2208&lt;&gt;""),IF($B2229="Missing Player",0,IF($B2231="Missing Player",11,"")),"")</f>
        <v/>
      </c>
      <c r="M2229" s="245" t="str">
        <f ca="1">IF(OR(AND($B2222&lt;&gt;"",$B2229&lt;&gt;"",$E2233&lt;=$D2233),AND($B2224&lt;&gt;"",$B2231&lt;&gt;"",$I2233&lt;=$H2233)),"Invalid Lineup","")</f>
        <v/>
      </c>
      <c r="N2229" s="246"/>
      <c r="O2229" s="246"/>
      <c r="P2229" s="247"/>
      <c r="Q2229" s="40" t="str">
        <f ca="1">IF($L2229=$L2231,IF($K2229=$K2231,IF($J2229&lt;&gt;"",IF($J2229&gt;$J2231,"W","L"),""),IF($K2229&gt;$K2231,"W","L")),IF($L2229&gt;$L2231,"W","L"))</f>
        <v/>
      </c>
      <c r="R2229" s="259" t="str">
        <f>$K2202</f>
        <v>F</v>
      </c>
      <c r="S2229" s="307" t="str">
        <f ca="1">IF($B2224&lt;&gt;"",$B2224,"")</f>
        <v/>
      </c>
      <c r="T2229" s="308"/>
      <c r="U2229" s="308"/>
      <c r="V2229" s="308"/>
      <c r="W2229" s="308"/>
      <c r="X2229" s="309"/>
      <c r="Y2229" s="284"/>
      <c r="Z2229" s="284"/>
      <c r="AA2229" s="284"/>
      <c r="AB2229" s="284"/>
      <c r="AC2229" s="297"/>
      <c r="AD2229" s="289" t="s">
        <v>169</v>
      </c>
      <c r="AE2229" s="290"/>
      <c r="AF2229" s="291"/>
    </row>
    <row r="2230" spans="1:32" ht="12.75" customHeight="1" x14ac:dyDescent="0.25">
      <c r="A2230" s="260"/>
      <c r="B2230" s="238"/>
      <c r="C2230" s="239"/>
      <c r="D2230" s="239"/>
      <c r="E2230" s="239"/>
      <c r="F2230" s="239"/>
      <c r="G2230" s="239"/>
      <c r="H2230" s="234"/>
      <c r="I2230" s="234"/>
      <c r="J2230" s="234"/>
      <c r="K2230" s="234"/>
      <c r="L2230" s="234"/>
      <c r="M2230" s="245"/>
      <c r="N2230" s="246"/>
      <c r="O2230" s="246"/>
      <c r="P2230" s="247"/>
      <c r="Q2230" s="110" t="str">
        <f ca="1">IF($Q2229&lt;&gt;"",IF($B2231&lt;&gt;"Missing Player",IF($Q2229="W",IF(SUM(IF($H2229&gt;$H2231,1,0),IF($I2229&gt;$I2231,1,0),IF($J2229&gt;$J2231,1,0),IF($K2229&gt;$K2231,1,0),IF($L2229&gt;$L2231,1,0))&lt;&gt;3,"Error",""),""),""),"")</f>
        <v/>
      </c>
      <c r="R2230" s="285"/>
      <c r="S2230" s="310"/>
      <c r="T2230" s="311"/>
      <c r="U2230" s="311"/>
      <c r="V2230" s="311"/>
      <c r="W2230" s="311"/>
      <c r="X2230" s="312"/>
      <c r="Y2230" s="285"/>
      <c r="Z2230" s="285"/>
      <c r="AA2230" s="285"/>
      <c r="AB2230" s="285"/>
      <c r="AC2230" s="285"/>
      <c r="AD2230" s="292"/>
      <c r="AE2230" s="293"/>
      <c r="AF2230" s="294"/>
    </row>
    <row r="2231" spans="1:32" ht="12.75" customHeight="1" x14ac:dyDescent="0.25">
      <c r="A2231" s="259" t="str">
        <f>K2202</f>
        <v>F</v>
      </c>
      <c r="B2231" s="236" t="str">
        <f ca="1">IF(AND(OFFSET($AO$1,$L2202-1,8,1,1),$A2203&lt;&gt;"",$J2203&lt;&gt;""),CHOOSE($L2202,$AR$1,$AR$2,$AR$3,$AR$4,$AR$5,$AR$6,$AR$7,$AR$8,$AR$9,$AR$10,$AR$11,$AR$12),"")</f>
        <v/>
      </c>
      <c r="C2231" s="237"/>
      <c r="D2231" s="237"/>
      <c r="E2231" s="237"/>
      <c r="F2231" s="237"/>
      <c r="G2231" s="237"/>
      <c r="H2231" s="233"/>
      <c r="I2231" s="233"/>
      <c r="J2231" s="233"/>
      <c r="K2231" s="233"/>
      <c r="L2231" s="233" t="str">
        <f ca="1">IF(AND($B2231&lt;&gt;"",$Q2208&lt;&gt;""),IF($B2231="Missing Player",0,IF($B2229="Missing Player",11,"")),"")</f>
        <v/>
      </c>
      <c r="M2231" s="250" t="s">
        <v>169</v>
      </c>
      <c r="N2231" s="251"/>
      <c r="O2231" s="251"/>
      <c r="P2231" s="252"/>
      <c r="Q2231" s="40" t="str">
        <f ca="1">IF($Q2229&lt;&gt;"",IF($Q2229="W","L","W"),"")</f>
        <v/>
      </c>
      <c r="R2231" s="94"/>
      <c r="S2231" s="84"/>
      <c r="T2231" s="84"/>
      <c r="U2231" s="84"/>
      <c r="V2231" s="84"/>
      <c r="W2231" s="84"/>
      <c r="X2231" s="84"/>
      <c r="Y2231" s="93"/>
      <c r="Z2231" s="93"/>
      <c r="AA2231" s="93"/>
      <c r="AB2231" s="93"/>
      <c r="AC2231" s="93"/>
      <c r="AD2231" s="92"/>
      <c r="AE2231" s="93"/>
      <c r="AF2231" s="93"/>
    </row>
    <row r="2232" spans="1:32" ht="12.75" customHeight="1" x14ac:dyDescent="0.25">
      <c r="A2232" s="260"/>
      <c r="B2232" s="238"/>
      <c r="C2232" s="239"/>
      <c r="D2232" s="239"/>
      <c r="E2232" s="239"/>
      <c r="F2232" s="239"/>
      <c r="G2232" s="239"/>
      <c r="H2232" s="234"/>
      <c r="I2232" s="234"/>
      <c r="J2232" s="235"/>
      <c r="K2232" s="235"/>
      <c r="L2232" s="235"/>
      <c r="M2232" s="250"/>
      <c r="N2232" s="251"/>
      <c r="O2232" s="251"/>
      <c r="P2232" s="252"/>
      <c r="Q2232" s="110" t="str">
        <f ca="1">IF($Q2231&lt;&gt;"",IF($B2229&lt;&gt;"Missing Player",IF($Q2231="W",IF(SUM(IF($H2231&gt;$H2229,1,0),IF($I2231&gt;$I2229,1,0),IF($J2231&gt;$J2229,1,0),IF($K2231&gt;$K2229,1,0),IF($L2231&gt;$L2229,1,0))&lt;&gt;3,"Error",""),""),""),"")</f>
        <v/>
      </c>
      <c r="R2232" s="85"/>
      <c r="S2232" s="95"/>
      <c r="T2232" s="95"/>
      <c r="U2232" s="95"/>
      <c r="V2232" s="95"/>
      <c r="W2232" s="95"/>
      <c r="X2232" s="95"/>
      <c r="Y2232" s="85"/>
      <c r="Z2232" s="85"/>
      <c r="AA2232" s="85"/>
      <c r="AB2232" s="85"/>
      <c r="AC2232" s="85"/>
      <c r="AD2232" s="85"/>
      <c r="AE2232" s="85"/>
      <c r="AF2232" s="85"/>
    </row>
    <row r="2233" spans="1:32" ht="12.75" customHeight="1" x14ac:dyDescent="0.25">
      <c r="B2233" s="111" t="str">
        <f ca="1">IF(ISERROR(VLOOKUP($B2208&amp;"("&amp;$B2202&amp;")",Players!$S$4:$T$132,2,FALSE)),"",VLOOKUP($B2208&amp;"("&amp;$B2202&amp;")",Players!$S$4:$T$132,2,FALSE))</f>
        <v>D1</v>
      </c>
      <c r="C2233" s="111" t="str">
        <f ca="1">IF(ISERROR(VLOOKUP($B2215&amp;"("&amp;$B2202&amp;")",Players!$S$4:$T$132,2,FALSE)),"",VLOOKUP($B2215&amp;"("&amp;$B2202&amp;")",Players!$S$4:$T$132,2,FALSE))</f>
        <v>D1</v>
      </c>
      <c r="D2233" s="111" t="str">
        <f ca="1">IF(ISERROR(VLOOKUP($B2222&amp;"("&amp;$B2202&amp;")",Players!$S$4:$T$132,2,FALSE)),"",VLOOKUP($B2222&amp;"("&amp;$B2202&amp;")",Players!$S$4:$T$132,2,FALSE))</f>
        <v>D1</v>
      </c>
      <c r="E2233" s="111" t="str">
        <f ca="1">IF(ISERROR(VLOOKUP($B2229&amp;"("&amp;$B2202&amp;")",Players!$S$4:$T$132,2,FALSE)),"",VLOOKUP($B2229&amp;"("&amp;$B2202&amp;")",Players!$S$4:$T$132,2,FALSE))</f>
        <v>D1</v>
      </c>
      <c r="F2233" s="111" t="str">
        <f ca="1">IF(ISERROR(VLOOKUP($B2210&amp;"("&amp;$K2202&amp;")",Players!$S$4:$T$132,2,FALSE)),"",VLOOKUP($B2210&amp;"("&amp;$K2202&amp;")",Players!$S$4:$T$132,2,FALSE))</f>
        <v>F1</v>
      </c>
      <c r="G2233" s="111" t="str">
        <f ca="1">IF(ISERROR(VLOOKUP($B2217&amp;"("&amp;$K2202&amp;")",Players!$S$4:$T$132,2,FALSE)),"",VLOOKUP($B2217&amp;"("&amp;$K2202&amp;")",Players!$S$4:$T$132,2,FALSE))</f>
        <v>F1</v>
      </c>
      <c r="H2233" s="111" t="str">
        <f ca="1">IF(ISERROR(VLOOKUP($B2224&amp;"("&amp;$K2202&amp;")",Players!$S$4:$T$132,2,FALSE)),"",VLOOKUP($B2224&amp;"("&amp;$K2202&amp;")",Players!$S$4:$T$132,2,FALSE))</f>
        <v>F1</v>
      </c>
      <c r="I2233" s="111" t="str">
        <f ca="1">IF(ISERROR(VLOOKUP($B2231&amp;"("&amp;$K2202&amp;")",Players!$S$4:$T$132,2,FALSE)),"",VLOOKUP($B2231&amp;"("&amp;$K2202&amp;")",Players!$S$4:$T$132,2,FALSE))</f>
        <v>F1</v>
      </c>
      <c r="Q2233" s="6"/>
      <c r="R2233" s="37"/>
      <c r="S2233" s="95"/>
      <c r="T2233" s="95"/>
      <c r="U2233" s="95"/>
      <c r="V2233" s="95"/>
      <c r="W2233" s="95"/>
      <c r="X2233" s="95"/>
      <c r="Y2233" s="85"/>
      <c r="Z2233" s="85"/>
      <c r="AA2233" s="85"/>
      <c r="AB2233" s="85"/>
      <c r="AC2233" s="96"/>
      <c r="AD2233" s="97"/>
      <c r="AE2233" s="85"/>
      <c r="AF2233" s="85"/>
    </row>
    <row r="2234" spans="1:32" ht="12.75" customHeight="1" x14ac:dyDescent="0.25">
      <c r="A2234" s="15" t="s">
        <v>157</v>
      </c>
      <c r="H2234" s="110" t="str">
        <f ca="1">IF($Q2236&lt;&gt;"",IF(AND($B2237&lt;&gt;"Missing Player",$B2239&lt;&gt;"Missing Player"),IF(AND(AND($H2236&gt;-1,$H2238&gt;-1),OR($H2236&gt;10,$H2238&gt;10),ABS($H2236-$H2238)&gt;1,IF(OR($H2236&gt;11,$H2238&gt;11),ABS($H2236-$H2238)=2,TRUE),$H2236=INT($H2236),$H2238=INT($H2238)),"","Error"),""),"")</f>
        <v/>
      </c>
      <c r="I2234" s="110" t="str">
        <f ca="1">IF($Q2236&lt;&gt;"",IF(AND($B2237&lt;&gt;"Missing Player",$B2239&lt;&gt;"Missing Player"),IF(AND(AND($I2236&gt;-1,$I2238&gt;-1),OR($I2236&gt;10,$I2238&gt;10),ABS($I2236-$I2238)&gt;1,IF(OR($I2236&gt;11,$I2238&gt;11),ABS($I2236-$I2238)=2,TRUE),$I2236=INT($I2236),$I2238=INT($I2238)),"","Error"),""),"")</f>
        <v/>
      </c>
      <c r="J2234" s="110" t="str">
        <f ca="1">IF($Q2236&lt;&gt;"",IF(AND($B2237&lt;&gt;"Missing Player",$B2239&lt;&gt;"Missing Player"),IF(AND(AND($J2236&gt;-1,$J2238&gt;-1),OR($J2236&gt;10,$J2238&gt;10),ABS($J2236-$J2238)&gt;1,IF(OR($J2236&gt;11,$J2238&gt;11),ABS($J2236-$J2238)=2,TRUE),$J2236=INT($J2236),$J2238=INT($J2238)),"","Error"),""),"")</f>
        <v/>
      </c>
      <c r="K2234" s="110" t="str">
        <f ca="1">IF($Q2236&lt;&gt;"",IF(AND($K2236&lt;&gt;"",$K2238&lt;&gt;""), IF(AND(AND($K2236&gt;-1,$K2238&gt;-1),OR($K2236&gt;10,$K2238&gt;10),ABS($K2236-$K2238)&gt;1,IF(OR($K2236&gt;11,$K2238&gt;11),ABS($K2236-$K2238)=2,TRUE),$K2236=INT($K2236),$K2238=INT($K2238)),"","Error"),""),"")</f>
        <v/>
      </c>
      <c r="L2234" s="110" t="str">
        <f ca="1">IF($Q2236&lt;&gt;"",IF(AND($L2236&lt;&gt;"",$L2238&lt;&gt;""), IF(AND(AND($L2236&gt;-1,$L2238&gt;-1),OR($L2236&gt;10,$L2238&gt;10),ABS($L2236-$L2238)&gt;1,IF(OR($L2236&gt;11,$L2238&gt;11),ABS($L2236-$L2238)=2,TRUE),$L2236=INT($L2236),$L2238=INT($L2238)),"","Error"),""),"")</f>
        <v/>
      </c>
      <c r="Q2234" s="6"/>
      <c r="R2234" s="85"/>
      <c r="S2234" s="95"/>
      <c r="T2234" s="95"/>
      <c r="U2234" s="95"/>
      <c r="V2234" s="95"/>
      <c r="W2234" s="95"/>
      <c r="X2234" s="95"/>
      <c r="Y2234" s="85"/>
      <c r="Z2234" s="85"/>
      <c r="AA2234" s="85"/>
      <c r="AB2234" s="85"/>
      <c r="AC2234" s="85"/>
      <c r="AD2234" s="85"/>
      <c r="AE2234" s="85"/>
      <c r="AF2234" s="85"/>
    </row>
    <row r="2235" spans="1:32" ht="12.75" customHeight="1" x14ac:dyDescent="0.25">
      <c r="A2235" s="5" t="s">
        <v>160</v>
      </c>
      <c r="B2235" s="256" t="s">
        <v>58</v>
      </c>
      <c r="C2235" s="257"/>
      <c r="D2235" s="257"/>
      <c r="E2235" s="257"/>
      <c r="F2235" s="257"/>
      <c r="G2235" s="258"/>
      <c r="H2235" s="5">
        <v>1</v>
      </c>
      <c r="I2235" s="5">
        <v>2</v>
      </c>
      <c r="J2235" s="5">
        <v>3</v>
      </c>
      <c r="K2235" s="5">
        <v>4</v>
      </c>
      <c r="L2235" s="5">
        <v>5</v>
      </c>
      <c r="M2235" s="270"/>
      <c r="N2235" s="271"/>
      <c r="O2235" s="271"/>
      <c r="P2235" s="272"/>
      <c r="Q2235" s="6"/>
      <c r="T2235" s="7"/>
    </row>
    <row r="2236" spans="1:32" ht="12.75" customHeight="1" x14ac:dyDescent="0.25">
      <c r="A2236" s="259" t="str">
        <f>B2202</f>
        <v>D</v>
      </c>
      <c r="B2236" s="230" t="str">
        <f ca="1">IF($B2208&lt;&gt;"",$B2208,"")</f>
        <v/>
      </c>
      <c r="C2236" s="231"/>
      <c r="D2236" s="231"/>
      <c r="E2236" s="231"/>
      <c r="F2236" s="231"/>
      <c r="G2236" s="232"/>
      <c r="H2236" s="233"/>
      <c r="I2236" s="233"/>
      <c r="J2236" s="233"/>
      <c r="K2236" s="233"/>
      <c r="L2236" s="233" t="str">
        <f ca="1">IF($B2229&lt;&gt;"",IF(AND($B2229="Missing Player",$G2240=2,$J2240=2),0,IF(AND($B2231="Missing Player",$G2240=2,$J2240=2),11,"")),"")</f>
        <v/>
      </c>
      <c r="M2236" s="245" t="str">
        <f ca="1">IF(OR(AND($B2236&lt;&gt;"",$B2237&lt;&gt;"",$B2236=$B2237),AND($B2238&lt;&gt;"",$B2239&lt;&gt;"",$B2238=$B2239)),"Invalid Partner","")</f>
        <v/>
      </c>
      <c r="N2236" s="246"/>
      <c r="O2236" s="246"/>
      <c r="P2236" s="247"/>
      <c r="Q2236" s="37" t="str">
        <f ca="1">IF(L2236=L2238,IF(K2236=K2238,IF(J2236&lt;&gt;"",IF(J2236&gt;J2238,"W","L"),""),IF(K2236&gt;K2238,"W","L")),IF(L2236&gt;L2238,"W","L"))</f>
        <v/>
      </c>
      <c r="T2236" s="7"/>
    </row>
    <row r="2237" spans="1:32" ht="12.75" customHeight="1" x14ac:dyDescent="0.25">
      <c r="A2237" s="260"/>
      <c r="B2237" s="266" t="str">
        <f ca="1">IF($B2229="Missing Player",$B2229,"")</f>
        <v/>
      </c>
      <c r="C2237" s="267"/>
      <c r="D2237" s="267"/>
      <c r="E2237" s="267"/>
      <c r="F2237" s="267"/>
      <c r="G2237" s="268"/>
      <c r="H2237" s="234"/>
      <c r="I2237" s="234"/>
      <c r="J2237" s="234"/>
      <c r="K2237" s="234"/>
      <c r="L2237" s="234"/>
      <c r="M2237" s="245"/>
      <c r="N2237" s="246"/>
      <c r="O2237" s="246"/>
      <c r="P2237" s="247"/>
      <c r="Q2237" s="110" t="str">
        <f ca="1">IF($Q2236&lt;&gt;"",IF($B2239&lt;&gt;"Missing Player",IF($Q2236="W",IF(SUM(IF($H2236&gt;$H2238,1,0),IF($I2236&gt;$I2238,1,0),IF($J2236&gt;$J2238,1,0),IF($K2236&gt;$K2238,1,0),IF($L2236&gt;$L2238,1,0))&lt;&gt;3,"Error",""),""),""),"")</f>
        <v/>
      </c>
      <c r="R2237" s="295" t="str">
        <f>$A2203</f>
        <v/>
      </c>
      <c r="S2237" s="295"/>
      <c r="T2237" s="295"/>
      <c r="U2237" s="295"/>
      <c r="V2237" s="295"/>
      <c r="W2237" s="295"/>
      <c r="X2237" s="219" t="str">
        <f>CONCATENATE("(",$B2202," vs ",$K2202,")")</f>
        <v>(D vs F)</v>
      </c>
      <c r="Y2237" s="219"/>
      <c r="Z2237" s="295" t="str">
        <f>$J2203</f>
        <v/>
      </c>
      <c r="AA2237" s="295"/>
      <c r="AB2237" s="295"/>
      <c r="AC2237" s="295"/>
      <c r="AD2237" s="295"/>
      <c r="AE2237" s="295"/>
      <c r="AF2237"/>
    </row>
    <row r="2238" spans="1:32" ht="12.75" customHeight="1" x14ac:dyDescent="0.25">
      <c r="A2238" s="265" t="str">
        <f>K2202</f>
        <v>F</v>
      </c>
      <c r="B2238" s="230" t="str">
        <f ca="1">IF($B2210&lt;&gt;"",$B2210,"")</f>
        <v/>
      </c>
      <c r="C2238" s="231"/>
      <c r="D2238" s="231"/>
      <c r="E2238" s="231"/>
      <c r="F2238" s="231"/>
      <c r="G2238" s="232"/>
      <c r="H2238" s="233"/>
      <c r="I2238" s="233"/>
      <c r="J2238" s="233"/>
      <c r="K2238" s="233"/>
      <c r="L2238" s="233" t="str">
        <f ca="1">IF($B2231&lt;&gt;"",IF(AND($B2231="Missing Player",$G2240=2,$J2240=2),0,IF(AND($B2229="Missing Player",$G2240=2,$J2240=2),11,"")),"")</f>
        <v/>
      </c>
      <c r="M2238" s="250" t="s">
        <v>169</v>
      </c>
      <c r="N2238" s="251"/>
      <c r="O2238" s="251"/>
      <c r="P2238" s="252"/>
      <c r="Q2238" s="37" t="str">
        <f ca="1">IF(Q2236&lt;&gt;"",IF(Q2236="W","L","W"),"")</f>
        <v/>
      </c>
      <c r="R2238"/>
      <c r="S2238"/>
      <c r="T2238"/>
      <c r="U2238"/>
      <c r="V2238"/>
      <c r="W2238"/>
      <c r="X2238"/>
      <c r="Y2238"/>
      <c r="Z2238"/>
      <c r="AA2238"/>
      <c r="AB2238"/>
      <c r="AC2238"/>
      <c r="AD2238"/>
      <c r="AE2238"/>
      <c r="AF2238"/>
    </row>
    <row r="2239" spans="1:32" ht="12.75" customHeight="1" x14ac:dyDescent="0.25">
      <c r="A2239" s="260"/>
      <c r="B2239" s="266" t="str">
        <f ca="1">IF($B2231="Missing Player",$B2231,"")</f>
        <v/>
      </c>
      <c r="C2239" s="267"/>
      <c r="D2239" s="267"/>
      <c r="E2239" s="267"/>
      <c r="F2239" s="267"/>
      <c r="G2239" s="268"/>
      <c r="H2239" s="234"/>
      <c r="I2239" s="234"/>
      <c r="J2239" s="235"/>
      <c r="K2239" s="235"/>
      <c r="L2239" s="235"/>
      <c r="M2239" s="250"/>
      <c r="N2239" s="251"/>
      <c r="O2239" s="251"/>
      <c r="P2239" s="252"/>
      <c r="Q2239" s="110" t="str">
        <f ca="1">IF($Q2238&lt;&gt;"",IF($B2237&lt;&gt;"Missing Player",IF($Q2238="W",IF(SUM(IF($H2238&gt;$H2236,1,0),IF($I2238&gt;$I2236,1,0),IF($J2238&gt;$J2236,1,0),IF($K2238&gt;$K2236,1,0),IF($L2238&gt;$L2236,1,0))&lt;&gt;3,"Error",""),""),""),"")</f>
        <v/>
      </c>
      <c r="R2239" t="str">
        <f>A2227</f>
        <v>4th Singles</v>
      </c>
      <c r="S2239"/>
      <c r="T2239"/>
      <c r="U2239"/>
      <c r="V2239"/>
      <c r="W2239"/>
      <c r="X2239"/>
      <c r="Y2239"/>
      <c r="Z2239"/>
      <c r="AA2239"/>
      <c r="AB2239"/>
      <c r="AC2239"/>
      <c r="AD2239"/>
      <c r="AE2239"/>
      <c r="AF2239"/>
    </row>
    <row r="2240" spans="1:32" ht="12.75" customHeight="1" x14ac:dyDescent="0.25">
      <c r="G2240" s="53">
        <f ca="1">COUNTIF($Q2208:$Q2208,"W")+COUNTIF($Q2215:$Q2215,"W")+COUNTIF($Q2222:$Q2222,"W")+COUNTIF($Q2229:$Q2229,"W")</f>
        <v>0</v>
      </c>
      <c r="J2240" s="53">
        <f ca="1">COUNTIF($Q2210:$Q2210,"W")+COUNTIF($Q2217:$Q2217,"W")+COUNTIF($Q2224:$Q2224,"W")+COUNTIF($Q2231:$Q2231,"W")</f>
        <v>0</v>
      </c>
      <c r="R2240" s="47" t="s">
        <v>160</v>
      </c>
      <c r="S2240" s="304" t="s">
        <v>58</v>
      </c>
      <c r="T2240" s="305"/>
      <c r="U2240" s="305"/>
      <c r="V2240" s="305"/>
      <c r="W2240" s="305"/>
      <c r="X2240" s="306"/>
      <c r="Y2240" s="47">
        <v>1</v>
      </c>
      <c r="Z2240" s="47">
        <v>2</v>
      </c>
      <c r="AA2240" s="47">
        <v>3</v>
      </c>
      <c r="AB2240" s="47">
        <v>4</v>
      </c>
      <c r="AC2240" s="47">
        <v>5</v>
      </c>
      <c r="AD2240" s="286"/>
      <c r="AE2240" s="287"/>
      <c r="AF2240" s="288"/>
    </row>
    <row r="2241" spans="1:32" ht="12.75" customHeight="1" thickBot="1" x14ac:dyDescent="0.3">
      <c r="F2241" s="212" t="s">
        <v>170</v>
      </c>
      <c r="G2241" s="212"/>
      <c r="H2241" s="212"/>
      <c r="I2241" s="212"/>
      <c r="J2241" s="212"/>
      <c r="K2241" s="212"/>
      <c r="R2241" s="259" t="str">
        <f>B2202</f>
        <v>D</v>
      </c>
      <c r="S2241" s="307" t="str">
        <f ca="1">IF($B2229&lt;&gt;"",$B2229,"")</f>
        <v/>
      </c>
      <c r="T2241" s="308"/>
      <c r="U2241" s="308"/>
      <c r="V2241" s="308"/>
      <c r="W2241" s="308"/>
      <c r="X2241" s="309"/>
      <c r="Y2241" s="284"/>
      <c r="Z2241" s="284"/>
      <c r="AA2241" s="297"/>
      <c r="AB2241" s="297"/>
      <c r="AC2241" s="297"/>
      <c r="AD2241" s="296"/>
      <c r="AE2241" s="298"/>
      <c r="AF2241" s="299"/>
    </row>
    <row r="2242" spans="1:32" ht="12.75" customHeight="1" x14ac:dyDescent="0.25">
      <c r="A2242" s="16"/>
      <c r="B2242" s="16"/>
      <c r="C2242" s="16"/>
      <c r="D2242" s="16"/>
      <c r="E2242" s="16"/>
      <c r="G2242" s="261" t="str">
        <f>B2202</f>
        <v>D</v>
      </c>
      <c r="H2242" s="262"/>
      <c r="I2242" s="263" t="str">
        <f>K2202</f>
        <v>F</v>
      </c>
      <c r="J2242" s="264"/>
      <c r="L2242" s="16"/>
      <c r="M2242" s="16"/>
      <c r="N2242" s="16"/>
      <c r="O2242" s="16"/>
      <c r="P2242" s="16"/>
      <c r="R2242" s="260"/>
      <c r="S2242" s="310"/>
      <c r="T2242" s="311"/>
      <c r="U2242" s="311"/>
      <c r="V2242" s="311"/>
      <c r="W2242" s="311"/>
      <c r="X2242" s="312"/>
      <c r="Y2242" s="285"/>
      <c r="Z2242" s="285"/>
      <c r="AA2242" s="303"/>
      <c r="AB2242" s="303"/>
      <c r="AC2242" s="303"/>
      <c r="AD2242" s="300"/>
      <c r="AE2242" s="301"/>
      <c r="AF2242" s="302"/>
    </row>
    <row r="2243" spans="1:32" ht="12.75" customHeight="1" thickBot="1" x14ac:dyDescent="0.3">
      <c r="A2243" s="2" t="s">
        <v>160</v>
      </c>
      <c r="B2243" s="40" t="str">
        <f>B2202</f>
        <v>D</v>
      </c>
      <c r="C2243" s="3" t="s">
        <v>158</v>
      </c>
      <c r="F2243" s="53" t="str">
        <f>CONCATENATE($B2202,"-",$K2202)</f>
        <v>D-F</v>
      </c>
      <c r="G2243" s="240" t="str">
        <f ca="1">IF(OR(Q2208&lt;&gt;"",Q2215&lt;&gt;"",Q2222&lt;&gt;"",Q2229&lt;&gt;"",Q2236&lt;&gt;""),COUNTIF(Q2208:Q2208,"W")+COUNTIF(Q2215:Q2215,"W")+COUNTIF(Q2222:Q2222,"W")+COUNTIF(Q2229:Q2229,"W")+COUNTIF(Q2236:Q2236,"W"),"")</f>
        <v/>
      </c>
      <c r="H2243" s="241"/>
      <c r="I2243" s="242" t="str">
        <f ca="1">IF(OR(Q2210&lt;&gt;"",Q2217&lt;&gt;"",Q2224&lt;&gt;"",Q2231&lt;&gt;"",Q2238&lt;&gt;""),COUNTIF(Q2210:Q2210,"W")+COUNTIF(Q2217:Q2217,"W")+COUNTIF(Q2224:Q2224,"W")+COUNTIF(Q2231:Q2231,"W")+COUNTIF(Q2238:Q2238,"W"),"")</f>
        <v/>
      </c>
      <c r="J2243" s="243"/>
      <c r="L2243" s="2" t="s">
        <v>160</v>
      </c>
      <c r="M2243" s="40" t="str">
        <f>K2202</f>
        <v>F</v>
      </c>
      <c r="N2243" s="3" t="s">
        <v>158</v>
      </c>
      <c r="R2243" s="259" t="str">
        <f>K2202</f>
        <v>F</v>
      </c>
      <c r="S2243" s="307" t="str">
        <f ca="1">IF($B2231&lt;&gt;"",$B2231,"")</f>
        <v/>
      </c>
      <c r="T2243" s="308"/>
      <c r="U2243" s="308"/>
      <c r="V2243" s="308"/>
      <c r="W2243" s="308"/>
      <c r="X2243" s="309"/>
      <c r="Y2243" s="284"/>
      <c r="Z2243" s="284"/>
      <c r="AA2243" s="297"/>
      <c r="AB2243" s="297"/>
      <c r="AC2243" s="297"/>
      <c r="AD2243" s="289" t="s">
        <v>169</v>
      </c>
      <c r="AE2243" s="290"/>
      <c r="AF2243" s="291"/>
    </row>
    <row r="2244" spans="1:32" ht="12.75" customHeight="1" x14ac:dyDescent="0.35">
      <c r="F2244" s="18" t="s">
        <v>403</v>
      </c>
      <c r="G2244" s="17"/>
      <c r="H2244" s="17"/>
      <c r="I2244" s="17"/>
      <c r="J2244" s="17"/>
      <c r="R2244" s="285"/>
      <c r="S2244" s="310"/>
      <c r="T2244" s="311"/>
      <c r="U2244" s="311"/>
      <c r="V2244" s="311"/>
      <c r="W2244" s="311"/>
      <c r="X2244" s="312"/>
      <c r="Y2244" s="285"/>
      <c r="Z2244" s="285"/>
      <c r="AA2244" s="285"/>
      <c r="AB2244" s="285"/>
      <c r="AC2244" s="285"/>
      <c r="AD2244" s="292"/>
      <c r="AE2244" s="293"/>
      <c r="AF2244" s="294"/>
    </row>
    <row r="2245" spans="1:32" ht="12.75" customHeight="1" x14ac:dyDescent="0.25">
      <c r="R2245" s="1"/>
      <c r="S2245" s="11"/>
      <c r="T2245" s="11"/>
      <c r="U2245" s="11"/>
      <c r="V2245" s="11"/>
      <c r="W2245" s="11"/>
    </row>
    <row r="2246" spans="1:32" ht="12.75" customHeight="1" x14ac:dyDescent="0.25">
      <c r="F2246" s="212"/>
      <c r="G2246" s="212"/>
      <c r="H2246" s="212"/>
      <c r="I2246" s="212"/>
      <c r="R2246" s="1"/>
      <c r="S2246" s="11"/>
      <c r="T2246" s="11"/>
      <c r="U2246" s="11"/>
      <c r="V2246" s="11"/>
      <c r="W2246" s="11"/>
    </row>
    <row r="2247" spans="1:32" ht="12.75" customHeight="1" x14ac:dyDescent="0.25">
      <c r="F2247" s="212"/>
      <c r="G2247" s="212"/>
      <c r="H2247" s="212"/>
      <c r="I2247" s="212"/>
      <c r="R2247" s="1"/>
      <c r="S2247" s="11"/>
      <c r="T2247" s="11"/>
      <c r="U2247" s="11"/>
      <c r="V2247" s="11"/>
      <c r="W2247" s="11"/>
    </row>
    <row r="2248" spans="1:32" ht="12.75" customHeight="1" x14ac:dyDescent="0.25">
      <c r="K2248" s="219" t="s">
        <v>176</v>
      </c>
      <c r="L2248" s="219"/>
      <c r="M2248" s="219"/>
      <c r="N2248" s="219"/>
      <c r="O2248" s="219"/>
      <c r="P2248" s="219"/>
      <c r="R2248" s="1"/>
      <c r="S2248" s="11"/>
      <c r="T2248" s="11"/>
      <c r="U2248" s="11"/>
      <c r="V2248" s="11"/>
      <c r="W2248" s="11"/>
    </row>
    <row r="2249" spans="1:32" ht="12.75" customHeight="1" x14ac:dyDescent="0.25">
      <c r="A2249" s="9" t="s">
        <v>161</v>
      </c>
      <c r="B2249"/>
      <c r="C2249"/>
      <c r="D2249" t="str">
        <f>Draw!$B$1</f>
        <v>Enter Division Name</v>
      </c>
      <c r="E2249"/>
      <c r="F2249" s="6"/>
      <c r="G2249" s="6"/>
      <c r="H2249" s="6"/>
      <c r="I2249"/>
      <c r="J2249"/>
      <c r="K2249"/>
      <c r="L2249"/>
      <c r="M2249" s="219"/>
      <c r="N2249" s="219"/>
      <c r="O2249" s="219"/>
      <c r="P2249" s="219"/>
      <c r="R2249" s="1"/>
      <c r="S2249" s="11"/>
      <c r="T2249" s="11"/>
      <c r="U2249" s="11"/>
      <c r="V2249" s="11"/>
      <c r="W2249" s="11"/>
    </row>
    <row r="2250" spans="1:32" ht="12.75" customHeight="1" x14ac:dyDescent="0.25">
      <c r="A2250" s="2" t="s">
        <v>162</v>
      </c>
      <c r="D2250" t="str">
        <f>Draw!$D$1</f>
        <v>Enter Hosting Location (City, ST)</v>
      </c>
      <c r="J2250" t="str">
        <f ca="1">$J$6</f>
        <v>[NCTTA Teams Template (v3.4).xlsx]</v>
      </c>
      <c r="R2250" s="1"/>
      <c r="S2250" s="11"/>
      <c r="T2250" s="11"/>
      <c r="U2250" s="11"/>
      <c r="V2250" s="11"/>
      <c r="W2250" s="11"/>
    </row>
    <row r="2251" spans="1:32" ht="12.75" customHeight="1" x14ac:dyDescent="0.25">
      <c r="A2251" s="2" t="s">
        <v>163</v>
      </c>
      <c r="D2251" s="275" t="str">
        <f>Draw!$P$1</f>
        <v>Enter Date</v>
      </c>
      <c r="E2251" s="275"/>
      <c r="F2251" s="275"/>
      <c r="G2251" s="275"/>
      <c r="J2251" s="244" t="str">
        <f>CHOOSE(Draw!$T$1,"Round 8, Match 3","","","","","","","","","Round 9, Match 5","Round 9, Match 5")</f>
        <v>Round 8, Match 3</v>
      </c>
      <c r="K2251" s="244"/>
      <c r="L2251" s="244"/>
      <c r="M2251" s="277" t="str">
        <f>IF(AND($J2251&lt;&gt;"",Draw!$AC$10&lt;&gt;"",Draw!$AC$13&lt;&gt;""),Draw!$AC$10+TIME(0,VALUE(MID($J2251,7,FIND(",",$J2251)-FIND(" ",$J2251)-1)-1)*Draw!$AC$13,0),"")</f>
        <v/>
      </c>
      <c r="N2251" s="277"/>
      <c r="O2251" s="125" t="str">
        <f>$F2294</f>
        <v>C-G</v>
      </c>
      <c r="R2251" s="1"/>
      <c r="S2251" s="11"/>
      <c r="T2251" s="11"/>
      <c r="U2251" s="11"/>
      <c r="V2251" s="11"/>
      <c r="W2251" s="11"/>
    </row>
    <row r="2252" spans="1:32" ht="12.75" customHeight="1" x14ac:dyDescent="0.25">
      <c r="A2252" s="6"/>
      <c r="B2252"/>
      <c r="C2252"/>
      <c r="D2252"/>
      <c r="E2252"/>
      <c r="F2252" s="6"/>
      <c r="G2252" s="6"/>
      <c r="H2252" s="11"/>
      <c r="I2252" s="6"/>
      <c r="J2252"/>
      <c r="K2252"/>
      <c r="L2252"/>
      <c r="M2252"/>
      <c r="N2252"/>
      <c r="O2252" s="269" t="str">
        <f>IF(OR(AND(VLOOKUP($B2253,$AM$1:$AX$12,12,FALSE)="C",VLOOKUP($K2253,$AM$1:$AX$12,12,FALSE)="C"),AND(VLOOKUP($B2253,$AM$1:$AX$12,12,FALSE)="W",VLOOKUP($K2253,$AM$1:$AX$12,12,FALSE)="W")),"Official",IF(AND($A2254="",$J2254=""),"","Scrimmage"))</f>
        <v/>
      </c>
      <c r="P2252" s="269"/>
      <c r="R2252" s="1"/>
      <c r="S2252" s="11"/>
      <c r="T2252" s="11"/>
      <c r="U2252" s="11"/>
      <c r="V2252" s="11"/>
      <c r="W2252" s="11"/>
    </row>
    <row r="2253" spans="1:32" ht="12.75" customHeight="1" x14ac:dyDescent="0.25">
      <c r="A2253" s="12" t="s">
        <v>160</v>
      </c>
      <c r="B2253" s="98" t="str">
        <f>CHOOSE(Draw!$T$1,"C","C","D","D","E","E","E","E","C","B","I")</f>
        <v>C</v>
      </c>
      <c r="C2253" s="109">
        <f>VLOOKUP($B2253,$AM$1:$AN$12,2)</f>
        <v>3</v>
      </c>
      <c r="D2253" s="10"/>
      <c r="E2253" s="10"/>
      <c r="F2253" s="8"/>
      <c r="H2253" s="1" t="s">
        <v>164</v>
      </c>
      <c r="J2253" s="12" t="s">
        <v>160</v>
      </c>
      <c r="K2253" s="98" t="str">
        <f>CHOOSE(Draw!$T$1,"G","I","G","L","L","L","K","I","L","C","J")</f>
        <v>G</v>
      </c>
      <c r="L2253" s="109">
        <f>VLOOKUP($K2253,$AM$1:$AN$12,2)</f>
        <v>7</v>
      </c>
      <c r="M2253" s="10"/>
      <c r="N2253" s="10"/>
      <c r="O2253" s="13"/>
      <c r="R2253" s="1"/>
      <c r="S2253" s="11"/>
      <c r="T2253" s="11"/>
      <c r="U2253" s="11"/>
      <c r="V2253" s="11"/>
      <c r="W2253" s="11"/>
    </row>
    <row r="2254" spans="1:32" ht="12.75" customHeight="1" x14ac:dyDescent="0.25">
      <c r="A2254" s="253" t="str">
        <f>IF(VLOOKUP($B2253,Draw!$A$4:$B$27,2)&lt;&gt;0,VLOOKUP($B2253,Draw!$A$4:$B$27,2),"")</f>
        <v/>
      </c>
      <c r="B2254" s="254"/>
      <c r="C2254" s="254"/>
      <c r="D2254" s="254"/>
      <c r="E2254" s="254"/>
      <c r="F2254" s="255"/>
      <c r="G2254" s="273" t="s">
        <v>448</v>
      </c>
      <c r="H2254" s="249"/>
      <c r="I2254" s="274"/>
      <c r="J2254" s="253" t="str">
        <f>IF(VLOOKUP($K2253,Draw!$A$4:$B$27,2)&lt;&gt;0,VLOOKUP($K2253,Draw!$A$4:$B$27,2),"")</f>
        <v/>
      </c>
      <c r="K2254" s="254"/>
      <c r="L2254" s="254"/>
      <c r="M2254" s="254"/>
      <c r="N2254" s="254"/>
      <c r="O2254" s="255"/>
      <c r="P2254"/>
      <c r="R2254" s="1"/>
      <c r="S2254" s="11"/>
      <c r="T2254" s="11"/>
      <c r="U2254" s="11"/>
      <c r="V2254" s="11"/>
      <c r="W2254" s="11"/>
    </row>
    <row r="2255" spans="1:32" ht="12.75" customHeight="1" x14ac:dyDescent="0.25">
      <c r="A2255" s="6"/>
      <c r="B2255"/>
      <c r="C2255"/>
      <c r="D2255"/>
      <c r="E2255"/>
      <c r="F2255" s="6"/>
      <c r="G2255" s="248" t="str">
        <f>"Page "&amp;VALUE(RIGHT($G2254,LEN($G2254)-SEARCH("-",$G2254)))/2</f>
        <v>Page 45</v>
      </c>
      <c r="H2255" s="249"/>
      <c r="I2255" s="249"/>
      <c r="J2255"/>
      <c r="K2255"/>
      <c r="L2255"/>
      <c r="M2255"/>
      <c r="N2255"/>
      <c r="O2255"/>
      <c r="P2255"/>
      <c r="R2255" s="1"/>
      <c r="S2255" s="11"/>
      <c r="T2255" s="11"/>
      <c r="U2255" s="11"/>
      <c r="V2255" s="11"/>
      <c r="W2255" s="11"/>
      <c r="AF2255"/>
    </row>
    <row r="2256" spans="1:32" ht="12.75" customHeight="1" x14ac:dyDescent="0.25">
      <c r="A2256" s="276" t="s">
        <v>177</v>
      </c>
      <c r="B2256" s="276"/>
      <c r="C2256" s="276"/>
      <c r="D2256" s="276"/>
      <c r="E2256" s="276"/>
      <c r="F2256" s="276"/>
      <c r="G2256" s="276"/>
      <c r="H2256" s="276"/>
      <c r="I2256" s="276"/>
      <c r="J2256" s="276"/>
      <c r="K2256" s="276"/>
      <c r="L2256" s="276"/>
      <c r="M2256" s="276"/>
      <c r="N2256" s="276"/>
      <c r="O2256" s="276"/>
      <c r="P2256" s="276"/>
      <c r="Q2256" s="6"/>
      <c r="R2256" s="1"/>
      <c r="S2256" s="11"/>
      <c r="T2256" s="11"/>
      <c r="U2256" s="11"/>
      <c r="V2256" s="11"/>
      <c r="W2256" s="11"/>
      <c r="AF2256" s="14"/>
    </row>
    <row r="2257" spans="1:32" ht="12.75" customHeight="1" x14ac:dyDescent="0.25">
      <c r="A2257" s="15" t="s">
        <v>165</v>
      </c>
      <c r="H2257" s="110" t="str">
        <f>IF($Q2259&lt;&gt;"",IF(AND(AND($H2259&gt;-1,$H2261&gt;-1),OR($H2259&gt;10,$H2261&gt;10),ABS($H2259-$H2261)&gt;1,IF(OR($H2259&gt;11,$H2261&gt;11),ABS($H2259-$H2261)=2,TRUE),$H2259=INT($H2259),$H2261=INT($H2261)),"","Error"),"")</f>
        <v/>
      </c>
      <c r="I2257" s="110" t="str">
        <f>IF($Q2259&lt;&gt;"",IF(AND(AND($I2259&gt;-1,$I2261&gt;-1),OR($I2259&gt;10,$I2261&gt;10),ABS($I2259-$I2261)&gt;1,IF(OR($I2259&gt;11,$I2261&gt;11),ABS($I2259-$I2261)=2,TRUE),$I2259=INT($I2259),$I2261=INT($I2261)),"","Error"),"")</f>
        <v/>
      </c>
      <c r="J2257" s="110" t="str">
        <f>IF($Q2259&lt;&gt;"",IF(AND(AND($J2259&gt;-1,$J2261&gt;-1),OR($J2259&gt;10,$J2261&gt;10),ABS($J2259-$J2261)&gt;1,IF(OR($J2259&gt;11,$J2261&gt;11),ABS($J2259-$J2261)=2,TRUE),$J2259=INT($J2259),$J2261=INT($J2261)),"","Error"),"")</f>
        <v/>
      </c>
      <c r="K2257" s="110" t="str">
        <f>IF($Q2259&lt;&gt;"",IF(AND($K2259&lt;&gt;"",$K2261&lt;&gt;""), IF(AND(AND($K2259&gt;-1,$K2261&gt;-1),OR($K2259&gt;10,$K2261&gt;10),ABS($K2259-$K2261)&gt;1,IF(OR($K2259&gt;11,$K2261&gt;11),ABS($K2259-$K2261)=2,TRUE),$K2259=INT($K2259),$K2261=INT($K2261)),"","Error"),""),"")</f>
        <v/>
      </c>
      <c r="L2257" s="110" t="str">
        <f>IF($Q2259&lt;&gt;"",IF(AND($L2259&lt;&gt;"",$L2261&lt;&gt;""), IF(AND(AND($L2259&gt;-1,$L2261&gt;-1),OR($L2259&gt;10,$L2261&gt;10),ABS($L2259-$L2261)&gt;1,IF(OR($L2259&gt;11,$L2261&gt;11),ABS($L2259-$L2261)=2,TRUE),$L2259=INT($L2259),$L2261=INT($L2261)),"","Error"),""),"")</f>
        <v/>
      </c>
      <c r="R2257" s="1"/>
      <c r="S2257" s="11"/>
      <c r="T2257" s="11"/>
      <c r="U2257" s="11"/>
      <c r="V2257" s="11"/>
      <c r="W2257" s="11"/>
    </row>
    <row r="2258" spans="1:32" ht="12.75" customHeight="1" x14ac:dyDescent="0.25">
      <c r="A2258" s="5" t="s">
        <v>160</v>
      </c>
      <c r="B2258" s="256" t="s">
        <v>58</v>
      </c>
      <c r="C2258" s="257"/>
      <c r="D2258" s="257"/>
      <c r="E2258" s="257"/>
      <c r="F2258" s="257"/>
      <c r="G2258" s="258"/>
      <c r="H2258" s="5">
        <v>1</v>
      </c>
      <c r="I2258" s="5">
        <v>2</v>
      </c>
      <c r="J2258" s="5">
        <v>3</v>
      </c>
      <c r="K2258" s="5">
        <v>4</v>
      </c>
      <c r="L2258" s="5">
        <v>5</v>
      </c>
      <c r="M2258" s="270"/>
      <c r="N2258" s="271"/>
      <c r="O2258" s="271"/>
      <c r="P2258" s="272"/>
      <c r="R2258" s="1"/>
      <c r="S2258" s="11"/>
      <c r="T2258" s="11"/>
      <c r="U2258" s="11"/>
      <c r="V2258" s="11"/>
      <c r="W2258" s="11"/>
    </row>
    <row r="2259" spans="1:32" ht="12.75" customHeight="1" x14ac:dyDescent="0.25">
      <c r="A2259" s="259" t="str">
        <f>B2253</f>
        <v>C</v>
      </c>
      <c r="B2259" s="236" t="str">
        <f ca="1">IF(AND(OFFSET($AO$1,$C2253-1,8,1,1),$A2254&lt;&gt;"",$J2254&lt;&gt;""),CHOOSE($C2253,$AO$1,$AO$2,$AO$3,$AO$4,$AO$5,$AO$6,$AO$7,$AO$8,$AO$9,$AO$10,$AO$11,$AO$12),"")</f>
        <v/>
      </c>
      <c r="C2259" s="237"/>
      <c r="D2259" s="237"/>
      <c r="E2259" s="237"/>
      <c r="F2259" s="237"/>
      <c r="G2259" s="237"/>
      <c r="H2259" s="233"/>
      <c r="I2259" s="233"/>
      <c r="J2259" s="233"/>
      <c r="K2259" s="233"/>
      <c r="L2259" s="233"/>
      <c r="M2259" s="281"/>
      <c r="N2259" s="282"/>
      <c r="O2259" s="282"/>
      <c r="P2259" s="283"/>
      <c r="Q2259" s="40" t="str">
        <f>IF($L2259=$L2261,IF($K2259=$K2261,IF($J2259&lt;&gt;"",IF($J2259&gt;$J2261,"W","L"),""),IF($K2259&gt;$K2261,"W","L")),IF($L2259&gt;$L2261,"W","L"))</f>
        <v/>
      </c>
      <c r="R2259" s="1"/>
      <c r="S2259" s="11"/>
      <c r="T2259" s="11"/>
      <c r="U2259" s="11"/>
      <c r="V2259" s="11"/>
      <c r="W2259" s="11"/>
    </row>
    <row r="2260" spans="1:32" ht="12.75" customHeight="1" x14ac:dyDescent="0.25">
      <c r="A2260" s="260"/>
      <c r="B2260" s="238"/>
      <c r="C2260" s="239"/>
      <c r="D2260" s="239"/>
      <c r="E2260" s="239"/>
      <c r="F2260" s="239"/>
      <c r="G2260" s="239"/>
      <c r="H2260" s="234"/>
      <c r="I2260" s="234"/>
      <c r="J2260" s="234"/>
      <c r="K2260" s="234"/>
      <c r="L2260" s="234"/>
      <c r="M2260" s="281"/>
      <c r="N2260" s="282"/>
      <c r="O2260" s="282"/>
      <c r="P2260" s="283"/>
      <c r="Q2260" s="110" t="str">
        <f>IF($Q2259&lt;&gt;"",IF($Q2259="W",IF(SUM(IF($H2259&gt;$H2261,1,0),IF($I2259&gt;$I2261,1,0),IF($J2259&gt;$J2261,1,0),IF($K2259&gt;$K2261,1,0),IF($L2259&gt;$L2261,1,0))&lt;&gt;3,"Error",""),""),"")</f>
        <v/>
      </c>
      <c r="R2260" s="295" t="str">
        <f>$A2254</f>
        <v/>
      </c>
      <c r="S2260" s="295"/>
      <c r="T2260" s="295"/>
      <c r="U2260" s="295"/>
      <c r="V2260" s="295"/>
      <c r="W2260" s="295"/>
      <c r="X2260" s="219" t="str">
        <f>CONCATENATE("(",$B2253," vs ",$K2253,")")</f>
        <v>(C vs G)</v>
      </c>
      <c r="Y2260" s="219"/>
      <c r="Z2260" s="295" t="str">
        <f>$J2254</f>
        <v/>
      </c>
      <c r="AA2260" s="295"/>
      <c r="AB2260" s="295"/>
      <c r="AC2260" s="295"/>
      <c r="AD2260" s="295"/>
      <c r="AE2260" s="295"/>
      <c r="AF2260"/>
    </row>
    <row r="2261" spans="1:32" ht="12.75" customHeight="1" x14ac:dyDescent="0.25">
      <c r="A2261" s="259" t="str">
        <f>K2253</f>
        <v>G</v>
      </c>
      <c r="B2261" s="236" t="str">
        <f ca="1">IF(AND(OFFSET($AO$1,$L2253-1,8,1,1),$A2254&lt;&gt;"",$J2254&lt;&gt;""),CHOOSE($L2253,$AO$1,$AO$2,$AO$3,$AO$4,$AO$5,$AO$6,$AO$7,$AO$8,$AO$9,$AO$10,$AO$11,$AO$12),"")</f>
        <v/>
      </c>
      <c r="C2261" s="237"/>
      <c r="D2261" s="237"/>
      <c r="E2261" s="237"/>
      <c r="F2261" s="237"/>
      <c r="G2261" s="237"/>
      <c r="H2261" s="233"/>
      <c r="I2261" s="233"/>
      <c r="J2261" s="233"/>
      <c r="K2261" s="233"/>
      <c r="L2261" s="233"/>
      <c r="M2261" s="250" t="s">
        <v>169</v>
      </c>
      <c r="N2261" s="251"/>
      <c r="O2261" s="251"/>
      <c r="P2261" s="252"/>
      <c r="Q2261" s="40" t="str">
        <f>IF($Q2259&lt;&gt;"",IF($Q2259="W","L","W"),"")</f>
        <v/>
      </c>
      <c r="R2261"/>
      <c r="S2261"/>
      <c r="T2261"/>
      <c r="U2261"/>
      <c r="V2261"/>
      <c r="W2261"/>
      <c r="X2261"/>
      <c r="Y2261"/>
      <c r="Z2261"/>
      <c r="AA2261"/>
      <c r="AB2261"/>
      <c r="AC2261"/>
      <c r="AD2261"/>
      <c r="AE2261"/>
      <c r="AF2261"/>
    </row>
    <row r="2262" spans="1:32" ht="12.75" customHeight="1" x14ac:dyDescent="0.25">
      <c r="A2262" s="260"/>
      <c r="B2262" s="238"/>
      <c r="C2262" s="239"/>
      <c r="D2262" s="239"/>
      <c r="E2262" s="239"/>
      <c r="F2262" s="239"/>
      <c r="G2262" s="239"/>
      <c r="H2262" s="234"/>
      <c r="I2262" s="234"/>
      <c r="J2262" s="235"/>
      <c r="K2262" s="235"/>
      <c r="L2262" s="235"/>
      <c r="M2262" s="250"/>
      <c r="N2262" s="251"/>
      <c r="O2262" s="251"/>
      <c r="P2262" s="252"/>
      <c r="Q2262" s="110" t="str">
        <f>IF($Q2261&lt;&gt;"",IF($Q2261="W",IF(SUM(IF($H2261&gt;$H2259,1,0),IF($I2261&gt;$I2259,1,0),IF($J2261&gt;$J2259,1,0),IF($K2261&gt;$K2259,1,0),IF($L2261&gt;$L2259,1,0))&lt;&gt;3,"Error",""),""),"")</f>
        <v/>
      </c>
      <c r="R2262" t="str">
        <f>$A2264</f>
        <v>2nd Singles</v>
      </c>
      <c r="S2262"/>
      <c r="T2262"/>
      <c r="U2262"/>
      <c r="V2262"/>
      <c r="W2262"/>
      <c r="X2262"/>
      <c r="Y2262"/>
      <c r="Z2262"/>
      <c r="AA2262"/>
      <c r="AB2262"/>
      <c r="AC2262"/>
      <c r="AD2262"/>
      <c r="AE2262"/>
      <c r="AF2262"/>
    </row>
    <row r="2263" spans="1:32" ht="12.75" customHeight="1" x14ac:dyDescent="0.25">
      <c r="Q2263" s="6"/>
      <c r="R2263" s="47" t="s">
        <v>160</v>
      </c>
      <c r="S2263" s="304" t="s">
        <v>58</v>
      </c>
      <c r="T2263" s="305"/>
      <c r="U2263" s="305"/>
      <c r="V2263" s="305"/>
      <c r="W2263" s="305"/>
      <c r="X2263" s="306"/>
      <c r="Y2263" s="47">
        <v>1</v>
      </c>
      <c r="Z2263" s="47">
        <v>2</v>
      </c>
      <c r="AA2263" s="47">
        <v>3</v>
      </c>
      <c r="AB2263" s="47">
        <v>4</v>
      </c>
      <c r="AC2263" s="47">
        <v>5</v>
      </c>
      <c r="AD2263" s="286"/>
      <c r="AE2263" s="287"/>
      <c r="AF2263" s="288"/>
    </row>
    <row r="2264" spans="1:32" ht="12.75" customHeight="1" x14ac:dyDescent="0.25">
      <c r="A2264" s="15" t="s">
        <v>166</v>
      </c>
      <c r="H2264" s="110" t="str">
        <f>IF($Q2266&lt;&gt;"",IF(AND(AND($H2266&gt;-1,$H2268&gt;-1),OR($H2266&gt;10,$H2268&gt;10),ABS($H2266-$H2268)&gt;1,IF(OR($H2266&gt;11,$H2268&gt;11),ABS($H2266-$H2268)=2,TRUE),$H2266=INT($H2266),$H2268=INT($H2268)),"","Error"),"")</f>
        <v/>
      </c>
      <c r="I2264" s="110" t="str">
        <f>IF($Q2266&lt;&gt;"",IF(AND(AND($I2266&gt;-1,$I2268&gt;-1),OR($I2266&gt;10,$I2268&gt;10),ABS($I2266-$I2268)&gt;1,IF(OR($I2266&gt;11,$I2268&gt;11),ABS($I2266-$I2268)=2,TRUE),$I2266=INT($I2266),$I2268=INT($I2268)),"","Error"),"")</f>
        <v/>
      </c>
      <c r="J2264" s="110" t="str">
        <f>IF($Q2266&lt;&gt;"",IF(AND(AND($J2266&gt;-1,$J2268&gt;-1),OR($J2266&gt;10,$J2268&gt;10),ABS($J2266-$J2268)&gt;1,IF(OR($J2266&gt;11,$J2268&gt;11),ABS($J2266-$J2268)=2,TRUE),$J2266=INT($J2266),$J2268=INT($J2268)),"","Error"),"")</f>
        <v/>
      </c>
      <c r="K2264" s="110" t="str">
        <f>IF($Q2266&lt;&gt;"",IF(AND($K2266&lt;&gt;"",$K2268&lt;&gt;""), IF(AND(AND($K2266&gt;-1,$K2268&gt;-1),OR($K2266&gt;10,$K2268&gt;10),ABS($K2266-$K2268)&gt;1,IF(OR($K2266&gt;11,$K2268&gt;11),ABS($K2266-$K2268)=2,TRUE),$K2266=INT($K2266),$K2268=INT($K2268)),"","Error"),""),"")</f>
        <v/>
      </c>
      <c r="L2264" s="110" t="str">
        <f>IF($Q2266&lt;&gt;"",IF(AND($L2266&lt;&gt;"",$L2268&lt;&gt;""), IF(AND(AND($L2266&gt;-1,$L2268&gt;-1),OR($L2266&gt;10,$L2268&gt;10),ABS($L2266-$L2268)&gt;1,IF(OR($L2266&gt;11,$L2268&gt;11),ABS($L2266-$L2268)=2,TRUE),$L2266=INT($L2266),$L2268=INT($L2268)),"","Error"),""),"")</f>
        <v/>
      </c>
      <c r="Q2264" s="6"/>
      <c r="R2264" s="259" t="str">
        <f>$B2253</f>
        <v>C</v>
      </c>
      <c r="S2264" s="307" t="str">
        <f ca="1">IF($B2266&lt;&gt;"",$B2266,"")</f>
        <v/>
      </c>
      <c r="T2264" s="308"/>
      <c r="U2264" s="308"/>
      <c r="V2264" s="308"/>
      <c r="W2264" s="308"/>
      <c r="X2264" s="309"/>
      <c r="Y2264" s="284"/>
      <c r="Z2264" s="284"/>
      <c r="AA2264" s="284"/>
      <c r="AB2264" s="284"/>
      <c r="AC2264" s="284"/>
      <c r="AD2264" s="296"/>
      <c r="AE2264" s="290"/>
      <c r="AF2264" s="291"/>
    </row>
    <row r="2265" spans="1:32" ht="12.75" customHeight="1" x14ac:dyDescent="0.25">
      <c r="A2265" s="5" t="s">
        <v>160</v>
      </c>
      <c r="B2265" s="256" t="s">
        <v>58</v>
      </c>
      <c r="C2265" s="257"/>
      <c r="D2265" s="257"/>
      <c r="E2265" s="257"/>
      <c r="F2265" s="257"/>
      <c r="G2265" s="258"/>
      <c r="H2265" s="5">
        <v>1</v>
      </c>
      <c r="I2265" s="5">
        <v>2</v>
      </c>
      <c r="J2265" s="5">
        <v>3</v>
      </c>
      <c r="K2265" s="5">
        <v>4</v>
      </c>
      <c r="L2265" s="5">
        <v>5</v>
      </c>
      <c r="M2265" s="270"/>
      <c r="N2265" s="271"/>
      <c r="O2265" s="271"/>
      <c r="P2265" s="272"/>
      <c r="Q2265" s="6"/>
      <c r="R2265" s="285"/>
      <c r="S2265" s="310"/>
      <c r="T2265" s="311"/>
      <c r="U2265" s="311"/>
      <c r="V2265" s="311"/>
      <c r="W2265" s="311"/>
      <c r="X2265" s="312"/>
      <c r="Y2265" s="285"/>
      <c r="Z2265" s="285"/>
      <c r="AA2265" s="285"/>
      <c r="AB2265" s="285"/>
      <c r="AC2265" s="285"/>
      <c r="AD2265" s="292"/>
      <c r="AE2265" s="293"/>
      <c r="AF2265" s="294"/>
    </row>
    <row r="2266" spans="1:32" ht="12.75" customHeight="1" x14ac:dyDescent="0.25">
      <c r="A2266" s="259" t="str">
        <f>B2253</f>
        <v>C</v>
      </c>
      <c r="B2266" s="236" t="str">
        <f ca="1">IF(AND(OFFSET($AO$1,$C2253-1,8,1,1),$A2254&lt;&gt;"",$J2254&lt;&gt;""),CHOOSE($C2253,$AP$1,$AP$2,$AP$3,$AP$4,$AP$5,$AP$6,$AP$7,$AP$8,$AP$9,$AP$10,$AP$11,$AP$12),"")</f>
        <v/>
      </c>
      <c r="C2266" s="237"/>
      <c r="D2266" s="237"/>
      <c r="E2266" s="237"/>
      <c r="F2266" s="237"/>
      <c r="G2266" s="237"/>
      <c r="H2266" s="233"/>
      <c r="I2266" s="233"/>
      <c r="J2266" s="233"/>
      <c r="K2266" s="233"/>
      <c r="L2266" s="233"/>
      <c r="M2266" s="245" t="str">
        <f ca="1">IF(OR(AND($B2259&lt;&gt;"",$B2266&lt;&gt;"",$C2284&lt;=$B2284),AND($B2261&lt;&gt;"",$B2268&lt;&gt;"",$G2284&lt;=$F2284)),"Invalid Lineup","")</f>
        <v/>
      </c>
      <c r="N2266" s="246"/>
      <c r="O2266" s="246"/>
      <c r="P2266" s="247"/>
      <c r="Q2266" s="40" t="str">
        <f>IF($L2266=$L2268,IF($K2266=$K2268,IF($J2266&lt;&gt;"",IF($J2266&gt;$J2268,"W","L"),""),IF($K2266&gt;$K2268,"W","L")),IF($L2266&gt;$L2268,"W","L"))</f>
        <v/>
      </c>
      <c r="R2266" s="259" t="str">
        <f>$K2253</f>
        <v>G</v>
      </c>
      <c r="S2266" s="307" t="str">
        <f ca="1">IF($B2268&lt;&gt;"",$B2268,"")</f>
        <v/>
      </c>
      <c r="T2266" s="308"/>
      <c r="U2266" s="308"/>
      <c r="V2266" s="308"/>
      <c r="W2266" s="308"/>
      <c r="X2266" s="309"/>
      <c r="Y2266" s="284"/>
      <c r="Z2266" s="284"/>
      <c r="AA2266" s="284"/>
      <c r="AB2266" s="284"/>
      <c r="AC2266" s="297"/>
      <c r="AD2266" s="289" t="s">
        <v>169</v>
      </c>
      <c r="AE2266" s="290"/>
      <c r="AF2266" s="291"/>
    </row>
    <row r="2267" spans="1:32" ht="12.75" customHeight="1" x14ac:dyDescent="0.25">
      <c r="A2267" s="260"/>
      <c r="B2267" s="238"/>
      <c r="C2267" s="239"/>
      <c r="D2267" s="239"/>
      <c r="E2267" s="239"/>
      <c r="F2267" s="239"/>
      <c r="G2267" s="239"/>
      <c r="H2267" s="234"/>
      <c r="I2267" s="234"/>
      <c r="J2267" s="234"/>
      <c r="K2267" s="234"/>
      <c r="L2267" s="234"/>
      <c r="M2267" s="245"/>
      <c r="N2267" s="246"/>
      <c r="O2267" s="246"/>
      <c r="P2267" s="247"/>
      <c r="Q2267" s="110" t="str">
        <f>IF($Q2266&lt;&gt;"",IF($Q2266="W",IF(SUM(IF($H2266&gt;$H2268,1,0),IF($I2266&gt;$I2268,1,0),IF($J2266&gt;$J2268,1,0),IF($K2266&gt;$K2268,1,0),IF($L2266&gt;$L2268,1,0))&lt;&gt;3,"Error",""),""),"")</f>
        <v/>
      </c>
      <c r="R2267" s="285"/>
      <c r="S2267" s="310"/>
      <c r="T2267" s="311"/>
      <c r="U2267" s="311"/>
      <c r="V2267" s="311"/>
      <c r="W2267" s="311"/>
      <c r="X2267" s="312"/>
      <c r="Y2267" s="285"/>
      <c r="Z2267" s="285"/>
      <c r="AA2267" s="285"/>
      <c r="AB2267" s="285"/>
      <c r="AC2267" s="285"/>
      <c r="AD2267" s="292"/>
      <c r="AE2267" s="293"/>
      <c r="AF2267" s="294"/>
    </row>
    <row r="2268" spans="1:32" ht="12.75" customHeight="1" x14ac:dyDescent="0.25">
      <c r="A2268" s="259" t="str">
        <f>K2253</f>
        <v>G</v>
      </c>
      <c r="B2268" s="236" t="str">
        <f ca="1">IF(AND(OFFSET($AO$1,$L2253-1,8,1,1),$A2254&lt;&gt;"",$J2254&lt;&gt;""),CHOOSE($L2253,$AP$1,$AP$2,$AP$3,$AP$4,$AP$5,$AP$6,$AP$7,$AP$8,$AP$9,$AP$10,$AP$11,$AP$12),"")</f>
        <v/>
      </c>
      <c r="C2268" s="237"/>
      <c r="D2268" s="237"/>
      <c r="E2268" s="237"/>
      <c r="F2268" s="237"/>
      <c r="G2268" s="237"/>
      <c r="H2268" s="233"/>
      <c r="I2268" s="233"/>
      <c r="J2268" s="233"/>
      <c r="K2268" s="233"/>
      <c r="L2268" s="233"/>
      <c r="M2268" s="250" t="s">
        <v>169</v>
      </c>
      <c r="N2268" s="251"/>
      <c r="O2268" s="251"/>
      <c r="P2268" s="252"/>
      <c r="Q2268" s="40" t="str">
        <f>IF($Q2266&lt;&gt;"",IF($Q2266="W","L","W"),"")</f>
        <v/>
      </c>
      <c r="R2268" s="14"/>
      <c r="S2268" s="14"/>
      <c r="T2268" s="14"/>
      <c r="U2268" s="14"/>
      <c r="V2268" s="14"/>
      <c r="W2268" s="14"/>
      <c r="X2268" s="7"/>
      <c r="Y2268" s="7"/>
      <c r="Z2268" s="14"/>
      <c r="AA2268" s="14"/>
      <c r="AB2268" s="14"/>
      <c r="AC2268" s="14"/>
      <c r="AD2268" s="14"/>
      <c r="AE2268" s="14"/>
      <c r="AF2268"/>
    </row>
    <row r="2269" spans="1:32" ht="12.75" customHeight="1" x14ac:dyDescent="0.25">
      <c r="A2269" s="260"/>
      <c r="B2269" s="238"/>
      <c r="C2269" s="239"/>
      <c r="D2269" s="239"/>
      <c r="E2269" s="239"/>
      <c r="F2269" s="239"/>
      <c r="G2269" s="239"/>
      <c r="H2269" s="234"/>
      <c r="I2269" s="234"/>
      <c r="J2269" s="235"/>
      <c r="K2269" s="235"/>
      <c r="L2269" s="235"/>
      <c r="M2269" s="250"/>
      <c r="N2269" s="251"/>
      <c r="O2269" s="251"/>
      <c r="P2269" s="252"/>
      <c r="Q2269" s="110" t="str">
        <f>IF($Q2268&lt;&gt;"",IF($Q2268="W",IF(SUM(IF($H2268&gt;$H2266,1,0),IF($I2268&gt;$I2266,1,0),IF($J2268&gt;$J2266,1,0),IF($K2268&gt;$K2266,1,0),IF($L2268&gt;$L2266,1,0))&lt;&gt;3,"Error",""),""),"")</f>
        <v/>
      </c>
      <c r="R2269" s="14"/>
      <c r="S2269" s="14"/>
      <c r="T2269" s="14"/>
      <c r="U2269" s="14"/>
      <c r="V2269" s="14"/>
      <c r="W2269" s="14"/>
      <c r="X2269" s="7"/>
      <c r="Y2269" s="7"/>
      <c r="Z2269" s="14"/>
      <c r="AA2269" s="14"/>
      <c r="AB2269" s="14"/>
      <c r="AC2269" s="14"/>
      <c r="AD2269" s="14"/>
      <c r="AE2269" s="14"/>
      <c r="AF2269"/>
    </row>
    <row r="2270" spans="1:32" ht="12.75" customHeight="1" x14ac:dyDescent="0.25">
      <c r="Q2270" s="6"/>
      <c r="R2270" s="14"/>
      <c r="S2270" s="14"/>
      <c r="T2270" s="14"/>
      <c r="U2270" s="14"/>
      <c r="V2270" s="14"/>
      <c r="W2270" s="14"/>
      <c r="X2270" s="7"/>
      <c r="Y2270" s="7"/>
      <c r="Z2270" s="14"/>
      <c r="AA2270" s="14"/>
      <c r="AB2270" s="14"/>
      <c r="AC2270" s="14"/>
      <c r="AD2270" s="14"/>
      <c r="AE2270" s="14"/>
      <c r="AF2270"/>
    </row>
    <row r="2271" spans="1:32" ht="12.75" customHeight="1" x14ac:dyDescent="0.25">
      <c r="A2271" s="15" t="s">
        <v>167</v>
      </c>
      <c r="H2271" s="110" t="str">
        <f>IF($Q2273&lt;&gt;"",IF(AND(AND($H2273&gt;-1,$H2275&gt;-1),OR($H2273&gt;10,$H2275&gt;10),ABS($H2273-$H2275)&gt;1,IF(OR($H2273&gt;11,$H2275&gt;11),ABS($H2273-$H2275)=2,TRUE),$H2273=INT($H2273),$H2275=INT($H2275)),"","Error"),"")</f>
        <v/>
      </c>
      <c r="I2271" s="110" t="str">
        <f>IF($Q2273&lt;&gt;"",IF(AND(AND($I2273&gt;-1,$I2275&gt;-1),OR($I2273&gt;10,$I2275&gt;10),ABS($I2273-$I2275)&gt;1,IF(OR($I2273&gt;11,$I2275&gt;11),ABS($I2273-$I2275)=2,TRUE),$I2273=INT($I2273),$I2275=INT($I2275)),"","Error"),"")</f>
        <v/>
      </c>
      <c r="J2271" s="110" t="str">
        <f>IF($Q2273&lt;&gt;"",IF(AND(AND($J2273&gt;-1,$J2275&gt;-1),OR($J2273&gt;10,$J2275&gt;10),ABS($J2273-$J2275)&gt;1,IF(OR($J2273&gt;11,$J2275&gt;11),ABS($J2273-$J2275)=2,TRUE),$J2273=INT($J2273),$J2275=INT($J2275)),"","Error"),"")</f>
        <v/>
      </c>
      <c r="K2271" s="110" t="str">
        <f>IF($Q2273&lt;&gt;"",IF(AND($K2273&lt;&gt;"",$K2275&lt;&gt;""), IF(AND(AND($K2273&gt;-1,$K2275&gt;-1),OR($K2273&gt;10,$K2275&gt;10),ABS($K2273-$K2275)&gt;1,IF(OR($K2273&gt;11,$K2275&gt;11),ABS($K2273-$K2275)=2,TRUE),$K2273=INT($K2273),$K2275=INT($K2275)),"","Error"),""),"")</f>
        <v/>
      </c>
      <c r="L2271" s="110" t="str">
        <f>IF($Q2273&lt;&gt;"",IF(AND($L2273&lt;&gt;"",$L2275&lt;&gt;""), IF(AND(AND($L2273&gt;-1,$L2275&gt;-1),OR($L2273&gt;10,$L2275&gt;10),ABS($L2273-$L2275)&gt;1,IF(OR($L2273&gt;11,$L2275&gt;11),ABS($L2273-$L2275)=2,TRUE),$L2273=INT($L2273),$L2275=INT($L2275)),"","Error"),""),"")</f>
        <v/>
      </c>
      <c r="Q2271" s="6"/>
      <c r="R2271" s="14"/>
      <c r="S2271" s="14"/>
      <c r="T2271" s="14"/>
      <c r="U2271" s="14"/>
      <c r="V2271" s="14"/>
      <c r="W2271" s="14"/>
      <c r="X2271" s="7"/>
      <c r="Y2271" s="7"/>
      <c r="Z2271" s="14"/>
      <c r="AA2271" s="14"/>
      <c r="AB2271" s="14"/>
      <c r="AC2271" s="14"/>
      <c r="AD2271" s="14"/>
      <c r="AE2271" s="14"/>
      <c r="AF2271"/>
    </row>
    <row r="2272" spans="1:32" ht="12.75" customHeight="1" x14ac:dyDescent="0.25">
      <c r="A2272" s="5" t="s">
        <v>160</v>
      </c>
      <c r="B2272" s="256" t="s">
        <v>58</v>
      </c>
      <c r="C2272" s="257"/>
      <c r="D2272" s="257"/>
      <c r="E2272" s="257"/>
      <c r="F2272" s="257"/>
      <c r="G2272" s="258"/>
      <c r="H2272" s="5">
        <v>1</v>
      </c>
      <c r="I2272" s="5">
        <v>2</v>
      </c>
      <c r="J2272" s="5">
        <v>3</v>
      </c>
      <c r="K2272" s="5">
        <v>4</v>
      </c>
      <c r="L2272" s="5">
        <v>5</v>
      </c>
      <c r="M2272" s="270"/>
      <c r="N2272" s="271"/>
      <c r="O2272" s="271"/>
      <c r="P2272" s="272"/>
      <c r="Q2272" s="6"/>
      <c r="R2272" s="14"/>
      <c r="S2272" s="14"/>
      <c r="T2272" s="14"/>
      <c r="U2272" s="14"/>
      <c r="V2272" s="14"/>
      <c r="W2272" s="14"/>
      <c r="X2272" s="7"/>
      <c r="Y2272" s="7"/>
      <c r="Z2272" s="14"/>
      <c r="AA2272" s="14"/>
      <c r="AB2272" s="14"/>
      <c r="AC2272" s="14"/>
      <c r="AD2272" s="14"/>
      <c r="AE2272" s="14"/>
      <c r="AF2272"/>
    </row>
    <row r="2273" spans="1:32" ht="12.75" customHeight="1" x14ac:dyDescent="0.25">
      <c r="A2273" s="259" t="str">
        <f>B2253</f>
        <v>C</v>
      </c>
      <c r="B2273" s="236" t="str">
        <f ca="1">IF(AND(OFFSET($AO$1,$C2253-1,8,1,1),$A2254&lt;&gt;"",$J2254&lt;&gt;""),CHOOSE($C2253,$AQ$1,$AQ$2,$AQ$3,$AQ$4,$AQ$5,$AQ$6,$AQ$7,$AQ$8,$AQ$9,$AQ$10,$AQ$11,$AQ$12),"")</f>
        <v/>
      </c>
      <c r="C2273" s="237"/>
      <c r="D2273" s="237"/>
      <c r="E2273" s="237"/>
      <c r="F2273" s="237"/>
      <c r="G2273" s="237"/>
      <c r="H2273" s="233"/>
      <c r="I2273" s="233"/>
      <c r="J2273" s="233"/>
      <c r="K2273" s="233"/>
      <c r="L2273" s="233"/>
      <c r="M2273" s="245" t="str">
        <f ca="1">IF(OR(AND($B2266&lt;&gt;"",$B2273&lt;&gt;"",$D2284&lt;=$C2284),AND($B2268&lt;&gt;"",$B2275&lt;&gt;"",$H2284&lt;=$G2284)),"Invalid Lineup","")</f>
        <v/>
      </c>
      <c r="N2273" s="246"/>
      <c r="O2273" s="246"/>
      <c r="P2273" s="247"/>
      <c r="Q2273" s="40" t="str">
        <f>IF($L2273=$L2275,IF($K2273=$K2275,IF($J2273&lt;&gt;"",IF($J2273&gt;$J2275,"W","L"),""),IF($K2273&gt;$K2275,"W","L")),IF($L2273&gt;$L2275,"W","L"))</f>
        <v/>
      </c>
      <c r="R2273" s="14"/>
      <c r="S2273" s="14"/>
      <c r="T2273" s="14"/>
      <c r="U2273" s="14"/>
      <c r="V2273" s="14"/>
      <c r="W2273" s="14"/>
      <c r="X2273" s="7"/>
      <c r="Y2273" s="7"/>
      <c r="Z2273" s="14"/>
      <c r="AA2273" s="14"/>
      <c r="AB2273" s="14"/>
      <c r="AC2273" s="14"/>
      <c r="AD2273" s="14"/>
      <c r="AE2273" s="14"/>
      <c r="AF2273"/>
    </row>
    <row r="2274" spans="1:32" ht="12.75" customHeight="1" x14ac:dyDescent="0.25">
      <c r="A2274" s="260"/>
      <c r="B2274" s="238"/>
      <c r="C2274" s="239"/>
      <c r="D2274" s="239"/>
      <c r="E2274" s="239"/>
      <c r="F2274" s="239"/>
      <c r="G2274" s="239"/>
      <c r="H2274" s="234"/>
      <c r="I2274" s="234"/>
      <c r="J2274" s="234"/>
      <c r="K2274" s="234"/>
      <c r="L2274" s="234"/>
      <c r="M2274" s="245"/>
      <c r="N2274" s="246"/>
      <c r="O2274" s="246"/>
      <c r="P2274" s="247"/>
      <c r="Q2274" s="110" t="str">
        <f>IF($Q2273&lt;&gt;"",IF($Q2273="W",IF(SUM(IF($H2273&gt;$H2275,1,0),IF($I2273&gt;$I2275,1,0),IF($J2273&gt;$J2275,1,0),IF($K2273&gt;$K2275,1,0),IF($L2273&gt;$L2275,1,0))&lt;&gt;3,"Error",""),""),"")</f>
        <v/>
      </c>
      <c r="R2274" s="295" t="str">
        <f>$A2254</f>
        <v/>
      </c>
      <c r="S2274" s="295"/>
      <c r="T2274" s="295"/>
      <c r="U2274" s="295"/>
      <c r="V2274" s="295"/>
      <c r="W2274" s="295"/>
      <c r="X2274" s="219" t="str">
        <f>CONCATENATE("(",$B2253," vs ",$K2253,")")</f>
        <v>(C vs G)</v>
      </c>
      <c r="Y2274" s="219"/>
      <c r="Z2274" s="295" t="str">
        <f>$J2254</f>
        <v/>
      </c>
      <c r="AA2274" s="295"/>
      <c r="AB2274" s="295"/>
      <c r="AC2274" s="295"/>
      <c r="AD2274" s="295"/>
      <c r="AE2274" s="295"/>
      <c r="AF2274"/>
    </row>
    <row r="2275" spans="1:32" ht="12.75" customHeight="1" x14ac:dyDescent="0.25">
      <c r="A2275" s="259" t="str">
        <f>K2253</f>
        <v>G</v>
      </c>
      <c r="B2275" s="236" t="str">
        <f ca="1">IF(AND(OFFSET($AO$1,$L2253-1,8,1,1),$A2254&lt;&gt;"",$J2254&lt;&gt;""),CHOOSE($L2253,$AQ$1,$AQ$2,$AQ$3,$AQ$4,$AQ$5,$AQ$6,$AQ$7,$AQ$8,$AQ$9,$AQ$10,$AQ$11,$AQ$12),"")</f>
        <v/>
      </c>
      <c r="C2275" s="237"/>
      <c r="D2275" s="237"/>
      <c r="E2275" s="237"/>
      <c r="F2275" s="237"/>
      <c r="G2275" s="237"/>
      <c r="H2275" s="233"/>
      <c r="I2275" s="233"/>
      <c r="J2275" s="233"/>
      <c r="K2275" s="233"/>
      <c r="L2275" s="233"/>
      <c r="M2275" s="250" t="s">
        <v>169</v>
      </c>
      <c r="N2275" s="251"/>
      <c r="O2275" s="251"/>
      <c r="P2275" s="252"/>
      <c r="Q2275" s="40" t="str">
        <f>IF($Q2273&lt;&gt;"",IF($Q2273="W","L","W"),"")</f>
        <v/>
      </c>
      <c r="R2275"/>
      <c r="S2275"/>
      <c r="T2275"/>
      <c r="U2275"/>
      <c r="V2275"/>
      <c r="W2275"/>
      <c r="X2275"/>
      <c r="Y2275"/>
      <c r="Z2275"/>
      <c r="AA2275"/>
      <c r="AB2275"/>
      <c r="AC2275"/>
      <c r="AD2275"/>
      <c r="AE2275"/>
      <c r="AF2275"/>
    </row>
    <row r="2276" spans="1:32" ht="12.75" customHeight="1" x14ac:dyDescent="0.25">
      <c r="A2276" s="260"/>
      <c r="B2276" s="238"/>
      <c r="C2276" s="239"/>
      <c r="D2276" s="239"/>
      <c r="E2276" s="239"/>
      <c r="F2276" s="239"/>
      <c r="G2276" s="239"/>
      <c r="H2276" s="234"/>
      <c r="I2276" s="234"/>
      <c r="J2276" s="235"/>
      <c r="K2276" s="235"/>
      <c r="L2276" s="235"/>
      <c r="M2276" s="250"/>
      <c r="N2276" s="251"/>
      <c r="O2276" s="251"/>
      <c r="P2276" s="252"/>
      <c r="Q2276" s="110" t="str">
        <f>IF($Q2275&lt;&gt;"",IF($Q2275="W",IF(SUM(IF($H2275&gt;$H2273,1,0),IF($I2275&gt;$I2273,1,0),IF($J2275&gt;$J2273,1,0),IF($K2275&gt;$K2273,1,0),IF($L2275&gt;$L2273,1,0))&lt;&gt;3,"Error",""),""),"")</f>
        <v/>
      </c>
      <c r="R2276" t="str">
        <f>$A2271</f>
        <v>3rd Singles</v>
      </c>
      <c r="S2276"/>
      <c r="T2276"/>
      <c r="U2276"/>
      <c r="V2276"/>
      <c r="W2276"/>
      <c r="X2276"/>
      <c r="Y2276"/>
      <c r="Z2276"/>
      <c r="AA2276"/>
      <c r="AB2276"/>
      <c r="AC2276"/>
      <c r="AD2276"/>
      <c r="AE2276"/>
      <c r="AF2276"/>
    </row>
    <row r="2277" spans="1:32" ht="12.75" customHeight="1" x14ac:dyDescent="0.25">
      <c r="Q2277" s="6"/>
      <c r="R2277" s="47" t="s">
        <v>160</v>
      </c>
      <c r="S2277" s="86" t="s">
        <v>58</v>
      </c>
      <c r="T2277" s="87"/>
      <c r="U2277" s="87"/>
      <c r="V2277" s="87"/>
      <c r="W2277" s="87"/>
      <c r="X2277" s="88"/>
      <c r="Y2277" s="47">
        <v>1</v>
      </c>
      <c r="Z2277" s="47">
        <v>2</v>
      </c>
      <c r="AA2277" s="47">
        <v>3</v>
      </c>
      <c r="AB2277" s="47">
        <v>4</v>
      </c>
      <c r="AC2277" s="47">
        <v>5</v>
      </c>
      <c r="AD2277" s="89"/>
      <c r="AE2277" s="90"/>
      <c r="AF2277" s="91"/>
    </row>
    <row r="2278" spans="1:32" ht="12.75" customHeight="1" x14ac:dyDescent="0.25">
      <c r="A2278" s="15" t="s">
        <v>168</v>
      </c>
      <c r="H2278" s="110" t="str">
        <f ca="1">IF($Q2280&lt;&gt;"",IF(AND($B2280&lt;&gt;"Missing Player",$B2282&lt;&gt;"Missing Player"),IF(AND(AND($H2280&gt;-1,$H2282&gt;-1),OR($H2280&gt;10,$H2282&gt;10),ABS($H2280-$H2282)&gt;1,IF(OR($H2280&gt;11,$H2282&gt;11),ABS($H2280-$H2282)=2,TRUE),$H2280=INT($H2280),$H2282=INT($H2282)),"","Error"),""),"")</f>
        <v/>
      </c>
      <c r="I2278" s="110" t="str">
        <f ca="1">IF($Q2280&lt;&gt;"",IF(AND($B2280&lt;&gt;"Missing Player",$B2282&lt;&gt;"Missing Player"),IF(AND(AND($I2280&gt;-1,$I2282&gt;-1),OR($I2280&gt;10,$I2282&gt;10),ABS($I2280-$I2282)&gt;1,IF(OR($I2280&gt;11,$I2282&gt;11),ABS($I2280-$I2282)=2,TRUE),$I2280=INT($I2280),$I2282=INT($I2282)),"","Error"),""),"")</f>
        <v/>
      </c>
      <c r="J2278" s="110" t="str">
        <f ca="1">IF($Q2280&lt;&gt;"",IF(AND($B2280&lt;&gt;"Missing Player",$B2282&lt;&gt;"Missing Player"),IF(AND(AND($J2280&gt;-1,$J2282&gt;-1),OR($J2280&gt;10,$J2282&gt;10),ABS($J2280-$J2282)&gt;1,IF(OR($J2280&gt;11,$J2282&gt;11),ABS($J2280-$J2282)=2,TRUE),$J2280=INT($J2280),$J2282=INT($J2282)),"","Error"),""),"")</f>
        <v/>
      </c>
      <c r="K2278" s="110" t="str">
        <f ca="1">IF($Q2280&lt;&gt;"",IF(AND($K2280&lt;&gt;"",$K2282&lt;&gt;""), IF(AND(AND($K2280&gt;-1,$K2282&gt;-1),OR($K2280&gt;10,$K2282&gt;10),ABS($K2280-$K2282)&gt;1,IF(OR($K2280&gt;11,$K2282&gt;11),ABS($K2280-$K2282)=2,TRUE),$K2280=INT($K2280),$K2282=INT($K2282)),"","Error"),""),"")</f>
        <v/>
      </c>
      <c r="L2278" s="110" t="str">
        <f ca="1">IF($Q2280&lt;&gt;"",IF(AND($L2280&lt;&gt;"",$L2282&lt;&gt;""), IF(AND(AND($L2280&gt;-1,$L2282&gt;-1),OR($L2280&gt;10,$L2282&gt;10),ABS($L2280-$L2282)&gt;1,IF(OR($L2280&gt;11,$L2282&gt;11),ABS($L2280-$L2282)=2,TRUE),$L2280=INT($L2280),$L2282=INT($L2282)),"","Error"),""),"")</f>
        <v/>
      </c>
      <c r="Q2278" s="6"/>
      <c r="R2278" s="259" t="str">
        <f>$B2253</f>
        <v>C</v>
      </c>
      <c r="S2278" s="307" t="str">
        <f ca="1">IF($B2273&lt;&gt;"",$B2273,"")</f>
        <v/>
      </c>
      <c r="T2278" s="308"/>
      <c r="U2278" s="308"/>
      <c r="V2278" s="308"/>
      <c r="W2278" s="308"/>
      <c r="X2278" s="309"/>
      <c r="Y2278" s="284"/>
      <c r="Z2278" s="284"/>
      <c r="AA2278" s="284"/>
      <c r="AB2278" s="284"/>
      <c r="AC2278" s="284"/>
      <c r="AD2278" s="296"/>
      <c r="AE2278" s="290"/>
      <c r="AF2278" s="291"/>
    </row>
    <row r="2279" spans="1:32" ht="12.75" customHeight="1" x14ac:dyDescent="0.25">
      <c r="A2279" s="5" t="s">
        <v>160</v>
      </c>
      <c r="B2279" s="256" t="s">
        <v>58</v>
      </c>
      <c r="C2279" s="257"/>
      <c r="D2279" s="257"/>
      <c r="E2279" s="257"/>
      <c r="F2279" s="257"/>
      <c r="G2279" s="258"/>
      <c r="H2279" s="5">
        <v>1</v>
      </c>
      <c r="I2279" s="5">
        <v>2</v>
      </c>
      <c r="J2279" s="5">
        <v>3</v>
      </c>
      <c r="K2279" s="5">
        <v>4</v>
      </c>
      <c r="L2279" s="5">
        <v>5</v>
      </c>
      <c r="M2279" s="270"/>
      <c r="N2279" s="271"/>
      <c r="O2279" s="271"/>
      <c r="P2279" s="272"/>
      <c r="Q2279" s="6"/>
      <c r="R2279" s="285"/>
      <c r="S2279" s="310"/>
      <c r="T2279" s="311"/>
      <c r="U2279" s="311"/>
      <c r="V2279" s="311"/>
      <c r="W2279" s="311"/>
      <c r="X2279" s="312"/>
      <c r="Y2279" s="285"/>
      <c r="Z2279" s="285"/>
      <c r="AA2279" s="285"/>
      <c r="AB2279" s="285"/>
      <c r="AC2279" s="285"/>
      <c r="AD2279" s="292"/>
      <c r="AE2279" s="293"/>
      <c r="AF2279" s="294"/>
    </row>
    <row r="2280" spans="1:32" ht="12.75" customHeight="1" x14ac:dyDescent="0.25">
      <c r="A2280" s="259" t="str">
        <f>B2253</f>
        <v>C</v>
      </c>
      <c r="B2280" s="236" t="str">
        <f ca="1">IF(AND(OFFSET($AO$1,$C2253-1,8,1,1),$A2254&lt;&gt;"",$J2254&lt;&gt;""),CHOOSE($C2253,$AR$1,$AR$2,$AR$3,$AR$4,$AR$5,$AR$6,$AR$7,$AR$8,$AR$9,$AR$10,$AR$11,$AR$12),"")</f>
        <v/>
      </c>
      <c r="C2280" s="237"/>
      <c r="D2280" s="237"/>
      <c r="E2280" s="237"/>
      <c r="F2280" s="237"/>
      <c r="G2280" s="237"/>
      <c r="H2280" s="233"/>
      <c r="I2280" s="233"/>
      <c r="J2280" s="233"/>
      <c r="K2280" s="233"/>
      <c r="L2280" s="233" t="str">
        <f ca="1">IF(AND($B2280&lt;&gt;"",$Q2259&lt;&gt;""),IF($B2280="Missing Player",0,IF($B2282="Missing Player",11,"")),"")</f>
        <v/>
      </c>
      <c r="M2280" s="245" t="str">
        <f ca="1">IF(OR(AND($B2273&lt;&gt;"",$B2280&lt;&gt;"",$E2284&lt;=$D2284),AND($B2275&lt;&gt;"",$B2282&lt;&gt;"",$I2284&lt;=$H2284)),"Invalid Lineup","")</f>
        <v/>
      </c>
      <c r="N2280" s="246"/>
      <c r="O2280" s="246"/>
      <c r="P2280" s="247"/>
      <c r="Q2280" s="40" t="str">
        <f ca="1">IF($L2280=$L2282,IF($K2280=$K2282,IF($J2280&lt;&gt;"",IF($J2280&gt;$J2282,"W","L"),""),IF($K2280&gt;$K2282,"W","L")),IF($L2280&gt;$L2282,"W","L"))</f>
        <v/>
      </c>
      <c r="R2280" s="259" t="str">
        <f>$K2253</f>
        <v>G</v>
      </c>
      <c r="S2280" s="307" t="str">
        <f ca="1">IF($B2275&lt;&gt;"",$B2275,"")</f>
        <v/>
      </c>
      <c r="T2280" s="308"/>
      <c r="U2280" s="308"/>
      <c r="V2280" s="308"/>
      <c r="W2280" s="308"/>
      <c r="X2280" s="309"/>
      <c r="Y2280" s="284"/>
      <c r="Z2280" s="284"/>
      <c r="AA2280" s="284"/>
      <c r="AB2280" s="284"/>
      <c r="AC2280" s="297"/>
      <c r="AD2280" s="289" t="s">
        <v>169</v>
      </c>
      <c r="AE2280" s="290"/>
      <c r="AF2280" s="291"/>
    </row>
    <row r="2281" spans="1:32" ht="12.75" customHeight="1" x14ac:dyDescent="0.25">
      <c r="A2281" s="260"/>
      <c r="B2281" s="238"/>
      <c r="C2281" s="239"/>
      <c r="D2281" s="239"/>
      <c r="E2281" s="239"/>
      <c r="F2281" s="239"/>
      <c r="G2281" s="239"/>
      <c r="H2281" s="234"/>
      <c r="I2281" s="234"/>
      <c r="J2281" s="234"/>
      <c r="K2281" s="234"/>
      <c r="L2281" s="234"/>
      <c r="M2281" s="245"/>
      <c r="N2281" s="246"/>
      <c r="O2281" s="246"/>
      <c r="P2281" s="247"/>
      <c r="Q2281" s="110" t="str">
        <f ca="1">IF($Q2280&lt;&gt;"",IF($B2282&lt;&gt;"Missing Player",IF($Q2280="W",IF(SUM(IF($H2280&gt;$H2282,1,0),IF($I2280&gt;$I2282,1,0),IF($J2280&gt;$J2282,1,0),IF($K2280&gt;$K2282,1,0),IF($L2280&gt;$L2282,1,0))&lt;&gt;3,"Error",""),""),""),"")</f>
        <v/>
      </c>
      <c r="R2281" s="285"/>
      <c r="S2281" s="310"/>
      <c r="T2281" s="311"/>
      <c r="U2281" s="311"/>
      <c r="V2281" s="311"/>
      <c r="W2281" s="311"/>
      <c r="X2281" s="312"/>
      <c r="Y2281" s="285"/>
      <c r="Z2281" s="285"/>
      <c r="AA2281" s="285"/>
      <c r="AB2281" s="285"/>
      <c r="AC2281" s="285"/>
      <c r="AD2281" s="292"/>
      <c r="AE2281" s="293"/>
      <c r="AF2281" s="294"/>
    </row>
    <row r="2282" spans="1:32" ht="12.75" customHeight="1" x14ac:dyDescent="0.25">
      <c r="A2282" s="259" t="str">
        <f>K2253</f>
        <v>G</v>
      </c>
      <c r="B2282" s="236" t="str">
        <f ca="1">IF(AND(OFFSET($AO$1,$L2253-1,8,1,1),$A2254&lt;&gt;"",$J2254&lt;&gt;""),CHOOSE($L2253,$AR$1,$AR$2,$AR$3,$AR$4,$AR$5,$AR$6,$AR$7,$AR$8,$AR$9,$AR$10,$AR$11,$AR$12),"")</f>
        <v/>
      </c>
      <c r="C2282" s="237"/>
      <c r="D2282" s="237"/>
      <c r="E2282" s="237"/>
      <c r="F2282" s="237"/>
      <c r="G2282" s="237"/>
      <c r="H2282" s="233"/>
      <c r="I2282" s="233"/>
      <c r="J2282" s="233"/>
      <c r="K2282" s="233"/>
      <c r="L2282" s="233" t="str">
        <f ca="1">IF(AND($B2282&lt;&gt;"",$Q2259&lt;&gt;""),IF($B2282="Missing Player",0,IF($B2280="Missing Player",11,"")),"")</f>
        <v/>
      </c>
      <c r="M2282" s="250" t="s">
        <v>169</v>
      </c>
      <c r="N2282" s="251"/>
      <c r="O2282" s="251"/>
      <c r="P2282" s="252"/>
      <c r="Q2282" s="40" t="str">
        <f ca="1">IF($Q2280&lt;&gt;"",IF($Q2280="W","L","W"),"")</f>
        <v/>
      </c>
      <c r="R2282" s="94"/>
      <c r="S2282" s="84"/>
      <c r="T2282" s="84"/>
      <c r="U2282" s="84"/>
      <c r="V2282" s="84"/>
      <c r="W2282" s="84"/>
      <c r="X2282" s="84"/>
      <c r="Y2282" s="93"/>
      <c r="Z2282" s="93"/>
      <c r="AA2282" s="93"/>
      <c r="AB2282" s="93"/>
      <c r="AC2282" s="93"/>
      <c r="AD2282" s="92"/>
      <c r="AE2282" s="93"/>
      <c r="AF2282" s="93"/>
    </row>
    <row r="2283" spans="1:32" ht="12.75" customHeight="1" x14ac:dyDescent="0.25">
      <c r="A2283" s="260"/>
      <c r="B2283" s="238"/>
      <c r="C2283" s="239"/>
      <c r="D2283" s="239"/>
      <c r="E2283" s="239"/>
      <c r="F2283" s="239"/>
      <c r="G2283" s="239"/>
      <c r="H2283" s="234"/>
      <c r="I2283" s="234"/>
      <c r="J2283" s="235"/>
      <c r="K2283" s="235"/>
      <c r="L2283" s="235"/>
      <c r="M2283" s="250"/>
      <c r="N2283" s="251"/>
      <c r="O2283" s="251"/>
      <c r="P2283" s="252"/>
      <c r="Q2283" s="110" t="str">
        <f ca="1">IF($Q2282&lt;&gt;"",IF($B2280&lt;&gt;"Missing Player",IF($Q2282="W",IF(SUM(IF($H2282&gt;$H2280,1,0),IF($I2282&gt;$I2280,1,0),IF($J2282&gt;$J2280,1,0),IF($K2282&gt;$K2280,1,0),IF($L2282&gt;$L2280,1,0))&lt;&gt;3,"Error",""),""),""),"")</f>
        <v/>
      </c>
      <c r="R2283" s="85"/>
      <c r="S2283" s="95"/>
      <c r="T2283" s="95"/>
      <c r="U2283" s="95"/>
      <c r="V2283" s="95"/>
      <c r="W2283" s="95"/>
      <c r="X2283" s="95"/>
      <c r="Y2283" s="85"/>
      <c r="Z2283" s="85"/>
      <c r="AA2283" s="85"/>
      <c r="AB2283" s="85"/>
      <c r="AC2283" s="85"/>
      <c r="AD2283" s="85"/>
      <c r="AE2283" s="85"/>
      <c r="AF2283" s="85"/>
    </row>
    <row r="2284" spans="1:32" ht="12.75" customHeight="1" x14ac:dyDescent="0.25">
      <c r="B2284" s="111" t="str">
        <f ca="1">IF(ISERROR(VLOOKUP($B2259&amp;"("&amp;$B2253&amp;")",Players!$S$4:$T$132,2,FALSE)),"",VLOOKUP($B2259&amp;"("&amp;$B2253&amp;")",Players!$S$4:$T$132,2,FALSE))</f>
        <v>C1</v>
      </c>
      <c r="C2284" s="111" t="str">
        <f ca="1">IF(ISERROR(VLOOKUP($B2266&amp;"("&amp;$B2253&amp;")",Players!$S$4:$T$132,2,FALSE)),"",VLOOKUP($B2266&amp;"("&amp;$B2253&amp;")",Players!$S$4:$T$132,2,FALSE))</f>
        <v>C1</v>
      </c>
      <c r="D2284" s="111" t="str">
        <f ca="1">IF(ISERROR(VLOOKUP($B2273&amp;"("&amp;$B2253&amp;")",Players!$S$4:$T$132,2,FALSE)),"",VLOOKUP($B2273&amp;"("&amp;$B2253&amp;")",Players!$S$4:$T$132,2,FALSE))</f>
        <v>C1</v>
      </c>
      <c r="E2284" s="111" t="str">
        <f ca="1">IF(ISERROR(VLOOKUP($B2280&amp;"("&amp;$B2253&amp;")",Players!$S$4:$T$132,2,FALSE)),"",VLOOKUP($B2280&amp;"("&amp;$B2253&amp;")",Players!$S$4:$T$132,2,FALSE))</f>
        <v>C1</v>
      </c>
      <c r="F2284" s="111" t="str">
        <f ca="1">IF(ISERROR(VLOOKUP($B2261&amp;"("&amp;$K2253&amp;")",Players!$S$4:$T$132,2,FALSE)),"",VLOOKUP($B2261&amp;"("&amp;$K2253&amp;")",Players!$S$4:$T$132,2,FALSE))</f>
        <v>G1</v>
      </c>
      <c r="G2284" s="111" t="str">
        <f ca="1">IF(ISERROR(VLOOKUP($B2268&amp;"("&amp;$K2253&amp;")",Players!$S$4:$T$132,2,FALSE)),"",VLOOKUP($B2268&amp;"("&amp;$K2253&amp;")",Players!$S$4:$T$132,2,FALSE))</f>
        <v>G1</v>
      </c>
      <c r="H2284" s="111" t="str">
        <f ca="1">IF(ISERROR(VLOOKUP($B2275&amp;"("&amp;$K2253&amp;")",Players!$S$4:$T$132,2,FALSE)),"",VLOOKUP($B2275&amp;"("&amp;$K2253&amp;")",Players!$S$4:$T$132,2,FALSE))</f>
        <v>G1</v>
      </c>
      <c r="I2284" s="111" t="str">
        <f ca="1">IF(ISERROR(VLOOKUP($B2282&amp;"("&amp;$K2253&amp;")",Players!$S$4:$T$132,2,FALSE)),"",VLOOKUP($B2282&amp;"("&amp;$K2253&amp;")",Players!$S$4:$T$132,2,FALSE))</f>
        <v>G1</v>
      </c>
      <c r="Q2284" s="6"/>
      <c r="R2284" s="37"/>
      <c r="S2284" s="95"/>
      <c r="T2284" s="95"/>
      <c r="U2284" s="95"/>
      <c r="V2284" s="95"/>
      <c r="W2284" s="95"/>
      <c r="X2284" s="95"/>
      <c r="Y2284" s="85"/>
      <c r="Z2284" s="85"/>
      <c r="AA2284" s="85"/>
      <c r="AB2284" s="85"/>
      <c r="AC2284" s="96"/>
      <c r="AD2284" s="97"/>
      <c r="AE2284" s="85"/>
      <c r="AF2284" s="85"/>
    </row>
    <row r="2285" spans="1:32" ht="12.75" customHeight="1" x14ac:dyDescent="0.25">
      <c r="A2285" s="15" t="s">
        <v>157</v>
      </c>
      <c r="H2285" s="110" t="str">
        <f ca="1">IF($Q2287&lt;&gt;"",IF(AND($B2288&lt;&gt;"Missing Player",$B2290&lt;&gt;"Missing Player"),IF(AND(AND($H2287&gt;-1,$H2289&gt;-1),OR($H2287&gt;10,$H2289&gt;10),ABS($H2287-$H2289)&gt;1,IF(OR($H2287&gt;11,$H2289&gt;11),ABS($H2287-$H2289)=2,TRUE),$H2287=INT($H2287),$H2289=INT($H2289)),"","Error"),""),"")</f>
        <v/>
      </c>
      <c r="I2285" s="110" t="str">
        <f ca="1">IF($Q2287&lt;&gt;"",IF(AND($B2288&lt;&gt;"Missing Player",$B2290&lt;&gt;"Missing Player"),IF(AND(AND($I2287&gt;-1,$I2289&gt;-1),OR($I2287&gt;10,$I2289&gt;10),ABS($I2287-$I2289)&gt;1,IF(OR($I2287&gt;11,$I2289&gt;11),ABS($I2287-$I2289)=2,TRUE),$I2287=INT($I2287),$I2289=INT($I2289)),"","Error"),""),"")</f>
        <v/>
      </c>
      <c r="J2285" s="110" t="str">
        <f ca="1">IF($Q2287&lt;&gt;"",IF(AND($B2288&lt;&gt;"Missing Player",$B2290&lt;&gt;"Missing Player"),IF(AND(AND($J2287&gt;-1,$J2289&gt;-1),OR($J2287&gt;10,$J2289&gt;10),ABS($J2287-$J2289)&gt;1,IF(OR($J2287&gt;11,$J2289&gt;11),ABS($J2287-$J2289)=2,TRUE),$J2287=INT($J2287),$J2289=INT($J2289)),"","Error"),""),"")</f>
        <v/>
      </c>
      <c r="K2285" s="110" t="str">
        <f ca="1">IF($Q2287&lt;&gt;"",IF(AND($K2287&lt;&gt;"",$K2289&lt;&gt;""), IF(AND(AND($K2287&gt;-1,$K2289&gt;-1),OR($K2287&gt;10,$K2289&gt;10),ABS($K2287-$K2289)&gt;1,IF(OR($K2287&gt;11,$K2289&gt;11),ABS($K2287-$K2289)=2,TRUE),$K2287=INT($K2287),$K2289=INT($K2289)),"","Error"),""),"")</f>
        <v/>
      </c>
      <c r="L2285" s="110" t="str">
        <f ca="1">IF($Q2287&lt;&gt;"",IF(AND($L2287&lt;&gt;"",$L2289&lt;&gt;""), IF(AND(AND($L2287&gt;-1,$L2289&gt;-1),OR($L2287&gt;10,$L2289&gt;10),ABS($L2287-$L2289)&gt;1,IF(OR($L2287&gt;11,$L2289&gt;11),ABS($L2287-$L2289)=2,TRUE),$L2287=INT($L2287),$L2289=INT($L2289)),"","Error"),""),"")</f>
        <v/>
      </c>
      <c r="Q2285" s="6"/>
      <c r="R2285" s="85"/>
      <c r="S2285" s="95"/>
      <c r="T2285" s="95"/>
      <c r="U2285" s="95"/>
      <c r="V2285" s="95"/>
      <c r="W2285" s="95"/>
      <c r="X2285" s="95"/>
      <c r="Y2285" s="85"/>
      <c r="Z2285" s="85"/>
      <c r="AA2285" s="85"/>
      <c r="AB2285" s="85"/>
      <c r="AC2285" s="85"/>
      <c r="AD2285" s="85"/>
      <c r="AE2285" s="85"/>
      <c r="AF2285" s="85"/>
    </row>
    <row r="2286" spans="1:32" ht="12.75" customHeight="1" x14ac:dyDescent="0.25">
      <c r="A2286" s="5" t="s">
        <v>160</v>
      </c>
      <c r="B2286" s="256" t="s">
        <v>58</v>
      </c>
      <c r="C2286" s="257"/>
      <c r="D2286" s="257"/>
      <c r="E2286" s="257"/>
      <c r="F2286" s="257"/>
      <c r="G2286" s="258"/>
      <c r="H2286" s="5">
        <v>1</v>
      </c>
      <c r="I2286" s="5">
        <v>2</v>
      </c>
      <c r="J2286" s="5">
        <v>3</v>
      </c>
      <c r="K2286" s="5">
        <v>4</v>
      </c>
      <c r="L2286" s="5">
        <v>5</v>
      </c>
      <c r="M2286" s="270"/>
      <c r="N2286" s="271"/>
      <c r="O2286" s="271"/>
      <c r="P2286" s="272"/>
      <c r="Q2286" s="6"/>
      <c r="T2286" s="7"/>
    </row>
    <row r="2287" spans="1:32" ht="12.75" customHeight="1" x14ac:dyDescent="0.25">
      <c r="A2287" s="259" t="str">
        <f>B2253</f>
        <v>C</v>
      </c>
      <c r="B2287" s="230" t="str">
        <f ca="1">IF($B2259&lt;&gt;"",$B2259,"")</f>
        <v/>
      </c>
      <c r="C2287" s="231"/>
      <c r="D2287" s="231"/>
      <c r="E2287" s="231"/>
      <c r="F2287" s="231"/>
      <c r="G2287" s="232"/>
      <c r="H2287" s="233"/>
      <c r="I2287" s="233"/>
      <c r="J2287" s="233"/>
      <c r="K2287" s="233"/>
      <c r="L2287" s="233" t="str">
        <f ca="1">IF($B2280&lt;&gt;"",IF(AND($B2280="Missing Player",$G2291=2,$J2291=2),0,IF(AND($B2282="Missing Player",$G2291=2,$J2291=2),11,"")),"")</f>
        <v/>
      </c>
      <c r="M2287" s="245" t="str">
        <f ca="1">IF(OR(AND($B2287&lt;&gt;"",$B2288&lt;&gt;"",$B2287=$B2288),AND($B2289&lt;&gt;"",$B2290&lt;&gt;"",$B2289=$B2290)),"Invalid Partner","")</f>
        <v/>
      </c>
      <c r="N2287" s="246"/>
      <c r="O2287" s="246"/>
      <c r="P2287" s="247"/>
      <c r="Q2287" s="37" t="str">
        <f ca="1">IF(L2287=L2289,IF(K2287=K2289,IF(J2287&lt;&gt;"",IF(J2287&gt;J2289,"W","L"),""),IF(K2287&gt;K2289,"W","L")),IF(L2287&gt;L2289,"W","L"))</f>
        <v/>
      </c>
      <c r="T2287" s="7"/>
    </row>
    <row r="2288" spans="1:32" ht="12.75" customHeight="1" x14ac:dyDescent="0.25">
      <c r="A2288" s="260"/>
      <c r="B2288" s="266" t="str">
        <f ca="1">IF($B2280="Missing Player",$B2280,"")</f>
        <v/>
      </c>
      <c r="C2288" s="267"/>
      <c r="D2288" s="267"/>
      <c r="E2288" s="267"/>
      <c r="F2288" s="267"/>
      <c r="G2288" s="268"/>
      <c r="H2288" s="234"/>
      <c r="I2288" s="234"/>
      <c r="J2288" s="234"/>
      <c r="K2288" s="234"/>
      <c r="L2288" s="234"/>
      <c r="M2288" s="245"/>
      <c r="N2288" s="246"/>
      <c r="O2288" s="246"/>
      <c r="P2288" s="247"/>
      <c r="Q2288" s="110" t="str">
        <f ca="1">IF($Q2287&lt;&gt;"",IF($B2290&lt;&gt;"Missing Player",IF($Q2287="W",IF(SUM(IF($H2287&gt;$H2289,1,0),IF($I2287&gt;$I2289,1,0),IF($J2287&gt;$J2289,1,0),IF($K2287&gt;$K2289,1,0),IF($L2287&gt;$L2289,1,0))&lt;&gt;3,"Error",""),""),""),"")</f>
        <v/>
      </c>
      <c r="R2288" s="295" t="str">
        <f>$A2254</f>
        <v/>
      </c>
      <c r="S2288" s="295"/>
      <c r="T2288" s="295"/>
      <c r="U2288" s="295"/>
      <c r="V2288" s="295"/>
      <c r="W2288" s="295"/>
      <c r="X2288" s="219" t="str">
        <f>CONCATENATE("(",$B2253," vs ",$K2253,")")</f>
        <v>(C vs G)</v>
      </c>
      <c r="Y2288" s="219"/>
      <c r="Z2288" s="295" t="str">
        <f>$J2254</f>
        <v/>
      </c>
      <c r="AA2288" s="295"/>
      <c r="AB2288" s="295"/>
      <c r="AC2288" s="295"/>
      <c r="AD2288" s="295"/>
      <c r="AE2288" s="295"/>
      <c r="AF2288"/>
    </row>
    <row r="2289" spans="1:32" ht="12.75" customHeight="1" x14ac:dyDescent="0.25">
      <c r="A2289" s="265" t="str">
        <f>K2253</f>
        <v>G</v>
      </c>
      <c r="B2289" s="230" t="str">
        <f ca="1">IF($B2261&lt;&gt;"",$B2261,"")</f>
        <v/>
      </c>
      <c r="C2289" s="231"/>
      <c r="D2289" s="231"/>
      <c r="E2289" s="231"/>
      <c r="F2289" s="231"/>
      <c r="G2289" s="232"/>
      <c r="H2289" s="233"/>
      <c r="I2289" s="233"/>
      <c r="J2289" s="233"/>
      <c r="K2289" s="233"/>
      <c r="L2289" s="233" t="str">
        <f ca="1">IF($B2282&lt;&gt;"",IF(AND($B2282="Missing Player",$G2291=2,$J2291=2),0,IF(AND($B2280="Missing Player",$G2291=2,$J2291=2),11,"")),"")</f>
        <v/>
      </c>
      <c r="M2289" s="250" t="s">
        <v>169</v>
      </c>
      <c r="N2289" s="251"/>
      <c r="O2289" s="251"/>
      <c r="P2289" s="252"/>
      <c r="Q2289" s="37" t="str">
        <f ca="1">IF(Q2287&lt;&gt;"",IF(Q2287="W","L","W"),"")</f>
        <v/>
      </c>
      <c r="R2289"/>
      <c r="S2289"/>
      <c r="T2289"/>
      <c r="U2289"/>
      <c r="V2289"/>
      <c r="W2289"/>
      <c r="X2289"/>
      <c r="Y2289"/>
      <c r="Z2289"/>
      <c r="AA2289"/>
      <c r="AB2289"/>
      <c r="AC2289"/>
      <c r="AD2289"/>
      <c r="AE2289"/>
      <c r="AF2289"/>
    </row>
    <row r="2290" spans="1:32" ht="12.75" customHeight="1" x14ac:dyDescent="0.25">
      <c r="A2290" s="260"/>
      <c r="B2290" s="266" t="str">
        <f ca="1">IF($B2282="Missing Player",$B2282,"")</f>
        <v/>
      </c>
      <c r="C2290" s="267"/>
      <c r="D2290" s="267"/>
      <c r="E2290" s="267"/>
      <c r="F2290" s="267"/>
      <c r="G2290" s="268"/>
      <c r="H2290" s="234"/>
      <c r="I2290" s="234"/>
      <c r="J2290" s="235"/>
      <c r="K2290" s="235"/>
      <c r="L2290" s="235"/>
      <c r="M2290" s="250"/>
      <c r="N2290" s="251"/>
      <c r="O2290" s="251"/>
      <c r="P2290" s="252"/>
      <c r="Q2290" s="110" t="str">
        <f ca="1">IF($Q2289&lt;&gt;"",IF($B2288&lt;&gt;"Missing Player",IF($Q2289="W",IF(SUM(IF($H2289&gt;$H2287,1,0),IF($I2289&gt;$I2287,1,0),IF($J2289&gt;$J2287,1,0),IF($K2289&gt;$K2287,1,0),IF($L2289&gt;$L2287,1,0))&lt;&gt;3,"Error",""),""),""),"")</f>
        <v/>
      </c>
      <c r="R2290" t="str">
        <f>A2278</f>
        <v>4th Singles</v>
      </c>
      <c r="S2290"/>
      <c r="T2290"/>
      <c r="U2290"/>
      <c r="V2290"/>
      <c r="W2290"/>
      <c r="X2290"/>
      <c r="Y2290"/>
      <c r="Z2290"/>
      <c r="AA2290"/>
      <c r="AB2290"/>
      <c r="AC2290"/>
      <c r="AD2290"/>
      <c r="AE2290"/>
      <c r="AF2290"/>
    </row>
    <row r="2291" spans="1:32" ht="12.75" customHeight="1" x14ac:dyDescent="0.25">
      <c r="G2291" s="53">
        <f ca="1">COUNTIF($Q2259:$Q2259,"W")+COUNTIF($Q2266:$Q2266,"W")+COUNTIF($Q2273:$Q2273,"W")+COUNTIF($Q2280:$Q2280,"W")</f>
        <v>0</v>
      </c>
      <c r="J2291" s="53">
        <f ca="1">COUNTIF($Q2261:$Q2261,"W")+COUNTIF($Q2268:$Q2268,"W")+COUNTIF($Q2275:$Q2275,"W")+COUNTIF($Q2282:$Q2282,"W")</f>
        <v>0</v>
      </c>
      <c r="R2291" s="47" t="s">
        <v>160</v>
      </c>
      <c r="S2291" s="304" t="s">
        <v>58</v>
      </c>
      <c r="T2291" s="305"/>
      <c r="U2291" s="305"/>
      <c r="V2291" s="305"/>
      <c r="W2291" s="305"/>
      <c r="X2291" s="306"/>
      <c r="Y2291" s="47">
        <v>1</v>
      </c>
      <c r="Z2291" s="47">
        <v>2</v>
      </c>
      <c r="AA2291" s="47">
        <v>3</v>
      </c>
      <c r="AB2291" s="47">
        <v>4</v>
      </c>
      <c r="AC2291" s="47">
        <v>5</v>
      </c>
      <c r="AD2291" s="286"/>
      <c r="AE2291" s="287"/>
      <c r="AF2291" s="288"/>
    </row>
    <row r="2292" spans="1:32" ht="12.75" customHeight="1" thickBot="1" x14ac:dyDescent="0.3">
      <c r="F2292" s="212" t="s">
        <v>170</v>
      </c>
      <c r="G2292" s="212"/>
      <c r="H2292" s="212"/>
      <c r="I2292" s="212"/>
      <c r="J2292" s="212"/>
      <c r="K2292" s="212"/>
      <c r="R2292" s="259" t="str">
        <f>B2253</f>
        <v>C</v>
      </c>
      <c r="S2292" s="307" t="str">
        <f ca="1">IF($B2280&lt;&gt;"",$B2280,"")</f>
        <v/>
      </c>
      <c r="T2292" s="308"/>
      <c r="U2292" s="308"/>
      <c r="V2292" s="308"/>
      <c r="W2292" s="308"/>
      <c r="X2292" s="309"/>
      <c r="Y2292" s="284"/>
      <c r="Z2292" s="284"/>
      <c r="AA2292" s="297"/>
      <c r="AB2292" s="297"/>
      <c r="AC2292" s="297"/>
      <c r="AD2292" s="296"/>
      <c r="AE2292" s="298"/>
      <c r="AF2292" s="299"/>
    </row>
    <row r="2293" spans="1:32" ht="12.75" customHeight="1" x14ac:dyDescent="0.25">
      <c r="A2293" s="16"/>
      <c r="B2293" s="16"/>
      <c r="C2293" s="16"/>
      <c r="D2293" s="16"/>
      <c r="E2293" s="16"/>
      <c r="G2293" s="261" t="str">
        <f>B2253</f>
        <v>C</v>
      </c>
      <c r="H2293" s="262"/>
      <c r="I2293" s="263" t="str">
        <f>K2253</f>
        <v>G</v>
      </c>
      <c r="J2293" s="264"/>
      <c r="L2293" s="16"/>
      <c r="M2293" s="16"/>
      <c r="N2293" s="16"/>
      <c r="O2293" s="16"/>
      <c r="P2293" s="16"/>
      <c r="R2293" s="260"/>
      <c r="S2293" s="310"/>
      <c r="T2293" s="311"/>
      <c r="U2293" s="311"/>
      <c r="V2293" s="311"/>
      <c r="W2293" s="311"/>
      <c r="X2293" s="312"/>
      <c r="Y2293" s="285"/>
      <c r="Z2293" s="285"/>
      <c r="AA2293" s="303"/>
      <c r="AB2293" s="303"/>
      <c r="AC2293" s="303"/>
      <c r="AD2293" s="300"/>
      <c r="AE2293" s="301"/>
      <c r="AF2293" s="302"/>
    </row>
    <row r="2294" spans="1:32" ht="12.75" customHeight="1" thickBot="1" x14ac:dyDescent="0.3">
      <c r="A2294" s="39" t="s">
        <v>160</v>
      </c>
      <c r="B2294" s="102" t="str">
        <f>B2253</f>
        <v>C</v>
      </c>
      <c r="C2294" s="3" t="s">
        <v>158</v>
      </c>
      <c r="F2294" s="53" t="str">
        <f>CONCATENATE($B2253,"-",$K2253)</f>
        <v>C-G</v>
      </c>
      <c r="G2294" s="240" t="str">
        <f ca="1">IF(OR(Q2259&lt;&gt;"",Q2266&lt;&gt;"",Q2273&lt;&gt;"",Q2280&lt;&gt;"",Q2287&lt;&gt;""),COUNTIF(Q2259:Q2259,"W")+COUNTIF(Q2266:Q2266,"W")+COUNTIF(Q2273:Q2273,"W")+COUNTIF(Q2280:Q2280,"W")+COUNTIF(Q2287:Q2287,"W"),"")</f>
        <v/>
      </c>
      <c r="H2294" s="241"/>
      <c r="I2294" s="242" t="str">
        <f ca="1">IF(OR(Q2261&lt;&gt;"",Q2268&lt;&gt;"",Q2275&lt;&gt;"",Q2282&lt;&gt;"",Q2289&lt;&gt;""),COUNTIF(Q2261:Q2261,"W")+COUNTIF(Q2268:Q2268,"W")+COUNTIF(Q2275:Q2275,"W")+COUNTIF(Q2282:Q2282,"W")+COUNTIF(Q2289:Q2289,"W"),"")</f>
        <v/>
      </c>
      <c r="J2294" s="243"/>
      <c r="L2294" s="2" t="s">
        <v>160</v>
      </c>
      <c r="M2294" s="40" t="str">
        <f>K2253</f>
        <v>G</v>
      </c>
      <c r="N2294" s="3" t="s">
        <v>158</v>
      </c>
      <c r="R2294" s="259" t="str">
        <f>K2253</f>
        <v>G</v>
      </c>
      <c r="S2294" s="307" t="str">
        <f ca="1">IF($B2282&lt;&gt;"",$B2282,"")</f>
        <v/>
      </c>
      <c r="T2294" s="308"/>
      <c r="U2294" s="308"/>
      <c r="V2294" s="308"/>
      <c r="W2294" s="308"/>
      <c r="X2294" s="309"/>
      <c r="Y2294" s="284"/>
      <c r="Z2294" s="284"/>
      <c r="AA2294" s="297"/>
      <c r="AB2294" s="297"/>
      <c r="AC2294" s="297"/>
      <c r="AD2294" s="289" t="s">
        <v>169</v>
      </c>
      <c r="AE2294" s="290"/>
      <c r="AF2294" s="291"/>
    </row>
    <row r="2295" spans="1:32" ht="12.75" customHeight="1" x14ac:dyDescent="0.35">
      <c r="F2295" s="18" t="s">
        <v>403</v>
      </c>
      <c r="G2295" s="17"/>
      <c r="H2295" s="17"/>
      <c r="I2295" s="17"/>
      <c r="J2295" s="17"/>
      <c r="R2295" s="285"/>
      <c r="S2295" s="310"/>
      <c r="T2295" s="311"/>
      <c r="U2295" s="311"/>
      <c r="V2295" s="311"/>
      <c r="W2295" s="311"/>
      <c r="X2295" s="312"/>
      <c r="Y2295" s="285"/>
      <c r="Z2295" s="285"/>
      <c r="AA2295" s="285"/>
      <c r="AB2295" s="285"/>
      <c r="AC2295" s="285"/>
      <c r="AD2295" s="292"/>
      <c r="AE2295" s="293"/>
      <c r="AF2295" s="294"/>
    </row>
    <row r="2296" spans="1:32" ht="12.75" customHeight="1" x14ac:dyDescent="0.25">
      <c r="R2296" s="1"/>
      <c r="S2296" s="11"/>
      <c r="T2296" s="11"/>
      <c r="U2296" s="11"/>
      <c r="V2296" s="11"/>
      <c r="W2296" s="11"/>
    </row>
    <row r="2297" spans="1:32" ht="12.75" customHeight="1" x14ac:dyDescent="0.25">
      <c r="F2297" s="212"/>
      <c r="G2297" s="212"/>
      <c r="H2297" s="212"/>
      <c r="I2297" s="212"/>
      <c r="R2297" s="1"/>
      <c r="S2297" s="11"/>
      <c r="T2297" s="11"/>
      <c r="U2297" s="11"/>
      <c r="V2297" s="11"/>
      <c r="W2297" s="11"/>
    </row>
    <row r="2298" spans="1:32" ht="12.75" customHeight="1" x14ac:dyDescent="0.25">
      <c r="F2298" s="212"/>
      <c r="G2298" s="212"/>
      <c r="H2298" s="212"/>
      <c r="I2298" s="212"/>
      <c r="R2298" s="1"/>
      <c r="S2298" s="11"/>
      <c r="T2298" s="11"/>
      <c r="U2298" s="11"/>
      <c r="V2298" s="11"/>
      <c r="W2298" s="11"/>
    </row>
    <row r="2299" spans="1:32" ht="12.75" customHeight="1" x14ac:dyDescent="0.25">
      <c r="K2299" s="219" t="s">
        <v>176</v>
      </c>
      <c r="L2299" s="219"/>
      <c r="M2299" s="219"/>
      <c r="N2299" s="219"/>
      <c r="O2299" s="219"/>
      <c r="P2299" s="219"/>
      <c r="R2299" s="1"/>
      <c r="S2299" s="11"/>
      <c r="T2299" s="11"/>
      <c r="U2299" s="11"/>
      <c r="V2299" s="11"/>
      <c r="W2299" s="11"/>
    </row>
    <row r="2300" spans="1:32" ht="12.75" customHeight="1" x14ac:dyDescent="0.25">
      <c r="A2300" s="9" t="s">
        <v>161</v>
      </c>
      <c r="B2300"/>
      <c r="C2300"/>
      <c r="D2300" t="str">
        <f>Draw!$B$1</f>
        <v>Enter Division Name</v>
      </c>
      <c r="E2300"/>
      <c r="F2300" s="6"/>
      <c r="G2300" s="6"/>
      <c r="H2300" s="6"/>
      <c r="I2300"/>
      <c r="J2300"/>
      <c r="K2300"/>
      <c r="L2300"/>
      <c r="M2300" s="219"/>
      <c r="N2300" s="219"/>
      <c r="O2300" s="219"/>
      <c r="P2300" s="219"/>
      <c r="R2300" s="1"/>
      <c r="S2300" s="11"/>
      <c r="T2300" s="11"/>
      <c r="U2300" s="11"/>
      <c r="V2300" s="11"/>
      <c r="W2300" s="11"/>
    </row>
    <row r="2301" spans="1:32" ht="12.75" customHeight="1" x14ac:dyDescent="0.25">
      <c r="A2301" s="2" t="s">
        <v>162</v>
      </c>
      <c r="D2301" t="str">
        <f>Draw!$D$1</f>
        <v>Enter Hosting Location (City, ST)</v>
      </c>
      <c r="J2301" t="str">
        <f ca="1">$J$6</f>
        <v>[NCTTA Teams Template (v3.4).xlsx]</v>
      </c>
      <c r="R2301" s="1"/>
      <c r="S2301" s="11"/>
      <c r="T2301" s="11"/>
      <c r="U2301" s="11"/>
      <c r="V2301" s="11"/>
      <c r="W2301" s="11"/>
    </row>
    <row r="2302" spans="1:32" ht="12.75" customHeight="1" x14ac:dyDescent="0.25">
      <c r="A2302" s="2" t="s">
        <v>163</v>
      </c>
      <c r="D2302" s="275" t="str">
        <f>Draw!$P$1</f>
        <v>Enter Date</v>
      </c>
      <c r="E2302" s="275"/>
      <c r="F2302" s="275"/>
      <c r="G2302" s="275"/>
      <c r="I2302"/>
      <c r="J2302" s="313" t="str">
        <f>CHOOSE(Draw!$T$1,"Round 8, Match 4","","","","","","","","","","Round 10, Match 1")</f>
        <v>Round 8, Match 4</v>
      </c>
      <c r="K2302" s="313"/>
      <c r="L2302" s="313"/>
      <c r="M2302" s="277" t="str">
        <f>IF(AND($J2302&lt;&gt;"",Draw!$AC$10&lt;&gt;"",Draw!$AC$13&lt;&gt;""),Draw!$AC$10+TIME(0,VALUE(MID($J2302,7,FIND(",",$J2302)-FIND(" ",$J2302)-1)-1)*Draw!$AC$13,0),"")</f>
        <v/>
      </c>
      <c r="N2302" s="277"/>
      <c r="O2302" s="125" t="str">
        <f>$F2345</f>
        <v>B-H</v>
      </c>
      <c r="R2302" s="1"/>
      <c r="S2302" s="11"/>
      <c r="T2302" s="11"/>
      <c r="U2302" s="11"/>
      <c r="V2302" s="11"/>
      <c r="W2302" s="11"/>
    </row>
    <row r="2303" spans="1:32" ht="12.75" customHeight="1" x14ac:dyDescent="0.25">
      <c r="A2303" s="6"/>
      <c r="B2303"/>
      <c r="C2303"/>
      <c r="D2303"/>
      <c r="E2303"/>
      <c r="F2303" s="6"/>
      <c r="G2303" s="6"/>
      <c r="H2303" s="11"/>
      <c r="I2303" s="6"/>
      <c r="J2303"/>
      <c r="K2303"/>
      <c r="L2303"/>
      <c r="M2303"/>
      <c r="N2303"/>
      <c r="O2303" s="269" t="str">
        <f>IF(OR(AND(VLOOKUP($B2304,$AM$1:$AX$12,12,FALSE)="C",VLOOKUP($K2304,$AM$1:$AX$12,12,FALSE)="C"),AND(VLOOKUP($B2304,$AM$1:$AX$12,12,FALSE)="W",VLOOKUP($K2304,$AM$1:$AX$12,12,FALSE)="W")),"Official",IF(AND($A2305="",$J2305=""),"","Scrimmage"))</f>
        <v/>
      </c>
      <c r="P2303" s="269"/>
      <c r="R2303" s="1"/>
      <c r="S2303" s="11"/>
      <c r="T2303" s="11"/>
      <c r="U2303" s="11"/>
      <c r="V2303" s="11"/>
      <c r="W2303" s="11"/>
    </row>
    <row r="2304" spans="1:32" ht="12.75" customHeight="1" x14ac:dyDescent="0.25">
      <c r="A2304" s="12" t="s">
        <v>160</v>
      </c>
      <c r="B2304" s="98" t="str">
        <f>CHOOSE(Draw!$T$1,"B","C","D","E","F","F","E","E","D","A","A")</f>
        <v>B</v>
      </c>
      <c r="C2304" s="109">
        <f>VLOOKUP($B2304,$AM$1:$AN$12,2)</f>
        <v>2</v>
      </c>
      <c r="D2304" s="10"/>
      <c r="E2304" s="10"/>
      <c r="F2304" s="8"/>
      <c r="H2304" s="1" t="s">
        <v>164</v>
      </c>
      <c r="J2304" s="12" t="s">
        <v>160</v>
      </c>
      <c r="K2304" s="98" t="str">
        <f>CHOOSE(Draw!$T$1,"H","J","H","G","G","G","L","J","J","K","C")</f>
        <v>H</v>
      </c>
      <c r="L2304" s="109">
        <f>VLOOKUP($K2304,$AM$1:$AN$12,2)</f>
        <v>8</v>
      </c>
      <c r="M2304" s="10"/>
      <c r="N2304" s="10"/>
      <c r="O2304" s="13"/>
      <c r="R2304" s="1"/>
      <c r="S2304" s="11"/>
      <c r="T2304" s="11"/>
      <c r="U2304" s="11"/>
      <c r="V2304" s="11"/>
      <c r="W2304" s="11"/>
    </row>
    <row r="2305" spans="1:32" ht="12.75" customHeight="1" x14ac:dyDescent="0.25">
      <c r="A2305" s="253" t="str">
        <f>IF(VLOOKUP($B2304,Draw!$A$4:$B$27,2)&lt;&gt;0,VLOOKUP($B2304,Draw!$A$4:$B$27,2),"")</f>
        <v/>
      </c>
      <c r="B2305" s="254"/>
      <c r="C2305" s="254"/>
      <c r="D2305" s="254"/>
      <c r="E2305" s="254"/>
      <c r="F2305" s="255"/>
      <c r="G2305" s="273" t="s">
        <v>449</v>
      </c>
      <c r="H2305" s="249"/>
      <c r="I2305" s="274"/>
      <c r="J2305" s="253" t="str">
        <f>IF(VLOOKUP($K2304,Draw!$A$4:$B$27,2)&lt;&gt;0,VLOOKUP($K2304,Draw!$A$4:$B$27,2),"")</f>
        <v/>
      </c>
      <c r="K2305" s="254"/>
      <c r="L2305" s="254"/>
      <c r="M2305" s="254"/>
      <c r="N2305" s="254"/>
      <c r="O2305" s="255"/>
      <c r="P2305"/>
      <c r="R2305" s="1"/>
      <c r="S2305" s="11"/>
      <c r="T2305" s="11"/>
      <c r="U2305" s="11"/>
      <c r="V2305" s="11"/>
      <c r="W2305" s="11"/>
    </row>
    <row r="2306" spans="1:32" ht="12.75" customHeight="1" x14ac:dyDescent="0.25">
      <c r="A2306" s="6"/>
      <c r="B2306"/>
      <c r="C2306"/>
      <c r="D2306"/>
      <c r="E2306"/>
      <c r="F2306" s="6"/>
      <c r="G2306" s="248" t="str">
        <f>"Page "&amp;VALUE(RIGHT($G2305,LEN($G2305)-SEARCH("-",$G2305)))/2</f>
        <v>Page 46</v>
      </c>
      <c r="H2306" s="249"/>
      <c r="I2306" s="249"/>
      <c r="J2306"/>
      <c r="K2306"/>
      <c r="L2306"/>
      <c r="M2306"/>
      <c r="N2306"/>
      <c r="O2306"/>
      <c r="P2306"/>
      <c r="R2306" s="1"/>
      <c r="S2306" s="11"/>
      <c r="T2306" s="11"/>
      <c r="U2306" s="11"/>
      <c r="V2306" s="11"/>
      <c r="W2306" s="11"/>
      <c r="AF2306"/>
    </row>
    <row r="2307" spans="1:32" ht="12.75" customHeight="1" x14ac:dyDescent="0.25">
      <c r="A2307" s="276" t="s">
        <v>177</v>
      </c>
      <c r="B2307" s="276"/>
      <c r="C2307" s="276"/>
      <c r="D2307" s="276"/>
      <c r="E2307" s="276"/>
      <c r="F2307" s="276"/>
      <c r="G2307" s="276"/>
      <c r="H2307" s="276"/>
      <c r="I2307" s="276"/>
      <c r="J2307" s="276"/>
      <c r="K2307" s="276"/>
      <c r="L2307" s="276"/>
      <c r="M2307" s="276"/>
      <c r="N2307" s="276"/>
      <c r="O2307" s="276"/>
      <c r="P2307" s="276"/>
      <c r="Q2307" s="6"/>
      <c r="R2307" s="1"/>
      <c r="S2307" s="11"/>
      <c r="T2307" s="11"/>
      <c r="U2307" s="11"/>
      <c r="V2307" s="11"/>
      <c r="W2307" s="11"/>
      <c r="AF2307" s="14"/>
    </row>
    <row r="2308" spans="1:32" ht="12.75" customHeight="1" x14ac:dyDescent="0.25">
      <c r="A2308" s="15" t="s">
        <v>165</v>
      </c>
      <c r="H2308" s="110" t="str">
        <f>IF($Q2310&lt;&gt;"",IF(AND(AND($H2310&gt;-1,$H2312&gt;-1),OR($H2310&gt;10,$H2312&gt;10),ABS($H2310-$H2312)&gt;1,IF(OR($H2310&gt;11,$H2312&gt;11),ABS($H2310-$H2312)=2,TRUE),$H2310=INT($H2310),$H2312=INT($H2312)),"","Error"),"")</f>
        <v/>
      </c>
      <c r="I2308" s="110" t="str">
        <f>IF($Q2310&lt;&gt;"",IF(AND(AND($I2310&gt;-1,$I2312&gt;-1),OR($I2310&gt;10,$I2312&gt;10),ABS($I2310-$I2312)&gt;1,IF(OR($I2310&gt;11,$I2312&gt;11),ABS($I2310-$I2312)=2,TRUE),$I2310=INT($I2310),$I2312=INT($I2312)),"","Error"),"")</f>
        <v/>
      </c>
      <c r="J2308" s="110" t="str">
        <f>IF($Q2310&lt;&gt;"",IF(AND(AND($J2310&gt;-1,$J2312&gt;-1),OR($J2310&gt;10,$J2312&gt;10),ABS($J2310-$J2312)&gt;1,IF(OR($J2310&gt;11,$J2312&gt;11),ABS($J2310-$J2312)=2,TRUE),$J2310=INT($J2310),$J2312=INT($J2312)),"","Error"),"")</f>
        <v/>
      </c>
      <c r="K2308" s="110" t="str">
        <f>IF($Q2310&lt;&gt;"",IF(AND($K2310&lt;&gt;"",$K2312&lt;&gt;""), IF(AND(AND($K2310&gt;-1,$K2312&gt;-1),OR($K2310&gt;10,$K2312&gt;10),ABS($K2310-$K2312)&gt;1,IF(OR($K2310&gt;11,$K2312&gt;11),ABS($K2310-$K2312)=2,TRUE),$K2310=INT($K2310),$K2312=INT($K2312)),"","Error"),""),"")</f>
        <v/>
      </c>
      <c r="L2308" s="110" t="str">
        <f>IF($Q2310&lt;&gt;"",IF(AND($L2310&lt;&gt;"",$L2312&lt;&gt;""), IF(AND(AND($L2310&gt;-1,$L2312&gt;-1),OR($L2310&gt;10,$L2312&gt;10),ABS($L2310-$L2312)&gt;1,IF(OR($L2310&gt;11,$L2312&gt;11),ABS($L2310-$L2312)=2,TRUE),$L2310=INT($L2310),$L2312=INT($L2312)),"","Error"),""),"")</f>
        <v/>
      </c>
      <c r="R2308" s="1"/>
      <c r="S2308" s="11"/>
      <c r="T2308" s="11"/>
      <c r="U2308" s="11"/>
      <c r="V2308" s="11"/>
      <c r="W2308" s="11"/>
    </row>
    <row r="2309" spans="1:32" ht="12.75" customHeight="1" x14ac:dyDescent="0.25">
      <c r="A2309" s="5" t="s">
        <v>160</v>
      </c>
      <c r="B2309" s="256" t="s">
        <v>58</v>
      </c>
      <c r="C2309" s="257"/>
      <c r="D2309" s="257"/>
      <c r="E2309" s="257"/>
      <c r="F2309" s="257"/>
      <c r="G2309" s="258"/>
      <c r="H2309" s="5">
        <v>1</v>
      </c>
      <c r="I2309" s="5">
        <v>2</v>
      </c>
      <c r="J2309" s="5">
        <v>3</v>
      </c>
      <c r="K2309" s="5">
        <v>4</v>
      </c>
      <c r="L2309" s="5">
        <v>5</v>
      </c>
      <c r="M2309" s="270"/>
      <c r="N2309" s="271"/>
      <c r="O2309" s="271"/>
      <c r="P2309" s="272"/>
      <c r="R2309" s="1"/>
      <c r="S2309" s="11"/>
      <c r="T2309" s="11"/>
      <c r="U2309" s="11"/>
      <c r="V2309" s="11"/>
      <c r="W2309" s="11"/>
    </row>
    <row r="2310" spans="1:32" ht="12.75" customHeight="1" x14ac:dyDescent="0.25">
      <c r="A2310" s="259" t="str">
        <f>B2304</f>
        <v>B</v>
      </c>
      <c r="B2310" s="236" t="str">
        <f ca="1">IF(AND(OFFSET($AO$1,$C2304-1,8,1,1),$A2305&lt;&gt;"",$J2305&lt;&gt;""),CHOOSE($C2304,$AO$1,$AO$2,$AO$3,$AO$4,$AO$5,$AO$6,$AO$7,$AO$8,$AO$9,$AO$10,$AO$11,$AO$12),"")</f>
        <v/>
      </c>
      <c r="C2310" s="237"/>
      <c r="D2310" s="237"/>
      <c r="E2310" s="237"/>
      <c r="F2310" s="237"/>
      <c r="G2310" s="237"/>
      <c r="H2310" s="233"/>
      <c r="I2310" s="233"/>
      <c r="J2310" s="233"/>
      <c r="K2310" s="233"/>
      <c r="L2310" s="233"/>
      <c r="M2310" s="281"/>
      <c r="N2310" s="282"/>
      <c r="O2310" s="282"/>
      <c r="P2310" s="283"/>
      <c r="Q2310" s="40" t="str">
        <f>IF($L2310=$L2312,IF($K2310=$K2312,IF($J2310&lt;&gt;"",IF($J2310&gt;$J2312,"W","L"),""),IF($K2310&gt;$K2312,"W","L")),IF($L2310&gt;$L2312,"W","L"))</f>
        <v/>
      </c>
      <c r="R2310" s="1"/>
      <c r="S2310" s="11"/>
      <c r="T2310" s="11"/>
      <c r="U2310" s="11"/>
      <c r="V2310" s="11"/>
      <c r="W2310" s="11"/>
    </row>
    <row r="2311" spans="1:32" ht="12.75" customHeight="1" x14ac:dyDescent="0.25">
      <c r="A2311" s="260"/>
      <c r="B2311" s="238"/>
      <c r="C2311" s="239"/>
      <c r="D2311" s="239"/>
      <c r="E2311" s="239"/>
      <c r="F2311" s="239"/>
      <c r="G2311" s="239"/>
      <c r="H2311" s="234"/>
      <c r="I2311" s="234"/>
      <c r="J2311" s="234"/>
      <c r="K2311" s="234"/>
      <c r="L2311" s="234"/>
      <c r="M2311" s="281"/>
      <c r="N2311" s="282"/>
      <c r="O2311" s="282"/>
      <c r="P2311" s="283"/>
      <c r="Q2311" s="110" t="str">
        <f>IF($Q2310&lt;&gt;"",IF($Q2310="W",IF(SUM(IF($H2310&gt;$H2312,1,0),IF($I2310&gt;$I2312,1,0),IF($J2310&gt;$J2312,1,0),IF($K2310&gt;$K2312,1,0),IF($L2310&gt;$L2312,1,0))&lt;&gt;3,"Error",""),""),"")</f>
        <v/>
      </c>
      <c r="R2311" s="295" t="str">
        <f>$A2305</f>
        <v/>
      </c>
      <c r="S2311" s="295"/>
      <c r="T2311" s="295"/>
      <c r="U2311" s="295"/>
      <c r="V2311" s="295"/>
      <c r="W2311" s="295"/>
      <c r="X2311" s="219" t="str">
        <f>CONCATENATE("(",$B2304," vs ",$K2304,")")</f>
        <v>(B vs H)</v>
      </c>
      <c r="Y2311" s="219"/>
      <c r="Z2311" s="295" t="str">
        <f>$J2305</f>
        <v/>
      </c>
      <c r="AA2311" s="295"/>
      <c r="AB2311" s="295"/>
      <c r="AC2311" s="295"/>
      <c r="AD2311" s="295"/>
      <c r="AE2311" s="295"/>
      <c r="AF2311"/>
    </row>
    <row r="2312" spans="1:32" ht="12.75" customHeight="1" x14ac:dyDescent="0.25">
      <c r="A2312" s="259" t="str">
        <f>K2304</f>
        <v>H</v>
      </c>
      <c r="B2312" s="236" t="str">
        <f ca="1">IF(AND(OFFSET($AO$1,$L2304-1,8,1,1),$A2305&lt;&gt;"",$J2305&lt;&gt;""),CHOOSE($L2304,$AO$1,$AO$2,$AO$3,$AO$4,$AO$5,$AO$6,$AO$7,$AO$8,$AO$9,$AO$10,$AO$11,$AO$12),"")</f>
        <v/>
      </c>
      <c r="C2312" s="237"/>
      <c r="D2312" s="237"/>
      <c r="E2312" s="237"/>
      <c r="F2312" s="237"/>
      <c r="G2312" s="237"/>
      <c r="H2312" s="233"/>
      <c r="I2312" s="233"/>
      <c r="J2312" s="233"/>
      <c r="K2312" s="233"/>
      <c r="L2312" s="233"/>
      <c r="M2312" s="250" t="s">
        <v>169</v>
      </c>
      <c r="N2312" s="251"/>
      <c r="O2312" s="251"/>
      <c r="P2312" s="252"/>
      <c r="Q2312" s="40" t="str">
        <f>IF($Q2310&lt;&gt;"",IF($Q2310="W","L","W"),"")</f>
        <v/>
      </c>
      <c r="R2312"/>
      <c r="S2312"/>
      <c r="T2312"/>
      <c r="U2312"/>
      <c r="V2312"/>
      <c r="W2312"/>
      <c r="X2312"/>
      <c r="Y2312"/>
      <c r="Z2312"/>
      <c r="AA2312"/>
      <c r="AB2312"/>
      <c r="AC2312"/>
      <c r="AD2312"/>
      <c r="AE2312"/>
      <c r="AF2312"/>
    </row>
    <row r="2313" spans="1:32" ht="12.75" customHeight="1" x14ac:dyDescent="0.25">
      <c r="A2313" s="260"/>
      <c r="B2313" s="238"/>
      <c r="C2313" s="239"/>
      <c r="D2313" s="239"/>
      <c r="E2313" s="239"/>
      <c r="F2313" s="239"/>
      <c r="G2313" s="239"/>
      <c r="H2313" s="234"/>
      <c r="I2313" s="234"/>
      <c r="J2313" s="235"/>
      <c r="K2313" s="235"/>
      <c r="L2313" s="235"/>
      <c r="M2313" s="250"/>
      <c r="N2313" s="251"/>
      <c r="O2313" s="251"/>
      <c r="P2313" s="252"/>
      <c r="Q2313" s="110" t="str">
        <f>IF($Q2312&lt;&gt;"",IF($Q2312="W",IF(SUM(IF($H2312&gt;$H2310,1,0),IF($I2312&gt;$I2310,1,0),IF($J2312&gt;$J2310,1,0),IF($K2312&gt;$K2310,1,0),IF($L2312&gt;$L2310,1,0))&lt;&gt;3,"Error",""),""),"")</f>
        <v/>
      </c>
      <c r="R2313" t="str">
        <f>$A2315</f>
        <v>2nd Singles</v>
      </c>
      <c r="S2313"/>
      <c r="T2313"/>
      <c r="U2313"/>
      <c r="V2313"/>
      <c r="W2313"/>
      <c r="X2313"/>
      <c r="Y2313"/>
      <c r="Z2313"/>
      <c r="AA2313"/>
      <c r="AB2313"/>
      <c r="AC2313"/>
      <c r="AD2313"/>
      <c r="AE2313"/>
      <c r="AF2313"/>
    </row>
    <row r="2314" spans="1:32" ht="12.75" customHeight="1" x14ac:dyDescent="0.25">
      <c r="Q2314" s="6"/>
      <c r="R2314" s="47" t="s">
        <v>160</v>
      </c>
      <c r="S2314" s="304" t="s">
        <v>58</v>
      </c>
      <c r="T2314" s="305"/>
      <c r="U2314" s="305"/>
      <c r="V2314" s="305"/>
      <c r="W2314" s="305"/>
      <c r="X2314" s="306"/>
      <c r="Y2314" s="47">
        <v>1</v>
      </c>
      <c r="Z2314" s="47">
        <v>2</v>
      </c>
      <c r="AA2314" s="47">
        <v>3</v>
      </c>
      <c r="AB2314" s="47">
        <v>4</v>
      </c>
      <c r="AC2314" s="47">
        <v>5</v>
      </c>
      <c r="AD2314" s="286"/>
      <c r="AE2314" s="287"/>
      <c r="AF2314" s="288"/>
    </row>
    <row r="2315" spans="1:32" ht="12.75" customHeight="1" x14ac:dyDescent="0.25">
      <c r="A2315" s="15" t="s">
        <v>166</v>
      </c>
      <c r="H2315" s="110" t="str">
        <f>IF($Q2317&lt;&gt;"",IF(AND(AND($H2317&gt;-1,$H2319&gt;-1),OR($H2317&gt;10,$H2319&gt;10),ABS($H2317-$H2319)&gt;1,IF(OR($H2317&gt;11,$H2319&gt;11),ABS($H2317-$H2319)=2,TRUE),$H2317=INT($H2317),$H2319=INT($H2319)),"","Error"),"")</f>
        <v/>
      </c>
      <c r="I2315" s="110" t="str">
        <f>IF($Q2317&lt;&gt;"",IF(AND(AND($I2317&gt;-1,$I2319&gt;-1),OR($I2317&gt;10,$I2319&gt;10),ABS($I2317-$I2319)&gt;1,IF(OR($I2317&gt;11,$I2319&gt;11),ABS($I2317-$I2319)=2,TRUE),$I2317=INT($I2317),$I2319=INT($I2319)),"","Error"),"")</f>
        <v/>
      </c>
      <c r="J2315" s="110" t="str">
        <f>IF($Q2317&lt;&gt;"",IF(AND(AND($J2317&gt;-1,$J2319&gt;-1),OR($J2317&gt;10,$J2319&gt;10),ABS($J2317-$J2319)&gt;1,IF(OR($J2317&gt;11,$J2319&gt;11),ABS($J2317-$J2319)=2,TRUE),$J2317=INT($J2317),$J2319=INT($J2319)),"","Error"),"")</f>
        <v/>
      </c>
      <c r="K2315" s="110" t="str">
        <f>IF($Q2317&lt;&gt;"",IF(AND($K2317&lt;&gt;"",$K2319&lt;&gt;""), IF(AND(AND($K2317&gt;-1,$K2319&gt;-1),OR($K2317&gt;10,$K2319&gt;10),ABS($K2317-$K2319)&gt;1,IF(OR($K2317&gt;11,$K2319&gt;11),ABS($K2317-$K2319)=2,TRUE),$K2317=INT($K2317),$K2319=INT($K2319)),"","Error"),""),"")</f>
        <v/>
      </c>
      <c r="L2315" s="110" t="str">
        <f>IF($Q2317&lt;&gt;"",IF(AND($L2317&lt;&gt;"",$L2319&lt;&gt;""), IF(AND(AND($L2317&gt;-1,$L2319&gt;-1),OR($L2317&gt;10,$L2319&gt;10),ABS($L2317-$L2319)&gt;1,IF(OR($L2317&gt;11,$L2319&gt;11),ABS($L2317-$L2319)=2,TRUE),$L2317=INT($L2317),$L2319=INT($L2319)),"","Error"),""),"")</f>
        <v/>
      </c>
      <c r="Q2315" s="6"/>
      <c r="R2315" s="259" t="str">
        <f>$B2304</f>
        <v>B</v>
      </c>
      <c r="S2315" s="307" t="str">
        <f ca="1">IF($B2317&lt;&gt;"",$B2317,"")</f>
        <v/>
      </c>
      <c r="T2315" s="308"/>
      <c r="U2315" s="308"/>
      <c r="V2315" s="308"/>
      <c r="W2315" s="308"/>
      <c r="X2315" s="309"/>
      <c r="Y2315" s="284"/>
      <c r="Z2315" s="284"/>
      <c r="AA2315" s="284"/>
      <c r="AB2315" s="284"/>
      <c r="AC2315" s="284"/>
      <c r="AD2315" s="296"/>
      <c r="AE2315" s="290"/>
      <c r="AF2315" s="291"/>
    </row>
    <row r="2316" spans="1:32" ht="12.75" customHeight="1" x14ac:dyDescent="0.25">
      <c r="A2316" s="5" t="s">
        <v>160</v>
      </c>
      <c r="B2316" s="256" t="s">
        <v>58</v>
      </c>
      <c r="C2316" s="257"/>
      <c r="D2316" s="257"/>
      <c r="E2316" s="257"/>
      <c r="F2316" s="257"/>
      <c r="G2316" s="258"/>
      <c r="H2316" s="5">
        <v>1</v>
      </c>
      <c r="I2316" s="5">
        <v>2</v>
      </c>
      <c r="J2316" s="5">
        <v>3</v>
      </c>
      <c r="K2316" s="5">
        <v>4</v>
      </c>
      <c r="L2316" s="5">
        <v>5</v>
      </c>
      <c r="M2316" s="270"/>
      <c r="N2316" s="271"/>
      <c r="O2316" s="271"/>
      <c r="P2316" s="272"/>
      <c r="Q2316" s="6"/>
      <c r="R2316" s="285"/>
      <c r="S2316" s="310"/>
      <c r="T2316" s="311"/>
      <c r="U2316" s="311"/>
      <c r="V2316" s="311"/>
      <c r="W2316" s="311"/>
      <c r="X2316" s="312"/>
      <c r="Y2316" s="285"/>
      <c r="Z2316" s="285"/>
      <c r="AA2316" s="285"/>
      <c r="AB2316" s="285"/>
      <c r="AC2316" s="285"/>
      <c r="AD2316" s="292"/>
      <c r="AE2316" s="293"/>
      <c r="AF2316" s="294"/>
    </row>
    <row r="2317" spans="1:32" ht="12.75" customHeight="1" x14ac:dyDescent="0.25">
      <c r="A2317" s="259" t="str">
        <f>B2304</f>
        <v>B</v>
      </c>
      <c r="B2317" s="236" t="str">
        <f ca="1">IF(AND(OFFSET($AO$1,$C2304-1,8,1,1),$A2305&lt;&gt;"",$J2305&lt;&gt;""),CHOOSE($C2304,$AP$1,$AP$2,$AP$3,$AP$4,$AP$5,$AP$6,$AP$7,$AP$8,$AP$9,$AP$10,$AP$11,$AP$12),"")</f>
        <v/>
      </c>
      <c r="C2317" s="237"/>
      <c r="D2317" s="237"/>
      <c r="E2317" s="237"/>
      <c r="F2317" s="237"/>
      <c r="G2317" s="237"/>
      <c r="H2317" s="233"/>
      <c r="I2317" s="233"/>
      <c r="J2317" s="233"/>
      <c r="K2317" s="233"/>
      <c r="L2317" s="233"/>
      <c r="M2317" s="245" t="str">
        <f ca="1">IF(OR(AND($B2310&lt;&gt;"",$B2317&lt;&gt;"",$C2335&lt;=$B2335),AND($B2312&lt;&gt;"",$B2319&lt;&gt;"",$G2335&lt;=$F2335)),"Invalid Lineup","")</f>
        <v/>
      </c>
      <c r="N2317" s="246"/>
      <c r="O2317" s="246"/>
      <c r="P2317" s="247"/>
      <c r="Q2317" s="40" t="str">
        <f>IF($L2317=$L2319,IF($K2317=$K2319,IF($J2317&lt;&gt;"",IF($J2317&gt;$J2319,"W","L"),""),IF($K2317&gt;$K2319,"W","L")),IF($L2317&gt;$L2319,"W","L"))</f>
        <v/>
      </c>
      <c r="R2317" s="259" t="str">
        <f>$K2304</f>
        <v>H</v>
      </c>
      <c r="S2317" s="307" t="str">
        <f ca="1">IF($B2319&lt;&gt;"",$B2319,"")</f>
        <v/>
      </c>
      <c r="T2317" s="308"/>
      <c r="U2317" s="308"/>
      <c r="V2317" s="308"/>
      <c r="W2317" s="308"/>
      <c r="X2317" s="309"/>
      <c r="Y2317" s="284"/>
      <c r="Z2317" s="284"/>
      <c r="AA2317" s="284"/>
      <c r="AB2317" s="284"/>
      <c r="AC2317" s="297"/>
      <c r="AD2317" s="289" t="s">
        <v>169</v>
      </c>
      <c r="AE2317" s="290"/>
      <c r="AF2317" s="291"/>
    </row>
    <row r="2318" spans="1:32" ht="12.75" customHeight="1" x14ac:dyDescent="0.25">
      <c r="A2318" s="260"/>
      <c r="B2318" s="238"/>
      <c r="C2318" s="239"/>
      <c r="D2318" s="239"/>
      <c r="E2318" s="239"/>
      <c r="F2318" s="239"/>
      <c r="G2318" s="239"/>
      <c r="H2318" s="234"/>
      <c r="I2318" s="234"/>
      <c r="J2318" s="234"/>
      <c r="K2318" s="234"/>
      <c r="L2318" s="234"/>
      <c r="M2318" s="245"/>
      <c r="N2318" s="246"/>
      <c r="O2318" s="246"/>
      <c r="P2318" s="247"/>
      <c r="Q2318" s="110" t="str">
        <f>IF($Q2317&lt;&gt;"",IF($Q2317="W",IF(SUM(IF($H2317&gt;$H2319,1,0),IF($I2317&gt;$I2319,1,0),IF($J2317&gt;$J2319,1,0),IF($K2317&gt;$K2319,1,0),IF($L2317&gt;$L2319,1,0))&lt;&gt;3,"Error",""),""),"")</f>
        <v/>
      </c>
      <c r="R2318" s="285"/>
      <c r="S2318" s="310"/>
      <c r="T2318" s="311"/>
      <c r="U2318" s="311"/>
      <c r="V2318" s="311"/>
      <c r="W2318" s="311"/>
      <c r="X2318" s="312"/>
      <c r="Y2318" s="285"/>
      <c r="Z2318" s="285"/>
      <c r="AA2318" s="285"/>
      <c r="AB2318" s="285"/>
      <c r="AC2318" s="285"/>
      <c r="AD2318" s="292"/>
      <c r="AE2318" s="293"/>
      <c r="AF2318" s="294"/>
    </row>
    <row r="2319" spans="1:32" ht="12.75" customHeight="1" x14ac:dyDescent="0.25">
      <c r="A2319" s="259" t="str">
        <f>K2304</f>
        <v>H</v>
      </c>
      <c r="B2319" s="236" t="str">
        <f ca="1">IF(AND(OFFSET($AO$1,$L2304-1,8,1,1),$A2305&lt;&gt;"",$J2305&lt;&gt;""),CHOOSE($L2304,$AP$1,$AP$2,$AP$3,$AP$4,$AP$5,$AP$6,$AP$7,$AP$8,$AP$9,$AP$10,$AP$11,$AP$12),"")</f>
        <v/>
      </c>
      <c r="C2319" s="237"/>
      <c r="D2319" s="237"/>
      <c r="E2319" s="237"/>
      <c r="F2319" s="237"/>
      <c r="G2319" s="237"/>
      <c r="H2319" s="233"/>
      <c r="I2319" s="233"/>
      <c r="J2319" s="233"/>
      <c r="K2319" s="233"/>
      <c r="L2319" s="233"/>
      <c r="M2319" s="250" t="s">
        <v>169</v>
      </c>
      <c r="N2319" s="251"/>
      <c r="O2319" s="251"/>
      <c r="P2319" s="252"/>
      <c r="Q2319" s="40" t="str">
        <f>IF($Q2317&lt;&gt;"",IF($Q2317="W","L","W"),"")</f>
        <v/>
      </c>
      <c r="R2319" s="14"/>
      <c r="S2319" s="14"/>
      <c r="T2319" s="14"/>
      <c r="U2319" s="14"/>
      <c r="V2319" s="14"/>
      <c r="W2319" s="14"/>
      <c r="X2319" s="7"/>
      <c r="Y2319" s="7"/>
      <c r="Z2319" s="14"/>
      <c r="AA2319" s="14"/>
      <c r="AB2319" s="14"/>
      <c r="AC2319" s="14"/>
      <c r="AD2319" s="14"/>
      <c r="AE2319" s="14"/>
      <c r="AF2319"/>
    </row>
    <row r="2320" spans="1:32" ht="12.75" customHeight="1" x14ac:dyDescent="0.25">
      <c r="A2320" s="260"/>
      <c r="B2320" s="238"/>
      <c r="C2320" s="239"/>
      <c r="D2320" s="239"/>
      <c r="E2320" s="239"/>
      <c r="F2320" s="239"/>
      <c r="G2320" s="239"/>
      <c r="H2320" s="234"/>
      <c r="I2320" s="234"/>
      <c r="J2320" s="235"/>
      <c r="K2320" s="235"/>
      <c r="L2320" s="235"/>
      <c r="M2320" s="250"/>
      <c r="N2320" s="251"/>
      <c r="O2320" s="251"/>
      <c r="P2320" s="252"/>
      <c r="Q2320" s="110" t="str">
        <f>IF($Q2319&lt;&gt;"",IF($Q2319="W",IF(SUM(IF($H2319&gt;$H2317,1,0),IF($I2319&gt;$I2317,1,0),IF($J2319&gt;$J2317,1,0),IF($K2319&gt;$K2317,1,0),IF($L2319&gt;$L2317,1,0))&lt;&gt;3,"Error",""),""),"")</f>
        <v/>
      </c>
      <c r="R2320" s="14"/>
      <c r="S2320" s="14"/>
      <c r="T2320" s="14"/>
      <c r="U2320" s="14"/>
      <c r="V2320" s="14"/>
      <c r="W2320" s="14"/>
      <c r="X2320" s="7"/>
      <c r="Y2320" s="7"/>
      <c r="Z2320" s="14"/>
      <c r="AA2320" s="14"/>
      <c r="AB2320" s="14"/>
      <c r="AC2320" s="14"/>
      <c r="AD2320" s="14"/>
      <c r="AE2320" s="14"/>
      <c r="AF2320"/>
    </row>
    <row r="2321" spans="1:32" ht="12.75" customHeight="1" x14ac:dyDescent="0.25">
      <c r="Q2321" s="6"/>
      <c r="R2321" s="14"/>
      <c r="S2321" s="14"/>
      <c r="T2321" s="14"/>
      <c r="U2321" s="14"/>
      <c r="V2321" s="14"/>
      <c r="W2321" s="14"/>
      <c r="X2321" s="7"/>
      <c r="Y2321" s="7"/>
      <c r="Z2321" s="14"/>
      <c r="AA2321" s="14"/>
      <c r="AB2321" s="14"/>
      <c r="AC2321" s="14"/>
      <c r="AD2321" s="14"/>
      <c r="AE2321" s="14"/>
      <c r="AF2321"/>
    </row>
    <row r="2322" spans="1:32" ht="12.75" customHeight="1" x14ac:dyDescent="0.25">
      <c r="A2322" s="15" t="s">
        <v>167</v>
      </c>
      <c r="H2322" s="110" t="str">
        <f>IF($Q2324&lt;&gt;"",IF(AND(AND($H2324&gt;-1,$H2326&gt;-1),OR($H2324&gt;10,$H2326&gt;10),ABS($H2324-$H2326)&gt;1,IF(OR($H2324&gt;11,$H2326&gt;11),ABS($H2324-$H2326)=2,TRUE),$H2324=INT($H2324),$H2326=INT($H2326)),"","Error"),"")</f>
        <v/>
      </c>
      <c r="I2322" s="110" t="str">
        <f>IF($Q2324&lt;&gt;"",IF(AND(AND($I2324&gt;-1,$I2326&gt;-1),OR($I2324&gt;10,$I2326&gt;10),ABS($I2324-$I2326)&gt;1,IF(OR($I2324&gt;11,$I2326&gt;11),ABS($I2324-$I2326)=2,TRUE),$I2324=INT($I2324),$I2326=INT($I2326)),"","Error"),"")</f>
        <v/>
      </c>
      <c r="J2322" s="110" t="str">
        <f>IF($Q2324&lt;&gt;"",IF(AND(AND($J2324&gt;-1,$J2326&gt;-1),OR($J2324&gt;10,$J2326&gt;10),ABS($J2324-$J2326)&gt;1,IF(OR($J2324&gt;11,$J2326&gt;11),ABS($J2324-$J2326)=2,TRUE),$J2324=INT($J2324),$J2326=INT($J2326)),"","Error"),"")</f>
        <v/>
      </c>
      <c r="K2322" s="110" t="str">
        <f>IF($Q2324&lt;&gt;"",IF(AND($K2324&lt;&gt;"",$K2326&lt;&gt;""), IF(AND(AND($K2324&gt;-1,$K2326&gt;-1),OR($K2324&gt;10,$K2326&gt;10),ABS($K2324-$K2326)&gt;1,IF(OR($K2324&gt;11,$K2326&gt;11),ABS($K2324-$K2326)=2,TRUE),$K2324=INT($K2324),$K2326=INT($K2326)),"","Error"),""),"")</f>
        <v/>
      </c>
      <c r="L2322" s="110" t="str">
        <f>IF($Q2324&lt;&gt;"",IF(AND($L2324&lt;&gt;"",$L2326&lt;&gt;""), IF(AND(AND($L2324&gt;-1,$L2326&gt;-1),OR($L2324&gt;10,$L2326&gt;10),ABS($L2324-$L2326)&gt;1,IF(OR($L2324&gt;11,$L2326&gt;11),ABS($L2324-$L2326)=2,TRUE),$L2324=INT($L2324),$L2326=INT($L2326)),"","Error"),""),"")</f>
        <v/>
      </c>
      <c r="Q2322" s="6"/>
      <c r="R2322" s="14"/>
      <c r="S2322" s="14"/>
      <c r="T2322" s="14"/>
      <c r="U2322" s="14"/>
      <c r="V2322" s="14"/>
      <c r="W2322" s="14"/>
      <c r="X2322" s="7"/>
      <c r="Y2322" s="7"/>
      <c r="Z2322" s="14"/>
      <c r="AA2322" s="14"/>
      <c r="AB2322" s="14"/>
      <c r="AC2322" s="14"/>
      <c r="AD2322" s="14"/>
      <c r="AE2322" s="14"/>
      <c r="AF2322"/>
    </row>
    <row r="2323" spans="1:32" ht="12.75" customHeight="1" x14ac:dyDescent="0.25">
      <c r="A2323" s="5" t="s">
        <v>160</v>
      </c>
      <c r="B2323" s="256" t="s">
        <v>58</v>
      </c>
      <c r="C2323" s="257"/>
      <c r="D2323" s="257"/>
      <c r="E2323" s="257"/>
      <c r="F2323" s="257"/>
      <c r="G2323" s="258"/>
      <c r="H2323" s="5">
        <v>1</v>
      </c>
      <c r="I2323" s="5">
        <v>2</v>
      </c>
      <c r="J2323" s="5">
        <v>3</v>
      </c>
      <c r="K2323" s="5">
        <v>4</v>
      </c>
      <c r="L2323" s="5">
        <v>5</v>
      </c>
      <c r="M2323" s="270"/>
      <c r="N2323" s="271"/>
      <c r="O2323" s="271"/>
      <c r="P2323" s="272"/>
      <c r="Q2323" s="6"/>
      <c r="R2323" s="14"/>
      <c r="S2323" s="14"/>
      <c r="T2323" s="14"/>
      <c r="U2323" s="14"/>
      <c r="V2323" s="14"/>
      <c r="W2323" s="14"/>
      <c r="X2323" s="7"/>
      <c r="Y2323" s="7"/>
      <c r="Z2323" s="14"/>
      <c r="AA2323" s="14"/>
      <c r="AB2323" s="14"/>
      <c r="AC2323" s="14"/>
      <c r="AD2323" s="14"/>
      <c r="AE2323" s="14"/>
      <c r="AF2323"/>
    </row>
    <row r="2324" spans="1:32" ht="12.75" customHeight="1" x14ac:dyDescent="0.25">
      <c r="A2324" s="259" t="str">
        <f>B2304</f>
        <v>B</v>
      </c>
      <c r="B2324" s="236" t="str">
        <f ca="1">IF(AND(OFFSET($AO$1,$C2304-1,8,1,1),$A2305&lt;&gt;"",$J2305&lt;&gt;""),CHOOSE($C2304,$AQ$1,$AQ$2,$AQ$3,$AQ$4,$AQ$5,$AQ$6,$AQ$7,$AQ$8,$AQ$9,$AQ$10,$AQ$11,$AQ$12),"")</f>
        <v/>
      </c>
      <c r="C2324" s="237"/>
      <c r="D2324" s="237"/>
      <c r="E2324" s="237"/>
      <c r="F2324" s="237"/>
      <c r="G2324" s="237"/>
      <c r="H2324" s="233"/>
      <c r="I2324" s="233"/>
      <c r="J2324" s="233"/>
      <c r="K2324" s="233"/>
      <c r="L2324" s="233"/>
      <c r="M2324" s="245" t="str">
        <f ca="1">IF(OR(AND($B2317&lt;&gt;"",$B2324&lt;&gt;"",$D2335&lt;=$C2335),AND($B2319&lt;&gt;"",$B2326&lt;&gt;"",$H2335&lt;=$G2335)),"Invalid Lineup","")</f>
        <v/>
      </c>
      <c r="N2324" s="246"/>
      <c r="O2324" s="246"/>
      <c r="P2324" s="247"/>
      <c r="Q2324" s="40" t="str">
        <f>IF($L2324=$L2326,IF($K2324=$K2326,IF($J2324&lt;&gt;"",IF($J2324&gt;$J2326,"W","L"),""),IF($K2324&gt;$K2326,"W","L")),IF($L2324&gt;$L2326,"W","L"))</f>
        <v/>
      </c>
      <c r="R2324" s="14"/>
      <c r="S2324" s="14"/>
      <c r="T2324" s="14"/>
      <c r="U2324" s="14"/>
      <c r="V2324" s="14"/>
      <c r="W2324" s="14"/>
      <c r="X2324" s="7"/>
      <c r="Y2324" s="7"/>
      <c r="Z2324" s="14"/>
      <c r="AA2324" s="14"/>
      <c r="AB2324" s="14"/>
      <c r="AC2324" s="14"/>
      <c r="AD2324" s="14"/>
      <c r="AE2324" s="14"/>
      <c r="AF2324"/>
    </row>
    <row r="2325" spans="1:32" ht="12.75" customHeight="1" x14ac:dyDescent="0.25">
      <c r="A2325" s="260"/>
      <c r="B2325" s="238"/>
      <c r="C2325" s="239"/>
      <c r="D2325" s="239"/>
      <c r="E2325" s="239"/>
      <c r="F2325" s="239"/>
      <c r="G2325" s="239"/>
      <c r="H2325" s="234"/>
      <c r="I2325" s="234"/>
      <c r="J2325" s="234"/>
      <c r="K2325" s="234"/>
      <c r="L2325" s="234"/>
      <c r="M2325" s="245"/>
      <c r="N2325" s="246"/>
      <c r="O2325" s="246"/>
      <c r="P2325" s="247"/>
      <c r="Q2325" s="110" t="str">
        <f>IF($Q2324&lt;&gt;"",IF($Q2324="W",IF(SUM(IF($H2324&gt;$H2326,1,0),IF($I2324&gt;$I2326,1,0),IF($J2324&gt;$J2326,1,0),IF($K2324&gt;$K2326,1,0),IF($L2324&gt;$L2326,1,0))&lt;&gt;3,"Error",""),""),"")</f>
        <v/>
      </c>
      <c r="R2325" s="295" t="str">
        <f>$A2305</f>
        <v/>
      </c>
      <c r="S2325" s="295"/>
      <c r="T2325" s="295"/>
      <c r="U2325" s="295"/>
      <c r="V2325" s="295"/>
      <c r="W2325" s="295"/>
      <c r="X2325" s="219" t="str">
        <f>CONCATENATE("(",$B2304," vs ",$K2304,")")</f>
        <v>(B vs H)</v>
      </c>
      <c r="Y2325" s="219"/>
      <c r="Z2325" s="295" t="str">
        <f>$J2305</f>
        <v/>
      </c>
      <c r="AA2325" s="295"/>
      <c r="AB2325" s="295"/>
      <c r="AC2325" s="295"/>
      <c r="AD2325" s="295"/>
      <c r="AE2325" s="295"/>
      <c r="AF2325"/>
    </row>
    <row r="2326" spans="1:32" ht="12.75" customHeight="1" x14ac:dyDescent="0.25">
      <c r="A2326" s="259" t="str">
        <f>K2304</f>
        <v>H</v>
      </c>
      <c r="B2326" s="236" t="str">
        <f ca="1">IF(AND(OFFSET($AO$1,$L2304-1,8,1,1),$A2305&lt;&gt;"",$J2305&lt;&gt;""),CHOOSE($L2304,$AQ$1,$AQ$2,$AQ$3,$AQ$4,$AQ$5,$AQ$6,$AQ$7,$AQ$8,$AQ$9,$AQ$10,$AQ$11,$AQ$12),"")</f>
        <v/>
      </c>
      <c r="C2326" s="237"/>
      <c r="D2326" s="237"/>
      <c r="E2326" s="237"/>
      <c r="F2326" s="237"/>
      <c r="G2326" s="237"/>
      <c r="H2326" s="233"/>
      <c r="I2326" s="233"/>
      <c r="J2326" s="233"/>
      <c r="K2326" s="233"/>
      <c r="L2326" s="233"/>
      <c r="M2326" s="250" t="s">
        <v>169</v>
      </c>
      <c r="N2326" s="251"/>
      <c r="O2326" s="251"/>
      <c r="P2326" s="252"/>
      <c r="Q2326" s="40" t="str">
        <f>IF($Q2324&lt;&gt;"",IF($Q2324="W","L","W"),"")</f>
        <v/>
      </c>
      <c r="R2326"/>
      <c r="S2326"/>
      <c r="T2326"/>
      <c r="U2326"/>
      <c r="V2326"/>
      <c r="W2326"/>
      <c r="X2326"/>
      <c r="Y2326"/>
      <c r="Z2326"/>
      <c r="AA2326"/>
      <c r="AB2326"/>
      <c r="AC2326"/>
      <c r="AD2326"/>
      <c r="AE2326"/>
      <c r="AF2326"/>
    </row>
    <row r="2327" spans="1:32" ht="12.75" customHeight="1" x14ac:dyDescent="0.25">
      <c r="A2327" s="260"/>
      <c r="B2327" s="238"/>
      <c r="C2327" s="239"/>
      <c r="D2327" s="239"/>
      <c r="E2327" s="239"/>
      <c r="F2327" s="239"/>
      <c r="G2327" s="239"/>
      <c r="H2327" s="234"/>
      <c r="I2327" s="234"/>
      <c r="J2327" s="235"/>
      <c r="K2327" s="235"/>
      <c r="L2327" s="235"/>
      <c r="M2327" s="250"/>
      <c r="N2327" s="251"/>
      <c r="O2327" s="251"/>
      <c r="P2327" s="252"/>
      <c r="Q2327" s="110" t="str">
        <f>IF($Q2326&lt;&gt;"",IF($Q2326="W",IF(SUM(IF($H2326&gt;$H2324,1,0),IF($I2326&gt;$I2324,1,0),IF($J2326&gt;$J2324,1,0),IF($K2326&gt;$K2324,1,0),IF($L2326&gt;$L2324,1,0))&lt;&gt;3,"Error",""),""),"")</f>
        <v/>
      </c>
      <c r="R2327" t="str">
        <f>$A2322</f>
        <v>3rd Singles</v>
      </c>
      <c r="S2327"/>
      <c r="T2327"/>
      <c r="U2327"/>
      <c r="V2327"/>
      <c r="W2327"/>
      <c r="X2327"/>
      <c r="Y2327"/>
      <c r="Z2327"/>
      <c r="AA2327"/>
      <c r="AB2327"/>
      <c r="AC2327"/>
      <c r="AD2327"/>
      <c r="AE2327"/>
      <c r="AF2327"/>
    </row>
    <row r="2328" spans="1:32" ht="12.75" customHeight="1" x14ac:dyDescent="0.25">
      <c r="Q2328" s="6"/>
      <c r="R2328" s="47" t="s">
        <v>160</v>
      </c>
      <c r="S2328" s="86" t="s">
        <v>58</v>
      </c>
      <c r="T2328" s="87"/>
      <c r="U2328" s="87"/>
      <c r="V2328" s="87"/>
      <c r="W2328" s="87"/>
      <c r="X2328" s="88"/>
      <c r="Y2328" s="47">
        <v>1</v>
      </c>
      <c r="Z2328" s="47">
        <v>2</v>
      </c>
      <c r="AA2328" s="47">
        <v>3</v>
      </c>
      <c r="AB2328" s="47">
        <v>4</v>
      </c>
      <c r="AC2328" s="47">
        <v>5</v>
      </c>
      <c r="AD2328" s="89"/>
      <c r="AE2328" s="90"/>
      <c r="AF2328" s="91"/>
    </row>
    <row r="2329" spans="1:32" ht="12.75" customHeight="1" x14ac:dyDescent="0.25">
      <c r="A2329" s="15" t="s">
        <v>168</v>
      </c>
      <c r="H2329" s="110" t="str">
        <f ca="1">IF($Q2331&lt;&gt;"",IF(AND($B2331&lt;&gt;"Missing Player",$B2333&lt;&gt;"Missing Player"),IF(AND(AND($H2331&gt;-1,$H2333&gt;-1),OR($H2331&gt;10,$H2333&gt;10),ABS($H2331-$H2333)&gt;1,IF(OR($H2331&gt;11,$H2333&gt;11),ABS($H2331-$H2333)=2,TRUE),$H2331=INT($H2331),$H2333=INT($H2333)),"","Error"),""),"")</f>
        <v/>
      </c>
      <c r="I2329" s="110" t="str">
        <f ca="1">IF($Q2331&lt;&gt;"",IF(AND($B2331&lt;&gt;"Missing Player",$B2333&lt;&gt;"Missing Player"),IF(AND(AND($I2331&gt;-1,$I2333&gt;-1),OR($I2331&gt;10,$I2333&gt;10),ABS($I2331-$I2333)&gt;1,IF(OR($I2331&gt;11,$I2333&gt;11),ABS($I2331-$I2333)=2,TRUE),$I2331=INT($I2331),$I2333=INT($I2333)),"","Error"),""),"")</f>
        <v/>
      </c>
      <c r="J2329" s="110" t="str">
        <f ca="1">IF($Q2331&lt;&gt;"",IF(AND($B2331&lt;&gt;"Missing Player",$B2333&lt;&gt;"Missing Player"),IF(AND(AND($J2331&gt;-1,$J2333&gt;-1),OR($J2331&gt;10,$J2333&gt;10),ABS($J2331-$J2333)&gt;1,IF(OR($J2331&gt;11,$J2333&gt;11),ABS($J2331-$J2333)=2,TRUE),$J2331=INT($J2331),$J2333=INT($J2333)),"","Error"),""),"")</f>
        <v/>
      </c>
      <c r="K2329" s="110" t="str">
        <f ca="1">IF($Q2331&lt;&gt;"",IF(AND($K2331&lt;&gt;"",$K2333&lt;&gt;""), IF(AND(AND($K2331&gt;-1,$K2333&gt;-1),OR($K2331&gt;10,$K2333&gt;10),ABS($K2331-$K2333)&gt;1,IF(OR($K2331&gt;11,$K2333&gt;11),ABS($K2331-$K2333)=2,TRUE),$K2331=INT($K2331),$K2333=INT($K2333)),"","Error"),""),"")</f>
        <v/>
      </c>
      <c r="L2329" s="110" t="str">
        <f ca="1">IF($Q2331&lt;&gt;"",IF(AND($L2331&lt;&gt;"",$L2333&lt;&gt;""), IF(AND(AND($L2331&gt;-1,$L2333&gt;-1),OR($L2331&gt;10,$L2333&gt;10),ABS($L2331-$L2333)&gt;1,IF(OR($L2331&gt;11,$L2333&gt;11),ABS($L2331-$L2333)=2,TRUE),$L2331=INT($L2331),$L2333=INT($L2333)),"","Error"),""),"")</f>
        <v/>
      </c>
      <c r="Q2329" s="6"/>
      <c r="R2329" s="259" t="str">
        <f>$B2304</f>
        <v>B</v>
      </c>
      <c r="S2329" s="307" t="str">
        <f ca="1">IF($B2324&lt;&gt;"",$B2324,"")</f>
        <v/>
      </c>
      <c r="T2329" s="308"/>
      <c r="U2329" s="308"/>
      <c r="V2329" s="308"/>
      <c r="W2329" s="308"/>
      <c r="X2329" s="309"/>
      <c r="Y2329" s="284"/>
      <c r="Z2329" s="284"/>
      <c r="AA2329" s="284"/>
      <c r="AB2329" s="284"/>
      <c r="AC2329" s="284"/>
      <c r="AD2329" s="296"/>
      <c r="AE2329" s="290"/>
      <c r="AF2329" s="291"/>
    </row>
    <row r="2330" spans="1:32" ht="12.75" customHeight="1" x14ac:dyDescent="0.25">
      <c r="A2330" s="5" t="s">
        <v>160</v>
      </c>
      <c r="B2330" s="256" t="s">
        <v>58</v>
      </c>
      <c r="C2330" s="257"/>
      <c r="D2330" s="257"/>
      <c r="E2330" s="257"/>
      <c r="F2330" s="257"/>
      <c r="G2330" s="258"/>
      <c r="H2330" s="5">
        <v>1</v>
      </c>
      <c r="I2330" s="5">
        <v>2</v>
      </c>
      <c r="J2330" s="5">
        <v>3</v>
      </c>
      <c r="K2330" s="5">
        <v>4</v>
      </c>
      <c r="L2330" s="5">
        <v>5</v>
      </c>
      <c r="M2330" s="270"/>
      <c r="N2330" s="271"/>
      <c r="O2330" s="271"/>
      <c r="P2330" s="272"/>
      <c r="Q2330" s="6"/>
      <c r="R2330" s="285"/>
      <c r="S2330" s="310"/>
      <c r="T2330" s="311"/>
      <c r="U2330" s="311"/>
      <c r="V2330" s="311"/>
      <c r="W2330" s="311"/>
      <c r="X2330" s="312"/>
      <c r="Y2330" s="285"/>
      <c r="Z2330" s="285"/>
      <c r="AA2330" s="285"/>
      <c r="AB2330" s="285"/>
      <c r="AC2330" s="285"/>
      <c r="AD2330" s="292"/>
      <c r="AE2330" s="293"/>
      <c r="AF2330" s="294"/>
    </row>
    <row r="2331" spans="1:32" ht="12.75" customHeight="1" x14ac:dyDescent="0.25">
      <c r="A2331" s="259" t="str">
        <f>B2304</f>
        <v>B</v>
      </c>
      <c r="B2331" s="236" t="str">
        <f ca="1">IF(AND(OFFSET($AO$1,$C2304-1,8,1,1),$A2305&lt;&gt;"",$J2305&lt;&gt;""),CHOOSE($C2304,$AR$1,$AR$2,$AR$3,$AR$4,$AR$5,$AR$6,$AR$7,$AR$8,$AR$9,$AR$10,$AR$11,$AR$12),"")</f>
        <v/>
      </c>
      <c r="C2331" s="237"/>
      <c r="D2331" s="237"/>
      <c r="E2331" s="237"/>
      <c r="F2331" s="237"/>
      <c r="G2331" s="237"/>
      <c r="H2331" s="233"/>
      <c r="I2331" s="233"/>
      <c r="J2331" s="233"/>
      <c r="K2331" s="233"/>
      <c r="L2331" s="233" t="str">
        <f ca="1">IF(AND($B2331&lt;&gt;"",$Q2310&lt;&gt;""),IF($B2331="Missing Player",0,IF($B2333="Missing Player",11,"")),"")</f>
        <v/>
      </c>
      <c r="M2331" s="245" t="str">
        <f ca="1">IF(OR(AND($B2324&lt;&gt;"",$B2331&lt;&gt;"",$E2335&lt;=$D2335),AND($B2326&lt;&gt;"",$B2333&lt;&gt;"",$I2335&lt;=$H2335)),"Invalid Lineup","")</f>
        <v/>
      </c>
      <c r="N2331" s="246"/>
      <c r="O2331" s="246"/>
      <c r="P2331" s="247"/>
      <c r="Q2331" s="40" t="str">
        <f ca="1">IF($L2331=$L2333,IF($K2331=$K2333,IF($J2331&lt;&gt;"",IF($J2331&gt;$J2333,"W","L"),""),IF($K2331&gt;$K2333,"W","L")),IF($L2331&gt;$L2333,"W","L"))</f>
        <v/>
      </c>
      <c r="R2331" s="259" t="str">
        <f>$K2304</f>
        <v>H</v>
      </c>
      <c r="S2331" s="307" t="str">
        <f ca="1">IF($B2326&lt;&gt;"",$B2326,"")</f>
        <v/>
      </c>
      <c r="T2331" s="308"/>
      <c r="U2331" s="308"/>
      <c r="V2331" s="308"/>
      <c r="W2331" s="308"/>
      <c r="X2331" s="309"/>
      <c r="Y2331" s="284"/>
      <c r="Z2331" s="284"/>
      <c r="AA2331" s="284"/>
      <c r="AB2331" s="284"/>
      <c r="AC2331" s="297"/>
      <c r="AD2331" s="289" t="s">
        <v>169</v>
      </c>
      <c r="AE2331" s="290"/>
      <c r="AF2331" s="291"/>
    </row>
    <row r="2332" spans="1:32" ht="12.75" customHeight="1" x14ac:dyDescent="0.25">
      <c r="A2332" s="260"/>
      <c r="B2332" s="238"/>
      <c r="C2332" s="239"/>
      <c r="D2332" s="239"/>
      <c r="E2332" s="239"/>
      <c r="F2332" s="239"/>
      <c r="G2332" s="239"/>
      <c r="H2332" s="234"/>
      <c r="I2332" s="234"/>
      <c r="J2332" s="234"/>
      <c r="K2332" s="234"/>
      <c r="L2332" s="234"/>
      <c r="M2332" s="245"/>
      <c r="N2332" s="246"/>
      <c r="O2332" s="246"/>
      <c r="P2332" s="247"/>
      <c r="Q2332" s="110" t="str">
        <f ca="1">IF($Q2331&lt;&gt;"",IF($B2333&lt;&gt;"Missing Player",IF($Q2331="W",IF(SUM(IF($H2331&gt;$H2333,1,0),IF($I2331&gt;$I2333,1,0),IF($J2331&gt;$J2333,1,0),IF($K2331&gt;$K2333,1,0),IF($L2331&gt;$L2333,1,0))&lt;&gt;3,"Error",""),""),""),"")</f>
        <v/>
      </c>
      <c r="R2332" s="285"/>
      <c r="S2332" s="310"/>
      <c r="T2332" s="311"/>
      <c r="U2332" s="311"/>
      <c r="V2332" s="311"/>
      <c r="W2332" s="311"/>
      <c r="X2332" s="312"/>
      <c r="Y2332" s="285"/>
      <c r="Z2332" s="285"/>
      <c r="AA2332" s="285"/>
      <c r="AB2332" s="285"/>
      <c r="AC2332" s="285"/>
      <c r="AD2332" s="292"/>
      <c r="AE2332" s="293"/>
      <c r="AF2332" s="294"/>
    </row>
    <row r="2333" spans="1:32" ht="12.75" customHeight="1" x14ac:dyDescent="0.25">
      <c r="A2333" s="259" t="str">
        <f>K2304</f>
        <v>H</v>
      </c>
      <c r="B2333" s="236" t="str">
        <f ca="1">IF(AND(OFFSET($AO$1,$L2304-1,8,1,1),$A2305&lt;&gt;"",$J2305&lt;&gt;""),CHOOSE($L2304,$AR$1,$AR$2,$AR$3,$AR$4,$AR$5,$AR$6,$AR$7,$AR$8,$AR$9,$AR$10,$AR$11,$AR$12),"")</f>
        <v/>
      </c>
      <c r="C2333" s="237"/>
      <c r="D2333" s="237"/>
      <c r="E2333" s="237"/>
      <c r="F2333" s="237"/>
      <c r="G2333" s="237"/>
      <c r="H2333" s="233"/>
      <c r="I2333" s="233"/>
      <c r="J2333" s="233"/>
      <c r="K2333" s="233"/>
      <c r="L2333" s="233" t="str">
        <f ca="1">IF(AND($B2333&lt;&gt;"",$Q2310&lt;&gt;""),IF($B2333="Missing Player",0,IF($B2331="Missing Player",11,"")),"")</f>
        <v/>
      </c>
      <c r="M2333" s="250" t="s">
        <v>169</v>
      </c>
      <c r="N2333" s="251"/>
      <c r="O2333" s="251"/>
      <c r="P2333" s="252"/>
      <c r="Q2333" s="40" t="str">
        <f ca="1">IF($Q2331&lt;&gt;"",IF($Q2331="W","L","W"),"")</f>
        <v/>
      </c>
      <c r="R2333" s="94"/>
      <c r="S2333" s="84"/>
      <c r="T2333" s="84"/>
      <c r="U2333" s="84"/>
      <c r="V2333" s="84"/>
      <c r="W2333" s="84"/>
      <c r="X2333" s="84"/>
      <c r="Y2333" s="93"/>
      <c r="Z2333" s="93"/>
      <c r="AA2333" s="93"/>
      <c r="AB2333" s="93"/>
      <c r="AC2333" s="93"/>
      <c r="AD2333" s="92"/>
      <c r="AE2333" s="93"/>
      <c r="AF2333" s="93"/>
    </row>
    <row r="2334" spans="1:32" ht="12.75" customHeight="1" x14ac:dyDescent="0.25">
      <c r="A2334" s="260"/>
      <c r="B2334" s="238"/>
      <c r="C2334" s="239"/>
      <c r="D2334" s="239"/>
      <c r="E2334" s="239"/>
      <c r="F2334" s="239"/>
      <c r="G2334" s="239"/>
      <c r="H2334" s="234"/>
      <c r="I2334" s="234"/>
      <c r="J2334" s="235"/>
      <c r="K2334" s="235"/>
      <c r="L2334" s="235"/>
      <c r="M2334" s="250"/>
      <c r="N2334" s="251"/>
      <c r="O2334" s="251"/>
      <c r="P2334" s="252"/>
      <c r="Q2334" s="110" t="str">
        <f ca="1">IF($Q2333&lt;&gt;"",IF($B2331&lt;&gt;"Missing Player",IF($Q2333="W",IF(SUM(IF($H2333&gt;$H2331,1,0),IF($I2333&gt;$I2331,1,0),IF($J2333&gt;$J2331,1,0),IF($K2333&gt;$K2331,1,0),IF($L2333&gt;$L2331,1,0))&lt;&gt;3,"Error",""),""),""),"")</f>
        <v/>
      </c>
      <c r="R2334" s="85"/>
      <c r="S2334" s="95"/>
      <c r="T2334" s="95"/>
      <c r="U2334" s="95"/>
      <c r="V2334" s="95"/>
      <c r="W2334" s="95"/>
      <c r="X2334" s="95"/>
      <c r="Y2334" s="85"/>
      <c r="Z2334" s="85"/>
      <c r="AA2334" s="85"/>
      <c r="AB2334" s="85"/>
      <c r="AC2334" s="85"/>
      <c r="AD2334" s="85"/>
      <c r="AE2334" s="85"/>
      <c r="AF2334" s="85"/>
    </row>
    <row r="2335" spans="1:32" ht="12.75" customHeight="1" x14ac:dyDescent="0.25">
      <c r="B2335" s="111" t="str">
        <f ca="1">IF(ISERROR(VLOOKUP($B2310&amp;"("&amp;$B2304&amp;")",Players!$S$4:$T$132,2,FALSE)),"",VLOOKUP($B2310&amp;"("&amp;$B2304&amp;")",Players!$S$4:$T$132,2,FALSE))</f>
        <v>B1</v>
      </c>
      <c r="C2335" s="111" t="str">
        <f ca="1">IF(ISERROR(VLOOKUP($B2317&amp;"("&amp;$B2304&amp;")",Players!$S$4:$T$132,2,FALSE)),"",VLOOKUP($B2317&amp;"("&amp;$B2304&amp;")",Players!$S$4:$T$132,2,FALSE))</f>
        <v>B1</v>
      </c>
      <c r="D2335" s="111" t="str">
        <f ca="1">IF(ISERROR(VLOOKUP($B2324&amp;"("&amp;$B2304&amp;")",Players!$S$4:$T$132,2,FALSE)),"",VLOOKUP($B2324&amp;"("&amp;$B2304&amp;")",Players!$S$4:$T$132,2,FALSE))</f>
        <v>B1</v>
      </c>
      <c r="E2335" s="111" t="str">
        <f ca="1">IF(ISERROR(VLOOKUP($B2331&amp;"("&amp;$B2304&amp;")",Players!$S$4:$T$132,2,FALSE)),"",VLOOKUP($B2331&amp;"("&amp;$B2304&amp;")",Players!$S$4:$T$132,2,FALSE))</f>
        <v>B1</v>
      </c>
      <c r="F2335" s="111" t="str">
        <f ca="1">IF(ISERROR(VLOOKUP($B2312&amp;"("&amp;$K2304&amp;")",Players!$S$4:$T$132,2,FALSE)),"",VLOOKUP($B2312&amp;"("&amp;$K2304&amp;")",Players!$S$4:$T$132,2,FALSE))</f>
        <v>H1</v>
      </c>
      <c r="G2335" s="111" t="str">
        <f ca="1">IF(ISERROR(VLOOKUP($B2319&amp;"("&amp;$K2304&amp;")",Players!$S$4:$T$132,2,FALSE)),"",VLOOKUP($B2319&amp;"("&amp;$K2304&amp;")",Players!$S$4:$T$132,2,FALSE))</f>
        <v>H1</v>
      </c>
      <c r="H2335" s="111" t="str">
        <f ca="1">IF(ISERROR(VLOOKUP($B2326&amp;"("&amp;$K2304&amp;")",Players!$S$4:$T$132,2,FALSE)),"",VLOOKUP($B2326&amp;"("&amp;$K2304&amp;")",Players!$S$4:$T$132,2,FALSE))</f>
        <v>H1</v>
      </c>
      <c r="I2335" s="111" t="str">
        <f ca="1">IF(ISERROR(VLOOKUP($B2333&amp;"("&amp;$K2304&amp;")",Players!$S$4:$T$132,2,FALSE)),"",VLOOKUP($B2333&amp;"("&amp;$K2304&amp;")",Players!$S$4:$T$132,2,FALSE))</f>
        <v>H1</v>
      </c>
      <c r="Q2335" s="6"/>
      <c r="R2335" s="37"/>
      <c r="S2335" s="95"/>
      <c r="T2335" s="95"/>
      <c r="U2335" s="95"/>
      <c r="V2335" s="95"/>
      <c r="W2335" s="95"/>
      <c r="X2335" s="95"/>
      <c r="Y2335" s="85"/>
      <c r="Z2335" s="85"/>
      <c r="AA2335" s="85"/>
      <c r="AB2335" s="85"/>
      <c r="AC2335" s="96"/>
      <c r="AD2335" s="97"/>
      <c r="AE2335" s="85"/>
      <c r="AF2335" s="85"/>
    </row>
    <row r="2336" spans="1:32" ht="12.75" customHeight="1" x14ac:dyDescent="0.25">
      <c r="A2336" s="15" t="s">
        <v>157</v>
      </c>
      <c r="H2336" s="110" t="str">
        <f ca="1">IF($Q2338&lt;&gt;"",IF(AND($B2339&lt;&gt;"Missing Player",$B2341&lt;&gt;"Missing Player"),IF(AND(AND($H2338&gt;-1,$H2340&gt;-1),OR($H2338&gt;10,$H2340&gt;10),ABS($H2338-$H2340)&gt;1,IF(OR($H2338&gt;11,$H2340&gt;11),ABS($H2338-$H2340)=2,TRUE),$H2338=INT($H2338),$H2340=INT($H2340)),"","Error"),""),"")</f>
        <v/>
      </c>
      <c r="I2336" s="110" t="str">
        <f ca="1">IF($Q2338&lt;&gt;"",IF(AND($B2339&lt;&gt;"Missing Player",$B2341&lt;&gt;"Missing Player"),IF(AND(AND($I2338&gt;-1,$I2340&gt;-1),OR($I2338&gt;10,$I2340&gt;10),ABS($I2338-$I2340)&gt;1,IF(OR($I2338&gt;11,$I2340&gt;11),ABS($I2338-$I2340)=2,TRUE),$I2338=INT($I2338),$I2340=INT($I2340)),"","Error"),""),"")</f>
        <v/>
      </c>
      <c r="J2336" s="110" t="str">
        <f ca="1">IF($Q2338&lt;&gt;"",IF(AND($B2339&lt;&gt;"Missing Player",$B2341&lt;&gt;"Missing Player"),IF(AND(AND($J2338&gt;-1,$J2340&gt;-1),OR($J2338&gt;10,$J2340&gt;10),ABS($J2338-$J2340)&gt;1,IF(OR($J2338&gt;11,$J2340&gt;11),ABS($J2338-$J2340)=2,TRUE),$J2338=INT($J2338),$J2340=INT($J2340)),"","Error"),""),"")</f>
        <v/>
      </c>
      <c r="K2336" s="110" t="str">
        <f ca="1">IF($Q2338&lt;&gt;"",IF(AND($K2338&lt;&gt;"",$K2340&lt;&gt;""), IF(AND(AND($K2338&gt;-1,$K2340&gt;-1),OR($K2338&gt;10,$K2340&gt;10),ABS($K2338-$K2340)&gt;1,IF(OR($K2338&gt;11,$K2340&gt;11),ABS($K2338-$K2340)=2,TRUE),$K2338=INT($K2338),$K2340=INT($K2340)),"","Error"),""),"")</f>
        <v/>
      </c>
      <c r="L2336" s="110" t="str">
        <f ca="1">IF($Q2338&lt;&gt;"",IF(AND($L2338&lt;&gt;"",$L2340&lt;&gt;""), IF(AND(AND($L2338&gt;-1,$L2340&gt;-1),OR($L2338&gt;10,$L2340&gt;10),ABS($L2338-$L2340)&gt;1,IF(OR($L2338&gt;11,$L2340&gt;11),ABS($L2338-$L2340)=2,TRUE),$L2338=INT($L2338),$L2340=INT($L2340)),"","Error"),""),"")</f>
        <v/>
      </c>
      <c r="Q2336" s="6"/>
      <c r="R2336" s="85"/>
      <c r="S2336" s="95"/>
      <c r="T2336" s="95"/>
      <c r="U2336" s="95"/>
      <c r="V2336" s="95"/>
      <c r="W2336" s="95"/>
      <c r="X2336" s="95"/>
      <c r="Y2336" s="85"/>
      <c r="Z2336" s="85"/>
      <c r="AA2336" s="85"/>
      <c r="AB2336" s="85"/>
      <c r="AC2336" s="85"/>
      <c r="AD2336" s="85"/>
      <c r="AE2336" s="85"/>
      <c r="AF2336" s="85"/>
    </row>
    <row r="2337" spans="1:32" ht="12.75" customHeight="1" x14ac:dyDescent="0.25">
      <c r="A2337" s="5" t="s">
        <v>160</v>
      </c>
      <c r="B2337" s="256" t="s">
        <v>58</v>
      </c>
      <c r="C2337" s="257"/>
      <c r="D2337" s="257"/>
      <c r="E2337" s="257"/>
      <c r="F2337" s="257"/>
      <c r="G2337" s="258"/>
      <c r="H2337" s="5">
        <v>1</v>
      </c>
      <c r="I2337" s="5">
        <v>2</v>
      </c>
      <c r="J2337" s="5">
        <v>3</v>
      </c>
      <c r="K2337" s="5">
        <v>4</v>
      </c>
      <c r="L2337" s="5">
        <v>5</v>
      </c>
      <c r="M2337" s="270"/>
      <c r="N2337" s="271"/>
      <c r="O2337" s="271"/>
      <c r="P2337" s="272"/>
      <c r="Q2337" s="6"/>
      <c r="T2337" s="7"/>
    </row>
    <row r="2338" spans="1:32" ht="12.75" customHeight="1" x14ac:dyDescent="0.25">
      <c r="A2338" s="259" t="str">
        <f>B2304</f>
        <v>B</v>
      </c>
      <c r="B2338" s="230" t="str">
        <f ca="1">IF($B2310&lt;&gt;"",$B2310,"")</f>
        <v/>
      </c>
      <c r="C2338" s="231"/>
      <c r="D2338" s="231"/>
      <c r="E2338" s="231"/>
      <c r="F2338" s="231"/>
      <c r="G2338" s="232"/>
      <c r="H2338" s="233"/>
      <c r="I2338" s="233"/>
      <c r="J2338" s="233"/>
      <c r="K2338" s="233"/>
      <c r="L2338" s="233" t="str">
        <f ca="1">IF($B2331&lt;&gt;"",IF(AND($B2331="Missing Player",$G2342=2,$J2342=2),0,IF(AND($B2333="Missing Player",$G2342=2,$J2342=2),11,"")),"")</f>
        <v/>
      </c>
      <c r="M2338" s="245" t="str">
        <f ca="1">IF(OR(AND($B2338&lt;&gt;"",$B2339&lt;&gt;"",$B2338=$B2339),AND($B2340&lt;&gt;"",$B2341&lt;&gt;"",$B2340=$B2341)),"Invalid Partner","")</f>
        <v/>
      </c>
      <c r="N2338" s="246"/>
      <c r="O2338" s="246"/>
      <c r="P2338" s="247"/>
      <c r="Q2338" s="37" t="str">
        <f ca="1">IF(L2338=L2340,IF(K2338=K2340,IF(J2338&lt;&gt;"",IF(J2338&gt;J2340,"W","L"),""),IF(K2338&gt;K2340,"W","L")),IF(L2338&gt;L2340,"W","L"))</f>
        <v/>
      </c>
      <c r="T2338" s="7"/>
    </row>
    <row r="2339" spans="1:32" ht="12.75" customHeight="1" x14ac:dyDescent="0.25">
      <c r="A2339" s="260"/>
      <c r="B2339" s="266" t="str">
        <f ca="1">IF($B2331="Missing Player",$B2331,"")</f>
        <v/>
      </c>
      <c r="C2339" s="267"/>
      <c r="D2339" s="267"/>
      <c r="E2339" s="267"/>
      <c r="F2339" s="267"/>
      <c r="G2339" s="268"/>
      <c r="H2339" s="234"/>
      <c r="I2339" s="234"/>
      <c r="J2339" s="234"/>
      <c r="K2339" s="234"/>
      <c r="L2339" s="234"/>
      <c r="M2339" s="245"/>
      <c r="N2339" s="246"/>
      <c r="O2339" s="246"/>
      <c r="P2339" s="247"/>
      <c r="Q2339" s="110" t="str">
        <f ca="1">IF($Q2338&lt;&gt;"",IF($B2341&lt;&gt;"Missing Player",IF($Q2338="W",IF(SUM(IF($H2338&gt;$H2340,1,0),IF($I2338&gt;$I2340,1,0),IF($J2338&gt;$J2340,1,0),IF($K2338&gt;$K2340,1,0),IF($L2338&gt;$L2340,1,0))&lt;&gt;3,"Error",""),""),""),"")</f>
        <v/>
      </c>
      <c r="R2339" s="295" t="str">
        <f>$A2305</f>
        <v/>
      </c>
      <c r="S2339" s="295"/>
      <c r="T2339" s="295"/>
      <c r="U2339" s="295"/>
      <c r="V2339" s="295"/>
      <c r="W2339" s="295"/>
      <c r="X2339" s="219" t="str">
        <f>CONCATENATE("(",$B2304," vs ",$K2304,")")</f>
        <v>(B vs H)</v>
      </c>
      <c r="Y2339" s="219"/>
      <c r="Z2339" s="295" t="str">
        <f>$J2305</f>
        <v/>
      </c>
      <c r="AA2339" s="295"/>
      <c r="AB2339" s="295"/>
      <c r="AC2339" s="295"/>
      <c r="AD2339" s="295"/>
      <c r="AE2339" s="295"/>
      <c r="AF2339"/>
    </row>
    <row r="2340" spans="1:32" ht="12.75" customHeight="1" x14ac:dyDescent="0.25">
      <c r="A2340" s="265" t="str">
        <f>K2304</f>
        <v>H</v>
      </c>
      <c r="B2340" s="230" t="str">
        <f ca="1">IF($B2312&lt;&gt;"",$B2312,"")</f>
        <v/>
      </c>
      <c r="C2340" s="231"/>
      <c r="D2340" s="231"/>
      <c r="E2340" s="231"/>
      <c r="F2340" s="231"/>
      <c r="G2340" s="232"/>
      <c r="H2340" s="233"/>
      <c r="I2340" s="233"/>
      <c r="J2340" s="233"/>
      <c r="K2340" s="233"/>
      <c r="L2340" s="233" t="str">
        <f ca="1">IF($B2333&lt;&gt;"",IF(AND($B2333="Missing Player",$G2342=2,$J2342=2),0,IF(AND($B2331="Missing Player",$G2342=2,$J2342=2),11,"")),"")</f>
        <v/>
      </c>
      <c r="M2340" s="250" t="s">
        <v>169</v>
      </c>
      <c r="N2340" s="251"/>
      <c r="O2340" s="251"/>
      <c r="P2340" s="252"/>
      <c r="Q2340" s="37" t="str">
        <f ca="1">IF(Q2338&lt;&gt;"",IF(Q2338="W","L","W"),"")</f>
        <v/>
      </c>
      <c r="R2340"/>
      <c r="S2340"/>
      <c r="T2340"/>
      <c r="U2340"/>
      <c r="V2340"/>
      <c r="W2340"/>
      <c r="X2340"/>
      <c r="Y2340"/>
      <c r="Z2340"/>
      <c r="AA2340"/>
      <c r="AB2340"/>
      <c r="AC2340"/>
      <c r="AD2340"/>
      <c r="AE2340"/>
      <c r="AF2340"/>
    </row>
    <row r="2341" spans="1:32" ht="12.75" customHeight="1" x14ac:dyDescent="0.25">
      <c r="A2341" s="260"/>
      <c r="B2341" s="266" t="str">
        <f ca="1">IF($B2333="Missing Player",$B2333,"")</f>
        <v/>
      </c>
      <c r="C2341" s="267"/>
      <c r="D2341" s="267"/>
      <c r="E2341" s="267"/>
      <c r="F2341" s="267"/>
      <c r="G2341" s="268"/>
      <c r="H2341" s="234"/>
      <c r="I2341" s="234"/>
      <c r="J2341" s="235"/>
      <c r="K2341" s="235"/>
      <c r="L2341" s="235"/>
      <c r="M2341" s="250"/>
      <c r="N2341" s="251"/>
      <c r="O2341" s="251"/>
      <c r="P2341" s="252"/>
      <c r="Q2341" s="110" t="str">
        <f ca="1">IF($Q2340&lt;&gt;"",IF($B2339&lt;&gt;"Missing Player",IF($Q2340="W",IF(SUM(IF($H2340&gt;$H2338,1,0),IF($I2340&gt;$I2338,1,0),IF($J2340&gt;$J2338,1,0),IF($K2340&gt;$K2338,1,0),IF($L2340&gt;$L2338,1,0))&lt;&gt;3,"Error",""),""),""),"")</f>
        <v/>
      </c>
      <c r="R2341" t="str">
        <f>A2329</f>
        <v>4th Singles</v>
      </c>
      <c r="S2341"/>
      <c r="T2341"/>
      <c r="U2341"/>
      <c r="V2341"/>
      <c r="W2341"/>
      <c r="X2341"/>
      <c r="Y2341"/>
      <c r="Z2341"/>
      <c r="AA2341"/>
      <c r="AB2341"/>
      <c r="AC2341"/>
      <c r="AD2341"/>
      <c r="AE2341"/>
      <c r="AF2341"/>
    </row>
    <row r="2342" spans="1:32" ht="12.75" customHeight="1" x14ac:dyDescent="0.25">
      <c r="G2342" s="53">
        <f ca="1">COUNTIF($Q2310:$Q2310,"W")+COUNTIF($Q2317:$Q2317,"W")+COUNTIF($Q2324:$Q2324,"W")+COUNTIF($Q2331:$Q2331,"W")</f>
        <v>0</v>
      </c>
      <c r="J2342" s="53">
        <f ca="1">COUNTIF($Q2312:$Q2312,"W")+COUNTIF($Q2319:$Q2319,"W")+COUNTIF($Q2326:$Q2326,"W")+COUNTIF($Q2333:$Q2333,"W")</f>
        <v>0</v>
      </c>
      <c r="R2342" s="47" t="s">
        <v>160</v>
      </c>
      <c r="S2342" s="304" t="s">
        <v>58</v>
      </c>
      <c r="T2342" s="305"/>
      <c r="U2342" s="305"/>
      <c r="V2342" s="305"/>
      <c r="W2342" s="305"/>
      <c r="X2342" s="306"/>
      <c r="Y2342" s="47">
        <v>1</v>
      </c>
      <c r="Z2342" s="47">
        <v>2</v>
      </c>
      <c r="AA2342" s="47">
        <v>3</v>
      </c>
      <c r="AB2342" s="47">
        <v>4</v>
      </c>
      <c r="AC2342" s="47">
        <v>5</v>
      </c>
      <c r="AD2342" s="286"/>
      <c r="AE2342" s="287"/>
      <c r="AF2342" s="288"/>
    </row>
    <row r="2343" spans="1:32" ht="12.75" customHeight="1" thickBot="1" x14ac:dyDescent="0.3">
      <c r="F2343" s="212" t="s">
        <v>170</v>
      </c>
      <c r="G2343" s="212"/>
      <c r="H2343" s="212"/>
      <c r="I2343" s="212"/>
      <c r="J2343" s="212"/>
      <c r="K2343" s="212"/>
      <c r="R2343" s="259" t="str">
        <f>B2304</f>
        <v>B</v>
      </c>
      <c r="S2343" s="307" t="str">
        <f ca="1">IF($B2331&lt;&gt;"",$B2331,"")</f>
        <v/>
      </c>
      <c r="T2343" s="308"/>
      <c r="U2343" s="308"/>
      <c r="V2343" s="308"/>
      <c r="W2343" s="308"/>
      <c r="X2343" s="309"/>
      <c r="Y2343" s="284"/>
      <c r="Z2343" s="284"/>
      <c r="AA2343" s="297"/>
      <c r="AB2343" s="297"/>
      <c r="AC2343" s="297"/>
      <c r="AD2343" s="296"/>
      <c r="AE2343" s="298"/>
      <c r="AF2343" s="299"/>
    </row>
    <row r="2344" spans="1:32" ht="12.75" customHeight="1" x14ac:dyDescent="0.25">
      <c r="A2344" s="16"/>
      <c r="B2344" s="16"/>
      <c r="C2344" s="16"/>
      <c r="D2344" s="16"/>
      <c r="E2344" s="16"/>
      <c r="G2344" s="261" t="str">
        <f>B2304</f>
        <v>B</v>
      </c>
      <c r="H2344" s="262"/>
      <c r="I2344" s="263" t="str">
        <f>K2304</f>
        <v>H</v>
      </c>
      <c r="J2344" s="264"/>
      <c r="L2344" s="16"/>
      <c r="M2344" s="16"/>
      <c r="N2344" s="16"/>
      <c r="O2344" s="16"/>
      <c r="P2344" s="16"/>
      <c r="R2344" s="260"/>
      <c r="S2344" s="310"/>
      <c r="T2344" s="311"/>
      <c r="U2344" s="311"/>
      <c r="V2344" s="311"/>
      <c r="W2344" s="311"/>
      <c r="X2344" s="312"/>
      <c r="Y2344" s="285"/>
      <c r="Z2344" s="285"/>
      <c r="AA2344" s="303"/>
      <c r="AB2344" s="303"/>
      <c r="AC2344" s="303"/>
      <c r="AD2344" s="300"/>
      <c r="AE2344" s="301"/>
      <c r="AF2344" s="302"/>
    </row>
    <row r="2345" spans="1:32" ht="12.75" customHeight="1" thickBot="1" x14ac:dyDescent="0.3">
      <c r="A2345" s="2" t="s">
        <v>160</v>
      </c>
      <c r="B2345" s="40" t="str">
        <f>B2304</f>
        <v>B</v>
      </c>
      <c r="C2345" s="3" t="s">
        <v>158</v>
      </c>
      <c r="F2345" s="53" t="str">
        <f>CONCATENATE($B2304,"-",$K2304)</f>
        <v>B-H</v>
      </c>
      <c r="G2345" s="240" t="str">
        <f ca="1">IF(OR(Q2310&lt;&gt;"",Q2317&lt;&gt;"",Q2324&lt;&gt;"",Q2331&lt;&gt;"",Q2338&lt;&gt;""),COUNTIF(Q2310:Q2310,"W")+COUNTIF(Q2317:Q2317,"W")+COUNTIF(Q2324:Q2324,"W")+COUNTIF(Q2331:Q2331,"W")+COUNTIF(Q2338:Q2338,"W"),"")</f>
        <v/>
      </c>
      <c r="H2345" s="241"/>
      <c r="I2345" s="242" t="str">
        <f ca="1">IF(OR(Q2312&lt;&gt;"",Q2319&lt;&gt;"",Q2326&lt;&gt;"",Q2333&lt;&gt;"",Q2340&lt;&gt;""),COUNTIF(Q2312:Q2312,"W")+COUNTIF(Q2319:Q2319,"W")+COUNTIF(Q2326:Q2326,"W")+COUNTIF(Q2333:Q2333,"W")+COUNTIF(Q2340:Q2340,"W"),"")</f>
        <v/>
      </c>
      <c r="J2345" s="243"/>
      <c r="L2345" s="2" t="s">
        <v>160</v>
      </c>
      <c r="M2345" s="40" t="str">
        <f>K2304</f>
        <v>H</v>
      </c>
      <c r="N2345" s="3" t="s">
        <v>158</v>
      </c>
      <c r="R2345" s="259" t="str">
        <f>K2304</f>
        <v>H</v>
      </c>
      <c r="S2345" s="307" t="str">
        <f ca="1">IF($B2333&lt;&gt;"",$B2333,"")</f>
        <v/>
      </c>
      <c r="T2345" s="308"/>
      <c r="U2345" s="308"/>
      <c r="V2345" s="308"/>
      <c r="W2345" s="308"/>
      <c r="X2345" s="309"/>
      <c r="Y2345" s="284"/>
      <c r="Z2345" s="284"/>
      <c r="AA2345" s="297"/>
      <c r="AB2345" s="297"/>
      <c r="AC2345" s="297"/>
      <c r="AD2345" s="289" t="s">
        <v>169</v>
      </c>
      <c r="AE2345" s="290"/>
      <c r="AF2345" s="291"/>
    </row>
    <row r="2346" spans="1:32" ht="12.75" customHeight="1" x14ac:dyDescent="0.35">
      <c r="F2346" s="18" t="s">
        <v>403</v>
      </c>
      <c r="G2346" s="17"/>
      <c r="H2346" s="17"/>
      <c r="I2346" s="17"/>
      <c r="J2346" s="17"/>
      <c r="R2346" s="285"/>
      <c r="S2346" s="310"/>
      <c r="T2346" s="311"/>
      <c r="U2346" s="311"/>
      <c r="V2346" s="311"/>
      <c r="W2346" s="311"/>
      <c r="X2346" s="312"/>
      <c r="Y2346" s="285"/>
      <c r="Z2346" s="285"/>
      <c r="AA2346" s="285"/>
      <c r="AB2346" s="285"/>
      <c r="AC2346" s="285"/>
      <c r="AD2346" s="292"/>
      <c r="AE2346" s="293"/>
      <c r="AF2346" s="294"/>
    </row>
    <row r="2347" spans="1:32" ht="12.75" customHeight="1" x14ac:dyDescent="0.25">
      <c r="R2347" s="1"/>
      <c r="S2347" s="11"/>
      <c r="T2347" s="11"/>
      <c r="U2347" s="11"/>
      <c r="V2347" s="11"/>
      <c r="W2347" s="11"/>
    </row>
    <row r="2348" spans="1:32" ht="12.75" customHeight="1" x14ac:dyDescent="0.25">
      <c r="F2348" s="212"/>
      <c r="G2348" s="212"/>
      <c r="H2348" s="212"/>
      <c r="I2348" s="212"/>
      <c r="R2348" s="1"/>
      <c r="S2348" s="11"/>
      <c r="T2348" s="11"/>
      <c r="U2348" s="11"/>
      <c r="V2348" s="11"/>
      <c r="W2348" s="11"/>
    </row>
    <row r="2349" spans="1:32" ht="12.75" customHeight="1" x14ac:dyDescent="0.25">
      <c r="F2349" s="212"/>
      <c r="G2349" s="212"/>
      <c r="H2349" s="212"/>
      <c r="I2349" s="212"/>
      <c r="R2349" s="1"/>
      <c r="S2349" s="11"/>
      <c r="T2349" s="11"/>
      <c r="U2349" s="11"/>
      <c r="V2349" s="11"/>
      <c r="W2349" s="11"/>
    </row>
    <row r="2350" spans="1:32" ht="12.75" customHeight="1" x14ac:dyDescent="0.25">
      <c r="K2350" s="219" t="s">
        <v>176</v>
      </c>
      <c r="L2350" s="219"/>
      <c r="M2350" s="219"/>
      <c r="N2350" s="219"/>
      <c r="O2350" s="219"/>
      <c r="P2350" s="219"/>
      <c r="R2350" s="1"/>
      <c r="S2350" s="11"/>
      <c r="T2350" s="11"/>
      <c r="U2350" s="11"/>
      <c r="V2350" s="11"/>
      <c r="W2350" s="11"/>
    </row>
    <row r="2351" spans="1:32" ht="12.75" customHeight="1" x14ac:dyDescent="0.25">
      <c r="A2351" s="9" t="s">
        <v>161</v>
      </c>
      <c r="B2351"/>
      <c r="C2351"/>
      <c r="D2351" t="str">
        <f>Draw!$B$1</f>
        <v>Enter Division Name</v>
      </c>
      <c r="E2351"/>
      <c r="F2351" s="6"/>
      <c r="G2351" s="6"/>
      <c r="H2351" s="6"/>
      <c r="I2351"/>
      <c r="J2351"/>
      <c r="K2351"/>
      <c r="L2351"/>
      <c r="M2351" s="219"/>
      <c r="N2351" s="219"/>
      <c r="O2351" s="219"/>
      <c r="P2351" s="219"/>
      <c r="R2351" s="1"/>
      <c r="S2351" s="11"/>
      <c r="T2351" s="11"/>
      <c r="U2351" s="11"/>
      <c r="V2351" s="11"/>
      <c r="W2351" s="11"/>
    </row>
    <row r="2352" spans="1:32" ht="12.75" customHeight="1" x14ac:dyDescent="0.25">
      <c r="A2352" s="2" t="s">
        <v>162</v>
      </c>
      <c r="D2352" t="str">
        <f>Draw!$D$1</f>
        <v>Enter Hosting Location (City, ST)</v>
      </c>
      <c r="J2352" t="str">
        <f ca="1">$J$6</f>
        <v>[NCTTA Teams Template (v3.4).xlsx]</v>
      </c>
      <c r="R2352" s="1"/>
      <c r="S2352" s="11"/>
      <c r="T2352" s="11"/>
      <c r="U2352" s="11"/>
      <c r="V2352" s="11"/>
      <c r="W2352" s="11"/>
    </row>
    <row r="2353" spans="1:32" ht="12.75" customHeight="1" x14ac:dyDescent="0.25">
      <c r="A2353" s="2" t="s">
        <v>163</v>
      </c>
      <c r="D2353" s="275" t="str">
        <f>Draw!$P$1</f>
        <v>Enter Date</v>
      </c>
      <c r="E2353" s="275"/>
      <c r="F2353" s="275"/>
      <c r="G2353" s="275"/>
      <c r="J2353" s="244" t="str">
        <f>CHOOSE(Draw!$T$1,"Round 8, Match 5","","","","","","","","","","Round 10, Match 2")</f>
        <v>Round 8, Match 5</v>
      </c>
      <c r="K2353" s="244"/>
      <c r="L2353" s="244"/>
      <c r="M2353" s="277" t="str">
        <f>IF(AND($J2353&lt;&gt;"",Draw!$AC$10&lt;&gt;"",Draw!$AC$13&lt;&gt;""),Draw!$AC$10+TIME(0,VALUE(MID($J2353,7,FIND(",",$J2353)-FIND(" ",$J2353)-1)-1)*Draw!$AC$13,0),"")</f>
        <v/>
      </c>
      <c r="N2353" s="277"/>
      <c r="O2353" s="125" t="str">
        <f>$F2396</f>
        <v>I-L</v>
      </c>
      <c r="R2353" s="1"/>
      <c r="S2353" s="11"/>
      <c r="T2353" s="11"/>
      <c r="U2353" s="11"/>
      <c r="V2353" s="11"/>
      <c r="W2353" s="11"/>
    </row>
    <row r="2354" spans="1:32" ht="12.75" customHeight="1" x14ac:dyDescent="0.25">
      <c r="A2354" s="6"/>
      <c r="B2354"/>
      <c r="C2354"/>
      <c r="D2354"/>
      <c r="E2354"/>
      <c r="F2354" s="6"/>
      <c r="G2354" s="6"/>
      <c r="H2354" s="11"/>
      <c r="I2354" s="6"/>
      <c r="J2354"/>
      <c r="K2354"/>
      <c r="L2354"/>
      <c r="M2354"/>
      <c r="N2354"/>
      <c r="O2354" s="269" t="str">
        <f>IF(OR(AND(VLOOKUP($B2355,$AM$1:$AX$12,12,FALSE)="C",VLOOKUP($K2355,$AM$1:$AX$12,12,FALSE)="C"),AND(VLOOKUP($B2355,$AM$1:$AX$12,12,FALSE)="W",VLOOKUP($K2355,$AM$1:$AX$12,12,FALSE)="W")),"Official",IF(AND($A2356="",$J2356=""),"","Scrimmage"))</f>
        <v/>
      </c>
      <c r="P2354" s="269"/>
      <c r="R2354" s="1"/>
      <c r="S2354" s="11"/>
      <c r="T2354" s="11"/>
      <c r="U2354" s="11"/>
      <c r="V2354" s="11"/>
      <c r="W2354" s="11"/>
    </row>
    <row r="2355" spans="1:32" ht="12.75" customHeight="1" x14ac:dyDescent="0.25">
      <c r="A2355" s="12" t="s">
        <v>160</v>
      </c>
      <c r="B2355" s="98" t="str">
        <f>CHOOSE(Draw!$T$1,"I","C","D","E","F","F","F","E","D","A","B")</f>
        <v>I</v>
      </c>
      <c r="C2355" s="109">
        <f>VLOOKUP($B2355,$AM$1:$AN$12,2)</f>
        <v>9</v>
      </c>
      <c r="D2355" s="10"/>
      <c r="E2355" s="10"/>
      <c r="F2355" s="8"/>
      <c r="H2355" s="1" t="s">
        <v>164</v>
      </c>
      <c r="J2355" s="12" t="s">
        <v>160</v>
      </c>
      <c r="K2355" s="98" t="str">
        <f>CHOOSE(Draw!$T$1,"L","K","I","H","H","H","H","K","K","L","D")</f>
        <v>L</v>
      </c>
      <c r="L2355" s="109">
        <f>VLOOKUP($K2355,$AM$1:$AN$12,2)</f>
        <v>12</v>
      </c>
      <c r="M2355" s="10"/>
      <c r="N2355" s="10"/>
      <c r="O2355" s="13"/>
      <c r="R2355" s="1"/>
      <c r="S2355" s="11"/>
      <c r="T2355" s="11"/>
      <c r="U2355" s="11"/>
      <c r="V2355" s="11"/>
      <c r="W2355" s="11"/>
    </row>
    <row r="2356" spans="1:32" ht="12.75" customHeight="1" x14ac:dyDescent="0.25">
      <c r="A2356" s="253" t="str">
        <f>IF(VLOOKUP($B2355,Draw!$A$4:$B$27,2)&lt;&gt;0,VLOOKUP($B2355,Draw!$A$4:$B$27,2),"")</f>
        <v/>
      </c>
      <c r="B2356" s="254"/>
      <c r="C2356" s="254"/>
      <c r="D2356" s="254"/>
      <c r="E2356" s="254"/>
      <c r="F2356" s="255"/>
      <c r="G2356" s="273" t="s">
        <v>450</v>
      </c>
      <c r="H2356" s="249"/>
      <c r="I2356" s="274"/>
      <c r="J2356" s="253" t="str">
        <f>IF(VLOOKUP($K2355,Draw!$A$4:$B$27,2)&lt;&gt;0,VLOOKUP($K2355,Draw!$A$4:$B$27,2),"")</f>
        <v/>
      </c>
      <c r="K2356" s="254"/>
      <c r="L2356" s="254"/>
      <c r="M2356" s="254"/>
      <c r="N2356" s="254"/>
      <c r="O2356" s="255"/>
      <c r="P2356"/>
      <c r="R2356" s="1"/>
      <c r="S2356" s="11"/>
      <c r="T2356" s="11"/>
      <c r="U2356" s="11"/>
      <c r="V2356" s="11"/>
      <c r="W2356" s="11"/>
    </row>
    <row r="2357" spans="1:32" ht="12.75" customHeight="1" x14ac:dyDescent="0.25">
      <c r="A2357" s="6"/>
      <c r="B2357"/>
      <c r="C2357"/>
      <c r="D2357"/>
      <c r="E2357"/>
      <c r="F2357" s="6"/>
      <c r="G2357" s="248" t="str">
        <f>"Page "&amp;VALUE(RIGHT($G2356,LEN($G2356)-SEARCH("-",$G2356)))/2</f>
        <v>Page 47</v>
      </c>
      <c r="H2357" s="249"/>
      <c r="I2357" s="249"/>
      <c r="J2357"/>
      <c r="K2357"/>
      <c r="L2357"/>
      <c r="M2357"/>
      <c r="N2357"/>
      <c r="O2357"/>
      <c r="P2357"/>
      <c r="R2357" s="1"/>
      <c r="S2357" s="11"/>
      <c r="T2357" s="11"/>
      <c r="U2357" s="11"/>
      <c r="V2357" s="11"/>
      <c r="W2357" s="11"/>
      <c r="AF2357"/>
    </row>
    <row r="2358" spans="1:32" ht="12.75" customHeight="1" x14ac:dyDescent="0.25">
      <c r="A2358" s="276" t="s">
        <v>177</v>
      </c>
      <c r="B2358" s="276"/>
      <c r="C2358" s="276"/>
      <c r="D2358" s="276"/>
      <c r="E2358" s="276"/>
      <c r="F2358" s="276"/>
      <c r="G2358" s="276"/>
      <c r="H2358" s="276"/>
      <c r="I2358" s="276"/>
      <c r="J2358" s="276"/>
      <c r="K2358" s="276"/>
      <c r="L2358" s="276"/>
      <c r="M2358" s="276"/>
      <c r="N2358" s="276"/>
      <c r="O2358" s="276"/>
      <c r="P2358" s="276"/>
      <c r="Q2358" s="6"/>
      <c r="R2358" s="1"/>
      <c r="S2358" s="11"/>
      <c r="T2358" s="11"/>
      <c r="U2358" s="11"/>
      <c r="V2358" s="11"/>
      <c r="W2358" s="11"/>
      <c r="AF2358" s="14"/>
    </row>
    <row r="2359" spans="1:32" ht="12.75" customHeight="1" x14ac:dyDescent="0.25">
      <c r="A2359" s="15" t="s">
        <v>165</v>
      </c>
      <c r="H2359" s="110" t="str">
        <f>IF($Q2361&lt;&gt;"",IF(AND(AND($H2361&gt;-1,$H2363&gt;-1),OR($H2361&gt;10,$H2363&gt;10),ABS($H2361-$H2363)&gt;1,IF(OR($H2361&gt;11,$H2363&gt;11),ABS($H2361-$H2363)=2,TRUE),$H2361=INT($H2361),$H2363=INT($H2363)),"","Error"),"")</f>
        <v/>
      </c>
      <c r="I2359" s="110" t="str">
        <f>IF($Q2361&lt;&gt;"",IF(AND(AND($I2361&gt;-1,$I2363&gt;-1),OR($I2361&gt;10,$I2363&gt;10),ABS($I2361-$I2363)&gt;1,IF(OR($I2361&gt;11,$I2363&gt;11),ABS($I2361-$I2363)=2,TRUE),$I2361=INT($I2361),$I2363=INT($I2363)),"","Error"),"")</f>
        <v/>
      </c>
      <c r="J2359" s="110" t="str">
        <f>IF($Q2361&lt;&gt;"",IF(AND(AND($J2361&gt;-1,$J2363&gt;-1),OR($J2361&gt;10,$J2363&gt;10),ABS($J2361-$J2363)&gt;1,IF(OR($J2361&gt;11,$J2363&gt;11),ABS($J2361-$J2363)=2,TRUE),$J2361=INT($J2361),$J2363=INT($J2363)),"","Error"),"")</f>
        <v/>
      </c>
      <c r="K2359" s="110" t="str">
        <f>IF($Q2361&lt;&gt;"",IF(AND($K2361&lt;&gt;"",$K2363&lt;&gt;""), IF(AND(AND($K2361&gt;-1,$K2363&gt;-1),OR($K2361&gt;10,$K2363&gt;10),ABS($K2361-$K2363)&gt;1,IF(OR($K2361&gt;11,$K2363&gt;11),ABS($K2361-$K2363)=2,TRUE),$K2361=INT($K2361),$K2363=INT($K2363)),"","Error"),""),"")</f>
        <v/>
      </c>
      <c r="L2359" s="110" t="str">
        <f>IF($Q2361&lt;&gt;"",IF(AND($L2361&lt;&gt;"",$L2363&lt;&gt;""), IF(AND(AND($L2361&gt;-1,$L2363&gt;-1),OR($L2361&gt;10,$L2363&gt;10),ABS($L2361-$L2363)&gt;1,IF(OR($L2361&gt;11,$L2363&gt;11),ABS($L2361-$L2363)=2,TRUE),$L2361=INT($L2361),$L2363=INT($L2363)),"","Error"),""),"")</f>
        <v/>
      </c>
      <c r="R2359" s="1"/>
      <c r="S2359" s="11"/>
      <c r="T2359" s="11"/>
      <c r="U2359" s="11"/>
      <c r="V2359" s="11"/>
      <c r="W2359" s="11"/>
    </row>
    <row r="2360" spans="1:32" ht="12.75" customHeight="1" x14ac:dyDescent="0.25">
      <c r="A2360" s="5" t="s">
        <v>160</v>
      </c>
      <c r="B2360" s="256" t="s">
        <v>58</v>
      </c>
      <c r="C2360" s="257"/>
      <c r="D2360" s="257"/>
      <c r="E2360" s="257"/>
      <c r="F2360" s="257"/>
      <c r="G2360" s="258"/>
      <c r="H2360" s="5">
        <v>1</v>
      </c>
      <c r="I2360" s="5">
        <v>2</v>
      </c>
      <c r="J2360" s="5">
        <v>3</v>
      </c>
      <c r="K2360" s="5">
        <v>4</v>
      </c>
      <c r="L2360" s="5">
        <v>5</v>
      </c>
      <c r="M2360" s="270"/>
      <c r="N2360" s="271"/>
      <c r="O2360" s="271"/>
      <c r="P2360" s="272"/>
      <c r="R2360" s="1"/>
      <c r="S2360" s="11"/>
      <c r="T2360" s="11"/>
      <c r="U2360" s="11"/>
      <c r="V2360" s="11"/>
      <c r="W2360" s="11"/>
    </row>
    <row r="2361" spans="1:32" ht="12.75" customHeight="1" x14ac:dyDescent="0.25">
      <c r="A2361" s="259" t="str">
        <f>B2355</f>
        <v>I</v>
      </c>
      <c r="B2361" s="236" t="str">
        <f ca="1">IF(AND(OFFSET($AO$1,$C2355-1,8,1,1),$A2356&lt;&gt;"",$J2356&lt;&gt;""),CHOOSE($C2355,$AO$1,$AO$2,$AO$3,$AO$4,$AO$5,$AO$6,$AO$7,$AO$8,$AO$9,$AO$10,$AO$11,$AO$12),"")</f>
        <v/>
      </c>
      <c r="C2361" s="237"/>
      <c r="D2361" s="237"/>
      <c r="E2361" s="237"/>
      <c r="F2361" s="237"/>
      <c r="G2361" s="237"/>
      <c r="H2361" s="233"/>
      <c r="I2361" s="233"/>
      <c r="J2361" s="233"/>
      <c r="K2361" s="233"/>
      <c r="L2361" s="233"/>
      <c r="M2361" s="281"/>
      <c r="N2361" s="282"/>
      <c r="O2361" s="282"/>
      <c r="P2361" s="283"/>
      <c r="Q2361" s="40" t="str">
        <f>IF($L2361=$L2363,IF($K2361=$K2363,IF($J2361&lt;&gt;"",IF($J2361&gt;$J2363,"W","L"),""),IF($K2361&gt;$K2363,"W","L")),IF($L2361&gt;$L2363,"W","L"))</f>
        <v/>
      </c>
      <c r="R2361" s="1"/>
      <c r="S2361" s="11"/>
      <c r="T2361" s="11"/>
      <c r="U2361" s="11"/>
      <c r="V2361" s="11"/>
      <c r="W2361" s="11"/>
    </row>
    <row r="2362" spans="1:32" ht="12.75" customHeight="1" x14ac:dyDescent="0.25">
      <c r="A2362" s="260"/>
      <c r="B2362" s="238"/>
      <c r="C2362" s="239"/>
      <c r="D2362" s="239"/>
      <c r="E2362" s="239"/>
      <c r="F2362" s="239"/>
      <c r="G2362" s="239"/>
      <c r="H2362" s="234"/>
      <c r="I2362" s="234"/>
      <c r="J2362" s="234"/>
      <c r="K2362" s="234"/>
      <c r="L2362" s="234"/>
      <c r="M2362" s="281"/>
      <c r="N2362" s="282"/>
      <c r="O2362" s="282"/>
      <c r="P2362" s="283"/>
      <c r="Q2362" s="110" t="str">
        <f>IF($Q2361&lt;&gt;"",IF($Q2361="W",IF(SUM(IF($H2361&gt;$H2363,1,0),IF($I2361&gt;$I2363,1,0),IF($J2361&gt;$J2363,1,0),IF($K2361&gt;$K2363,1,0),IF($L2361&gt;$L2363,1,0))&lt;&gt;3,"Error",""),""),"")</f>
        <v/>
      </c>
      <c r="R2362" s="295" t="str">
        <f>$A2356</f>
        <v/>
      </c>
      <c r="S2362" s="295"/>
      <c r="T2362" s="295"/>
      <c r="U2362" s="295"/>
      <c r="V2362" s="295"/>
      <c r="W2362" s="295"/>
      <c r="X2362" s="219" t="str">
        <f>CONCATENATE("(",$B2355," vs ",$K2355,")")</f>
        <v>(I vs L)</v>
      </c>
      <c r="Y2362" s="219"/>
      <c r="Z2362" s="295" t="str">
        <f>$J2356</f>
        <v/>
      </c>
      <c r="AA2362" s="295"/>
      <c r="AB2362" s="295"/>
      <c r="AC2362" s="295"/>
      <c r="AD2362" s="295"/>
      <c r="AE2362" s="295"/>
      <c r="AF2362"/>
    </row>
    <row r="2363" spans="1:32" ht="12.75" customHeight="1" x14ac:dyDescent="0.25">
      <c r="A2363" s="259" t="str">
        <f>K2355</f>
        <v>L</v>
      </c>
      <c r="B2363" s="236" t="str">
        <f ca="1">IF(AND(OFFSET($AO$1,$L2355-1,8,1,1),$A2356&lt;&gt;"",$J2356&lt;&gt;""),CHOOSE($L2355,$AO$1,$AO$2,$AO$3,$AO$4,$AO$5,$AO$6,$AO$7,$AO$8,$AO$9,$AO$10,$AO$11,$AO$12),"")</f>
        <v/>
      </c>
      <c r="C2363" s="237"/>
      <c r="D2363" s="237"/>
      <c r="E2363" s="237"/>
      <c r="F2363" s="237"/>
      <c r="G2363" s="237"/>
      <c r="H2363" s="233"/>
      <c r="I2363" s="233"/>
      <c r="J2363" s="233"/>
      <c r="K2363" s="233"/>
      <c r="L2363" s="233"/>
      <c r="M2363" s="250" t="s">
        <v>169</v>
      </c>
      <c r="N2363" s="251"/>
      <c r="O2363" s="251"/>
      <c r="P2363" s="252"/>
      <c r="Q2363" s="40" t="str">
        <f>IF($Q2361&lt;&gt;"",IF($Q2361="W","L","W"),"")</f>
        <v/>
      </c>
      <c r="R2363"/>
      <c r="S2363"/>
      <c r="T2363"/>
      <c r="U2363"/>
      <c r="V2363"/>
      <c r="W2363"/>
      <c r="X2363"/>
      <c r="Y2363"/>
      <c r="Z2363"/>
      <c r="AA2363"/>
      <c r="AB2363"/>
      <c r="AC2363"/>
      <c r="AD2363"/>
      <c r="AE2363"/>
      <c r="AF2363"/>
    </row>
    <row r="2364" spans="1:32" ht="12.75" customHeight="1" x14ac:dyDescent="0.25">
      <c r="A2364" s="260"/>
      <c r="B2364" s="238"/>
      <c r="C2364" s="239"/>
      <c r="D2364" s="239"/>
      <c r="E2364" s="239"/>
      <c r="F2364" s="239"/>
      <c r="G2364" s="239"/>
      <c r="H2364" s="234"/>
      <c r="I2364" s="234"/>
      <c r="J2364" s="235"/>
      <c r="K2364" s="235"/>
      <c r="L2364" s="235"/>
      <c r="M2364" s="250"/>
      <c r="N2364" s="251"/>
      <c r="O2364" s="251"/>
      <c r="P2364" s="252"/>
      <c r="Q2364" s="110" t="str">
        <f>IF($Q2363&lt;&gt;"",IF($Q2363="W",IF(SUM(IF($H2363&gt;$H2361,1,0),IF($I2363&gt;$I2361,1,0),IF($J2363&gt;$J2361,1,0),IF($K2363&gt;$K2361,1,0),IF($L2363&gt;$L2361,1,0))&lt;&gt;3,"Error",""),""),"")</f>
        <v/>
      </c>
      <c r="R2364" t="str">
        <f>$A2366</f>
        <v>2nd Singles</v>
      </c>
      <c r="S2364"/>
      <c r="T2364"/>
      <c r="U2364"/>
      <c r="V2364"/>
      <c r="W2364"/>
      <c r="X2364"/>
      <c r="Y2364"/>
      <c r="Z2364"/>
      <c r="AA2364"/>
      <c r="AB2364"/>
      <c r="AC2364"/>
      <c r="AD2364"/>
      <c r="AE2364"/>
      <c r="AF2364"/>
    </row>
    <row r="2365" spans="1:32" ht="12.75" customHeight="1" x14ac:dyDescent="0.25">
      <c r="Q2365" s="6"/>
      <c r="R2365" s="47" t="s">
        <v>160</v>
      </c>
      <c r="S2365" s="304" t="s">
        <v>58</v>
      </c>
      <c r="T2365" s="305"/>
      <c r="U2365" s="305"/>
      <c r="V2365" s="305"/>
      <c r="W2365" s="305"/>
      <c r="X2365" s="306"/>
      <c r="Y2365" s="47">
        <v>1</v>
      </c>
      <c r="Z2365" s="47">
        <v>2</v>
      </c>
      <c r="AA2365" s="47">
        <v>3</v>
      </c>
      <c r="AB2365" s="47">
        <v>4</v>
      </c>
      <c r="AC2365" s="47">
        <v>5</v>
      </c>
      <c r="AD2365" s="286"/>
      <c r="AE2365" s="287"/>
      <c r="AF2365" s="288"/>
    </row>
    <row r="2366" spans="1:32" ht="12.75" customHeight="1" x14ac:dyDescent="0.25">
      <c r="A2366" s="15" t="s">
        <v>166</v>
      </c>
      <c r="H2366" s="110" t="str">
        <f>IF($Q2368&lt;&gt;"",IF(AND(AND($H2368&gt;-1,$H2370&gt;-1),OR($H2368&gt;10,$H2370&gt;10),ABS($H2368-$H2370)&gt;1,IF(OR($H2368&gt;11,$H2370&gt;11),ABS($H2368-$H2370)=2,TRUE),$H2368=INT($H2368),$H2370=INT($H2370)),"","Error"),"")</f>
        <v/>
      </c>
      <c r="I2366" s="110" t="str">
        <f>IF($Q2368&lt;&gt;"",IF(AND(AND($I2368&gt;-1,$I2370&gt;-1),OR($I2368&gt;10,$I2370&gt;10),ABS($I2368-$I2370)&gt;1,IF(OR($I2368&gt;11,$I2370&gt;11),ABS($I2368-$I2370)=2,TRUE),$I2368=INT($I2368),$I2370=INT($I2370)),"","Error"),"")</f>
        <v/>
      </c>
      <c r="J2366" s="110" t="str">
        <f>IF($Q2368&lt;&gt;"",IF(AND(AND($J2368&gt;-1,$J2370&gt;-1),OR($J2368&gt;10,$J2370&gt;10),ABS($J2368-$J2370)&gt;1,IF(OR($J2368&gt;11,$J2370&gt;11),ABS($J2368-$J2370)=2,TRUE),$J2368=INT($J2368),$J2370=INT($J2370)),"","Error"),"")</f>
        <v/>
      </c>
      <c r="K2366" s="110" t="str">
        <f>IF($Q2368&lt;&gt;"",IF(AND($K2368&lt;&gt;"",$K2370&lt;&gt;""), IF(AND(AND($K2368&gt;-1,$K2370&gt;-1),OR($K2368&gt;10,$K2370&gt;10),ABS($K2368-$K2370)&gt;1,IF(OR($K2368&gt;11,$K2370&gt;11),ABS($K2368-$K2370)=2,TRUE),$K2368=INT($K2368),$K2370=INT($K2370)),"","Error"),""),"")</f>
        <v/>
      </c>
      <c r="L2366" s="110" t="str">
        <f>IF($Q2368&lt;&gt;"",IF(AND($L2368&lt;&gt;"",$L2370&lt;&gt;""), IF(AND(AND($L2368&gt;-1,$L2370&gt;-1),OR($L2368&gt;10,$L2370&gt;10),ABS($L2368-$L2370)&gt;1,IF(OR($L2368&gt;11,$L2370&gt;11),ABS($L2368-$L2370)=2,TRUE),$L2368=INT($L2368),$L2370=INT($L2370)),"","Error"),""),"")</f>
        <v/>
      </c>
      <c r="Q2366" s="6"/>
      <c r="R2366" s="259" t="str">
        <f>$B2355</f>
        <v>I</v>
      </c>
      <c r="S2366" s="307" t="str">
        <f ca="1">IF($B2368&lt;&gt;"",$B2368,"")</f>
        <v/>
      </c>
      <c r="T2366" s="308"/>
      <c r="U2366" s="308"/>
      <c r="V2366" s="308"/>
      <c r="W2366" s="308"/>
      <c r="X2366" s="309"/>
      <c r="Y2366" s="284"/>
      <c r="Z2366" s="284"/>
      <c r="AA2366" s="284"/>
      <c r="AB2366" s="284"/>
      <c r="AC2366" s="284"/>
      <c r="AD2366" s="296"/>
      <c r="AE2366" s="290"/>
      <c r="AF2366" s="291"/>
    </row>
    <row r="2367" spans="1:32" ht="12.75" customHeight="1" x14ac:dyDescent="0.25">
      <c r="A2367" s="5" t="s">
        <v>160</v>
      </c>
      <c r="B2367" s="256" t="s">
        <v>58</v>
      </c>
      <c r="C2367" s="257"/>
      <c r="D2367" s="257"/>
      <c r="E2367" s="257"/>
      <c r="F2367" s="257"/>
      <c r="G2367" s="258"/>
      <c r="H2367" s="5">
        <v>1</v>
      </c>
      <c r="I2367" s="5">
        <v>2</v>
      </c>
      <c r="J2367" s="5">
        <v>3</v>
      </c>
      <c r="K2367" s="5">
        <v>4</v>
      </c>
      <c r="L2367" s="5">
        <v>5</v>
      </c>
      <c r="M2367" s="270"/>
      <c r="N2367" s="271"/>
      <c r="O2367" s="271"/>
      <c r="P2367" s="272"/>
      <c r="Q2367" s="6"/>
      <c r="R2367" s="285"/>
      <c r="S2367" s="310"/>
      <c r="T2367" s="311"/>
      <c r="U2367" s="311"/>
      <c r="V2367" s="311"/>
      <c r="W2367" s="311"/>
      <c r="X2367" s="312"/>
      <c r="Y2367" s="285"/>
      <c r="Z2367" s="285"/>
      <c r="AA2367" s="285"/>
      <c r="AB2367" s="285"/>
      <c r="AC2367" s="285"/>
      <c r="AD2367" s="292"/>
      <c r="AE2367" s="293"/>
      <c r="AF2367" s="294"/>
    </row>
    <row r="2368" spans="1:32" ht="12.75" customHeight="1" x14ac:dyDescent="0.25">
      <c r="A2368" s="259" t="str">
        <f>B2355</f>
        <v>I</v>
      </c>
      <c r="B2368" s="236" t="str">
        <f ca="1">IF(AND(OFFSET($AO$1,$C2355-1,8,1,1),$A2356&lt;&gt;"",$J2356&lt;&gt;""),CHOOSE($C2355,$AP$1,$AP$2,$AP$3,$AP$4,$AP$5,$AP$6,$AP$7,$AP$8,$AP$9,$AP$10,$AP$11,$AP$12),"")</f>
        <v/>
      </c>
      <c r="C2368" s="237"/>
      <c r="D2368" s="237"/>
      <c r="E2368" s="237"/>
      <c r="F2368" s="237"/>
      <c r="G2368" s="237"/>
      <c r="H2368" s="233"/>
      <c r="I2368" s="233"/>
      <c r="J2368" s="233"/>
      <c r="K2368" s="233"/>
      <c r="L2368" s="233"/>
      <c r="M2368" s="245" t="str">
        <f ca="1">IF(OR(AND($B2361&lt;&gt;"",$B2368&lt;&gt;"",$C2386&lt;=$B2386),AND($B2363&lt;&gt;"",$B2370&lt;&gt;"",$G2386&lt;=$F2386)),"Invalid Lineup","")</f>
        <v/>
      </c>
      <c r="N2368" s="246"/>
      <c r="O2368" s="246"/>
      <c r="P2368" s="247"/>
      <c r="Q2368" s="40" t="str">
        <f>IF($L2368=$L2370,IF($K2368=$K2370,IF($J2368&lt;&gt;"",IF($J2368&gt;$J2370,"W","L"),""),IF($K2368&gt;$K2370,"W","L")),IF($L2368&gt;$L2370,"W","L"))</f>
        <v/>
      </c>
      <c r="R2368" s="259" t="str">
        <f>$K2355</f>
        <v>L</v>
      </c>
      <c r="S2368" s="307" t="str">
        <f ca="1">IF($B2370&lt;&gt;"",$B2370,"")</f>
        <v/>
      </c>
      <c r="T2368" s="308"/>
      <c r="U2368" s="308"/>
      <c r="V2368" s="308"/>
      <c r="W2368" s="308"/>
      <c r="X2368" s="309"/>
      <c r="Y2368" s="284"/>
      <c r="Z2368" s="284"/>
      <c r="AA2368" s="284"/>
      <c r="AB2368" s="284"/>
      <c r="AC2368" s="297"/>
      <c r="AD2368" s="289" t="s">
        <v>169</v>
      </c>
      <c r="AE2368" s="290"/>
      <c r="AF2368" s="291"/>
    </row>
    <row r="2369" spans="1:32" ht="12.75" customHeight="1" x14ac:dyDescent="0.25">
      <c r="A2369" s="260"/>
      <c r="B2369" s="238"/>
      <c r="C2369" s="239"/>
      <c r="D2369" s="239"/>
      <c r="E2369" s="239"/>
      <c r="F2369" s="239"/>
      <c r="G2369" s="239"/>
      <c r="H2369" s="234"/>
      <c r="I2369" s="234"/>
      <c r="J2369" s="234"/>
      <c r="K2369" s="234"/>
      <c r="L2369" s="234"/>
      <c r="M2369" s="245"/>
      <c r="N2369" s="246"/>
      <c r="O2369" s="246"/>
      <c r="P2369" s="247"/>
      <c r="Q2369" s="110" t="str">
        <f>IF($Q2368&lt;&gt;"",IF($Q2368="W",IF(SUM(IF($H2368&gt;$H2370,1,0),IF($I2368&gt;$I2370,1,0),IF($J2368&gt;$J2370,1,0),IF($K2368&gt;$K2370,1,0),IF($L2368&gt;$L2370,1,0))&lt;&gt;3,"Error",""),""),"")</f>
        <v/>
      </c>
      <c r="R2369" s="285"/>
      <c r="S2369" s="310"/>
      <c r="T2369" s="311"/>
      <c r="U2369" s="311"/>
      <c r="V2369" s="311"/>
      <c r="W2369" s="311"/>
      <c r="X2369" s="312"/>
      <c r="Y2369" s="285"/>
      <c r="Z2369" s="285"/>
      <c r="AA2369" s="285"/>
      <c r="AB2369" s="285"/>
      <c r="AC2369" s="285"/>
      <c r="AD2369" s="292"/>
      <c r="AE2369" s="293"/>
      <c r="AF2369" s="294"/>
    </row>
    <row r="2370" spans="1:32" ht="12.75" customHeight="1" x14ac:dyDescent="0.25">
      <c r="A2370" s="259" t="str">
        <f>K2355</f>
        <v>L</v>
      </c>
      <c r="B2370" s="236" t="str">
        <f ca="1">IF(AND(OFFSET($AO$1,$L2355-1,8,1,1),$A2356&lt;&gt;"",$J2356&lt;&gt;""),CHOOSE($L2355,$AP$1,$AP$2,$AP$3,$AP$4,$AP$5,$AP$6,$AP$7,$AP$8,$AP$9,$AP$10,$AP$11,$AP$12),"")</f>
        <v/>
      </c>
      <c r="C2370" s="237"/>
      <c r="D2370" s="237"/>
      <c r="E2370" s="237"/>
      <c r="F2370" s="237"/>
      <c r="G2370" s="237"/>
      <c r="H2370" s="233"/>
      <c r="I2370" s="233"/>
      <c r="J2370" s="233"/>
      <c r="K2370" s="233"/>
      <c r="L2370" s="233"/>
      <c r="M2370" s="250" t="s">
        <v>169</v>
      </c>
      <c r="N2370" s="251"/>
      <c r="O2370" s="251"/>
      <c r="P2370" s="252"/>
      <c r="Q2370" s="40" t="str">
        <f>IF($Q2368&lt;&gt;"",IF($Q2368="W","L","W"),"")</f>
        <v/>
      </c>
      <c r="R2370" s="14"/>
      <c r="S2370" s="14"/>
      <c r="T2370" s="14"/>
      <c r="U2370" s="14"/>
      <c r="V2370" s="14"/>
      <c r="W2370" s="14"/>
      <c r="X2370" s="7"/>
      <c r="Y2370" s="7"/>
      <c r="Z2370" s="14"/>
      <c r="AA2370" s="14"/>
      <c r="AB2370" s="14"/>
      <c r="AC2370" s="14"/>
      <c r="AD2370" s="14"/>
      <c r="AE2370" s="14"/>
      <c r="AF2370"/>
    </row>
    <row r="2371" spans="1:32" ht="12.75" customHeight="1" x14ac:dyDescent="0.25">
      <c r="A2371" s="260"/>
      <c r="B2371" s="238"/>
      <c r="C2371" s="239"/>
      <c r="D2371" s="239"/>
      <c r="E2371" s="239"/>
      <c r="F2371" s="239"/>
      <c r="G2371" s="239"/>
      <c r="H2371" s="234"/>
      <c r="I2371" s="234"/>
      <c r="J2371" s="235"/>
      <c r="K2371" s="235"/>
      <c r="L2371" s="235"/>
      <c r="M2371" s="250"/>
      <c r="N2371" s="251"/>
      <c r="O2371" s="251"/>
      <c r="P2371" s="252"/>
      <c r="Q2371" s="110" t="str">
        <f>IF($Q2370&lt;&gt;"",IF($Q2370="W",IF(SUM(IF($H2370&gt;$H2368,1,0),IF($I2370&gt;$I2368,1,0),IF($J2370&gt;$J2368,1,0),IF($K2370&gt;$K2368,1,0),IF($L2370&gt;$L2368,1,0))&lt;&gt;3,"Error",""),""),"")</f>
        <v/>
      </c>
      <c r="R2371" s="14"/>
      <c r="S2371" s="14"/>
      <c r="T2371" s="14"/>
      <c r="U2371" s="14"/>
      <c r="V2371" s="14"/>
      <c r="W2371" s="14"/>
      <c r="X2371" s="7"/>
      <c r="Y2371" s="7"/>
      <c r="Z2371" s="14"/>
      <c r="AA2371" s="14"/>
      <c r="AB2371" s="14"/>
      <c r="AC2371" s="14"/>
      <c r="AD2371" s="14"/>
      <c r="AE2371" s="14"/>
      <c r="AF2371"/>
    </row>
    <row r="2372" spans="1:32" ht="12.75" customHeight="1" x14ac:dyDescent="0.25">
      <c r="Q2372" s="6"/>
      <c r="R2372" s="14"/>
      <c r="S2372" s="14"/>
      <c r="T2372" s="14"/>
      <c r="U2372" s="14"/>
      <c r="V2372" s="14"/>
      <c r="W2372" s="14"/>
      <c r="X2372" s="7"/>
      <c r="Y2372" s="7"/>
      <c r="Z2372" s="14"/>
      <c r="AA2372" s="14"/>
      <c r="AB2372" s="14"/>
      <c r="AC2372" s="14"/>
      <c r="AD2372" s="14"/>
      <c r="AE2372" s="14"/>
      <c r="AF2372"/>
    </row>
    <row r="2373" spans="1:32" ht="12.75" customHeight="1" x14ac:dyDescent="0.25">
      <c r="A2373" s="15" t="s">
        <v>167</v>
      </c>
      <c r="H2373" s="110" t="str">
        <f>IF($Q2375&lt;&gt;"",IF(AND(AND($H2375&gt;-1,$H2377&gt;-1),OR($H2375&gt;10,$H2377&gt;10),ABS($H2375-$H2377)&gt;1,IF(OR($H2375&gt;11,$H2377&gt;11),ABS($H2375-$H2377)=2,TRUE),$H2375=INT($H2375),$H2377=INT($H2377)),"","Error"),"")</f>
        <v/>
      </c>
      <c r="I2373" s="110" t="str">
        <f>IF($Q2375&lt;&gt;"",IF(AND(AND($I2375&gt;-1,$I2377&gt;-1),OR($I2375&gt;10,$I2377&gt;10),ABS($I2375-$I2377)&gt;1,IF(OR($I2375&gt;11,$I2377&gt;11),ABS($I2375-$I2377)=2,TRUE),$I2375=INT($I2375),$I2377=INT($I2377)),"","Error"),"")</f>
        <v/>
      </c>
      <c r="J2373" s="110" t="str">
        <f>IF($Q2375&lt;&gt;"",IF(AND(AND($J2375&gt;-1,$J2377&gt;-1),OR($J2375&gt;10,$J2377&gt;10),ABS($J2375-$J2377)&gt;1,IF(OR($J2375&gt;11,$J2377&gt;11),ABS($J2375-$J2377)=2,TRUE),$J2375=INT($J2375),$J2377=INT($J2377)),"","Error"),"")</f>
        <v/>
      </c>
      <c r="K2373" s="110" t="str">
        <f>IF($Q2375&lt;&gt;"",IF(AND($K2375&lt;&gt;"",$K2377&lt;&gt;""), IF(AND(AND($K2375&gt;-1,$K2377&gt;-1),OR($K2375&gt;10,$K2377&gt;10),ABS($K2375-$K2377)&gt;1,IF(OR($K2375&gt;11,$K2377&gt;11),ABS($K2375-$K2377)=2,TRUE),$K2375=INT($K2375),$K2377=INT($K2377)),"","Error"),""),"")</f>
        <v/>
      </c>
      <c r="L2373" s="110" t="str">
        <f>IF($Q2375&lt;&gt;"",IF(AND($L2375&lt;&gt;"",$L2377&lt;&gt;""), IF(AND(AND($L2375&gt;-1,$L2377&gt;-1),OR($L2375&gt;10,$L2377&gt;10),ABS($L2375-$L2377)&gt;1,IF(OR($L2375&gt;11,$L2377&gt;11),ABS($L2375-$L2377)=2,TRUE),$L2375=INT($L2375),$L2377=INT($L2377)),"","Error"),""),"")</f>
        <v/>
      </c>
      <c r="Q2373" s="6"/>
      <c r="R2373" s="14"/>
      <c r="S2373" s="14"/>
      <c r="T2373" s="14"/>
      <c r="U2373" s="14"/>
      <c r="V2373" s="14"/>
      <c r="W2373" s="14"/>
      <c r="X2373" s="7"/>
      <c r="Y2373" s="7"/>
      <c r="Z2373" s="14"/>
      <c r="AA2373" s="14"/>
      <c r="AB2373" s="14"/>
      <c r="AC2373" s="14"/>
      <c r="AD2373" s="14"/>
      <c r="AE2373" s="14"/>
      <c r="AF2373"/>
    </row>
    <row r="2374" spans="1:32" ht="12.75" customHeight="1" x14ac:dyDescent="0.25">
      <c r="A2374" s="5" t="s">
        <v>160</v>
      </c>
      <c r="B2374" s="256" t="s">
        <v>58</v>
      </c>
      <c r="C2374" s="257"/>
      <c r="D2374" s="257"/>
      <c r="E2374" s="257"/>
      <c r="F2374" s="257"/>
      <c r="G2374" s="258"/>
      <c r="H2374" s="5">
        <v>1</v>
      </c>
      <c r="I2374" s="5">
        <v>2</v>
      </c>
      <c r="J2374" s="5">
        <v>3</v>
      </c>
      <c r="K2374" s="5">
        <v>4</v>
      </c>
      <c r="L2374" s="5">
        <v>5</v>
      </c>
      <c r="M2374" s="270"/>
      <c r="N2374" s="271"/>
      <c r="O2374" s="271"/>
      <c r="P2374" s="272"/>
      <c r="Q2374" s="6"/>
      <c r="R2374" s="14"/>
      <c r="S2374" s="14"/>
      <c r="T2374" s="14"/>
      <c r="U2374" s="14"/>
      <c r="V2374" s="14"/>
      <c r="W2374" s="14"/>
      <c r="X2374" s="7"/>
      <c r="Y2374" s="7"/>
      <c r="Z2374" s="14"/>
      <c r="AA2374" s="14"/>
      <c r="AB2374" s="14"/>
      <c r="AC2374" s="14"/>
      <c r="AD2374" s="14"/>
      <c r="AE2374" s="14"/>
      <c r="AF2374"/>
    </row>
    <row r="2375" spans="1:32" ht="12.75" customHeight="1" x14ac:dyDescent="0.25">
      <c r="A2375" s="259" t="str">
        <f>B2355</f>
        <v>I</v>
      </c>
      <c r="B2375" s="236" t="str">
        <f ca="1">IF(AND(OFFSET($AO$1,$C2355-1,8,1,1),$A2356&lt;&gt;"",$J2356&lt;&gt;""),CHOOSE($C2355,$AQ$1,$AQ$2,$AQ$3,$AQ$4,$AQ$5,$AQ$6,$AQ$7,$AQ$8,$AQ$9,$AQ$10,$AQ$11,$AQ$12),"")</f>
        <v/>
      </c>
      <c r="C2375" s="237"/>
      <c r="D2375" s="237"/>
      <c r="E2375" s="237"/>
      <c r="F2375" s="237"/>
      <c r="G2375" s="237"/>
      <c r="H2375" s="233"/>
      <c r="I2375" s="233"/>
      <c r="J2375" s="233"/>
      <c r="K2375" s="233"/>
      <c r="L2375" s="233"/>
      <c r="M2375" s="245" t="str">
        <f ca="1">IF(OR(AND($B2368&lt;&gt;"",$B2375&lt;&gt;"",$D2386&lt;=$C2386),AND($B2370&lt;&gt;"",$B2377&lt;&gt;"",$H2386&lt;=$G2386)),"Invalid Lineup","")</f>
        <v/>
      </c>
      <c r="N2375" s="246"/>
      <c r="O2375" s="246"/>
      <c r="P2375" s="247"/>
      <c r="Q2375" s="40" t="str">
        <f>IF($L2375=$L2377,IF($K2375=$K2377,IF($J2375&lt;&gt;"",IF($J2375&gt;$J2377,"W","L"),""),IF($K2375&gt;$K2377,"W","L")),IF($L2375&gt;$L2377,"W","L"))</f>
        <v/>
      </c>
      <c r="R2375" s="14"/>
      <c r="S2375" s="14"/>
      <c r="T2375" s="14"/>
      <c r="U2375" s="14"/>
      <c r="V2375" s="14"/>
      <c r="W2375" s="14"/>
      <c r="X2375" s="7"/>
      <c r="Y2375" s="7"/>
      <c r="Z2375" s="14"/>
      <c r="AA2375" s="14"/>
      <c r="AB2375" s="14"/>
      <c r="AC2375" s="14"/>
      <c r="AD2375" s="14"/>
      <c r="AE2375" s="14"/>
      <c r="AF2375"/>
    </row>
    <row r="2376" spans="1:32" ht="12.75" customHeight="1" x14ac:dyDescent="0.25">
      <c r="A2376" s="260"/>
      <c r="B2376" s="238"/>
      <c r="C2376" s="239"/>
      <c r="D2376" s="239"/>
      <c r="E2376" s="239"/>
      <c r="F2376" s="239"/>
      <c r="G2376" s="239"/>
      <c r="H2376" s="234"/>
      <c r="I2376" s="234"/>
      <c r="J2376" s="234"/>
      <c r="K2376" s="234"/>
      <c r="L2376" s="234"/>
      <c r="M2376" s="245"/>
      <c r="N2376" s="246"/>
      <c r="O2376" s="246"/>
      <c r="P2376" s="247"/>
      <c r="Q2376" s="110" t="str">
        <f>IF($Q2375&lt;&gt;"",IF($Q2375="W",IF(SUM(IF($H2375&gt;$H2377,1,0),IF($I2375&gt;$I2377,1,0),IF($J2375&gt;$J2377,1,0),IF($K2375&gt;$K2377,1,0),IF($L2375&gt;$L2377,1,0))&lt;&gt;3,"Error",""),""),"")</f>
        <v/>
      </c>
      <c r="R2376" s="295" t="str">
        <f>$A2356</f>
        <v/>
      </c>
      <c r="S2376" s="295"/>
      <c r="T2376" s="295"/>
      <c r="U2376" s="295"/>
      <c r="V2376" s="295"/>
      <c r="W2376" s="295"/>
      <c r="X2376" s="219" t="str">
        <f>CONCATENATE("(",$B2355," vs ",$K2355,")")</f>
        <v>(I vs L)</v>
      </c>
      <c r="Y2376" s="219"/>
      <c r="Z2376" s="295" t="str">
        <f>$J2356</f>
        <v/>
      </c>
      <c r="AA2376" s="295"/>
      <c r="AB2376" s="295"/>
      <c r="AC2376" s="295"/>
      <c r="AD2376" s="295"/>
      <c r="AE2376" s="295"/>
      <c r="AF2376"/>
    </row>
    <row r="2377" spans="1:32" ht="12.75" customHeight="1" x14ac:dyDescent="0.25">
      <c r="A2377" s="259" t="str">
        <f>K2355</f>
        <v>L</v>
      </c>
      <c r="B2377" s="236" t="str">
        <f ca="1">IF(AND(OFFSET($AO$1,$L2355-1,8,1,1),$A2356&lt;&gt;"",$J2356&lt;&gt;""),CHOOSE($L2355,$AQ$1,$AQ$2,$AQ$3,$AQ$4,$AQ$5,$AQ$6,$AQ$7,$AQ$8,$AQ$9,$AQ$10,$AQ$11,$AQ$12),"")</f>
        <v/>
      </c>
      <c r="C2377" s="237"/>
      <c r="D2377" s="237"/>
      <c r="E2377" s="237"/>
      <c r="F2377" s="237"/>
      <c r="G2377" s="237"/>
      <c r="H2377" s="233"/>
      <c r="I2377" s="233"/>
      <c r="J2377" s="233"/>
      <c r="K2377" s="233"/>
      <c r="L2377" s="233"/>
      <c r="M2377" s="250" t="s">
        <v>169</v>
      </c>
      <c r="N2377" s="251"/>
      <c r="O2377" s="251"/>
      <c r="P2377" s="252"/>
      <c r="Q2377" s="40" t="str">
        <f>IF($Q2375&lt;&gt;"",IF($Q2375="W","L","W"),"")</f>
        <v/>
      </c>
      <c r="R2377"/>
      <c r="S2377"/>
      <c r="T2377"/>
      <c r="U2377"/>
      <c r="V2377"/>
      <c r="W2377"/>
      <c r="X2377"/>
      <c r="Y2377"/>
      <c r="Z2377"/>
      <c r="AA2377"/>
      <c r="AB2377"/>
      <c r="AC2377"/>
      <c r="AD2377"/>
      <c r="AE2377"/>
      <c r="AF2377"/>
    </row>
    <row r="2378" spans="1:32" ht="12.75" customHeight="1" x14ac:dyDescent="0.25">
      <c r="A2378" s="260"/>
      <c r="B2378" s="238"/>
      <c r="C2378" s="239"/>
      <c r="D2378" s="239"/>
      <c r="E2378" s="239"/>
      <c r="F2378" s="239"/>
      <c r="G2378" s="239"/>
      <c r="H2378" s="234"/>
      <c r="I2378" s="234"/>
      <c r="J2378" s="235"/>
      <c r="K2378" s="235"/>
      <c r="L2378" s="235"/>
      <c r="M2378" s="250"/>
      <c r="N2378" s="251"/>
      <c r="O2378" s="251"/>
      <c r="P2378" s="252"/>
      <c r="Q2378" s="110" t="str">
        <f>IF($Q2377&lt;&gt;"",IF($Q2377="W",IF(SUM(IF($H2377&gt;$H2375,1,0),IF($I2377&gt;$I2375,1,0),IF($J2377&gt;$J2375,1,0),IF($K2377&gt;$K2375,1,0),IF($L2377&gt;$L2375,1,0))&lt;&gt;3,"Error",""),""),"")</f>
        <v/>
      </c>
      <c r="R2378" t="str">
        <f>$A2373</f>
        <v>3rd Singles</v>
      </c>
      <c r="S2378"/>
      <c r="T2378"/>
      <c r="U2378"/>
      <c r="V2378"/>
      <c r="W2378"/>
      <c r="X2378"/>
      <c r="Y2378"/>
      <c r="Z2378"/>
      <c r="AA2378"/>
      <c r="AB2378"/>
      <c r="AC2378"/>
      <c r="AD2378"/>
      <c r="AE2378"/>
      <c r="AF2378"/>
    </row>
    <row r="2379" spans="1:32" ht="12.75" customHeight="1" x14ac:dyDescent="0.25">
      <c r="Q2379" s="6"/>
      <c r="R2379" s="47" t="s">
        <v>160</v>
      </c>
      <c r="S2379" s="86" t="s">
        <v>58</v>
      </c>
      <c r="T2379" s="87"/>
      <c r="U2379" s="87"/>
      <c r="V2379" s="87"/>
      <c r="W2379" s="87"/>
      <c r="X2379" s="88"/>
      <c r="Y2379" s="47">
        <v>1</v>
      </c>
      <c r="Z2379" s="47">
        <v>2</v>
      </c>
      <c r="AA2379" s="47">
        <v>3</v>
      </c>
      <c r="AB2379" s="47">
        <v>4</v>
      </c>
      <c r="AC2379" s="47">
        <v>5</v>
      </c>
      <c r="AD2379" s="89"/>
      <c r="AE2379" s="90"/>
      <c r="AF2379" s="91"/>
    </row>
    <row r="2380" spans="1:32" ht="12.75" customHeight="1" x14ac:dyDescent="0.25">
      <c r="A2380" s="15" t="s">
        <v>168</v>
      </c>
      <c r="H2380" s="110" t="str">
        <f ca="1">IF($Q2382&lt;&gt;"",IF(AND($B2382&lt;&gt;"Missing Player",$B2384&lt;&gt;"Missing Player"),IF(AND(AND($H2382&gt;-1,$H2384&gt;-1),OR($H2382&gt;10,$H2384&gt;10),ABS($H2382-$H2384)&gt;1,IF(OR($H2382&gt;11,$H2384&gt;11),ABS($H2382-$H2384)=2,TRUE),$H2382=INT($H2382),$H2384=INT($H2384)),"","Error"),""),"")</f>
        <v/>
      </c>
      <c r="I2380" s="110" t="str">
        <f ca="1">IF($Q2382&lt;&gt;"",IF(AND($B2382&lt;&gt;"Missing Player",$B2384&lt;&gt;"Missing Player"),IF(AND(AND($I2382&gt;-1,$I2384&gt;-1),OR($I2382&gt;10,$I2384&gt;10),ABS($I2382-$I2384)&gt;1,IF(OR($I2382&gt;11,$I2384&gt;11),ABS($I2382-$I2384)=2,TRUE),$I2382=INT($I2382),$I2384=INT($I2384)),"","Error"),""),"")</f>
        <v/>
      </c>
      <c r="J2380" s="110" t="str">
        <f ca="1">IF($Q2382&lt;&gt;"",IF(AND($B2382&lt;&gt;"Missing Player",$B2384&lt;&gt;"Missing Player"),IF(AND(AND($J2382&gt;-1,$J2384&gt;-1),OR($J2382&gt;10,$J2384&gt;10),ABS($J2382-$J2384)&gt;1,IF(OR($J2382&gt;11,$J2384&gt;11),ABS($J2382-$J2384)=2,TRUE),$J2382=INT($J2382),$J2384=INT($J2384)),"","Error"),""),"")</f>
        <v/>
      </c>
      <c r="K2380" s="110" t="str">
        <f ca="1">IF($Q2382&lt;&gt;"",IF(AND($K2382&lt;&gt;"",$K2384&lt;&gt;""), IF(AND(AND($K2382&gt;-1,$K2384&gt;-1),OR($K2382&gt;10,$K2384&gt;10),ABS($K2382-$K2384)&gt;1,IF(OR($K2382&gt;11,$K2384&gt;11),ABS($K2382-$K2384)=2,TRUE),$K2382=INT($K2382),$K2384=INT($K2384)),"","Error"),""),"")</f>
        <v/>
      </c>
      <c r="L2380" s="110" t="str">
        <f ca="1">IF($Q2382&lt;&gt;"",IF(AND($L2382&lt;&gt;"",$L2384&lt;&gt;""), IF(AND(AND($L2382&gt;-1,$L2384&gt;-1),OR($L2382&gt;10,$L2384&gt;10),ABS($L2382-$L2384)&gt;1,IF(OR($L2382&gt;11,$L2384&gt;11),ABS($L2382-$L2384)=2,TRUE),$L2382=INT($L2382),$L2384=INT($L2384)),"","Error"),""),"")</f>
        <v/>
      </c>
      <c r="Q2380" s="6"/>
      <c r="R2380" s="259" t="str">
        <f>$B2355</f>
        <v>I</v>
      </c>
      <c r="S2380" s="307" t="str">
        <f ca="1">IF($B2375&lt;&gt;"",$B2375,"")</f>
        <v/>
      </c>
      <c r="T2380" s="308"/>
      <c r="U2380" s="308"/>
      <c r="V2380" s="308"/>
      <c r="W2380" s="308"/>
      <c r="X2380" s="309"/>
      <c r="Y2380" s="284"/>
      <c r="Z2380" s="284"/>
      <c r="AA2380" s="284"/>
      <c r="AB2380" s="284"/>
      <c r="AC2380" s="284"/>
      <c r="AD2380" s="296"/>
      <c r="AE2380" s="290"/>
      <c r="AF2380" s="291"/>
    </row>
    <row r="2381" spans="1:32" ht="12.75" customHeight="1" x14ac:dyDescent="0.25">
      <c r="A2381" s="5" t="s">
        <v>160</v>
      </c>
      <c r="B2381" s="256" t="s">
        <v>58</v>
      </c>
      <c r="C2381" s="257"/>
      <c r="D2381" s="257"/>
      <c r="E2381" s="257"/>
      <c r="F2381" s="257"/>
      <c r="G2381" s="258"/>
      <c r="H2381" s="5">
        <v>1</v>
      </c>
      <c r="I2381" s="5">
        <v>2</v>
      </c>
      <c r="J2381" s="5">
        <v>3</v>
      </c>
      <c r="K2381" s="5">
        <v>4</v>
      </c>
      <c r="L2381" s="5">
        <v>5</v>
      </c>
      <c r="M2381" s="270"/>
      <c r="N2381" s="271"/>
      <c r="O2381" s="271"/>
      <c r="P2381" s="272"/>
      <c r="Q2381" s="6"/>
      <c r="R2381" s="285"/>
      <c r="S2381" s="310"/>
      <c r="T2381" s="311"/>
      <c r="U2381" s="311"/>
      <c r="V2381" s="311"/>
      <c r="W2381" s="311"/>
      <c r="X2381" s="312"/>
      <c r="Y2381" s="285"/>
      <c r="Z2381" s="285"/>
      <c r="AA2381" s="285"/>
      <c r="AB2381" s="285"/>
      <c r="AC2381" s="285"/>
      <c r="AD2381" s="292"/>
      <c r="AE2381" s="293"/>
      <c r="AF2381" s="294"/>
    </row>
    <row r="2382" spans="1:32" ht="12.75" customHeight="1" x14ac:dyDescent="0.25">
      <c r="A2382" s="259" t="str">
        <f>B2355</f>
        <v>I</v>
      </c>
      <c r="B2382" s="236" t="str">
        <f ca="1">IF(AND(OFFSET($AO$1,$C2355-1,8,1,1),$A2356&lt;&gt;"",$J2356&lt;&gt;""),CHOOSE($C2355,$AR$1,$AR$2,$AR$3,$AR$4,$AR$5,$AR$6,$AR$7,$AR$8,$AR$9,$AR$10,$AR$11,$AR$12),"")</f>
        <v/>
      </c>
      <c r="C2382" s="237"/>
      <c r="D2382" s="237"/>
      <c r="E2382" s="237"/>
      <c r="F2382" s="237"/>
      <c r="G2382" s="237"/>
      <c r="H2382" s="233"/>
      <c r="I2382" s="233"/>
      <c r="J2382" s="233"/>
      <c r="K2382" s="233"/>
      <c r="L2382" s="233" t="str">
        <f ca="1">IF(AND($B2382&lt;&gt;"",$Q2361&lt;&gt;""),IF($B2382="Missing Player",0,IF($B2384="Missing Player",11,"")),"")</f>
        <v/>
      </c>
      <c r="M2382" s="245" t="str">
        <f ca="1">IF(OR(AND($B2375&lt;&gt;"",$B2382&lt;&gt;"",$E2386&lt;=$D2386),AND($B2377&lt;&gt;"",$B2384&lt;&gt;"",$I2386&lt;=$H2386)),"Invalid Lineup","")</f>
        <v/>
      </c>
      <c r="N2382" s="246"/>
      <c r="O2382" s="246"/>
      <c r="P2382" s="247"/>
      <c r="Q2382" s="40" t="str">
        <f ca="1">IF($L2382=$L2384,IF($K2382=$K2384,IF($J2382&lt;&gt;"",IF($J2382&gt;$J2384,"W","L"),""),IF($K2382&gt;$K2384,"W","L")),IF($L2382&gt;$L2384,"W","L"))</f>
        <v/>
      </c>
      <c r="R2382" s="259" t="str">
        <f>$K2355</f>
        <v>L</v>
      </c>
      <c r="S2382" s="307" t="str">
        <f ca="1">IF($B2377&lt;&gt;"",$B2377,"")</f>
        <v/>
      </c>
      <c r="T2382" s="308"/>
      <c r="U2382" s="308"/>
      <c r="V2382" s="308"/>
      <c r="W2382" s="308"/>
      <c r="X2382" s="309"/>
      <c r="Y2382" s="284"/>
      <c r="Z2382" s="284"/>
      <c r="AA2382" s="284"/>
      <c r="AB2382" s="284"/>
      <c r="AC2382" s="297"/>
      <c r="AD2382" s="289" t="s">
        <v>169</v>
      </c>
      <c r="AE2382" s="290"/>
      <c r="AF2382" s="291"/>
    </row>
    <row r="2383" spans="1:32" ht="12.75" customHeight="1" x14ac:dyDescent="0.25">
      <c r="A2383" s="260"/>
      <c r="B2383" s="238"/>
      <c r="C2383" s="239"/>
      <c r="D2383" s="239"/>
      <c r="E2383" s="239"/>
      <c r="F2383" s="239"/>
      <c r="G2383" s="239"/>
      <c r="H2383" s="234"/>
      <c r="I2383" s="234"/>
      <c r="J2383" s="234"/>
      <c r="K2383" s="234"/>
      <c r="L2383" s="234"/>
      <c r="M2383" s="245"/>
      <c r="N2383" s="246"/>
      <c r="O2383" s="246"/>
      <c r="P2383" s="247"/>
      <c r="Q2383" s="110" t="str">
        <f ca="1">IF($Q2382&lt;&gt;"",IF($B2384&lt;&gt;"Missing Player",IF($Q2382="W",IF(SUM(IF($H2382&gt;$H2384,1,0),IF($I2382&gt;$I2384,1,0),IF($J2382&gt;$J2384,1,0),IF($K2382&gt;$K2384,1,0),IF($L2382&gt;$L2384,1,0))&lt;&gt;3,"Error",""),""),""),"")</f>
        <v/>
      </c>
      <c r="R2383" s="285"/>
      <c r="S2383" s="310"/>
      <c r="T2383" s="311"/>
      <c r="U2383" s="311"/>
      <c r="V2383" s="311"/>
      <c r="W2383" s="311"/>
      <c r="X2383" s="312"/>
      <c r="Y2383" s="285"/>
      <c r="Z2383" s="285"/>
      <c r="AA2383" s="285"/>
      <c r="AB2383" s="285"/>
      <c r="AC2383" s="285"/>
      <c r="AD2383" s="292"/>
      <c r="AE2383" s="293"/>
      <c r="AF2383" s="294"/>
    </row>
    <row r="2384" spans="1:32" ht="12.75" customHeight="1" x14ac:dyDescent="0.25">
      <c r="A2384" s="259" t="str">
        <f>K2355</f>
        <v>L</v>
      </c>
      <c r="B2384" s="236" t="str">
        <f ca="1">IF(AND(OFFSET($AO$1,$L2355-1,8,1,1),$A2356&lt;&gt;"",$J2356&lt;&gt;""),CHOOSE($L2355,$AR$1,$AR$2,$AR$3,$AR$4,$AR$5,$AR$6,$AR$7,$AR$8,$AR$9,$AR$10,$AR$11,$AR$12),"")</f>
        <v/>
      </c>
      <c r="C2384" s="237"/>
      <c r="D2384" s="237"/>
      <c r="E2384" s="237"/>
      <c r="F2384" s="237"/>
      <c r="G2384" s="237"/>
      <c r="H2384" s="233"/>
      <c r="I2384" s="233"/>
      <c r="J2384" s="233"/>
      <c r="K2384" s="233"/>
      <c r="L2384" s="233" t="str">
        <f ca="1">IF(AND($B2384&lt;&gt;"",$Q2361&lt;&gt;""),IF($B2384="Missing Player",0,IF($B2382="Missing Player",11,"")),"")</f>
        <v/>
      </c>
      <c r="M2384" s="250" t="s">
        <v>169</v>
      </c>
      <c r="N2384" s="251"/>
      <c r="O2384" s="251"/>
      <c r="P2384" s="252"/>
      <c r="Q2384" s="40" t="str">
        <f ca="1">IF($Q2382&lt;&gt;"",IF($Q2382="W","L","W"),"")</f>
        <v/>
      </c>
      <c r="R2384" s="94"/>
      <c r="S2384" s="84"/>
      <c r="T2384" s="84"/>
      <c r="U2384" s="84"/>
      <c r="V2384" s="84"/>
      <c r="W2384" s="84"/>
      <c r="X2384" s="84"/>
      <c r="Y2384" s="93"/>
      <c r="Z2384" s="93"/>
      <c r="AA2384" s="93"/>
      <c r="AB2384" s="93"/>
      <c r="AC2384" s="93"/>
      <c r="AD2384" s="92"/>
      <c r="AE2384" s="93"/>
      <c r="AF2384" s="93"/>
    </row>
    <row r="2385" spans="1:32" ht="12.75" customHeight="1" x14ac:dyDescent="0.25">
      <c r="A2385" s="260"/>
      <c r="B2385" s="238"/>
      <c r="C2385" s="239"/>
      <c r="D2385" s="239"/>
      <c r="E2385" s="239"/>
      <c r="F2385" s="239"/>
      <c r="G2385" s="239"/>
      <c r="H2385" s="234"/>
      <c r="I2385" s="234"/>
      <c r="J2385" s="235"/>
      <c r="K2385" s="235"/>
      <c r="L2385" s="235"/>
      <c r="M2385" s="250"/>
      <c r="N2385" s="251"/>
      <c r="O2385" s="251"/>
      <c r="P2385" s="252"/>
      <c r="Q2385" s="110" t="str">
        <f ca="1">IF($Q2384&lt;&gt;"",IF($B2382&lt;&gt;"Missing Player",IF($Q2384="W",IF(SUM(IF($H2384&gt;$H2382,1,0),IF($I2384&gt;$I2382,1,0),IF($J2384&gt;$J2382,1,0),IF($K2384&gt;$K2382,1,0),IF($L2384&gt;$L2382,1,0))&lt;&gt;3,"Error",""),""),""),"")</f>
        <v/>
      </c>
      <c r="R2385" s="85"/>
      <c r="S2385" s="95"/>
      <c r="T2385" s="95"/>
      <c r="U2385" s="95"/>
      <c r="V2385" s="95"/>
      <c r="W2385" s="95"/>
      <c r="X2385" s="95"/>
      <c r="Y2385" s="85"/>
      <c r="Z2385" s="85"/>
      <c r="AA2385" s="85"/>
      <c r="AB2385" s="85"/>
      <c r="AC2385" s="85"/>
      <c r="AD2385" s="85"/>
      <c r="AE2385" s="85"/>
      <c r="AF2385" s="85"/>
    </row>
    <row r="2386" spans="1:32" ht="12.75" customHeight="1" x14ac:dyDescent="0.25">
      <c r="B2386" s="111" t="str">
        <f ca="1">IF(ISERROR(VLOOKUP($B2361&amp;"("&amp;$B2355&amp;")",Players!$S$4:$T$132,2,FALSE)),"",VLOOKUP($B2361&amp;"("&amp;$B2355&amp;")",Players!$S$4:$T$132,2,FALSE))</f>
        <v>I1</v>
      </c>
      <c r="C2386" s="111" t="str">
        <f ca="1">IF(ISERROR(VLOOKUP($B2368&amp;"("&amp;$B2355&amp;")",Players!$S$4:$T$132,2,FALSE)),"",VLOOKUP($B2368&amp;"("&amp;$B2355&amp;")",Players!$S$4:$T$132,2,FALSE))</f>
        <v>I1</v>
      </c>
      <c r="D2386" s="111" t="str">
        <f ca="1">IF(ISERROR(VLOOKUP($B2375&amp;"("&amp;$B2355&amp;")",Players!$S$4:$T$132,2,FALSE)),"",VLOOKUP($B2375&amp;"("&amp;$B2355&amp;")",Players!$S$4:$T$132,2,FALSE))</f>
        <v>I1</v>
      </c>
      <c r="E2386" s="111" t="str">
        <f ca="1">IF(ISERROR(VLOOKUP($B2382&amp;"("&amp;$B2355&amp;")",Players!$S$4:$T$132,2,FALSE)),"",VLOOKUP($B2382&amp;"("&amp;$B2355&amp;")",Players!$S$4:$T$132,2,FALSE))</f>
        <v>I1</v>
      </c>
      <c r="F2386" s="111" t="str">
        <f ca="1">IF(ISERROR(VLOOKUP($B2363&amp;"("&amp;$K2355&amp;")",Players!$S$4:$T$132,2,FALSE)),"",VLOOKUP($B2363&amp;"("&amp;$K2355&amp;")",Players!$S$4:$T$132,2,FALSE))</f>
        <v>L1</v>
      </c>
      <c r="G2386" s="111" t="str">
        <f ca="1">IF(ISERROR(VLOOKUP($B2370&amp;"("&amp;$K2355&amp;")",Players!$S$4:$T$132,2,FALSE)),"",VLOOKUP($B2370&amp;"("&amp;$K2355&amp;")",Players!$S$4:$T$132,2,FALSE))</f>
        <v>L1</v>
      </c>
      <c r="H2386" s="111" t="str">
        <f ca="1">IF(ISERROR(VLOOKUP($B2377&amp;"("&amp;$K2355&amp;")",Players!$S$4:$T$132,2,FALSE)),"",VLOOKUP($B2377&amp;"("&amp;$K2355&amp;")",Players!$S$4:$T$132,2,FALSE))</f>
        <v>L1</v>
      </c>
      <c r="I2386" s="111" t="str">
        <f ca="1">IF(ISERROR(VLOOKUP($B2384&amp;"("&amp;$K2355&amp;")",Players!$S$4:$T$132,2,FALSE)),"",VLOOKUP($B2384&amp;"("&amp;$K2355&amp;")",Players!$S$4:$T$132,2,FALSE))</f>
        <v>L1</v>
      </c>
      <c r="Q2386" s="6"/>
      <c r="R2386" s="37"/>
      <c r="S2386" s="95"/>
      <c r="T2386" s="95"/>
      <c r="U2386" s="95"/>
      <c r="V2386" s="95"/>
      <c r="W2386" s="95"/>
      <c r="X2386" s="95"/>
      <c r="Y2386" s="85"/>
      <c r="Z2386" s="85"/>
      <c r="AA2386" s="85"/>
      <c r="AB2386" s="85"/>
      <c r="AC2386" s="96"/>
      <c r="AD2386" s="97"/>
      <c r="AE2386" s="85"/>
      <c r="AF2386" s="85"/>
    </row>
    <row r="2387" spans="1:32" ht="12.75" customHeight="1" x14ac:dyDescent="0.25">
      <c r="A2387" s="15" t="s">
        <v>157</v>
      </c>
      <c r="H2387" s="110" t="str">
        <f ca="1">IF($Q2389&lt;&gt;"",IF(AND($B2390&lt;&gt;"Missing Player",$B2392&lt;&gt;"Missing Player"),IF(AND(AND($H2389&gt;-1,$H2391&gt;-1),OR($H2389&gt;10,$H2391&gt;10),ABS($H2389-$H2391)&gt;1,IF(OR($H2389&gt;11,$H2391&gt;11),ABS($H2389-$H2391)=2,TRUE),$H2389=INT($H2389),$H2391=INT($H2391)),"","Error"),""),"")</f>
        <v/>
      </c>
      <c r="I2387" s="110" t="str">
        <f ca="1">IF($Q2389&lt;&gt;"",IF(AND($B2390&lt;&gt;"Missing Player",$B2392&lt;&gt;"Missing Player"),IF(AND(AND($I2389&gt;-1,$I2391&gt;-1),OR($I2389&gt;10,$I2391&gt;10),ABS($I2389-$I2391)&gt;1,IF(OR($I2389&gt;11,$I2391&gt;11),ABS($I2389-$I2391)=2,TRUE),$I2389=INT($I2389),$I2391=INT($I2391)),"","Error"),""),"")</f>
        <v/>
      </c>
      <c r="J2387" s="110" t="str">
        <f ca="1">IF($Q2389&lt;&gt;"",IF(AND($B2390&lt;&gt;"Missing Player",$B2392&lt;&gt;"Missing Player"),IF(AND(AND($J2389&gt;-1,$J2391&gt;-1),OR($J2389&gt;10,$J2391&gt;10),ABS($J2389-$J2391)&gt;1,IF(OR($J2389&gt;11,$J2391&gt;11),ABS($J2389-$J2391)=2,TRUE),$J2389=INT($J2389),$J2391=INT($J2391)),"","Error"),""),"")</f>
        <v/>
      </c>
      <c r="K2387" s="110" t="str">
        <f ca="1">IF($Q2389&lt;&gt;"",IF(AND($K2389&lt;&gt;"",$K2391&lt;&gt;""), IF(AND(AND($K2389&gt;-1,$K2391&gt;-1),OR($K2389&gt;10,$K2391&gt;10),ABS($K2389-$K2391)&gt;1,IF(OR($K2389&gt;11,$K2391&gt;11),ABS($K2389-$K2391)=2,TRUE),$K2389=INT($K2389),$K2391=INT($K2391)),"","Error"),""),"")</f>
        <v/>
      </c>
      <c r="L2387" s="110" t="str">
        <f ca="1">IF($Q2389&lt;&gt;"",IF(AND($L2389&lt;&gt;"",$L2391&lt;&gt;""), IF(AND(AND($L2389&gt;-1,$L2391&gt;-1),OR($L2389&gt;10,$L2391&gt;10),ABS($L2389-$L2391)&gt;1,IF(OR($L2389&gt;11,$L2391&gt;11),ABS($L2389-$L2391)=2,TRUE),$L2389=INT($L2389),$L2391=INT($L2391)),"","Error"),""),"")</f>
        <v/>
      </c>
      <c r="Q2387" s="6"/>
      <c r="R2387" s="85"/>
      <c r="S2387" s="95"/>
      <c r="T2387" s="95"/>
      <c r="U2387" s="95"/>
      <c r="V2387" s="95"/>
      <c r="W2387" s="95"/>
      <c r="X2387" s="95"/>
      <c r="Y2387" s="85"/>
      <c r="Z2387" s="85"/>
      <c r="AA2387" s="85"/>
      <c r="AB2387" s="85"/>
      <c r="AC2387" s="85"/>
      <c r="AD2387" s="85"/>
      <c r="AE2387" s="85"/>
      <c r="AF2387" s="85"/>
    </row>
    <row r="2388" spans="1:32" ht="12.75" customHeight="1" x14ac:dyDescent="0.25">
      <c r="A2388" s="5" t="s">
        <v>160</v>
      </c>
      <c r="B2388" s="256" t="s">
        <v>58</v>
      </c>
      <c r="C2388" s="257"/>
      <c r="D2388" s="257"/>
      <c r="E2388" s="257"/>
      <c r="F2388" s="257"/>
      <c r="G2388" s="258"/>
      <c r="H2388" s="5">
        <v>1</v>
      </c>
      <c r="I2388" s="5">
        <v>2</v>
      </c>
      <c r="J2388" s="5">
        <v>3</v>
      </c>
      <c r="K2388" s="5">
        <v>4</v>
      </c>
      <c r="L2388" s="5">
        <v>5</v>
      </c>
      <c r="M2388" s="270"/>
      <c r="N2388" s="271"/>
      <c r="O2388" s="271"/>
      <c r="P2388" s="272"/>
      <c r="Q2388" s="6"/>
      <c r="T2388" s="7"/>
    </row>
    <row r="2389" spans="1:32" ht="12.75" customHeight="1" x14ac:dyDescent="0.25">
      <c r="A2389" s="259" t="str">
        <f>B2355</f>
        <v>I</v>
      </c>
      <c r="B2389" s="230" t="str">
        <f ca="1">IF($B2361&lt;&gt;"",$B2361,"")</f>
        <v/>
      </c>
      <c r="C2389" s="231"/>
      <c r="D2389" s="231"/>
      <c r="E2389" s="231"/>
      <c r="F2389" s="231"/>
      <c r="G2389" s="232"/>
      <c r="H2389" s="233"/>
      <c r="I2389" s="233"/>
      <c r="J2389" s="233"/>
      <c r="K2389" s="233"/>
      <c r="L2389" s="233" t="str">
        <f ca="1">IF($B2382&lt;&gt;"",IF(AND($B2382="Missing Player",$G2393=2,$J2393=2),0,IF(AND($B2384="Missing Player",$G2393=2,$J2393=2),11,"")),"")</f>
        <v/>
      </c>
      <c r="M2389" s="245" t="str">
        <f ca="1">IF(OR(AND($B2389&lt;&gt;"",$B2390&lt;&gt;"",$B2389=$B2390),AND($B2391&lt;&gt;"",$B2392&lt;&gt;"",$B2391=$B2392)),"Invalid Partner","")</f>
        <v/>
      </c>
      <c r="N2389" s="246"/>
      <c r="O2389" s="246"/>
      <c r="P2389" s="247"/>
      <c r="Q2389" s="37" t="str">
        <f ca="1">IF(L2389=L2391,IF(K2389=K2391,IF(J2389&lt;&gt;"",IF(J2389&gt;J2391,"W","L"),""),IF(K2389&gt;K2391,"W","L")),IF(L2389&gt;L2391,"W","L"))</f>
        <v/>
      </c>
      <c r="T2389" s="7"/>
    </row>
    <row r="2390" spans="1:32" ht="12.75" customHeight="1" x14ac:dyDescent="0.25">
      <c r="A2390" s="260"/>
      <c r="B2390" s="266" t="str">
        <f ca="1">IF($B2382="Missing Player",$B2382,"")</f>
        <v/>
      </c>
      <c r="C2390" s="267"/>
      <c r="D2390" s="267"/>
      <c r="E2390" s="267"/>
      <c r="F2390" s="267"/>
      <c r="G2390" s="268"/>
      <c r="H2390" s="234"/>
      <c r="I2390" s="234"/>
      <c r="J2390" s="234"/>
      <c r="K2390" s="234"/>
      <c r="L2390" s="234"/>
      <c r="M2390" s="245"/>
      <c r="N2390" s="246"/>
      <c r="O2390" s="246"/>
      <c r="P2390" s="247"/>
      <c r="Q2390" s="110" t="str">
        <f ca="1">IF($Q2389&lt;&gt;"",IF($B2392&lt;&gt;"Missing Player",IF($Q2389="W",IF(SUM(IF($H2389&gt;$H2391,1,0),IF($I2389&gt;$I2391,1,0),IF($J2389&gt;$J2391,1,0),IF($K2389&gt;$K2391,1,0),IF($L2389&gt;$L2391,1,0))&lt;&gt;3,"Error",""),""),""),"")</f>
        <v/>
      </c>
      <c r="R2390" s="295" t="str">
        <f>$A2356</f>
        <v/>
      </c>
      <c r="S2390" s="295"/>
      <c r="T2390" s="295"/>
      <c r="U2390" s="295"/>
      <c r="V2390" s="295"/>
      <c r="W2390" s="295"/>
      <c r="X2390" s="219" t="str">
        <f>CONCATENATE("(",$B2355," vs ",$K2355,")")</f>
        <v>(I vs L)</v>
      </c>
      <c r="Y2390" s="219"/>
      <c r="Z2390" s="295" t="str">
        <f>$J2356</f>
        <v/>
      </c>
      <c r="AA2390" s="295"/>
      <c r="AB2390" s="295"/>
      <c r="AC2390" s="295"/>
      <c r="AD2390" s="295"/>
      <c r="AE2390" s="295"/>
      <c r="AF2390"/>
    </row>
    <row r="2391" spans="1:32" ht="12.75" customHeight="1" x14ac:dyDescent="0.25">
      <c r="A2391" s="265" t="str">
        <f>K2355</f>
        <v>L</v>
      </c>
      <c r="B2391" s="230" t="str">
        <f ca="1">IF($B2363&lt;&gt;"",$B2363,"")</f>
        <v/>
      </c>
      <c r="C2391" s="231"/>
      <c r="D2391" s="231"/>
      <c r="E2391" s="231"/>
      <c r="F2391" s="231"/>
      <c r="G2391" s="232"/>
      <c r="H2391" s="233"/>
      <c r="I2391" s="233"/>
      <c r="J2391" s="233"/>
      <c r="K2391" s="233"/>
      <c r="L2391" s="233" t="str">
        <f ca="1">IF($B2384&lt;&gt;"",IF(AND($B2384="Missing Player",$G2393=2,$J2393=2),0,IF(AND($B2382="Missing Player",$G2393=2,$J2393=2),11,"")),"")</f>
        <v/>
      </c>
      <c r="M2391" s="250" t="s">
        <v>169</v>
      </c>
      <c r="N2391" s="251"/>
      <c r="O2391" s="251"/>
      <c r="P2391" s="252"/>
      <c r="Q2391" s="37" t="str">
        <f ca="1">IF(Q2389&lt;&gt;"",IF(Q2389="W","L","W"),"")</f>
        <v/>
      </c>
      <c r="R2391"/>
      <c r="S2391"/>
      <c r="T2391"/>
      <c r="U2391"/>
      <c r="V2391"/>
      <c r="W2391"/>
      <c r="X2391"/>
      <c r="Y2391"/>
      <c r="Z2391"/>
      <c r="AA2391"/>
      <c r="AB2391"/>
      <c r="AC2391"/>
      <c r="AD2391"/>
      <c r="AE2391"/>
      <c r="AF2391"/>
    </row>
    <row r="2392" spans="1:32" ht="12.75" customHeight="1" x14ac:dyDescent="0.25">
      <c r="A2392" s="260"/>
      <c r="B2392" s="266" t="str">
        <f ca="1">IF($B2384="Missing Player",$B2384,"")</f>
        <v/>
      </c>
      <c r="C2392" s="267"/>
      <c r="D2392" s="267"/>
      <c r="E2392" s="267"/>
      <c r="F2392" s="267"/>
      <c r="G2392" s="268"/>
      <c r="H2392" s="234"/>
      <c r="I2392" s="234"/>
      <c r="J2392" s="235"/>
      <c r="K2392" s="235"/>
      <c r="L2392" s="235"/>
      <c r="M2392" s="250"/>
      <c r="N2392" s="251"/>
      <c r="O2392" s="251"/>
      <c r="P2392" s="252"/>
      <c r="Q2392" s="110" t="str">
        <f ca="1">IF($Q2391&lt;&gt;"",IF($B2390&lt;&gt;"Missing Player",IF($Q2391="W",IF(SUM(IF($H2391&gt;$H2389,1,0),IF($I2391&gt;$I2389,1,0),IF($J2391&gt;$J2389,1,0),IF($K2391&gt;$K2389,1,0),IF($L2391&gt;$L2389,1,0))&lt;&gt;3,"Error",""),""),""),"")</f>
        <v/>
      </c>
      <c r="R2392" t="str">
        <f>A2380</f>
        <v>4th Singles</v>
      </c>
      <c r="S2392"/>
      <c r="T2392"/>
      <c r="U2392"/>
      <c r="V2392"/>
      <c r="W2392"/>
      <c r="X2392"/>
      <c r="Y2392"/>
      <c r="Z2392"/>
      <c r="AA2392"/>
      <c r="AB2392"/>
      <c r="AC2392"/>
      <c r="AD2392"/>
      <c r="AE2392"/>
      <c r="AF2392"/>
    </row>
    <row r="2393" spans="1:32" ht="12.75" customHeight="1" x14ac:dyDescent="0.25">
      <c r="G2393" s="53">
        <f ca="1">COUNTIF($Q2361:$Q2361,"W")+COUNTIF($Q2368:$Q2368,"W")+COUNTIF($Q2375:$Q2375,"W")+COUNTIF($Q2382:$Q2382,"W")</f>
        <v>0</v>
      </c>
      <c r="J2393" s="53">
        <f ca="1">COUNTIF($Q2363:$Q2363,"W")+COUNTIF($Q2370:$Q2370,"W")+COUNTIF($Q2377:$Q2377,"W")+COUNTIF($Q2384:$Q2384,"W")</f>
        <v>0</v>
      </c>
      <c r="R2393" s="47" t="s">
        <v>160</v>
      </c>
      <c r="S2393" s="304" t="s">
        <v>58</v>
      </c>
      <c r="T2393" s="305"/>
      <c r="U2393" s="305"/>
      <c r="V2393" s="305"/>
      <c r="W2393" s="305"/>
      <c r="X2393" s="306"/>
      <c r="Y2393" s="47">
        <v>1</v>
      </c>
      <c r="Z2393" s="47">
        <v>2</v>
      </c>
      <c r="AA2393" s="47">
        <v>3</v>
      </c>
      <c r="AB2393" s="47">
        <v>4</v>
      </c>
      <c r="AC2393" s="47">
        <v>5</v>
      </c>
      <c r="AD2393" s="286"/>
      <c r="AE2393" s="287"/>
      <c r="AF2393" s="288"/>
    </row>
    <row r="2394" spans="1:32" ht="12.75" customHeight="1" thickBot="1" x14ac:dyDescent="0.3">
      <c r="F2394" s="212" t="s">
        <v>170</v>
      </c>
      <c r="G2394" s="212"/>
      <c r="H2394" s="212"/>
      <c r="I2394" s="212"/>
      <c r="J2394" s="212"/>
      <c r="K2394" s="212"/>
      <c r="R2394" s="259" t="str">
        <f>B2355</f>
        <v>I</v>
      </c>
      <c r="S2394" s="307" t="str">
        <f ca="1">IF($B2382&lt;&gt;"",$B2382,"")</f>
        <v/>
      </c>
      <c r="T2394" s="308"/>
      <c r="U2394" s="308"/>
      <c r="V2394" s="308"/>
      <c r="W2394" s="308"/>
      <c r="X2394" s="309"/>
      <c r="Y2394" s="284"/>
      <c r="Z2394" s="284"/>
      <c r="AA2394" s="297"/>
      <c r="AB2394" s="297"/>
      <c r="AC2394" s="297"/>
      <c r="AD2394" s="296"/>
      <c r="AE2394" s="298"/>
      <c r="AF2394" s="299"/>
    </row>
    <row r="2395" spans="1:32" ht="12.75" customHeight="1" x14ac:dyDescent="0.25">
      <c r="A2395" s="16"/>
      <c r="B2395" s="16"/>
      <c r="C2395" s="16"/>
      <c r="D2395" s="16"/>
      <c r="E2395" s="16"/>
      <c r="G2395" s="261" t="str">
        <f>B2355</f>
        <v>I</v>
      </c>
      <c r="H2395" s="262"/>
      <c r="I2395" s="263" t="str">
        <f>K2355</f>
        <v>L</v>
      </c>
      <c r="J2395" s="264"/>
      <c r="L2395" s="16"/>
      <c r="M2395" s="16"/>
      <c r="N2395" s="16"/>
      <c r="O2395" s="16"/>
      <c r="P2395" s="16"/>
      <c r="R2395" s="260"/>
      <c r="S2395" s="310"/>
      <c r="T2395" s="311"/>
      <c r="U2395" s="311"/>
      <c r="V2395" s="311"/>
      <c r="W2395" s="311"/>
      <c r="X2395" s="312"/>
      <c r="Y2395" s="285"/>
      <c r="Z2395" s="285"/>
      <c r="AA2395" s="303"/>
      <c r="AB2395" s="303"/>
      <c r="AC2395" s="303"/>
      <c r="AD2395" s="300"/>
      <c r="AE2395" s="301"/>
      <c r="AF2395" s="302"/>
    </row>
    <row r="2396" spans="1:32" ht="12.75" customHeight="1" thickBot="1" x14ac:dyDescent="0.3">
      <c r="A2396" s="2" t="s">
        <v>160</v>
      </c>
      <c r="B2396" s="40" t="str">
        <f>B2355</f>
        <v>I</v>
      </c>
      <c r="C2396" s="3" t="s">
        <v>158</v>
      </c>
      <c r="F2396" s="53" t="str">
        <f>CONCATENATE($B2355,"-",$K2355)</f>
        <v>I-L</v>
      </c>
      <c r="G2396" s="240" t="str">
        <f ca="1">IF(OR(Q2361&lt;&gt;"",Q2368&lt;&gt;"",Q2375&lt;&gt;"",Q2382&lt;&gt;"",Q2389&lt;&gt;""),COUNTIF(Q2361:Q2361,"W")+COUNTIF(Q2368:Q2368,"W")+COUNTIF(Q2375:Q2375,"W")+COUNTIF(Q2382:Q2382,"W")+COUNTIF(Q2389:Q2389,"W"),"")</f>
        <v/>
      </c>
      <c r="H2396" s="241"/>
      <c r="I2396" s="242" t="str">
        <f ca="1">IF(OR(Q2363&lt;&gt;"",Q2370&lt;&gt;"",Q2377&lt;&gt;"",Q2384&lt;&gt;"",Q2391&lt;&gt;""),COUNTIF(Q2363:Q2363,"W")+COUNTIF(Q2370:Q2370,"W")+COUNTIF(Q2377:Q2377,"W")+COUNTIF(Q2384:Q2384,"W")+COUNTIF(Q2391:Q2391,"W"),"")</f>
        <v/>
      </c>
      <c r="J2396" s="243"/>
      <c r="L2396" s="2" t="s">
        <v>160</v>
      </c>
      <c r="M2396" s="40" t="str">
        <f>K2355</f>
        <v>L</v>
      </c>
      <c r="N2396" s="3" t="s">
        <v>158</v>
      </c>
      <c r="R2396" s="259" t="str">
        <f>K2355</f>
        <v>L</v>
      </c>
      <c r="S2396" s="307" t="str">
        <f ca="1">IF($B2384&lt;&gt;"",$B2384,"")</f>
        <v/>
      </c>
      <c r="T2396" s="308"/>
      <c r="U2396" s="308"/>
      <c r="V2396" s="308"/>
      <c r="W2396" s="308"/>
      <c r="X2396" s="309"/>
      <c r="Y2396" s="284"/>
      <c r="Z2396" s="284"/>
      <c r="AA2396" s="297"/>
      <c r="AB2396" s="297"/>
      <c r="AC2396" s="297"/>
      <c r="AD2396" s="289" t="s">
        <v>169</v>
      </c>
      <c r="AE2396" s="290"/>
      <c r="AF2396" s="291"/>
    </row>
    <row r="2397" spans="1:32" ht="12.75" customHeight="1" x14ac:dyDescent="0.35">
      <c r="F2397" s="18" t="s">
        <v>403</v>
      </c>
      <c r="G2397" s="17"/>
      <c r="H2397" s="17"/>
      <c r="I2397" s="17"/>
      <c r="J2397" s="17"/>
      <c r="R2397" s="285"/>
      <c r="S2397" s="310"/>
      <c r="T2397" s="311"/>
      <c r="U2397" s="311"/>
      <c r="V2397" s="311"/>
      <c r="W2397" s="311"/>
      <c r="X2397" s="312"/>
      <c r="Y2397" s="285"/>
      <c r="Z2397" s="285"/>
      <c r="AA2397" s="285"/>
      <c r="AB2397" s="285"/>
      <c r="AC2397" s="285"/>
      <c r="AD2397" s="292"/>
      <c r="AE2397" s="293"/>
      <c r="AF2397" s="294"/>
    </row>
    <row r="2398" spans="1:32" ht="12.75" customHeight="1" x14ac:dyDescent="0.25">
      <c r="R2398" s="1"/>
      <c r="S2398" s="11"/>
      <c r="T2398" s="11"/>
      <c r="U2398" s="11"/>
      <c r="V2398" s="11"/>
      <c r="W2398" s="11"/>
    </row>
    <row r="2399" spans="1:32" ht="12.75" customHeight="1" x14ac:dyDescent="0.25">
      <c r="F2399" s="212"/>
      <c r="G2399" s="212"/>
      <c r="H2399" s="212"/>
      <c r="I2399" s="212"/>
      <c r="R2399" s="1"/>
      <c r="S2399" s="11"/>
      <c r="T2399" s="11"/>
      <c r="U2399" s="11"/>
      <c r="V2399" s="11"/>
      <c r="W2399" s="11"/>
    </row>
    <row r="2400" spans="1:32" ht="12.75" customHeight="1" x14ac:dyDescent="0.25">
      <c r="F2400" s="212"/>
      <c r="G2400" s="212"/>
      <c r="H2400" s="212"/>
      <c r="I2400" s="212"/>
      <c r="R2400" s="1"/>
      <c r="S2400" s="11"/>
      <c r="T2400" s="11"/>
      <c r="U2400" s="11"/>
      <c r="V2400" s="11"/>
      <c r="W2400" s="11"/>
    </row>
    <row r="2401" spans="1:32" ht="12.75" customHeight="1" x14ac:dyDescent="0.25">
      <c r="K2401" s="219" t="s">
        <v>176</v>
      </c>
      <c r="L2401" s="219"/>
      <c r="M2401" s="219"/>
      <c r="N2401" s="219"/>
      <c r="O2401" s="219"/>
      <c r="P2401" s="219"/>
      <c r="R2401" s="1"/>
      <c r="S2401" s="11"/>
      <c r="T2401" s="11"/>
      <c r="U2401" s="11"/>
      <c r="V2401" s="11"/>
      <c r="W2401" s="11"/>
    </row>
    <row r="2402" spans="1:32" ht="12.75" customHeight="1" x14ac:dyDescent="0.25">
      <c r="A2402" s="9" t="s">
        <v>161</v>
      </c>
      <c r="B2402"/>
      <c r="C2402"/>
      <c r="D2402" t="str">
        <f>Draw!$B$1</f>
        <v>Enter Division Name</v>
      </c>
      <c r="E2402"/>
      <c r="F2402" s="6"/>
      <c r="G2402" s="6"/>
      <c r="H2402" s="6"/>
      <c r="I2402"/>
      <c r="J2402"/>
      <c r="K2402"/>
      <c r="L2402"/>
      <c r="M2402" s="219"/>
      <c r="N2402" s="219"/>
      <c r="O2402" s="219"/>
      <c r="P2402" s="219"/>
      <c r="R2402" s="1"/>
      <c r="S2402" s="11"/>
      <c r="T2402" s="11"/>
      <c r="U2402" s="11"/>
      <c r="V2402" s="11"/>
      <c r="W2402" s="11"/>
    </row>
    <row r="2403" spans="1:32" ht="12.75" customHeight="1" x14ac:dyDescent="0.25">
      <c r="A2403" s="2" t="s">
        <v>162</v>
      </c>
      <c r="D2403" t="str">
        <f>Draw!$D$1</f>
        <v>Enter Hosting Location (City, ST)</v>
      </c>
      <c r="J2403" t="str">
        <f ca="1">$J$6</f>
        <v>[NCTTA Teams Template (v3.4).xlsx]</v>
      </c>
      <c r="R2403" s="1"/>
      <c r="S2403" s="11"/>
      <c r="T2403" s="11"/>
      <c r="U2403" s="11"/>
      <c r="V2403" s="11"/>
      <c r="W2403" s="11"/>
    </row>
    <row r="2404" spans="1:32" ht="12.75" customHeight="1" x14ac:dyDescent="0.25">
      <c r="A2404" s="2" t="s">
        <v>163</v>
      </c>
      <c r="D2404" s="275" t="str">
        <f>Draw!$P$1</f>
        <v>Enter Date</v>
      </c>
      <c r="E2404" s="275"/>
      <c r="F2404" s="275"/>
      <c r="G2404" s="275"/>
      <c r="J2404" s="244" t="str">
        <f>CHOOSE(Draw!$T$1,"Round 8, Match 6","","","","","","","","","","Round 10, Match 3")</f>
        <v>Round 8, Match 6</v>
      </c>
      <c r="K2404" s="244"/>
      <c r="L2404" s="244"/>
      <c r="M2404" s="277" t="str">
        <f>IF(AND($J2404&lt;&gt;"",Draw!$AC$10&lt;&gt;"",Draw!$AC$13&lt;&gt;""),Draw!$AC$10+TIME(0,VALUE(MID($J2404,7,FIND(",",$J2404)-FIND(" ",$J2404)-1)-1)*Draw!$AC$13,0),"")</f>
        <v/>
      </c>
      <c r="N2404" s="277"/>
      <c r="O2404" s="125" t="str">
        <f>$F2447</f>
        <v>J-K</v>
      </c>
      <c r="R2404" s="1"/>
      <c r="S2404" s="11"/>
      <c r="T2404" s="11"/>
      <c r="U2404" s="11"/>
      <c r="V2404" s="11"/>
      <c r="W2404" s="11"/>
    </row>
    <row r="2405" spans="1:32" ht="12.75" customHeight="1" x14ac:dyDescent="0.25">
      <c r="A2405" s="6"/>
      <c r="B2405"/>
      <c r="C2405"/>
      <c r="D2405"/>
      <c r="E2405"/>
      <c r="F2405" s="6"/>
      <c r="G2405" s="6"/>
      <c r="H2405" s="11"/>
      <c r="I2405" s="6"/>
      <c r="J2405"/>
      <c r="K2405"/>
      <c r="L2405"/>
      <c r="M2405"/>
      <c r="N2405"/>
      <c r="O2405" s="269" t="str">
        <f>IF(OR(AND(VLOOKUP($B2406,$AM$1:$AX$12,12,FALSE)="C",VLOOKUP($K2406,$AM$1:$AX$12,12,FALSE)="C"),AND(VLOOKUP($B2406,$AM$1:$AX$12,12,FALSE)="W",VLOOKUP($K2406,$AM$1:$AX$12,12,FALSE)="W")),"Official",IF(AND($A2407="",$J2407=""),"","Scrimmage"))</f>
        <v/>
      </c>
      <c r="P2405" s="269"/>
      <c r="R2405" s="1"/>
      <c r="S2405" s="11"/>
      <c r="T2405" s="11"/>
      <c r="U2405" s="11"/>
      <c r="V2405" s="11"/>
      <c r="W2405" s="11"/>
    </row>
    <row r="2406" spans="1:32" ht="12.75" customHeight="1" x14ac:dyDescent="0.25">
      <c r="A2406" s="12" t="s">
        <v>160</v>
      </c>
      <c r="B2406" s="98" t="str">
        <f>CHOOSE(Draw!$T$1,"J","C","D","E","F","F","F","E","D","B","F")</f>
        <v>J</v>
      </c>
      <c r="C2406" s="109">
        <f>VLOOKUP($B2406,$AM$1:$AN$12,2)</f>
        <v>10</v>
      </c>
      <c r="D2406" s="10"/>
      <c r="E2406" s="10"/>
      <c r="F2406" s="8"/>
      <c r="H2406" s="1" t="s">
        <v>164</v>
      </c>
      <c r="J2406" s="12" t="s">
        <v>160</v>
      </c>
      <c r="K2406" s="98" t="str">
        <f>CHOOSE(Draw!$T$1,"K","L","J","I","I","I","I","L","L","K","K")</f>
        <v>K</v>
      </c>
      <c r="L2406" s="109">
        <f>VLOOKUP($K2406,$AM$1:$AN$12,2)</f>
        <v>11</v>
      </c>
      <c r="M2406" s="10"/>
      <c r="N2406" s="10"/>
      <c r="O2406" s="13"/>
      <c r="R2406" s="1"/>
      <c r="S2406" s="11"/>
      <c r="T2406" s="11"/>
      <c r="U2406" s="11"/>
      <c r="V2406" s="11"/>
      <c r="W2406" s="11"/>
    </row>
    <row r="2407" spans="1:32" ht="12.75" customHeight="1" x14ac:dyDescent="0.25">
      <c r="A2407" s="253" t="str">
        <f>IF(VLOOKUP($B2406,Draw!$A$4:$B$27,2)&lt;&gt;0,VLOOKUP($B2406,Draw!$A$4:$B$27,2),"")</f>
        <v/>
      </c>
      <c r="B2407" s="254"/>
      <c r="C2407" s="254"/>
      <c r="D2407" s="254"/>
      <c r="E2407" s="254"/>
      <c r="F2407" s="255"/>
      <c r="G2407" s="273" t="s">
        <v>451</v>
      </c>
      <c r="H2407" s="249"/>
      <c r="I2407" s="274"/>
      <c r="J2407" s="253" t="str">
        <f>IF(VLOOKUP($K2406,Draw!$A$4:$B$27,2)&lt;&gt;0,VLOOKUP($K2406,Draw!$A$4:$B$27,2),"")</f>
        <v/>
      </c>
      <c r="K2407" s="254"/>
      <c r="L2407" s="254"/>
      <c r="M2407" s="254"/>
      <c r="N2407" s="254"/>
      <c r="O2407" s="255"/>
      <c r="P2407"/>
      <c r="R2407" s="1"/>
      <c r="S2407" s="11"/>
      <c r="T2407" s="11"/>
      <c r="U2407" s="11"/>
      <c r="V2407" s="11"/>
      <c r="W2407" s="11"/>
    </row>
    <row r="2408" spans="1:32" ht="12.75" customHeight="1" x14ac:dyDescent="0.25">
      <c r="A2408" s="6"/>
      <c r="B2408"/>
      <c r="C2408"/>
      <c r="D2408"/>
      <c r="E2408"/>
      <c r="F2408" s="6"/>
      <c r="G2408" s="248" t="str">
        <f>"Page "&amp;VALUE(RIGHT($G2407,LEN($G2407)-SEARCH("-",$G2407)))/2</f>
        <v>Page 48</v>
      </c>
      <c r="H2408" s="249"/>
      <c r="I2408" s="249"/>
      <c r="J2408"/>
      <c r="K2408"/>
      <c r="L2408"/>
      <c r="M2408"/>
      <c r="N2408"/>
      <c r="O2408"/>
      <c r="P2408"/>
      <c r="R2408" s="1"/>
      <c r="S2408" s="11"/>
      <c r="T2408" s="11"/>
      <c r="U2408" s="11"/>
      <c r="V2408" s="11"/>
      <c r="W2408" s="11"/>
      <c r="AF2408"/>
    </row>
    <row r="2409" spans="1:32" ht="12.75" customHeight="1" x14ac:dyDescent="0.25">
      <c r="A2409" s="276" t="s">
        <v>177</v>
      </c>
      <c r="B2409" s="276"/>
      <c r="C2409" s="276"/>
      <c r="D2409" s="276"/>
      <c r="E2409" s="276"/>
      <c r="F2409" s="276"/>
      <c r="G2409" s="276"/>
      <c r="H2409" s="276"/>
      <c r="I2409" s="276"/>
      <c r="J2409" s="276"/>
      <c r="K2409" s="276"/>
      <c r="L2409" s="276"/>
      <c r="M2409" s="276"/>
      <c r="N2409" s="276"/>
      <c r="O2409" s="276"/>
      <c r="P2409" s="276"/>
      <c r="Q2409" s="6"/>
      <c r="R2409" s="1"/>
      <c r="S2409" s="11"/>
      <c r="T2409" s="11"/>
      <c r="U2409" s="11"/>
      <c r="V2409" s="11"/>
      <c r="W2409" s="11"/>
      <c r="AF2409" s="14"/>
    </row>
    <row r="2410" spans="1:32" ht="12.75" customHeight="1" x14ac:dyDescent="0.25">
      <c r="A2410" s="15" t="s">
        <v>165</v>
      </c>
      <c r="H2410" s="110" t="str">
        <f>IF($Q2412&lt;&gt;"",IF(AND(AND($H2412&gt;-1,$H2414&gt;-1),OR($H2412&gt;10,$H2414&gt;10),ABS($H2412-$H2414)&gt;1,IF(OR($H2412&gt;11,$H2414&gt;11),ABS($H2412-$H2414)=2,TRUE),$H2412=INT($H2412),$H2414=INT($H2414)),"","Error"),"")</f>
        <v/>
      </c>
      <c r="I2410" s="110" t="str">
        <f>IF($Q2412&lt;&gt;"",IF(AND(AND($I2412&gt;-1,$I2414&gt;-1),OR($I2412&gt;10,$I2414&gt;10),ABS($I2412-$I2414)&gt;1,IF(OR($I2412&gt;11,$I2414&gt;11),ABS($I2412-$I2414)=2,TRUE),$I2412=INT($I2412),$I2414=INT($I2414)),"","Error"),"")</f>
        <v/>
      </c>
      <c r="J2410" s="110" t="str">
        <f>IF($Q2412&lt;&gt;"",IF(AND(AND($J2412&gt;-1,$J2414&gt;-1),OR($J2412&gt;10,$J2414&gt;10),ABS($J2412-$J2414)&gt;1,IF(OR($J2412&gt;11,$J2414&gt;11),ABS($J2412-$J2414)=2,TRUE),$J2412=INT($J2412),$J2414=INT($J2414)),"","Error"),"")</f>
        <v/>
      </c>
      <c r="K2410" s="110" t="str">
        <f>IF($Q2412&lt;&gt;"",IF(AND($K2412&lt;&gt;"",$K2414&lt;&gt;""), IF(AND(AND($K2412&gt;-1,$K2414&gt;-1),OR($K2412&gt;10,$K2414&gt;10),ABS($K2412-$K2414)&gt;1,IF(OR($K2412&gt;11,$K2414&gt;11),ABS($K2412-$K2414)=2,TRUE),$K2412=INT($K2412),$K2414=INT($K2414)),"","Error"),""),"")</f>
        <v/>
      </c>
      <c r="L2410" s="110" t="str">
        <f>IF($Q2412&lt;&gt;"",IF(AND($L2412&lt;&gt;"",$L2414&lt;&gt;""), IF(AND(AND($L2412&gt;-1,$L2414&gt;-1),OR($L2412&gt;10,$L2414&gt;10),ABS($L2412-$L2414)&gt;1,IF(OR($L2412&gt;11,$L2414&gt;11),ABS($L2412-$L2414)=2,TRUE),$L2412=INT($L2412),$L2414=INT($L2414)),"","Error"),""),"")</f>
        <v/>
      </c>
      <c r="R2410" s="1"/>
      <c r="S2410" s="11"/>
      <c r="T2410" s="11"/>
      <c r="U2410" s="11"/>
      <c r="V2410" s="11"/>
      <c r="W2410" s="11"/>
    </row>
    <row r="2411" spans="1:32" ht="12.75" customHeight="1" x14ac:dyDescent="0.25">
      <c r="A2411" s="5" t="s">
        <v>160</v>
      </c>
      <c r="B2411" s="256" t="s">
        <v>58</v>
      </c>
      <c r="C2411" s="257"/>
      <c r="D2411" s="257"/>
      <c r="E2411" s="257"/>
      <c r="F2411" s="257"/>
      <c r="G2411" s="258"/>
      <c r="H2411" s="5">
        <v>1</v>
      </c>
      <c r="I2411" s="5">
        <v>2</v>
      </c>
      <c r="J2411" s="5">
        <v>3</v>
      </c>
      <c r="K2411" s="5">
        <v>4</v>
      </c>
      <c r="L2411" s="5">
        <v>5</v>
      </c>
      <c r="M2411" s="270"/>
      <c r="N2411" s="271"/>
      <c r="O2411" s="271"/>
      <c r="P2411" s="272"/>
      <c r="R2411" s="1"/>
      <c r="S2411" s="11"/>
      <c r="T2411" s="11"/>
      <c r="U2411" s="11"/>
      <c r="V2411" s="11"/>
      <c r="W2411" s="11"/>
    </row>
    <row r="2412" spans="1:32" ht="12.75" customHeight="1" x14ac:dyDescent="0.25">
      <c r="A2412" s="259" t="str">
        <f>B2406</f>
        <v>J</v>
      </c>
      <c r="B2412" s="236" t="str">
        <f ca="1">IF(AND(OFFSET($AO$1,$C2406-1,8,1,1),$A2407&lt;&gt;"",$J2407&lt;&gt;""),CHOOSE($C2406,$AO$1,$AO$2,$AO$3,$AO$4,$AO$5,$AO$6,$AO$7,$AO$8,$AO$9,$AO$10,$AO$11,$AO$12),"")</f>
        <v/>
      </c>
      <c r="C2412" s="237"/>
      <c r="D2412" s="237"/>
      <c r="E2412" s="237"/>
      <c r="F2412" s="237"/>
      <c r="G2412" s="237"/>
      <c r="H2412" s="233"/>
      <c r="I2412" s="233"/>
      <c r="J2412" s="233"/>
      <c r="K2412" s="233"/>
      <c r="L2412" s="233"/>
      <c r="M2412" s="281"/>
      <c r="N2412" s="282"/>
      <c r="O2412" s="282"/>
      <c r="P2412" s="283"/>
      <c r="Q2412" s="40" t="str">
        <f>IF($L2412=$L2414,IF($K2412=$K2414,IF($J2412&lt;&gt;"",IF($J2412&gt;$J2414,"W","L"),""),IF($K2412&gt;$K2414,"W","L")),IF($L2412&gt;$L2414,"W","L"))</f>
        <v/>
      </c>
      <c r="R2412" s="1"/>
      <c r="S2412" s="11"/>
      <c r="T2412" s="11"/>
      <c r="U2412" s="11"/>
      <c r="V2412" s="11"/>
      <c r="W2412" s="11"/>
    </row>
    <row r="2413" spans="1:32" ht="12.75" customHeight="1" x14ac:dyDescent="0.25">
      <c r="A2413" s="260"/>
      <c r="B2413" s="238"/>
      <c r="C2413" s="239"/>
      <c r="D2413" s="239"/>
      <c r="E2413" s="239"/>
      <c r="F2413" s="239"/>
      <c r="G2413" s="239"/>
      <c r="H2413" s="234"/>
      <c r="I2413" s="234"/>
      <c r="J2413" s="234"/>
      <c r="K2413" s="234"/>
      <c r="L2413" s="234"/>
      <c r="M2413" s="281"/>
      <c r="N2413" s="282"/>
      <c r="O2413" s="282"/>
      <c r="P2413" s="283"/>
      <c r="Q2413" s="110" t="str">
        <f>IF($Q2412&lt;&gt;"",IF($Q2412="W",IF(SUM(IF($H2412&gt;$H2414,1,0),IF($I2412&gt;$I2414,1,0),IF($J2412&gt;$J2414,1,0),IF($K2412&gt;$K2414,1,0),IF($L2412&gt;$L2414,1,0))&lt;&gt;3,"Error",""),""),"")</f>
        <v/>
      </c>
      <c r="R2413" s="295" t="str">
        <f>$A2407</f>
        <v/>
      </c>
      <c r="S2413" s="295"/>
      <c r="T2413" s="295"/>
      <c r="U2413" s="295"/>
      <c r="V2413" s="295"/>
      <c r="W2413" s="295"/>
      <c r="X2413" s="219" t="str">
        <f>CONCATENATE("(",$B2406," vs ",$K2406,")")</f>
        <v>(J vs K)</v>
      </c>
      <c r="Y2413" s="219"/>
      <c r="Z2413" s="295" t="str">
        <f>$J2407</f>
        <v/>
      </c>
      <c r="AA2413" s="295"/>
      <c r="AB2413" s="295"/>
      <c r="AC2413" s="295"/>
      <c r="AD2413" s="295"/>
      <c r="AE2413" s="295"/>
      <c r="AF2413"/>
    </row>
    <row r="2414" spans="1:32" ht="12.75" customHeight="1" x14ac:dyDescent="0.25">
      <c r="A2414" s="259" t="str">
        <f>K2406</f>
        <v>K</v>
      </c>
      <c r="B2414" s="236" t="str">
        <f ca="1">IF(AND(OFFSET($AO$1,$L2406-1,8,1,1),$A2407&lt;&gt;"",$J2407&lt;&gt;""),CHOOSE($L2406,$AO$1,$AO$2,$AO$3,$AO$4,$AO$5,$AO$6,$AO$7,$AO$8,$AO$9,$AO$10,$AO$11,$AO$12),"")</f>
        <v/>
      </c>
      <c r="C2414" s="237"/>
      <c r="D2414" s="237"/>
      <c r="E2414" s="237"/>
      <c r="F2414" s="237"/>
      <c r="G2414" s="237"/>
      <c r="H2414" s="233"/>
      <c r="I2414" s="233"/>
      <c r="J2414" s="233"/>
      <c r="K2414" s="233"/>
      <c r="L2414" s="233"/>
      <c r="M2414" s="250" t="s">
        <v>169</v>
      </c>
      <c r="N2414" s="251"/>
      <c r="O2414" s="251"/>
      <c r="P2414" s="252"/>
      <c r="Q2414" s="40" t="str">
        <f>IF($Q2412&lt;&gt;"",IF($Q2412="W","L","W"),"")</f>
        <v/>
      </c>
      <c r="R2414"/>
      <c r="S2414"/>
      <c r="T2414"/>
      <c r="U2414"/>
      <c r="V2414"/>
      <c r="W2414"/>
      <c r="X2414"/>
      <c r="Y2414"/>
      <c r="Z2414"/>
      <c r="AA2414"/>
      <c r="AB2414"/>
      <c r="AC2414"/>
      <c r="AD2414"/>
      <c r="AE2414"/>
      <c r="AF2414"/>
    </row>
    <row r="2415" spans="1:32" ht="12.75" customHeight="1" x14ac:dyDescent="0.25">
      <c r="A2415" s="260"/>
      <c r="B2415" s="238"/>
      <c r="C2415" s="239"/>
      <c r="D2415" s="239"/>
      <c r="E2415" s="239"/>
      <c r="F2415" s="239"/>
      <c r="G2415" s="239"/>
      <c r="H2415" s="234"/>
      <c r="I2415" s="234"/>
      <c r="J2415" s="235"/>
      <c r="K2415" s="235"/>
      <c r="L2415" s="235"/>
      <c r="M2415" s="250"/>
      <c r="N2415" s="251"/>
      <c r="O2415" s="251"/>
      <c r="P2415" s="252"/>
      <c r="Q2415" s="110" t="str">
        <f>IF($Q2414&lt;&gt;"",IF($Q2414="W",IF(SUM(IF($H2414&gt;$H2412,1,0),IF($I2414&gt;$I2412,1,0),IF($J2414&gt;$J2412,1,0),IF($K2414&gt;$K2412,1,0),IF($L2414&gt;$L2412,1,0))&lt;&gt;3,"Error",""),""),"")</f>
        <v/>
      </c>
      <c r="R2415" t="str">
        <f>$A2417</f>
        <v>2nd Singles</v>
      </c>
      <c r="S2415"/>
      <c r="T2415"/>
      <c r="U2415"/>
      <c r="V2415"/>
      <c r="W2415"/>
      <c r="X2415"/>
      <c r="Y2415"/>
      <c r="Z2415"/>
      <c r="AA2415"/>
      <c r="AB2415"/>
      <c r="AC2415"/>
      <c r="AD2415"/>
      <c r="AE2415"/>
      <c r="AF2415"/>
    </row>
    <row r="2416" spans="1:32" ht="12.75" customHeight="1" x14ac:dyDescent="0.25">
      <c r="Q2416" s="6"/>
      <c r="R2416" s="47" t="s">
        <v>160</v>
      </c>
      <c r="S2416" s="304" t="s">
        <v>58</v>
      </c>
      <c r="T2416" s="305"/>
      <c r="U2416" s="305"/>
      <c r="V2416" s="305"/>
      <c r="W2416" s="305"/>
      <c r="X2416" s="306"/>
      <c r="Y2416" s="47">
        <v>1</v>
      </c>
      <c r="Z2416" s="47">
        <v>2</v>
      </c>
      <c r="AA2416" s="47">
        <v>3</v>
      </c>
      <c r="AB2416" s="47">
        <v>4</v>
      </c>
      <c r="AC2416" s="47">
        <v>5</v>
      </c>
      <c r="AD2416" s="286"/>
      <c r="AE2416" s="287"/>
      <c r="AF2416" s="288"/>
    </row>
    <row r="2417" spans="1:32" ht="12.75" customHeight="1" x14ac:dyDescent="0.25">
      <c r="A2417" s="15" t="s">
        <v>166</v>
      </c>
      <c r="H2417" s="110" t="str">
        <f>IF($Q2419&lt;&gt;"",IF(AND(AND($H2419&gt;-1,$H2421&gt;-1),OR($H2419&gt;10,$H2421&gt;10),ABS($H2419-$H2421)&gt;1,IF(OR($H2419&gt;11,$H2421&gt;11),ABS($H2419-$H2421)=2,TRUE),$H2419=INT($H2419),$H2421=INT($H2421)),"","Error"),"")</f>
        <v/>
      </c>
      <c r="I2417" s="110" t="str">
        <f>IF($Q2419&lt;&gt;"",IF(AND(AND($I2419&gt;-1,$I2421&gt;-1),OR($I2419&gt;10,$I2421&gt;10),ABS($I2419-$I2421)&gt;1,IF(OR($I2419&gt;11,$I2421&gt;11),ABS($I2419-$I2421)=2,TRUE),$I2419=INT($I2419),$I2421=INT($I2421)),"","Error"),"")</f>
        <v/>
      </c>
      <c r="J2417" s="110" t="str">
        <f>IF($Q2419&lt;&gt;"",IF(AND(AND($J2419&gt;-1,$J2421&gt;-1),OR($J2419&gt;10,$J2421&gt;10),ABS($J2419-$J2421)&gt;1,IF(OR($J2419&gt;11,$J2421&gt;11),ABS($J2419-$J2421)=2,TRUE),$J2419=INT($J2419),$J2421=INT($J2421)),"","Error"),"")</f>
        <v/>
      </c>
      <c r="K2417" s="110" t="str">
        <f>IF($Q2419&lt;&gt;"",IF(AND($K2419&lt;&gt;"",$K2421&lt;&gt;""), IF(AND(AND($K2419&gt;-1,$K2421&gt;-1),OR($K2419&gt;10,$K2421&gt;10),ABS($K2419-$K2421)&gt;1,IF(OR($K2419&gt;11,$K2421&gt;11),ABS($K2419-$K2421)=2,TRUE),$K2419=INT($K2419),$K2421=INT($K2421)),"","Error"),""),"")</f>
        <v/>
      </c>
      <c r="L2417" s="110" t="str">
        <f>IF($Q2419&lt;&gt;"",IF(AND($L2419&lt;&gt;"",$L2421&lt;&gt;""), IF(AND(AND($L2419&gt;-1,$L2421&gt;-1),OR($L2419&gt;10,$L2421&gt;10),ABS($L2419-$L2421)&gt;1,IF(OR($L2419&gt;11,$L2421&gt;11),ABS($L2419-$L2421)=2,TRUE),$L2419=INT($L2419),$L2421=INT($L2421)),"","Error"),""),"")</f>
        <v/>
      </c>
      <c r="Q2417" s="6"/>
      <c r="R2417" s="259" t="str">
        <f>$B2406</f>
        <v>J</v>
      </c>
      <c r="S2417" s="307" t="str">
        <f ca="1">IF($B2419&lt;&gt;"",$B2419,"")</f>
        <v/>
      </c>
      <c r="T2417" s="308"/>
      <c r="U2417" s="308"/>
      <c r="V2417" s="308"/>
      <c r="W2417" s="308"/>
      <c r="X2417" s="309"/>
      <c r="Y2417" s="284"/>
      <c r="Z2417" s="284"/>
      <c r="AA2417" s="284"/>
      <c r="AB2417" s="284"/>
      <c r="AC2417" s="284"/>
      <c r="AD2417" s="296"/>
      <c r="AE2417" s="290"/>
      <c r="AF2417" s="291"/>
    </row>
    <row r="2418" spans="1:32" ht="12.75" customHeight="1" x14ac:dyDescent="0.25">
      <c r="A2418" s="5" t="s">
        <v>160</v>
      </c>
      <c r="B2418" s="256" t="s">
        <v>58</v>
      </c>
      <c r="C2418" s="257"/>
      <c r="D2418" s="257"/>
      <c r="E2418" s="257"/>
      <c r="F2418" s="257"/>
      <c r="G2418" s="258"/>
      <c r="H2418" s="5">
        <v>1</v>
      </c>
      <c r="I2418" s="5">
        <v>2</v>
      </c>
      <c r="J2418" s="5">
        <v>3</v>
      </c>
      <c r="K2418" s="5">
        <v>4</v>
      </c>
      <c r="L2418" s="5">
        <v>5</v>
      </c>
      <c r="M2418" s="270"/>
      <c r="N2418" s="271"/>
      <c r="O2418" s="271"/>
      <c r="P2418" s="272"/>
      <c r="Q2418" s="6"/>
      <c r="R2418" s="285"/>
      <c r="S2418" s="310"/>
      <c r="T2418" s="311"/>
      <c r="U2418" s="311"/>
      <c r="V2418" s="311"/>
      <c r="W2418" s="311"/>
      <c r="X2418" s="312"/>
      <c r="Y2418" s="285"/>
      <c r="Z2418" s="285"/>
      <c r="AA2418" s="285"/>
      <c r="AB2418" s="285"/>
      <c r="AC2418" s="285"/>
      <c r="AD2418" s="292"/>
      <c r="AE2418" s="293"/>
      <c r="AF2418" s="294"/>
    </row>
    <row r="2419" spans="1:32" ht="12.75" customHeight="1" x14ac:dyDescent="0.25">
      <c r="A2419" s="259" t="str">
        <f>B2406</f>
        <v>J</v>
      </c>
      <c r="B2419" s="236" t="str">
        <f ca="1">IF(AND(OFFSET($AO$1,$C2406-1,8,1,1),$A2407&lt;&gt;"",$J2407&lt;&gt;""),CHOOSE($C2406,$AP$1,$AP$2,$AP$3,$AP$4,$AP$5,$AP$6,$AP$7,$AP$8,$AP$9,$AP$10,$AP$11,$AP$12),"")</f>
        <v/>
      </c>
      <c r="C2419" s="237"/>
      <c r="D2419" s="237"/>
      <c r="E2419" s="237"/>
      <c r="F2419" s="237"/>
      <c r="G2419" s="237"/>
      <c r="H2419" s="233"/>
      <c r="I2419" s="233"/>
      <c r="J2419" s="233"/>
      <c r="K2419" s="233"/>
      <c r="L2419" s="233"/>
      <c r="M2419" s="245" t="str">
        <f ca="1">IF(OR(AND($B2412&lt;&gt;"",$B2419&lt;&gt;"",$C2437&lt;=$B2437),AND($B2414&lt;&gt;"",$B2421&lt;&gt;"",$G2437&lt;=$F2437)),"Invalid Lineup","")</f>
        <v/>
      </c>
      <c r="N2419" s="246"/>
      <c r="O2419" s="246"/>
      <c r="P2419" s="247"/>
      <c r="Q2419" s="40" t="str">
        <f>IF($L2419=$L2421,IF($K2419=$K2421,IF($J2419&lt;&gt;"",IF($J2419&gt;$J2421,"W","L"),""),IF($K2419&gt;$K2421,"W","L")),IF($L2419&gt;$L2421,"W","L"))</f>
        <v/>
      </c>
      <c r="R2419" s="259" t="str">
        <f>$K2406</f>
        <v>K</v>
      </c>
      <c r="S2419" s="307" t="str">
        <f ca="1">IF($B2421&lt;&gt;"",$B2421,"")</f>
        <v/>
      </c>
      <c r="T2419" s="308"/>
      <c r="U2419" s="308"/>
      <c r="V2419" s="308"/>
      <c r="W2419" s="308"/>
      <c r="X2419" s="309"/>
      <c r="Y2419" s="284"/>
      <c r="Z2419" s="284"/>
      <c r="AA2419" s="284"/>
      <c r="AB2419" s="284"/>
      <c r="AC2419" s="297"/>
      <c r="AD2419" s="289" t="s">
        <v>169</v>
      </c>
      <c r="AE2419" s="290"/>
      <c r="AF2419" s="291"/>
    </row>
    <row r="2420" spans="1:32" ht="12.75" customHeight="1" x14ac:dyDescent="0.25">
      <c r="A2420" s="260"/>
      <c r="B2420" s="238"/>
      <c r="C2420" s="239"/>
      <c r="D2420" s="239"/>
      <c r="E2420" s="239"/>
      <c r="F2420" s="239"/>
      <c r="G2420" s="239"/>
      <c r="H2420" s="234"/>
      <c r="I2420" s="234"/>
      <c r="J2420" s="234"/>
      <c r="K2420" s="234"/>
      <c r="L2420" s="234"/>
      <c r="M2420" s="245"/>
      <c r="N2420" s="246"/>
      <c r="O2420" s="246"/>
      <c r="P2420" s="247"/>
      <c r="Q2420" s="110" t="str">
        <f>IF($Q2419&lt;&gt;"",IF($Q2419="W",IF(SUM(IF($H2419&gt;$H2421,1,0),IF($I2419&gt;$I2421,1,0),IF($J2419&gt;$J2421,1,0),IF($K2419&gt;$K2421,1,0),IF($L2419&gt;$L2421,1,0))&lt;&gt;3,"Error",""),""),"")</f>
        <v/>
      </c>
      <c r="R2420" s="285"/>
      <c r="S2420" s="310"/>
      <c r="T2420" s="311"/>
      <c r="U2420" s="311"/>
      <c r="V2420" s="311"/>
      <c r="W2420" s="311"/>
      <c r="X2420" s="312"/>
      <c r="Y2420" s="285"/>
      <c r="Z2420" s="285"/>
      <c r="AA2420" s="285"/>
      <c r="AB2420" s="285"/>
      <c r="AC2420" s="285"/>
      <c r="AD2420" s="292"/>
      <c r="AE2420" s="293"/>
      <c r="AF2420" s="294"/>
    </row>
    <row r="2421" spans="1:32" ht="12.75" customHeight="1" x14ac:dyDescent="0.25">
      <c r="A2421" s="259" t="str">
        <f>K2406</f>
        <v>K</v>
      </c>
      <c r="B2421" s="236" t="str">
        <f ca="1">IF(AND(OFFSET($AO$1,$L2406-1,8,1,1),$A2407&lt;&gt;"",$J2407&lt;&gt;""),CHOOSE($L2406,$AP$1,$AP$2,$AP$3,$AP$4,$AP$5,$AP$6,$AP$7,$AP$8,$AP$9,$AP$10,$AP$11,$AP$12),"")</f>
        <v/>
      </c>
      <c r="C2421" s="237"/>
      <c r="D2421" s="237"/>
      <c r="E2421" s="237"/>
      <c r="F2421" s="237"/>
      <c r="G2421" s="237"/>
      <c r="H2421" s="233"/>
      <c r="I2421" s="233"/>
      <c r="J2421" s="233"/>
      <c r="K2421" s="233"/>
      <c r="L2421" s="233"/>
      <c r="M2421" s="250" t="s">
        <v>169</v>
      </c>
      <c r="N2421" s="251"/>
      <c r="O2421" s="251"/>
      <c r="P2421" s="252"/>
      <c r="Q2421" s="40" t="str">
        <f>IF($Q2419&lt;&gt;"",IF($Q2419="W","L","W"),"")</f>
        <v/>
      </c>
      <c r="R2421" s="14"/>
      <c r="S2421" s="14"/>
      <c r="T2421" s="14"/>
      <c r="U2421" s="14"/>
      <c r="V2421" s="14"/>
      <c r="W2421" s="14"/>
      <c r="X2421" s="7"/>
      <c r="Y2421" s="7"/>
      <c r="Z2421" s="14"/>
      <c r="AA2421" s="14"/>
      <c r="AB2421" s="14"/>
      <c r="AC2421" s="14"/>
      <c r="AD2421" s="14"/>
      <c r="AE2421" s="14"/>
      <c r="AF2421"/>
    </row>
    <row r="2422" spans="1:32" ht="12.75" customHeight="1" x14ac:dyDescent="0.25">
      <c r="A2422" s="260"/>
      <c r="B2422" s="238"/>
      <c r="C2422" s="239"/>
      <c r="D2422" s="239"/>
      <c r="E2422" s="239"/>
      <c r="F2422" s="239"/>
      <c r="G2422" s="239"/>
      <c r="H2422" s="234"/>
      <c r="I2422" s="234"/>
      <c r="J2422" s="235"/>
      <c r="K2422" s="235"/>
      <c r="L2422" s="235"/>
      <c r="M2422" s="250"/>
      <c r="N2422" s="251"/>
      <c r="O2422" s="251"/>
      <c r="P2422" s="252"/>
      <c r="Q2422" s="110" t="str">
        <f>IF($Q2421&lt;&gt;"",IF($Q2421="W",IF(SUM(IF($H2421&gt;$H2419,1,0),IF($I2421&gt;$I2419,1,0),IF($J2421&gt;$J2419,1,0),IF($K2421&gt;$K2419,1,0),IF($L2421&gt;$L2419,1,0))&lt;&gt;3,"Error",""),""),"")</f>
        <v/>
      </c>
      <c r="R2422" s="14"/>
      <c r="S2422" s="14"/>
      <c r="T2422" s="14"/>
      <c r="U2422" s="14"/>
      <c r="V2422" s="14"/>
      <c r="W2422" s="14"/>
      <c r="X2422" s="7"/>
      <c r="Y2422" s="7"/>
      <c r="Z2422" s="14"/>
      <c r="AA2422" s="14"/>
      <c r="AB2422" s="14"/>
      <c r="AC2422" s="14"/>
      <c r="AD2422" s="14"/>
      <c r="AE2422" s="14"/>
      <c r="AF2422"/>
    </row>
    <row r="2423" spans="1:32" ht="12.75" customHeight="1" x14ac:dyDescent="0.25">
      <c r="Q2423" s="6"/>
      <c r="R2423" s="14"/>
      <c r="S2423" s="14"/>
      <c r="T2423" s="14"/>
      <c r="U2423" s="14"/>
      <c r="V2423" s="14"/>
      <c r="W2423" s="14"/>
      <c r="X2423" s="7"/>
      <c r="Y2423" s="7"/>
      <c r="Z2423" s="14"/>
      <c r="AA2423" s="14"/>
      <c r="AB2423" s="14"/>
      <c r="AC2423" s="14"/>
      <c r="AD2423" s="14"/>
      <c r="AE2423" s="14"/>
      <c r="AF2423"/>
    </row>
    <row r="2424" spans="1:32" ht="12.75" customHeight="1" x14ac:dyDescent="0.25">
      <c r="A2424" s="15" t="s">
        <v>167</v>
      </c>
      <c r="H2424" s="110" t="str">
        <f>IF($Q2426&lt;&gt;"",IF(AND(AND($H2426&gt;-1,$H2428&gt;-1),OR($H2426&gt;10,$H2428&gt;10),ABS($H2426-$H2428)&gt;1,IF(OR($H2426&gt;11,$H2428&gt;11),ABS($H2426-$H2428)=2,TRUE),$H2426=INT($H2426),$H2428=INT($H2428)),"","Error"),"")</f>
        <v/>
      </c>
      <c r="I2424" s="110" t="str">
        <f>IF($Q2426&lt;&gt;"",IF(AND(AND($I2426&gt;-1,$I2428&gt;-1),OR($I2426&gt;10,$I2428&gt;10),ABS($I2426-$I2428)&gt;1,IF(OR($I2426&gt;11,$I2428&gt;11),ABS($I2426-$I2428)=2,TRUE),$I2426=INT($I2426),$I2428=INT($I2428)),"","Error"),"")</f>
        <v/>
      </c>
      <c r="J2424" s="110" t="str">
        <f>IF($Q2426&lt;&gt;"",IF(AND(AND($J2426&gt;-1,$J2428&gt;-1),OR($J2426&gt;10,$J2428&gt;10),ABS($J2426-$J2428)&gt;1,IF(OR($J2426&gt;11,$J2428&gt;11),ABS($J2426-$J2428)=2,TRUE),$J2426=INT($J2426),$J2428=INT($J2428)),"","Error"),"")</f>
        <v/>
      </c>
      <c r="K2424" s="110" t="str">
        <f>IF($Q2426&lt;&gt;"",IF(AND($K2426&lt;&gt;"",$K2428&lt;&gt;""), IF(AND(AND($K2426&gt;-1,$K2428&gt;-1),OR($K2426&gt;10,$K2428&gt;10),ABS($K2426-$K2428)&gt;1,IF(OR($K2426&gt;11,$K2428&gt;11),ABS($K2426-$K2428)=2,TRUE),$K2426=INT($K2426),$K2428=INT($K2428)),"","Error"),""),"")</f>
        <v/>
      </c>
      <c r="L2424" s="110" t="str">
        <f>IF($Q2426&lt;&gt;"",IF(AND($L2426&lt;&gt;"",$L2428&lt;&gt;""), IF(AND(AND($L2426&gt;-1,$L2428&gt;-1),OR($L2426&gt;10,$L2428&gt;10),ABS($L2426-$L2428)&gt;1,IF(OR($L2426&gt;11,$L2428&gt;11),ABS($L2426-$L2428)=2,TRUE),$L2426=INT($L2426),$L2428=INT($L2428)),"","Error"),""),"")</f>
        <v/>
      </c>
      <c r="Q2424" s="6"/>
      <c r="R2424" s="14"/>
      <c r="S2424" s="14"/>
      <c r="T2424" s="14"/>
      <c r="U2424" s="14"/>
      <c r="V2424" s="14"/>
      <c r="W2424" s="14"/>
      <c r="X2424" s="7"/>
      <c r="Y2424" s="7"/>
      <c r="Z2424" s="14"/>
      <c r="AA2424" s="14"/>
      <c r="AB2424" s="14"/>
      <c r="AC2424" s="14"/>
      <c r="AD2424" s="14"/>
      <c r="AE2424" s="14"/>
      <c r="AF2424"/>
    </row>
    <row r="2425" spans="1:32" ht="12.75" customHeight="1" x14ac:dyDescent="0.25">
      <c r="A2425" s="5" t="s">
        <v>160</v>
      </c>
      <c r="B2425" s="256" t="s">
        <v>58</v>
      </c>
      <c r="C2425" s="257"/>
      <c r="D2425" s="257"/>
      <c r="E2425" s="257"/>
      <c r="F2425" s="257"/>
      <c r="G2425" s="258"/>
      <c r="H2425" s="5">
        <v>1</v>
      </c>
      <c r="I2425" s="5">
        <v>2</v>
      </c>
      <c r="J2425" s="5">
        <v>3</v>
      </c>
      <c r="K2425" s="5">
        <v>4</v>
      </c>
      <c r="L2425" s="5">
        <v>5</v>
      </c>
      <c r="M2425" s="270"/>
      <c r="N2425" s="271"/>
      <c r="O2425" s="271"/>
      <c r="P2425" s="272"/>
      <c r="Q2425" s="6"/>
      <c r="R2425" s="14"/>
      <c r="S2425" s="14"/>
      <c r="T2425" s="14"/>
      <c r="U2425" s="14"/>
      <c r="V2425" s="14"/>
      <c r="W2425" s="14"/>
      <c r="X2425" s="7"/>
      <c r="Y2425" s="7"/>
      <c r="Z2425" s="14"/>
      <c r="AA2425" s="14"/>
      <c r="AB2425" s="14"/>
      <c r="AC2425" s="14"/>
      <c r="AD2425" s="14"/>
      <c r="AE2425" s="14"/>
      <c r="AF2425"/>
    </row>
    <row r="2426" spans="1:32" ht="12.75" customHeight="1" x14ac:dyDescent="0.25">
      <c r="A2426" s="259" t="str">
        <f>B2406</f>
        <v>J</v>
      </c>
      <c r="B2426" s="236" t="str">
        <f ca="1">IF(AND(OFFSET($AO$1,$C2406-1,8,1,1),$A2407&lt;&gt;"",$J2407&lt;&gt;""),CHOOSE($C2406,$AQ$1,$AQ$2,$AQ$3,$AQ$4,$AQ$5,$AQ$6,$AQ$7,$AQ$8,$AQ$9,$AQ$10,$AQ$11,$AQ$12),"")</f>
        <v/>
      </c>
      <c r="C2426" s="237"/>
      <c r="D2426" s="237"/>
      <c r="E2426" s="237"/>
      <c r="F2426" s="237"/>
      <c r="G2426" s="237"/>
      <c r="H2426" s="233"/>
      <c r="I2426" s="233"/>
      <c r="J2426" s="233"/>
      <c r="K2426" s="233"/>
      <c r="L2426" s="233"/>
      <c r="M2426" s="245" t="str">
        <f ca="1">IF(OR(AND($B2419&lt;&gt;"",$B2426&lt;&gt;"",$D2437&lt;=$C2437),AND($B2421&lt;&gt;"",$B2428&lt;&gt;"",$H2437&lt;=$G2437)),"Invalid Lineup","")</f>
        <v/>
      </c>
      <c r="N2426" s="246"/>
      <c r="O2426" s="246"/>
      <c r="P2426" s="247"/>
      <c r="Q2426" s="40" t="str">
        <f>IF($L2426=$L2428,IF($K2426=$K2428,IF($J2426&lt;&gt;"",IF($J2426&gt;$J2428,"W","L"),""),IF($K2426&gt;$K2428,"W","L")),IF($L2426&gt;$L2428,"W","L"))</f>
        <v/>
      </c>
      <c r="R2426" s="14"/>
      <c r="S2426" s="14"/>
      <c r="T2426" s="14"/>
      <c r="U2426" s="14"/>
      <c r="V2426" s="14"/>
      <c r="W2426" s="14"/>
      <c r="X2426" s="7"/>
      <c r="Y2426" s="7"/>
      <c r="Z2426" s="14"/>
      <c r="AA2426" s="14"/>
      <c r="AB2426" s="14"/>
      <c r="AC2426" s="14"/>
      <c r="AD2426" s="14"/>
      <c r="AE2426" s="14"/>
      <c r="AF2426"/>
    </row>
    <row r="2427" spans="1:32" ht="12.75" customHeight="1" x14ac:dyDescent="0.25">
      <c r="A2427" s="260"/>
      <c r="B2427" s="238"/>
      <c r="C2427" s="239"/>
      <c r="D2427" s="239"/>
      <c r="E2427" s="239"/>
      <c r="F2427" s="239"/>
      <c r="G2427" s="239"/>
      <c r="H2427" s="234"/>
      <c r="I2427" s="234"/>
      <c r="J2427" s="234"/>
      <c r="K2427" s="234"/>
      <c r="L2427" s="234"/>
      <c r="M2427" s="245"/>
      <c r="N2427" s="246"/>
      <c r="O2427" s="246"/>
      <c r="P2427" s="247"/>
      <c r="Q2427" s="110" t="str">
        <f>IF($Q2426&lt;&gt;"",IF($Q2426="W",IF(SUM(IF($H2426&gt;$H2428,1,0),IF($I2426&gt;$I2428,1,0),IF($J2426&gt;$J2428,1,0),IF($K2426&gt;$K2428,1,0),IF($L2426&gt;$L2428,1,0))&lt;&gt;3,"Error",""),""),"")</f>
        <v/>
      </c>
      <c r="R2427" s="295" t="str">
        <f>$A2407</f>
        <v/>
      </c>
      <c r="S2427" s="295"/>
      <c r="T2427" s="295"/>
      <c r="U2427" s="295"/>
      <c r="V2427" s="295"/>
      <c r="W2427" s="295"/>
      <c r="X2427" s="219" t="str">
        <f>CONCATENATE("(",$B2406," vs ",$K2406,")")</f>
        <v>(J vs K)</v>
      </c>
      <c r="Y2427" s="219"/>
      <c r="Z2427" s="295" t="str">
        <f>$J2407</f>
        <v/>
      </c>
      <c r="AA2427" s="295"/>
      <c r="AB2427" s="295"/>
      <c r="AC2427" s="295"/>
      <c r="AD2427" s="295"/>
      <c r="AE2427" s="295"/>
      <c r="AF2427"/>
    </row>
    <row r="2428" spans="1:32" ht="12.75" customHeight="1" x14ac:dyDescent="0.25">
      <c r="A2428" s="259" t="str">
        <f>K2406</f>
        <v>K</v>
      </c>
      <c r="B2428" s="236" t="str">
        <f ca="1">IF(AND(OFFSET($AO$1,$L2406-1,8,1,1),$A2407&lt;&gt;"",$J2407&lt;&gt;""),CHOOSE($L2406,$AQ$1,$AQ$2,$AQ$3,$AQ$4,$AQ$5,$AQ$6,$AQ$7,$AQ$8,$AQ$9,$AQ$10,$AQ$11,$AQ$12),"")</f>
        <v/>
      </c>
      <c r="C2428" s="237"/>
      <c r="D2428" s="237"/>
      <c r="E2428" s="237"/>
      <c r="F2428" s="237"/>
      <c r="G2428" s="237"/>
      <c r="H2428" s="233"/>
      <c r="I2428" s="233"/>
      <c r="J2428" s="233"/>
      <c r="K2428" s="233"/>
      <c r="L2428" s="233"/>
      <c r="M2428" s="250" t="s">
        <v>169</v>
      </c>
      <c r="N2428" s="251"/>
      <c r="O2428" s="251"/>
      <c r="P2428" s="252"/>
      <c r="Q2428" s="40" t="str">
        <f>IF($Q2426&lt;&gt;"",IF($Q2426="W","L","W"),"")</f>
        <v/>
      </c>
      <c r="R2428"/>
      <c r="S2428"/>
      <c r="T2428"/>
      <c r="U2428"/>
      <c r="V2428"/>
      <c r="W2428"/>
      <c r="X2428"/>
      <c r="Y2428"/>
      <c r="Z2428"/>
      <c r="AA2428"/>
      <c r="AB2428"/>
      <c r="AC2428"/>
      <c r="AD2428"/>
      <c r="AE2428"/>
      <c r="AF2428"/>
    </row>
    <row r="2429" spans="1:32" ht="12.75" customHeight="1" x14ac:dyDescent="0.25">
      <c r="A2429" s="260"/>
      <c r="B2429" s="238"/>
      <c r="C2429" s="239"/>
      <c r="D2429" s="239"/>
      <c r="E2429" s="239"/>
      <c r="F2429" s="239"/>
      <c r="G2429" s="239"/>
      <c r="H2429" s="234"/>
      <c r="I2429" s="234"/>
      <c r="J2429" s="235"/>
      <c r="K2429" s="235"/>
      <c r="L2429" s="235"/>
      <c r="M2429" s="250"/>
      <c r="N2429" s="251"/>
      <c r="O2429" s="251"/>
      <c r="P2429" s="252"/>
      <c r="Q2429" s="110" t="str">
        <f>IF($Q2428&lt;&gt;"",IF($Q2428="W",IF(SUM(IF($H2428&gt;$H2426,1,0),IF($I2428&gt;$I2426,1,0),IF($J2428&gt;$J2426,1,0),IF($K2428&gt;$K2426,1,0),IF($L2428&gt;$L2426,1,0))&lt;&gt;3,"Error",""),""),"")</f>
        <v/>
      </c>
      <c r="R2429" t="str">
        <f>$A2424</f>
        <v>3rd Singles</v>
      </c>
      <c r="S2429"/>
      <c r="T2429"/>
      <c r="U2429"/>
      <c r="V2429"/>
      <c r="W2429"/>
      <c r="X2429"/>
      <c r="Y2429"/>
      <c r="Z2429"/>
      <c r="AA2429"/>
      <c r="AB2429"/>
      <c r="AC2429"/>
      <c r="AD2429"/>
      <c r="AE2429"/>
      <c r="AF2429"/>
    </row>
    <row r="2430" spans="1:32" ht="12.75" customHeight="1" x14ac:dyDescent="0.25">
      <c r="Q2430" s="6"/>
      <c r="R2430" s="47" t="s">
        <v>160</v>
      </c>
      <c r="S2430" s="86" t="s">
        <v>58</v>
      </c>
      <c r="T2430" s="87"/>
      <c r="U2430" s="87"/>
      <c r="V2430" s="87"/>
      <c r="W2430" s="87"/>
      <c r="X2430" s="88"/>
      <c r="Y2430" s="47">
        <v>1</v>
      </c>
      <c r="Z2430" s="47">
        <v>2</v>
      </c>
      <c r="AA2430" s="47">
        <v>3</v>
      </c>
      <c r="AB2430" s="47">
        <v>4</v>
      </c>
      <c r="AC2430" s="47">
        <v>5</v>
      </c>
      <c r="AD2430" s="89"/>
      <c r="AE2430" s="90"/>
      <c r="AF2430" s="91"/>
    </row>
    <row r="2431" spans="1:32" ht="12.75" customHeight="1" x14ac:dyDescent="0.25">
      <c r="A2431" s="15" t="s">
        <v>168</v>
      </c>
      <c r="H2431" s="110" t="str">
        <f ca="1">IF($Q2433&lt;&gt;"",IF(AND($B2433&lt;&gt;"Missing Player",$B2435&lt;&gt;"Missing Player"),IF(AND(AND($H2433&gt;-1,$H2435&gt;-1),OR($H2433&gt;10,$H2435&gt;10),ABS($H2433-$H2435)&gt;1,IF(OR($H2433&gt;11,$H2435&gt;11),ABS($H2433-$H2435)=2,TRUE),$H2433=INT($H2433),$H2435=INT($H2435)),"","Error"),""),"")</f>
        <v/>
      </c>
      <c r="I2431" s="110" t="str">
        <f ca="1">IF($Q2433&lt;&gt;"",IF(AND($B2433&lt;&gt;"Missing Player",$B2435&lt;&gt;"Missing Player"),IF(AND(AND($I2433&gt;-1,$I2435&gt;-1),OR($I2433&gt;10,$I2435&gt;10),ABS($I2433-$I2435)&gt;1,IF(OR($I2433&gt;11,$I2435&gt;11),ABS($I2433-$I2435)=2,TRUE),$I2433=INT($I2433),$I2435=INT($I2435)),"","Error"),""),"")</f>
        <v/>
      </c>
      <c r="J2431" s="110" t="str">
        <f ca="1">IF($Q2433&lt;&gt;"",IF(AND($B2433&lt;&gt;"Missing Player",$B2435&lt;&gt;"Missing Player"),IF(AND(AND($J2433&gt;-1,$J2435&gt;-1),OR($J2433&gt;10,$J2435&gt;10),ABS($J2433-$J2435)&gt;1,IF(OR($J2433&gt;11,$J2435&gt;11),ABS($J2433-$J2435)=2,TRUE),$J2433=INT($J2433),$J2435=INT($J2435)),"","Error"),""),"")</f>
        <v/>
      </c>
      <c r="K2431" s="110" t="str">
        <f ca="1">IF($Q2433&lt;&gt;"",IF(AND($K2433&lt;&gt;"",$K2435&lt;&gt;""), IF(AND(AND($K2433&gt;-1,$K2435&gt;-1),OR($K2433&gt;10,$K2435&gt;10),ABS($K2433-$K2435)&gt;1,IF(OR($K2433&gt;11,$K2435&gt;11),ABS($K2433-$K2435)=2,TRUE),$K2433=INT($K2433),$K2435=INT($K2435)),"","Error"),""),"")</f>
        <v/>
      </c>
      <c r="L2431" s="110" t="str">
        <f ca="1">IF($Q2433&lt;&gt;"",IF(AND($L2433&lt;&gt;"",$L2435&lt;&gt;""), IF(AND(AND($L2433&gt;-1,$L2435&gt;-1),OR($L2433&gt;10,$L2435&gt;10),ABS($L2433-$L2435)&gt;1,IF(OR($L2433&gt;11,$L2435&gt;11),ABS($L2433-$L2435)=2,TRUE),$L2433=INT($L2433),$L2435=INT($L2435)),"","Error"),""),"")</f>
        <v/>
      </c>
      <c r="Q2431" s="6"/>
      <c r="R2431" s="259" t="str">
        <f>$B2406</f>
        <v>J</v>
      </c>
      <c r="S2431" s="307" t="str">
        <f ca="1">IF($B2426&lt;&gt;"",$B2426,"")</f>
        <v/>
      </c>
      <c r="T2431" s="308"/>
      <c r="U2431" s="308"/>
      <c r="V2431" s="308"/>
      <c r="W2431" s="308"/>
      <c r="X2431" s="309"/>
      <c r="Y2431" s="284"/>
      <c r="Z2431" s="284"/>
      <c r="AA2431" s="284"/>
      <c r="AB2431" s="284"/>
      <c r="AC2431" s="284"/>
      <c r="AD2431" s="296"/>
      <c r="AE2431" s="290"/>
      <c r="AF2431" s="291"/>
    </row>
    <row r="2432" spans="1:32" ht="12.75" customHeight="1" x14ac:dyDescent="0.25">
      <c r="A2432" s="5" t="s">
        <v>160</v>
      </c>
      <c r="B2432" s="256" t="s">
        <v>58</v>
      </c>
      <c r="C2432" s="257"/>
      <c r="D2432" s="257"/>
      <c r="E2432" s="257"/>
      <c r="F2432" s="257"/>
      <c r="G2432" s="258"/>
      <c r="H2432" s="5">
        <v>1</v>
      </c>
      <c r="I2432" s="5">
        <v>2</v>
      </c>
      <c r="J2432" s="5">
        <v>3</v>
      </c>
      <c r="K2432" s="5">
        <v>4</v>
      </c>
      <c r="L2432" s="5">
        <v>5</v>
      </c>
      <c r="M2432" s="270"/>
      <c r="N2432" s="271"/>
      <c r="O2432" s="271"/>
      <c r="P2432" s="272"/>
      <c r="Q2432" s="6"/>
      <c r="R2432" s="285"/>
      <c r="S2432" s="310"/>
      <c r="T2432" s="311"/>
      <c r="U2432" s="311"/>
      <c r="V2432" s="311"/>
      <c r="W2432" s="311"/>
      <c r="X2432" s="312"/>
      <c r="Y2432" s="285"/>
      <c r="Z2432" s="285"/>
      <c r="AA2432" s="285"/>
      <c r="AB2432" s="285"/>
      <c r="AC2432" s="285"/>
      <c r="AD2432" s="292"/>
      <c r="AE2432" s="293"/>
      <c r="AF2432" s="294"/>
    </row>
    <row r="2433" spans="1:32" ht="12.75" customHeight="1" x14ac:dyDescent="0.25">
      <c r="A2433" s="259" t="str">
        <f>B2406</f>
        <v>J</v>
      </c>
      <c r="B2433" s="236" t="str">
        <f ca="1">IF(AND(OFFSET($AO$1,$C2406-1,8,1,1),$A2407&lt;&gt;"",$J2407&lt;&gt;""),CHOOSE($C2406,$AR$1,$AR$2,$AR$3,$AR$4,$AR$5,$AR$6,$AR$7,$AR$8,$AR$9,$AR$10,$AR$11,$AR$12),"")</f>
        <v/>
      </c>
      <c r="C2433" s="237"/>
      <c r="D2433" s="237"/>
      <c r="E2433" s="237"/>
      <c r="F2433" s="237"/>
      <c r="G2433" s="237"/>
      <c r="H2433" s="233"/>
      <c r="I2433" s="233"/>
      <c r="J2433" s="233"/>
      <c r="K2433" s="233"/>
      <c r="L2433" s="233" t="str">
        <f ca="1">IF(AND($B2433&lt;&gt;"",$Q2412&lt;&gt;""),IF($B2433="Missing Player",0,IF($B2435="Missing Player",11,"")),"")</f>
        <v/>
      </c>
      <c r="M2433" s="245" t="str">
        <f ca="1">IF(OR(AND($B2426&lt;&gt;"",$B2433&lt;&gt;"",$E2437&lt;=$D2437),AND($B2428&lt;&gt;"",$B2435&lt;&gt;"",$I2437&lt;=$H2437)),"Invalid Lineup","")</f>
        <v/>
      </c>
      <c r="N2433" s="246"/>
      <c r="O2433" s="246"/>
      <c r="P2433" s="247"/>
      <c r="Q2433" s="40" t="str">
        <f ca="1">IF($L2433=$L2435,IF($K2433=$K2435,IF($J2433&lt;&gt;"",IF($J2433&gt;$J2435,"W","L"),""),IF($K2433&gt;$K2435,"W","L")),IF($L2433&gt;$L2435,"W","L"))</f>
        <v/>
      </c>
      <c r="R2433" s="259" t="str">
        <f>$K2406</f>
        <v>K</v>
      </c>
      <c r="S2433" s="307" t="str">
        <f ca="1">IF($B2428&lt;&gt;"",$B2428,"")</f>
        <v/>
      </c>
      <c r="T2433" s="308"/>
      <c r="U2433" s="308"/>
      <c r="V2433" s="308"/>
      <c r="W2433" s="308"/>
      <c r="X2433" s="309"/>
      <c r="Y2433" s="284"/>
      <c r="Z2433" s="284"/>
      <c r="AA2433" s="284"/>
      <c r="AB2433" s="284"/>
      <c r="AC2433" s="297"/>
      <c r="AD2433" s="289" t="s">
        <v>169</v>
      </c>
      <c r="AE2433" s="290"/>
      <c r="AF2433" s="291"/>
    </row>
    <row r="2434" spans="1:32" ht="12.75" customHeight="1" x14ac:dyDescent="0.25">
      <c r="A2434" s="260"/>
      <c r="B2434" s="238"/>
      <c r="C2434" s="239"/>
      <c r="D2434" s="239"/>
      <c r="E2434" s="239"/>
      <c r="F2434" s="239"/>
      <c r="G2434" s="239"/>
      <c r="H2434" s="234"/>
      <c r="I2434" s="234"/>
      <c r="J2434" s="234"/>
      <c r="K2434" s="234"/>
      <c r="L2434" s="234"/>
      <c r="M2434" s="245"/>
      <c r="N2434" s="246"/>
      <c r="O2434" s="246"/>
      <c r="P2434" s="247"/>
      <c r="Q2434" s="110" t="str">
        <f ca="1">IF($Q2433&lt;&gt;"",IF($B2435&lt;&gt;"Missing Player",IF($Q2433="W",IF(SUM(IF($H2433&gt;$H2435,1,0),IF($I2433&gt;$I2435,1,0),IF($J2433&gt;$J2435,1,0),IF($K2433&gt;$K2435,1,0),IF($L2433&gt;$L2435,1,0))&lt;&gt;3,"Error",""),""),""),"")</f>
        <v/>
      </c>
      <c r="R2434" s="285"/>
      <c r="S2434" s="310"/>
      <c r="T2434" s="311"/>
      <c r="U2434" s="311"/>
      <c r="V2434" s="311"/>
      <c r="W2434" s="311"/>
      <c r="X2434" s="312"/>
      <c r="Y2434" s="285"/>
      <c r="Z2434" s="285"/>
      <c r="AA2434" s="285"/>
      <c r="AB2434" s="285"/>
      <c r="AC2434" s="285"/>
      <c r="AD2434" s="292"/>
      <c r="AE2434" s="293"/>
      <c r="AF2434" s="294"/>
    </row>
    <row r="2435" spans="1:32" ht="12.75" customHeight="1" x14ac:dyDescent="0.25">
      <c r="A2435" s="259" t="str">
        <f>K2406</f>
        <v>K</v>
      </c>
      <c r="B2435" s="236" t="str">
        <f ca="1">IF(AND(OFFSET($AO$1,$L2406-1,8,1,1),$A2407&lt;&gt;"",$J2407&lt;&gt;""),CHOOSE($L2406,$AR$1,$AR$2,$AR$3,$AR$4,$AR$5,$AR$6,$AR$7,$AR$8,$AR$9,$AR$10,$AR$11,$AR$12),"")</f>
        <v/>
      </c>
      <c r="C2435" s="237"/>
      <c r="D2435" s="237"/>
      <c r="E2435" s="237"/>
      <c r="F2435" s="237"/>
      <c r="G2435" s="237"/>
      <c r="H2435" s="233"/>
      <c r="I2435" s="233"/>
      <c r="J2435" s="233"/>
      <c r="K2435" s="233"/>
      <c r="L2435" s="233" t="str">
        <f ca="1">IF(AND($B2435&lt;&gt;"",$Q2412&lt;&gt;""),IF($B2435="Missing Player",0,IF($B2433="Missing Player",11,"")),"")</f>
        <v/>
      </c>
      <c r="M2435" s="250" t="s">
        <v>169</v>
      </c>
      <c r="N2435" s="251"/>
      <c r="O2435" s="251"/>
      <c r="P2435" s="252"/>
      <c r="Q2435" s="40" t="str">
        <f ca="1">IF($Q2433&lt;&gt;"",IF($Q2433="W","L","W"),"")</f>
        <v/>
      </c>
      <c r="R2435" s="94"/>
      <c r="S2435" s="84"/>
      <c r="T2435" s="84"/>
      <c r="U2435" s="84"/>
      <c r="V2435" s="84"/>
      <c r="W2435" s="84"/>
      <c r="X2435" s="84"/>
      <c r="Y2435" s="93"/>
      <c r="Z2435" s="93"/>
      <c r="AA2435" s="93"/>
      <c r="AB2435" s="93"/>
      <c r="AC2435" s="93"/>
      <c r="AD2435" s="92"/>
      <c r="AE2435" s="93"/>
      <c r="AF2435" s="93"/>
    </row>
    <row r="2436" spans="1:32" ht="12.75" customHeight="1" x14ac:dyDescent="0.25">
      <c r="A2436" s="260"/>
      <c r="B2436" s="238"/>
      <c r="C2436" s="239"/>
      <c r="D2436" s="239"/>
      <c r="E2436" s="239"/>
      <c r="F2436" s="239"/>
      <c r="G2436" s="239"/>
      <c r="H2436" s="234"/>
      <c r="I2436" s="234"/>
      <c r="J2436" s="235"/>
      <c r="K2436" s="235"/>
      <c r="L2436" s="235"/>
      <c r="M2436" s="250"/>
      <c r="N2436" s="251"/>
      <c r="O2436" s="251"/>
      <c r="P2436" s="252"/>
      <c r="Q2436" s="110" t="str">
        <f ca="1">IF($Q2435&lt;&gt;"",IF($B2433&lt;&gt;"Missing Player",IF($Q2435="W",IF(SUM(IF($H2435&gt;$H2433,1,0),IF($I2435&gt;$I2433,1,0),IF($J2435&gt;$J2433,1,0),IF($K2435&gt;$K2433,1,0),IF($L2435&gt;$L2433,1,0))&lt;&gt;3,"Error",""),""),""),"")</f>
        <v/>
      </c>
      <c r="R2436" s="85"/>
      <c r="S2436" s="95"/>
      <c r="T2436" s="95"/>
      <c r="U2436" s="95"/>
      <c r="V2436" s="95"/>
      <c r="W2436" s="95"/>
      <c r="X2436" s="95"/>
      <c r="Y2436" s="85"/>
      <c r="Z2436" s="85"/>
      <c r="AA2436" s="85"/>
      <c r="AB2436" s="85"/>
      <c r="AC2436" s="85"/>
      <c r="AD2436" s="85"/>
      <c r="AE2436" s="85"/>
      <c r="AF2436" s="85"/>
    </row>
    <row r="2437" spans="1:32" ht="12.75" customHeight="1" x14ac:dyDescent="0.25">
      <c r="B2437" s="111" t="str">
        <f ca="1">IF(ISERROR(VLOOKUP($B2412&amp;"("&amp;$B2406&amp;")",Players!$S$4:$T$132,2,FALSE)),"",VLOOKUP($B2412&amp;"("&amp;$B2406&amp;")",Players!$S$4:$T$132,2,FALSE))</f>
        <v>J1</v>
      </c>
      <c r="C2437" s="111" t="str">
        <f ca="1">IF(ISERROR(VLOOKUP($B2419&amp;"("&amp;$B2406&amp;")",Players!$S$4:$T$132,2,FALSE)),"",VLOOKUP($B2419&amp;"("&amp;$B2406&amp;")",Players!$S$4:$T$132,2,FALSE))</f>
        <v>J1</v>
      </c>
      <c r="D2437" s="111" t="str">
        <f ca="1">IF(ISERROR(VLOOKUP($B2426&amp;"("&amp;$B2406&amp;")",Players!$S$4:$T$132,2,FALSE)),"",VLOOKUP($B2426&amp;"("&amp;$B2406&amp;")",Players!$S$4:$T$132,2,FALSE))</f>
        <v>J1</v>
      </c>
      <c r="E2437" s="111" t="str">
        <f ca="1">IF(ISERROR(VLOOKUP($B2433&amp;"("&amp;$B2406&amp;")",Players!$S$4:$T$132,2,FALSE)),"",VLOOKUP($B2433&amp;"("&amp;$B2406&amp;")",Players!$S$4:$T$132,2,FALSE))</f>
        <v>J1</v>
      </c>
      <c r="F2437" s="111" t="str">
        <f ca="1">IF(ISERROR(VLOOKUP($B2414&amp;"("&amp;$K2406&amp;")",Players!$S$4:$T$132,2,FALSE)),"",VLOOKUP($B2414&amp;"("&amp;$K2406&amp;")",Players!$S$4:$T$132,2,FALSE))</f>
        <v>K1</v>
      </c>
      <c r="G2437" s="111" t="str">
        <f ca="1">IF(ISERROR(VLOOKUP($B2421&amp;"("&amp;$K2406&amp;")",Players!$S$4:$T$132,2,FALSE)),"",VLOOKUP($B2421&amp;"("&amp;$K2406&amp;")",Players!$S$4:$T$132,2,FALSE))</f>
        <v>K1</v>
      </c>
      <c r="H2437" s="111" t="str">
        <f ca="1">IF(ISERROR(VLOOKUP($B2428&amp;"("&amp;$K2406&amp;")",Players!$S$4:$T$132,2,FALSE)),"",VLOOKUP($B2428&amp;"("&amp;$K2406&amp;")",Players!$S$4:$T$132,2,FALSE))</f>
        <v>K1</v>
      </c>
      <c r="I2437" s="111" t="str">
        <f ca="1">IF(ISERROR(VLOOKUP($B2435&amp;"("&amp;$K2406&amp;")",Players!$S$4:$T$132,2,FALSE)),"",VLOOKUP($B2435&amp;"("&amp;$K2406&amp;")",Players!$S$4:$T$132,2,FALSE))</f>
        <v>K1</v>
      </c>
      <c r="Q2437" s="6"/>
      <c r="R2437" s="37"/>
      <c r="S2437" s="95"/>
      <c r="T2437" s="95"/>
      <c r="U2437" s="95"/>
      <c r="V2437" s="95"/>
      <c r="W2437" s="95"/>
      <c r="X2437" s="95"/>
      <c r="Y2437" s="85"/>
      <c r="Z2437" s="85"/>
      <c r="AA2437" s="85"/>
      <c r="AB2437" s="85"/>
      <c r="AC2437" s="96"/>
      <c r="AD2437" s="97"/>
      <c r="AE2437" s="85"/>
      <c r="AF2437" s="85"/>
    </row>
    <row r="2438" spans="1:32" ht="12.75" customHeight="1" x14ac:dyDescent="0.25">
      <c r="A2438" s="15" t="s">
        <v>157</v>
      </c>
      <c r="H2438" s="110" t="str">
        <f ca="1">IF($Q2440&lt;&gt;"",IF(AND($B2441&lt;&gt;"Missing Player",$B2443&lt;&gt;"Missing Player"),IF(AND(AND($H2440&gt;-1,$H2442&gt;-1),OR($H2440&gt;10,$H2442&gt;10),ABS($H2440-$H2442)&gt;1,IF(OR($H2440&gt;11,$H2442&gt;11),ABS($H2440-$H2442)=2,TRUE),$H2440=INT($H2440),$H2442=INT($H2442)),"","Error"),""),"")</f>
        <v/>
      </c>
      <c r="I2438" s="110" t="str">
        <f ca="1">IF($Q2440&lt;&gt;"",IF(AND($B2441&lt;&gt;"Missing Player",$B2443&lt;&gt;"Missing Player"),IF(AND(AND($I2440&gt;-1,$I2442&gt;-1),OR($I2440&gt;10,$I2442&gt;10),ABS($I2440-$I2442)&gt;1,IF(OR($I2440&gt;11,$I2442&gt;11),ABS($I2440-$I2442)=2,TRUE),$I2440=INT($I2440),$I2442=INT($I2442)),"","Error"),""),"")</f>
        <v/>
      </c>
      <c r="J2438" s="110" t="str">
        <f ca="1">IF($Q2440&lt;&gt;"",IF(AND($B2441&lt;&gt;"Missing Player",$B2443&lt;&gt;"Missing Player"),IF(AND(AND($J2440&gt;-1,$J2442&gt;-1),OR($J2440&gt;10,$J2442&gt;10),ABS($J2440-$J2442)&gt;1,IF(OR($J2440&gt;11,$J2442&gt;11),ABS($J2440-$J2442)=2,TRUE),$J2440=INT($J2440),$J2442=INT($J2442)),"","Error"),""),"")</f>
        <v/>
      </c>
      <c r="K2438" s="110" t="str">
        <f ca="1">IF($Q2440&lt;&gt;"",IF(AND($K2440&lt;&gt;"",$K2442&lt;&gt;""), IF(AND(AND($K2440&gt;-1,$K2442&gt;-1),OR($K2440&gt;10,$K2442&gt;10),ABS($K2440-$K2442)&gt;1,IF(OR($K2440&gt;11,$K2442&gt;11),ABS($K2440-$K2442)=2,TRUE),$K2440=INT($K2440),$K2442=INT($K2442)),"","Error"),""),"")</f>
        <v/>
      </c>
      <c r="L2438" s="110" t="str">
        <f ca="1">IF($Q2440&lt;&gt;"",IF(AND($L2440&lt;&gt;"",$L2442&lt;&gt;""), IF(AND(AND($L2440&gt;-1,$L2442&gt;-1),OR($L2440&gt;10,$L2442&gt;10),ABS($L2440-$L2442)&gt;1,IF(OR($L2440&gt;11,$L2442&gt;11),ABS($L2440-$L2442)=2,TRUE),$L2440=INT($L2440),$L2442=INT($L2442)),"","Error"),""),"")</f>
        <v/>
      </c>
      <c r="Q2438" s="6"/>
      <c r="R2438" s="85"/>
      <c r="S2438" s="95"/>
      <c r="T2438" s="95"/>
      <c r="U2438" s="95"/>
      <c r="V2438" s="95"/>
      <c r="W2438" s="95"/>
      <c r="X2438" s="95"/>
      <c r="Y2438" s="85"/>
      <c r="Z2438" s="85"/>
      <c r="AA2438" s="85"/>
      <c r="AB2438" s="85"/>
      <c r="AC2438" s="85"/>
      <c r="AD2438" s="85"/>
      <c r="AE2438" s="85"/>
      <c r="AF2438" s="85"/>
    </row>
    <row r="2439" spans="1:32" ht="12.75" customHeight="1" x14ac:dyDescent="0.25">
      <c r="A2439" s="5" t="s">
        <v>160</v>
      </c>
      <c r="B2439" s="256" t="s">
        <v>58</v>
      </c>
      <c r="C2439" s="257"/>
      <c r="D2439" s="257"/>
      <c r="E2439" s="257"/>
      <c r="F2439" s="257"/>
      <c r="G2439" s="258"/>
      <c r="H2439" s="5">
        <v>1</v>
      </c>
      <c r="I2439" s="5">
        <v>2</v>
      </c>
      <c r="J2439" s="5">
        <v>3</v>
      </c>
      <c r="K2439" s="5">
        <v>4</v>
      </c>
      <c r="L2439" s="5">
        <v>5</v>
      </c>
      <c r="M2439" s="270"/>
      <c r="N2439" s="271"/>
      <c r="O2439" s="271"/>
      <c r="P2439" s="272"/>
      <c r="Q2439" s="6"/>
      <c r="T2439" s="7"/>
    </row>
    <row r="2440" spans="1:32" ht="12.75" customHeight="1" x14ac:dyDescent="0.25">
      <c r="A2440" s="259" t="str">
        <f>B2406</f>
        <v>J</v>
      </c>
      <c r="B2440" s="230" t="str">
        <f ca="1">IF($B2412&lt;&gt;"",$B2412,"")</f>
        <v/>
      </c>
      <c r="C2440" s="231"/>
      <c r="D2440" s="231"/>
      <c r="E2440" s="231"/>
      <c r="F2440" s="231"/>
      <c r="G2440" s="232"/>
      <c r="H2440" s="233"/>
      <c r="I2440" s="233"/>
      <c r="J2440" s="233"/>
      <c r="K2440" s="233"/>
      <c r="L2440" s="233" t="str">
        <f ca="1">IF($B2433&lt;&gt;"",IF(AND($B2433="Missing Player",$G2444=2,$J2444=2),0,IF(AND($B2435="Missing Player",$G2444=2,$J2444=2),11,"")),"")</f>
        <v/>
      </c>
      <c r="M2440" s="245" t="str">
        <f ca="1">IF(OR(AND($B2440&lt;&gt;"",$B2441&lt;&gt;"",$B2440=$B2441),AND($B2442&lt;&gt;"",$B2443&lt;&gt;"",$B2442=$B2443)),"Invalid Partner","")</f>
        <v/>
      </c>
      <c r="N2440" s="246"/>
      <c r="O2440" s="246"/>
      <c r="P2440" s="247"/>
      <c r="Q2440" s="37" t="str">
        <f ca="1">IF(L2440=L2442,IF(K2440=K2442,IF(J2440&lt;&gt;"",IF(J2440&gt;J2442,"W","L"),""),IF(K2440&gt;K2442,"W","L")),IF(L2440&gt;L2442,"W","L"))</f>
        <v/>
      </c>
      <c r="T2440" s="7"/>
    </row>
    <row r="2441" spans="1:32" ht="12.75" customHeight="1" x14ac:dyDescent="0.25">
      <c r="A2441" s="260"/>
      <c r="B2441" s="266" t="str">
        <f ca="1">IF($B2433="Missing Player",$B2433,"")</f>
        <v/>
      </c>
      <c r="C2441" s="267"/>
      <c r="D2441" s="267"/>
      <c r="E2441" s="267"/>
      <c r="F2441" s="267"/>
      <c r="G2441" s="268"/>
      <c r="H2441" s="234"/>
      <c r="I2441" s="234"/>
      <c r="J2441" s="234"/>
      <c r="K2441" s="234"/>
      <c r="L2441" s="234"/>
      <c r="M2441" s="245"/>
      <c r="N2441" s="246"/>
      <c r="O2441" s="246"/>
      <c r="P2441" s="247"/>
      <c r="Q2441" s="110" t="str">
        <f ca="1">IF($Q2440&lt;&gt;"",IF($B2443&lt;&gt;"Missing Player",IF($Q2440="W",IF(SUM(IF($H2440&gt;$H2442,1,0),IF($I2440&gt;$I2442,1,0),IF($J2440&gt;$J2442,1,0),IF($K2440&gt;$K2442,1,0),IF($L2440&gt;$L2442,1,0))&lt;&gt;3,"Error",""),""),""),"")</f>
        <v/>
      </c>
      <c r="R2441" s="295" t="str">
        <f>$A2407</f>
        <v/>
      </c>
      <c r="S2441" s="295"/>
      <c r="T2441" s="295"/>
      <c r="U2441" s="295"/>
      <c r="V2441" s="295"/>
      <c r="W2441" s="295"/>
      <c r="X2441" s="219" t="str">
        <f>CONCATENATE("(",$B2406," vs ",$K2406,")")</f>
        <v>(J vs K)</v>
      </c>
      <c r="Y2441" s="219"/>
      <c r="Z2441" s="295" t="str">
        <f>$J2407</f>
        <v/>
      </c>
      <c r="AA2441" s="295"/>
      <c r="AB2441" s="295"/>
      <c r="AC2441" s="295"/>
      <c r="AD2441" s="295"/>
      <c r="AE2441" s="295"/>
      <c r="AF2441"/>
    </row>
    <row r="2442" spans="1:32" ht="12.75" customHeight="1" x14ac:dyDescent="0.25">
      <c r="A2442" s="265" t="str">
        <f>K2406</f>
        <v>K</v>
      </c>
      <c r="B2442" s="230" t="str">
        <f ca="1">IF($B2414&lt;&gt;"",$B2414,"")</f>
        <v/>
      </c>
      <c r="C2442" s="231"/>
      <c r="D2442" s="231"/>
      <c r="E2442" s="231"/>
      <c r="F2442" s="231"/>
      <c r="G2442" s="232"/>
      <c r="H2442" s="233"/>
      <c r="I2442" s="233"/>
      <c r="J2442" s="233"/>
      <c r="K2442" s="233"/>
      <c r="L2442" s="233" t="str">
        <f ca="1">IF($B2435&lt;&gt;"",IF(AND($B2435="Missing Player",$G2444=2,$J2444=2),0,IF(AND($B2433="Missing Player",$G2444=2,$J2444=2),11,"")),"")</f>
        <v/>
      </c>
      <c r="M2442" s="250" t="s">
        <v>169</v>
      </c>
      <c r="N2442" s="251"/>
      <c r="O2442" s="251"/>
      <c r="P2442" s="252"/>
      <c r="Q2442" s="37" t="str">
        <f ca="1">IF(Q2440&lt;&gt;"",IF(Q2440="W","L","W"),"")</f>
        <v/>
      </c>
      <c r="R2442"/>
      <c r="S2442"/>
      <c r="T2442"/>
      <c r="U2442"/>
      <c r="V2442"/>
      <c r="W2442"/>
      <c r="X2442"/>
      <c r="Y2442"/>
      <c r="Z2442"/>
      <c r="AA2442"/>
      <c r="AB2442"/>
      <c r="AC2442"/>
      <c r="AD2442"/>
      <c r="AE2442"/>
      <c r="AF2442"/>
    </row>
    <row r="2443" spans="1:32" ht="12.75" customHeight="1" x14ac:dyDescent="0.25">
      <c r="A2443" s="260"/>
      <c r="B2443" s="266" t="str">
        <f ca="1">IF($B2435="Missing Player",$B2435,"")</f>
        <v/>
      </c>
      <c r="C2443" s="267"/>
      <c r="D2443" s="267"/>
      <c r="E2443" s="267"/>
      <c r="F2443" s="267"/>
      <c r="G2443" s="268"/>
      <c r="H2443" s="234"/>
      <c r="I2443" s="234"/>
      <c r="J2443" s="235"/>
      <c r="K2443" s="235"/>
      <c r="L2443" s="235"/>
      <c r="M2443" s="250"/>
      <c r="N2443" s="251"/>
      <c r="O2443" s="251"/>
      <c r="P2443" s="252"/>
      <c r="Q2443" s="110" t="str">
        <f ca="1">IF($Q2442&lt;&gt;"",IF($B2441&lt;&gt;"Missing Player",IF($Q2442="W",IF(SUM(IF($H2442&gt;$H2440,1,0),IF($I2442&gt;$I2440,1,0),IF($J2442&gt;$J2440,1,0),IF($K2442&gt;$K2440,1,0),IF($L2442&gt;$L2440,1,0))&lt;&gt;3,"Error",""),""),""),"")</f>
        <v/>
      </c>
      <c r="R2443" t="str">
        <f>A2431</f>
        <v>4th Singles</v>
      </c>
      <c r="S2443"/>
      <c r="T2443"/>
      <c r="U2443"/>
      <c r="V2443"/>
      <c r="W2443"/>
      <c r="X2443"/>
      <c r="Y2443"/>
      <c r="Z2443"/>
      <c r="AA2443"/>
      <c r="AB2443"/>
      <c r="AC2443"/>
      <c r="AD2443"/>
      <c r="AE2443"/>
      <c r="AF2443"/>
    </row>
    <row r="2444" spans="1:32" ht="12.75" customHeight="1" x14ac:dyDescent="0.25">
      <c r="G2444" s="53">
        <f ca="1">COUNTIF($Q2412:$Q2412,"W")+COUNTIF($Q2419:$Q2419,"W")+COUNTIF($Q2426:$Q2426,"W")+COUNTIF($Q2433:$Q2433,"W")</f>
        <v>0</v>
      </c>
      <c r="J2444" s="53">
        <f ca="1">COUNTIF($Q2414:$Q2414,"W")+COUNTIF($Q2421:$Q2421,"W")+COUNTIF($Q2428:$Q2428,"W")+COUNTIF($Q2435:$Q2435,"W")</f>
        <v>0</v>
      </c>
      <c r="R2444" s="47" t="s">
        <v>160</v>
      </c>
      <c r="S2444" s="304" t="s">
        <v>58</v>
      </c>
      <c r="T2444" s="305"/>
      <c r="U2444" s="305"/>
      <c r="V2444" s="305"/>
      <c r="W2444" s="305"/>
      <c r="X2444" s="306"/>
      <c r="Y2444" s="47">
        <v>1</v>
      </c>
      <c r="Z2444" s="47">
        <v>2</v>
      </c>
      <c r="AA2444" s="47">
        <v>3</v>
      </c>
      <c r="AB2444" s="47">
        <v>4</v>
      </c>
      <c r="AC2444" s="47">
        <v>5</v>
      </c>
      <c r="AD2444" s="286"/>
      <c r="AE2444" s="287"/>
      <c r="AF2444" s="288"/>
    </row>
    <row r="2445" spans="1:32" ht="12.75" customHeight="1" thickBot="1" x14ac:dyDescent="0.3">
      <c r="F2445" s="212" t="s">
        <v>170</v>
      </c>
      <c r="G2445" s="212"/>
      <c r="H2445" s="212"/>
      <c r="I2445" s="212"/>
      <c r="J2445" s="212"/>
      <c r="K2445" s="212"/>
      <c r="R2445" s="259" t="str">
        <f>B2406</f>
        <v>J</v>
      </c>
      <c r="S2445" s="307" t="str">
        <f ca="1">IF($B2433&lt;&gt;"",$B2433,"")</f>
        <v/>
      </c>
      <c r="T2445" s="308"/>
      <c r="U2445" s="308"/>
      <c r="V2445" s="308"/>
      <c r="W2445" s="308"/>
      <c r="X2445" s="309"/>
      <c r="Y2445" s="284"/>
      <c r="Z2445" s="284"/>
      <c r="AA2445" s="297"/>
      <c r="AB2445" s="297"/>
      <c r="AC2445" s="297"/>
      <c r="AD2445" s="296"/>
      <c r="AE2445" s="298"/>
      <c r="AF2445" s="299"/>
    </row>
    <row r="2446" spans="1:32" ht="12.75" customHeight="1" x14ac:dyDescent="0.25">
      <c r="A2446" s="16"/>
      <c r="B2446" s="16"/>
      <c r="C2446" s="16"/>
      <c r="D2446" s="16"/>
      <c r="E2446" s="16"/>
      <c r="G2446" s="261" t="str">
        <f>B2406</f>
        <v>J</v>
      </c>
      <c r="H2446" s="262"/>
      <c r="I2446" s="263" t="str">
        <f>K2406</f>
        <v>K</v>
      </c>
      <c r="J2446" s="264"/>
      <c r="L2446" s="16"/>
      <c r="M2446" s="16"/>
      <c r="N2446" s="16"/>
      <c r="O2446" s="16"/>
      <c r="P2446" s="16"/>
      <c r="R2446" s="260"/>
      <c r="S2446" s="310"/>
      <c r="T2446" s="311"/>
      <c r="U2446" s="311"/>
      <c r="V2446" s="311"/>
      <c r="W2446" s="311"/>
      <c r="X2446" s="312"/>
      <c r="Y2446" s="285"/>
      <c r="Z2446" s="285"/>
      <c r="AA2446" s="303"/>
      <c r="AB2446" s="303"/>
      <c r="AC2446" s="303"/>
      <c r="AD2446" s="300"/>
      <c r="AE2446" s="301"/>
      <c r="AF2446" s="302"/>
    </row>
    <row r="2447" spans="1:32" ht="12.75" customHeight="1" thickBot="1" x14ac:dyDescent="0.3">
      <c r="A2447" s="2" t="s">
        <v>160</v>
      </c>
      <c r="B2447" s="40" t="str">
        <f>B2406</f>
        <v>J</v>
      </c>
      <c r="C2447" s="3" t="s">
        <v>158</v>
      </c>
      <c r="F2447" s="53" t="str">
        <f>CONCATENATE($B2406,"-",$K2406)</f>
        <v>J-K</v>
      </c>
      <c r="G2447" s="240" t="str">
        <f ca="1">IF(OR(Q2412&lt;&gt;"",Q2419&lt;&gt;"",Q2426&lt;&gt;"",Q2433&lt;&gt;"",Q2440&lt;&gt;""),COUNTIF(Q2412:Q2412,"W")+COUNTIF(Q2419:Q2419,"W")+COUNTIF(Q2426:Q2426,"W")+COUNTIF(Q2433:Q2433,"W")+COUNTIF(Q2440:Q2440,"W"),"")</f>
        <v/>
      </c>
      <c r="H2447" s="241"/>
      <c r="I2447" s="242" t="str">
        <f ca="1">IF(OR(Q2414&lt;&gt;"",Q2421&lt;&gt;"",Q2428&lt;&gt;"",Q2435&lt;&gt;"",Q2442&lt;&gt;""),COUNTIF(Q2414:Q2414,"W")+COUNTIF(Q2421:Q2421,"W")+COUNTIF(Q2428:Q2428,"W")+COUNTIF(Q2435:Q2435,"W")+COUNTIF(Q2442:Q2442,"W"),"")</f>
        <v/>
      </c>
      <c r="J2447" s="243"/>
      <c r="L2447" s="2" t="s">
        <v>160</v>
      </c>
      <c r="M2447" s="40" t="str">
        <f>K2406</f>
        <v>K</v>
      </c>
      <c r="N2447" s="3" t="s">
        <v>158</v>
      </c>
      <c r="R2447" s="259" t="str">
        <f>K2406</f>
        <v>K</v>
      </c>
      <c r="S2447" s="307" t="str">
        <f ca="1">IF($B2435&lt;&gt;"",$B2435,"")</f>
        <v/>
      </c>
      <c r="T2447" s="308"/>
      <c r="U2447" s="308"/>
      <c r="V2447" s="308"/>
      <c r="W2447" s="308"/>
      <c r="X2447" s="309"/>
      <c r="Y2447" s="284"/>
      <c r="Z2447" s="284"/>
      <c r="AA2447" s="297"/>
      <c r="AB2447" s="297"/>
      <c r="AC2447" s="297"/>
      <c r="AD2447" s="289" t="s">
        <v>169</v>
      </c>
      <c r="AE2447" s="290"/>
      <c r="AF2447" s="291"/>
    </row>
    <row r="2448" spans="1:32" ht="12.75" customHeight="1" x14ac:dyDescent="0.35">
      <c r="F2448" s="18" t="s">
        <v>403</v>
      </c>
      <c r="G2448" s="17"/>
      <c r="H2448" s="17"/>
      <c r="I2448" s="17"/>
      <c r="J2448" s="17"/>
      <c r="R2448" s="285"/>
      <c r="S2448" s="310"/>
      <c r="T2448" s="311"/>
      <c r="U2448" s="311"/>
      <c r="V2448" s="311"/>
      <c r="W2448" s="311"/>
      <c r="X2448" s="312"/>
      <c r="Y2448" s="285"/>
      <c r="Z2448" s="285"/>
      <c r="AA2448" s="285"/>
      <c r="AB2448" s="285"/>
      <c r="AC2448" s="285"/>
      <c r="AD2448" s="292"/>
      <c r="AE2448" s="293"/>
      <c r="AF2448" s="294"/>
    </row>
    <row r="2449" spans="1:32" ht="12.75" customHeight="1" x14ac:dyDescent="0.25">
      <c r="R2449" s="1"/>
      <c r="S2449" s="11"/>
      <c r="T2449" s="11"/>
      <c r="U2449" s="11"/>
      <c r="V2449" s="11"/>
      <c r="W2449" s="11"/>
    </row>
    <row r="2450" spans="1:32" ht="12.75" customHeight="1" x14ac:dyDescent="0.25">
      <c r="F2450" s="212"/>
      <c r="G2450" s="212"/>
      <c r="H2450" s="212"/>
      <c r="I2450" s="212"/>
      <c r="R2450" s="1"/>
      <c r="S2450" s="11"/>
      <c r="T2450" s="11"/>
      <c r="U2450" s="11"/>
      <c r="V2450" s="11"/>
      <c r="W2450" s="11"/>
    </row>
    <row r="2451" spans="1:32" ht="12.75" customHeight="1" x14ac:dyDescent="0.25">
      <c r="F2451" s="212"/>
      <c r="G2451" s="212"/>
      <c r="H2451" s="212"/>
      <c r="I2451" s="212"/>
      <c r="R2451" s="1"/>
      <c r="S2451" s="11"/>
      <c r="T2451" s="11"/>
      <c r="U2451" s="11"/>
      <c r="V2451" s="11"/>
      <c r="W2451" s="11"/>
    </row>
    <row r="2452" spans="1:32" ht="12.75" customHeight="1" x14ac:dyDescent="0.25">
      <c r="K2452" s="219" t="s">
        <v>176</v>
      </c>
      <c r="L2452" s="219"/>
      <c r="M2452" s="219"/>
      <c r="N2452" s="219"/>
      <c r="O2452" s="219"/>
      <c r="P2452" s="219"/>
      <c r="R2452" s="1"/>
      <c r="S2452" s="11"/>
      <c r="T2452" s="11"/>
      <c r="U2452" s="11"/>
      <c r="V2452" s="11"/>
      <c r="W2452" s="11"/>
    </row>
    <row r="2453" spans="1:32" ht="12.75" customHeight="1" x14ac:dyDescent="0.25">
      <c r="A2453" s="9" t="s">
        <v>161</v>
      </c>
      <c r="B2453"/>
      <c r="C2453"/>
      <c r="D2453" t="str">
        <f>Draw!$B$1</f>
        <v>Enter Division Name</v>
      </c>
      <c r="E2453"/>
      <c r="F2453" s="6"/>
      <c r="G2453" s="6"/>
      <c r="H2453" s="6"/>
      <c r="I2453"/>
      <c r="J2453"/>
      <c r="K2453"/>
      <c r="L2453"/>
      <c r="M2453" s="219"/>
      <c r="N2453" s="219"/>
      <c r="O2453" s="219"/>
      <c r="P2453" s="219"/>
      <c r="R2453" s="1"/>
      <c r="S2453" s="11"/>
      <c r="T2453" s="11"/>
      <c r="U2453" s="11"/>
      <c r="V2453" s="11"/>
      <c r="W2453" s="11"/>
    </row>
    <row r="2454" spans="1:32" ht="12.75" customHeight="1" x14ac:dyDescent="0.25">
      <c r="A2454" s="2" t="s">
        <v>162</v>
      </c>
      <c r="D2454" t="str">
        <f>Draw!$D$1</f>
        <v>Enter Hosting Location (City, ST)</v>
      </c>
      <c r="J2454" t="str">
        <f ca="1">$J$6</f>
        <v>[NCTTA Teams Template (v3.4).xlsx]</v>
      </c>
      <c r="R2454" s="1"/>
      <c r="S2454" s="11"/>
      <c r="T2454" s="11"/>
      <c r="U2454" s="11"/>
      <c r="V2454" s="11"/>
      <c r="W2454" s="11"/>
    </row>
    <row r="2455" spans="1:32" ht="12.75" customHeight="1" x14ac:dyDescent="0.25">
      <c r="A2455" s="2" t="s">
        <v>163</v>
      </c>
      <c r="D2455" s="275" t="str">
        <f>Draw!$P$1</f>
        <v>Enter Date</v>
      </c>
      <c r="E2455" s="275"/>
      <c r="F2455" s="275"/>
      <c r="G2455" s="275"/>
      <c r="J2455" s="244" t="str">
        <f>CHOOSE(Draw!$T$1,"Round 9, Match 1","","","","","","","","","","Round 10, Match 4")</f>
        <v>Round 9, Match 1</v>
      </c>
      <c r="K2455" s="244"/>
      <c r="L2455" s="244"/>
      <c r="M2455" s="277" t="str">
        <f>IF(AND($J2455&lt;&gt;"",Draw!$AC$10&lt;&gt;"",Draw!$AC$13&lt;&gt;""),Draw!$AC$10+TIME(0,VALUE(MID($J2455,7,FIND(",",$J2455)-FIND(" ",$J2455)-1)-1)*Draw!$AC$13,0),"")</f>
        <v/>
      </c>
      <c r="N2455" s="277"/>
      <c r="O2455" s="125" t="str">
        <f>$F2498</f>
        <v>A-D</v>
      </c>
      <c r="R2455" s="1"/>
      <c r="S2455" s="11"/>
      <c r="T2455" s="11"/>
      <c r="U2455" s="11"/>
      <c r="V2455" s="11"/>
      <c r="W2455" s="11"/>
    </row>
    <row r="2456" spans="1:32" ht="12.75" customHeight="1" x14ac:dyDescent="0.25">
      <c r="A2456" s="6"/>
      <c r="B2456"/>
      <c r="C2456"/>
      <c r="D2456"/>
      <c r="E2456"/>
      <c r="F2456" s="6"/>
      <c r="G2456" s="6"/>
      <c r="H2456" s="11"/>
      <c r="I2456" s="6"/>
      <c r="J2456"/>
      <c r="K2456"/>
      <c r="L2456"/>
      <c r="M2456"/>
      <c r="N2456"/>
      <c r="O2456" s="269" t="str">
        <f>IF(OR(AND(VLOOKUP($B2457,$AM$1:$AX$12,12,FALSE)="C",VLOOKUP($K2457,$AM$1:$AX$12,12,FALSE)="C"),AND(VLOOKUP($B2457,$AM$1:$AX$12,12,FALSE)="W",VLOOKUP($K2457,$AM$1:$AX$12,12,FALSE)="W")),"Official",IF(AND($A2458="",$J2458=""),"","Scrimmage"))</f>
        <v/>
      </c>
      <c r="P2456" s="269"/>
      <c r="R2456" s="1"/>
      <c r="S2456" s="11"/>
      <c r="T2456" s="11"/>
      <c r="U2456" s="11"/>
      <c r="V2456" s="11"/>
      <c r="W2456" s="11"/>
    </row>
    <row r="2457" spans="1:32" ht="12.75" customHeight="1" x14ac:dyDescent="0.25">
      <c r="A2457" s="12" t="s">
        <v>160</v>
      </c>
      <c r="B2457" s="98" t="str">
        <f>CHOOSE(Draw!$T$1,"A","D","D","E","F","F","F","F","E","B","G")</f>
        <v>A</v>
      </c>
      <c r="C2457" s="109">
        <f>VLOOKUP($B2457,$AM$1:$AN$12,2)</f>
        <v>1</v>
      </c>
      <c r="D2457" s="10"/>
      <c r="E2457" s="10"/>
      <c r="F2457" s="8"/>
      <c r="H2457" s="1" t="s">
        <v>164</v>
      </c>
      <c r="J2457" s="12" t="s">
        <v>160</v>
      </c>
      <c r="K2457" s="98" t="str">
        <f>CHOOSE(Draw!$T$1,"D","G","K","J","J","J","J","I","J","L","J")</f>
        <v>D</v>
      </c>
      <c r="L2457" s="109">
        <f>VLOOKUP($K2457,$AM$1:$AN$12,2)</f>
        <v>4</v>
      </c>
      <c r="M2457" s="10"/>
      <c r="N2457" s="10"/>
      <c r="O2457" s="13"/>
      <c r="R2457" s="1"/>
      <c r="S2457" s="11"/>
      <c r="T2457" s="11"/>
      <c r="U2457" s="11"/>
      <c r="V2457" s="11"/>
      <c r="W2457" s="11"/>
    </row>
    <row r="2458" spans="1:32" ht="12.75" customHeight="1" x14ac:dyDescent="0.25">
      <c r="A2458" s="253" t="str">
        <f>IF(VLOOKUP($B2457,Draw!$A$4:$B$27,2)&lt;&gt;0,VLOOKUP($B2457,Draw!$A$4:$B$27,2),"")</f>
        <v/>
      </c>
      <c r="B2458" s="254"/>
      <c r="C2458" s="254"/>
      <c r="D2458" s="254"/>
      <c r="E2458" s="254"/>
      <c r="F2458" s="255"/>
      <c r="G2458" s="273" t="s">
        <v>452</v>
      </c>
      <c r="H2458" s="249"/>
      <c r="I2458" s="274"/>
      <c r="J2458" s="253" t="str">
        <f>IF(VLOOKUP($K2457,Draw!$A$4:$B$27,2)&lt;&gt;0,VLOOKUP($K2457,Draw!$A$4:$B$27,2),"")</f>
        <v/>
      </c>
      <c r="K2458" s="254"/>
      <c r="L2458" s="254"/>
      <c r="M2458" s="254"/>
      <c r="N2458" s="254"/>
      <c r="O2458" s="255"/>
      <c r="P2458"/>
      <c r="R2458" s="1"/>
      <c r="S2458" s="11"/>
      <c r="T2458" s="11"/>
      <c r="U2458" s="11"/>
      <c r="V2458" s="11"/>
      <c r="W2458" s="11"/>
    </row>
    <row r="2459" spans="1:32" ht="12.75" customHeight="1" x14ac:dyDescent="0.25">
      <c r="A2459" s="6"/>
      <c r="B2459"/>
      <c r="C2459"/>
      <c r="D2459"/>
      <c r="E2459"/>
      <c r="F2459" s="6"/>
      <c r="G2459" s="248" t="str">
        <f>"Page "&amp;VALUE(RIGHT($G2458,LEN($G2458)-SEARCH("-",$G2458)))/2</f>
        <v>Page 49</v>
      </c>
      <c r="H2459" s="249"/>
      <c r="I2459" s="249"/>
      <c r="J2459"/>
      <c r="K2459"/>
      <c r="L2459"/>
      <c r="M2459"/>
      <c r="N2459"/>
      <c r="O2459"/>
      <c r="P2459"/>
      <c r="R2459" s="1"/>
      <c r="S2459" s="11"/>
      <c r="T2459" s="11"/>
      <c r="U2459" s="11"/>
      <c r="V2459" s="11"/>
      <c r="W2459" s="11"/>
      <c r="AF2459"/>
    </row>
    <row r="2460" spans="1:32" ht="12.75" customHeight="1" x14ac:dyDescent="0.25">
      <c r="A2460" s="276" t="s">
        <v>177</v>
      </c>
      <c r="B2460" s="276"/>
      <c r="C2460" s="276"/>
      <c r="D2460" s="276"/>
      <c r="E2460" s="276"/>
      <c r="F2460" s="276"/>
      <c r="G2460" s="276"/>
      <c r="H2460" s="276"/>
      <c r="I2460" s="276"/>
      <c r="J2460" s="276"/>
      <c r="K2460" s="276"/>
      <c r="L2460" s="276"/>
      <c r="M2460" s="276"/>
      <c r="N2460" s="276"/>
      <c r="O2460" s="276"/>
      <c r="P2460" s="276"/>
      <c r="Q2460" s="6"/>
      <c r="R2460" s="1"/>
      <c r="S2460" s="11"/>
      <c r="T2460" s="11"/>
      <c r="U2460" s="11"/>
      <c r="V2460" s="11"/>
      <c r="W2460" s="11"/>
      <c r="AF2460" s="14"/>
    </row>
    <row r="2461" spans="1:32" ht="12.75" customHeight="1" x14ac:dyDescent="0.25">
      <c r="A2461" s="15" t="s">
        <v>165</v>
      </c>
      <c r="H2461" s="110" t="str">
        <f>IF($Q2463&lt;&gt;"",IF(AND(AND($H2463&gt;-1,$H2465&gt;-1),OR($H2463&gt;10,$H2465&gt;10),ABS($H2463-$H2465)&gt;1,IF(OR($H2463&gt;11,$H2465&gt;11),ABS($H2463-$H2465)=2,TRUE),$H2463=INT($H2463),$H2465=INT($H2465)),"","Error"),"")</f>
        <v/>
      </c>
      <c r="I2461" s="110" t="str">
        <f>IF($Q2463&lt;&gt;"",IF(AND(AND($I2463&gt;-1,$I2465&gt;-1),OR($I2463&gt;10,$I2465&gt;10),ABS($I2463-$I2465)&gt;1,IF(OR($I2463&gt;11,$I2465&gt;11),ABS($I2463-$I2465)=2,TRUE),$I2463=INT($I2463),$I2465=INT($I2465)),"","Error"),"")</f>
        <v/>
      </c>
      <c r="J2461" s="110" t="str">
        <f>IF($Q2463&lt;&gt;"",IF(AND(AND($J2463&gt;-1,$J2465&gt;-1),OR($J2463&gt;10,$J2465&gt;10),ABS($J2463-$J2465)&gt;1,IF(OR($J2463&gt;11,$J2465&gt;11),ABS($J2463-$J2465)=2,TRUE),$J2463=INT($J2463),$J2465=INT($J2465)),"","Error"),"")</f>
        <v/>
      </c>
      <c r="K2461" s="110" t="str">
        <f>IF($Q2463&lt;&gt;"",IF(AND($K2463&lt;&gt;"",$K2465&lt;&gt;""), IF(AND(AND($K2463&gt;-1,$K2465&gt;-1),OR($K2463&gt;10,$K2465&gt;10),ABS($K2463-$K2465)&gt;1,IF(OR($K2463&gt;11,$K2465&gt;11),ABS($K2463-$K2465)=2,TRUE),$K2463=INT($K2463),$K2465=INT($K2465)),"","Error"),""),"")</f>
        <v/>
      </c>
      <c r="L2461" s="110" t="str">
        <f>IF($Q2463&lt;&gt;"",IF(AND($L2463&lt;&gt;"",$L2465&lt;&gt;""), IF(AND(AND($L2463&gt;-1,$L2465&gt;-1),OR($L2463&gt;10,$L2465&gt;10),ABS($L2463-$L2465)&gt;1,IF(OR($L2463&gt;11,$L2465&gt;11),ABS($L2463-$L2465)=2,TRUE),$L2463=INT($L2463),$L2465=INT($L2465)),"","Error"),""),"")</f>
        <v/>
      </c>
      <c r="R2461" s="1"/>
      <c r="S2461" s="11"/>
      <c r="T2461" s="11"/>
      <c r="U2461" s="11"/>
      <c r="V2461" s="11"/>
      <c r="W2461" s="11"/>
    </row>
    <row r="2462" spans="1:32" ht="12.75" customHeight="1" x14ac:dyDescent="0.25">
      <c r="A2462" s="5" t="s">
        <v>160</v>
      </c>
      <c r="B2462" s="256" t="s">
        <v>58</v>
      </c>
      <c r="C2462" s="257"/>
      <c r="D2462" s="257"/>
      <c r="E2462" s="257"/>
      <c r="F2462" s="257"/>
      <c r="G2462" s="258"/>
      <c r="H2462" s="5">
        <v>1</v>
      </c>
      <c r="I2462" s="5">
        <v>2</v>
      </c>
      <c r="J2462" s="5">
        <v>3</v>
      </c>
      <c r="K2462" s="5">
        <v>4</v>
      </c>
      <c r="L2462" s="5">
        <v>5</v>
      </c>
      <c r="M2462" s="270"/>
      <c r="N2462" s="271"/>
      <c r="O2462" s="271"/>
      <c r="P2462" s="272"/>
      <c r="R2462" s="1"/>
      <c r="S2462" s="11"/>
      <c r="T2462" s="11"/>
      <c r="U2462" s="11"/>
      <c r="V2462" s="11"/>
      <c r="W2462" s="11"/>
    </row>
    <row r="2463" spans="1:32" ht="12.75" customHeight="1" x14ac:dyDescent="0.25">
      <c r="A2463" s="259" t="str">
        <f>B2457</f>
        <v>A</v>
      </c>
      <c r="B2463" s="236" t="str">
        <f ca="1">IF(AND(OFFSET($AO$1,$C2457-1,8,1,1),$A2458&lt;&gt;"",$J2458&lt;&gt;""),CHOOSE($C2457,$AO$1,$AO$2,$AO$3,$AO$4,$AO$5,$AO$6,$AO$7,$AO$8,$AO$9,$AO$10,$AO$11,$AO$12),"")</f>
        <v/>
      </c>
      <c r="C2463" s="237"/>
      <c r="D2463" s="237"/>
      <c r="E2463" s="237"/>
      <c r="F2463" s="237"/>
      <c r="G2463" s="237"/>
      <c r="H2463" s="233"/>
      <c r="I2463" s="233"/>
      <c r="J2463" s="233"/>
      <c r="K2463" s="233"/>
      <c r="L2463" s="233"/>
      <c r="M2463" s="281"/>
      <c r="N2463" s="282"/>
      <c r="O2463" s="282"/>
      <c r="P2463" s="283"/>
      <c r="Q2463" s="40" t="str">
        <f>IF($L2463=$L2465,IF($K2463=$K2465,IF($J2463&lt;&gt;"",IF($J2463&gt;$J2465,"W","L"),""),IF($K2463&gt;$K2465,"W","L")),IF($L2463&gt;$L2465,"W","L"))</f>
        <v/>
      </c>
      <c r="R2463" s="1"/>
      <c r="S2463" s="11"/>
      <c r="T2463" s="11"/>
      <c r="U2463" s="11"/>
      <c r="V2463" s="11"/>
      <c r="W2463" s="11"/>
    </row>
    <row r="2464" spans="1:32" ht="12.75" customHeight="1" x14ac:dyDescent="0.25">
      <c r="A2464" s="260"/>
      <c r="B2464" s="238"/>
      <c r="C2464" s="239"/>
      <c r="D2464" s="239"/>
      <c r="E2464" s="239"/>
      <c r="F2464" s="239"/>
      <c r="G2464" s="239"/>
      <c r="H2464" s="234"/>
      <c r="I2464" s="234"/>
      <c r="J2464" s="234"/>
      <c r="K2464" s="234"/>
      <c r="L2464" s="234"/>
      <c r="M2464" s="281"/>
      <c r="N2464" s="282"/>
      <c r="O2464" s="282"/>
      <c r="P2464" s="283"/>
      <c r="Q2464" s="110" t="str">
        <f>IF($Q2463&lt;&gt;"",IF($Q2463="W",IF(SUM(IF($H2463&gt;$H2465,1,0),IF($I2463&gt;$I2465,1,0),IF($J2463&gt;$J2465,1,0),IF($K2463&gt;$K2465,1,0),IF($L2463&gt;$L2465,1,0))&lt;&gt;3,"Error",""),""),"")</f>
        <v/>
      </c>
      <c r="R2464" s="295" t="str">
        <f>$A2458</f>
        <v/>
      </c>
      <c r="S2464" s="295"/>
      <c r="T2464" s="295"/>
      <c r="U2464" s="295"/>
      <c r="V2464" s="295"/>
      <c r="W2464" s="295"/>
      <c r="X2464" s="219" t="str">
        <f>CONCATENATE("(",$B2457," vs ",$K2457,")")</f>
        <v>(A vs D)</v>
      </c>
      <c r="Y2464" s="219"/>
      <c r="Z2464" s="295" t="str">
        <f>$J2458</f>
        <v/>
      </c>
      <c r="AA2464" s="295"/>
      <c r="AB2464" s="295"/>
      <c r="AC2464" s="295"/>
      <c r="AD2464" s="295"/>
      <c r="AE2464" s="295"/>
      <c r="AF2464"/>
    </row>
    <row r="2465" spans="1:32" ht="12.75" customHeight="1" x14ac:dyDescent="0.25">
      <c r="A2465" s="259" t="str">
        <f>K2457</f>
        <v>D</v>
      </c>
      <c r="B2465" s="236" t="str">
        <f ca="1">IF(AND(OFFSET($AO$1,$L2457-1,8,1,1),$A2458&lt;&gt;"",$J2458&lt;&gt;""),CHOOSE($L2457,$AO$1,$AO$2,$AO$3,$AO$4,$AO$5,$AO$6,$AO$7,$AO$8,$AO$9,$AO$10,$AO$11,$AO$12),"")</f>
        <v/>
      </c>
      <c r="C2465" s="237"/>
      <c r="D2465" s="237"/>
      <c r="E2465" s="237"/>
      <c r="F2465" s="237"/>
      <c r="G2465" s="237"/>
      <c r="H2465" s="233"/>
      <c r="I2465" s="233"/>
      <c r="J2465" s="233"/>
      <c r="K2465" s="233"/>
      <c r="L2465" s="233"/>
      <c r="M2465" s="250" t="s">
        <v>169</v>
      </c>
      <c r="N2465" s="251"/>
      <c r="O2465" s="251"/>
      <c r="P2465" s="252"/>
      <c r="Q2465" s="40" t="str">
        <f>IF($Q2463&lt;&gt;"",IF($Q2463="W","L","W"),"")</f>
        <v/>
      </c>
      <c r="R2465"/>
      <c r="S2465"/>
      <c r="T2465"/>
      <c r="U2465"/>
      <c r="V2465"/>
      <c r="W2465"/>
      <c r="X2465"/>
      <c r="Y2465"/>
      <c r="Z2465"/>
      <c r="AA2465"/>
      <c r="AB2465"/>
      <c r="AC2465"/>
      <c r="AD2465"/>
      <c r="AE2465"/>
      <c r="AF2465"/>
    </row>
    <row r="2466" spans="1:32" ht="12.75" customHeight="1" x14ac:dyDescent="0.25">
      <c r="A2466" s="260"/>
      <c r="B2466" s="238"/>
      <c r="C2466" s="239"/>
      <c r="D2466" s="239"/>
      <c r="E2466" s="239"/>
      <c r="F2466" s="239"/>
      <c r="G2466" s="239"/>
      <c r="H2466" s="234"/>
      <c r="I2466" s="234"/>
      <c r="J2466" s="235"/>
      <c r="K2466" s="235"/>
      <c r="L2466" s="235"/>
      <c r="M2466" s="250"/>
      <c r="N2466" s="251"/>
      <c r="O2466" s="251"/>
      <c r="P2466" s="252"/>
      <c r="Q2466" s="110" t="str">
        <f>IF($Q2465&lt;&gt;"",IF($Q2465="W",IF(SUM(IF($H2465&gt;$H2463,1,0),IF($I2465&gt;$I2463,1,0),IF($J2465&gt;$J2463,1,0),IF($K2465&gt;$K2463,1,0),IF($L2465&gt;$L2463,1,0))&lt;&gt;3,"Error",""),""),"")</f>
        <v/>
      </c>
      <c r="R2466" t="str">
        <f>$A2468</f>
        <v>2nd Singles</v>
      </c>
      <c r="S2466"/>
      <c r="T2466"/>
      <c r="U2466"/>
      <c r="V2466"/>
      <c r="W2466"/>
      <c r="X2466"/>
      <c r="Y2466"/>
      <c r="Z2466"/>
      <c r="AA2466"/>
      <c r="AB2466"/>
      <c r="AC2466"/>
      <c r="AD2466"/>
      <c r="AE2466"/>
      <c r="AF2466"/>
    </row>
    <row r="2467" spans="1:32" ht="12.75" customHeight="1" x14ac:dyDescent="0.25">
      <c r="Q2467" s="6"/>
      <c r="R2467" s="47" t="s">
        <v>160</v>
      </c>
      <c r="S2467" s="304" t="s">
        <v>58</v>
      </c>
      <c r="T2467" s="305"/>
      <c r="U2467" s="305"/>
      <c r="V2467" s="305"/>
      <c r="W2467" s="305"/>
      <c r="X2467" s="306"/>
      <c r="Y2467" s="47">
        <v>1</v>
      </c>
      <c r="Z2467" s="47">
        <v>2</v>
      </c>
      <c r="AA2467" s="47">
        <v>3</v>
      </c>
      <c r="AB2467" s="47">
        <v>4</v>
      </c>
      <c r="AC2467" s="47">
        <v>5</v>
      </c>
      <c r="AD2467" s="286"/>
      <c r="AE2467" s="287"/>
      <c r="AF2467" s="288"/>
    </row>
    <row r="2468" spans="1:32" ht="12.75" customHeight="1" x14ac:dyDescent="0.25">
      <c r="A2468" s="15" t="s">
        <v>166</v>
      </c>
      <c r="H2468" s="110" t="str">
        <f>IF($Q2470&lt;&gt;"",IF(AND(AND($H2470&gt;-1,$H2472&gt;-1),OR($H2470&gt;10,$H2472&gt;10),ABS($H2470-$H2472)&gt;1,IF(OR($H2470&gt;11,$H2472&gt;11),ABS($H2470-$H2472)=2,TRUE),$H2470=INT($H2470),$H2472=INT($H2472)),"","Error"),"")</f>
        <v/>
      </c>
      <c r="I2468" s="110" t="str">
        <f>IF($Q2470&lt;&gt;"",IF(AND(AND($I2470&gt;-1,$I2472&gt;-1),OR($I2470&gt;10,$I2472&gt;10),ABS($I2470-$I2472)&gt;1,IF(OR($I2470&gt;11,$I2472&gt;11),ABS($I2470-$I2472)=2,TRUE),$I2470=INT($I2470),$I2472=INT($I2472)),"","Error"),"")</f>
        <v/>
      </c>
      <c r="J2468" s="110" t="str">
        <f>IF($Q2470&lt;&gt;"",IF(AND(AND($J2470&gt;-1,$J2472&gt;-1),OR($J2470&gt;10,$J2472&gt;10),ABS($J2470-$J2472)&gt;1,IF(OR($J2470&gt;11,$J2472&gt;11),ABS($J2470-$J2472)=2,TRUE),$J2470=INT($J2470),$J2472=INT($J2472)),"","Error"),"")</f>
        <v/>
      </c>
      <c r="K2468" s="110" t="str">
        <f>IF($Q2470&lt;&gt;"",IF(AND($K2470&lt;&gt;"",$K2472&lt;&gt;""), IF(AND(AND($K2470&gt;-1,$K2472&gt;-1),OR($K2470&gt;10,$K2472&gt;10),ABS($K2470-$K2472)&gt;1,IF(OR($K2470&gt;11,$K2472&gt;11),ABS($K2470-$K2472)=2,TRUE),$K2470=INT($K2470),$K2472=INT($K2472)),"","Error"),""),"")</f>
        <v/>
      </c>
      <c r="L2468" s="110" t="str">
        <f>IF($Q2470&lt;&gt;"",IF(AND($L2470&lt;&gt;"",$L2472&lt;&gt;""), IF(AND(AND($L2470&gt;-1,$L2472&gt;-1),OR($L2470&gt;10,$L2472&gt;10),ABS($L2470-$L2472)&gt;1,IF(OR($L2470&gt;11,$L2472&gt;11),ABS($L2470-$L2472)=2,TRUE),$L2470=INT($L2470),$L2472=INT($L2472)),"","Error"),""),"")</f>
        <v/>
      </c>
      <c r="Q2468" s="6"/>
      <c r="R2468" s="259" t="str">
        <f>$B2457</f>
        <v>A</v>
      </c>
      <c r="S2468" s="307" t="str">
        <f ca="1">IF($B2470&lt;&gt;"",$B2470,"")</f>
        <v/>
      </c>
      <c r="T2468" s="308"/>
      <c r="U2468" s="308"/>
      <c r="V2468" s="308"/>
      <c r="W2468" s="308"/>
      <c r="X2468" s="309"/>
      <c r="Y2468" s="284"/>
      <c r="Z2468" s="284"/>
      <c r="AA2468" s="284"/>
      <c r="AB2468" s="284"/>
      <c r="AC2468" s="284"/>
      <c r="AD2468" s="296"/>
      <c r="AE2468" s="290"/>
      <c r="AF2468" s="291"/>
    </row>
    <row r="2469" spans="1:32" ht="12.75" customHeight="1" x14ac:dyDescent="0.25">
      <c r="A2469" s="5" t="s">
        <v>160</v>
      </c>
      <c r="B2469" s="256" t="s">
        <v>58</v>
      </c>
      <c r="C2469" s="257"/>
      <c r="D2469" s="257"/>
      <c r="E2469" s="257"/>
      <c r="F2469" s="257"/>
      <c r="G2469" s="258"/>
      <c r="H2469" s="5">
        <v>1</v>
      </c>
      <c r="I2469" s="5">
        <v>2</v>
      </c>
      <c r="J2469" s="5">
        <v>3</v>
      </c>
      <c r="K2469" s="5">
        <v>4</v>
      </c>
      <c r="L2469" s="5">
        <v>5</v>
      </c>
      <c r="M2469" s="270"/>
      <c r="N2469" s="271"/>
      <c r="O2469" s="271"/>
      <c r="P2469" s="272"/>
      <c r="Q2469" s="6"/>
      <c r="R2469" s="285"/>
      <c r="S2469" s="310"/>
      <c r="T2469" s="311"/>
      <c r="U2469" s="311"/>
      <c r="V2469" s="311"/>
      <c r="W2469" s="311"/>
      <c r="X2469" s="312"/>
      <c r="Y2469" s="285"/>
      <c r="Z2469" s="285"/>
      <c r="AA2469" s="285"/>
      <c r="AB2469" s="285"/>
      <c r="AC2469" s="285"/>
      <c r="AD2469" s="292"/>
      <c r="AE2469" s="293"/>
      <c r="AF2469" s="294"/>
    </row>
    <row r="2470" spans="1:32" ht="12.75" customHeight="1" x14ac:dyDescent="0.25">
      <c r="A2470" s="259" t="str">
        <f>B2457</f>
        <v>A</v>
      </c>
      <c r="B2470" s="236" t="str">
        <f ca="1">IF(AND(OFFSET($AO$1,$C2457-1,8,1,1),$A2458&lt;&gt;"",$J2458&lt;&gt;""),CHOOSE($C2457,$AP$1,$AP$2,$AP$3,$AP$4,$AP$5,$AP$6,$AP$7,$AP$8,$AP$9,$AP$10,$AP$11,$AP$12),"")</f>
        <v/>
      </c>
      <c r="C2470" s="237"/>
      <c r="D2470" s="237"/>
      <c r="E2470" s="237"/>
      <c r="F2470" s="237"/>
      <c r="G2470" s="237"/>
      <c r="H2470" s="233"/>
      <c r="I2470" s="233"/>
      <c r="J2470" s="233"/>
      <c r="K2470" s="233"/>
      <c r="L2470" s="233"/>
      <c r="M2470" s="245" t="str">
        <f ca="1">IF(OR(AND($B2463&lt;&gt;"",$B2470&lt;&gt;"",$C2488&lt;=$B2488),AND($B2465&lt;&gt;"",$B2472&lt;&gt;"",$G2488&lt;=$F2488)),"Invalid Lineup","")</f>
        <v/>
      </c>
      <c r="N2470" s="246"/>
      <c r="O2470" s="246"/>
      <c r="P2470" s="247"/>
      <c r="Q2470" s="40" t="str">
        <f>IF($L2470=$L2472,IF($K2470=$K2472,IF($J2470&lt;&gt;"",IF($J2470&gt;$J2472,"W","L"),""),IF($K2470&gt;$K2472,"W","L")),IF($L2470&gt;$L2472,"W","L"))</f>
        <v/>
      </c>
      <c r="R2470" s="259" t="str">
        <f>$K2457</f>
        <v>D</v>
      </c>
      <c r="S2470" s="307" t="str">
        <f ca="1">IF($B2472&lt;&gt;"",$B2472,"")</f>
        <v/>
      </c>
      <c r="T2470" s="308"/>
      <c r="U2470" s="308"/>
      <c r="V2470" s="308"/>
      <c r="W2470" s="308"/>
      <c r="X2470" s="309"/>
      <c r="Y2470" s="284"/>
      <c r="Z2470" s="284"/>
      <c r="AA2470" s="284"/>
      <c r="AB2470" s="284"/>
      <c r="AC2470" s="297"/>
      <c r="AD2470" s="289" t="s">
        <v>169</v>
      </c>
      <c r="AE2470" s="290"/>
      <c r="AF2470" s="291"/>
    </row>
    <row r="2471" spans="1:32" ht="12.75" customHeight="1" x14ac:dyDescent="0.25">
      <c r="A2471" s="260"/>
      <c r="B2471" s="238"/>
      <c r="C2471" s="239"/>
      <c r="D2471" s="239"/>
      <c r="E2471" s="239"/>
      <c r="F2471" s="239"/>
      <c r="G2471" s="239"/>
      <c r="H2471" s="234"/>
      <c r="I2471" s="234"/>
      <c r="J2471" s="234"/>
      <c r="K2471" s="234"/>
      <c r="L2471" s="234"/>
      <c r="M2471" s="245"/>
      <c r="N2471" s="246"/>
      <c r="O2471" s="246"/>
      <c r="P2471" s="247"/>
      <c r="Q2471" s="110" t="str">
        <f>IF($Q2470&lt;&gt;"",IF($Q2470="W",IF(SUM(IF($H2470&gt;$H2472,1,0),IF($I2470&gt;$I2472,1,0),IF($J2470&gt;$J2472,1,0),IF($K2470&gt;$K2472,1,0),IF($L2470&gt;$L2472,1,0))&lt;&gt;3,"Error",""),""),"")</f>
        <v/>
      </c>
      <c r="R2471" s="285"/>
      <c r="S2471" s="310"/>
      <c r="T2471" s="311"/>
      <c r="U2471" s="311"/>
      <c r="V2471" s="311"/>
      <c r="W2471" s="311"/>
      <c r="X2471" s="312"/>
      <c r="Y2471" s="285"/>
      <c r="Z2471" s="285"/>
      <c r="AA2471" s="285"/>
      <c r="AB2471" s="285"/>
      <c r="AC2471" s="285"/>
      <c r="AD2471" s="292"/>
      <c r="AE2471" s="293"/>
      <c r="AF2471" s="294"/>
    </row>
    <row r="2472" spans="1:32" ht="12.75" customHeight="1" x14ac:dyDescent="0.25">
      <c r="A2472" s="259" t="str">
        <f>K2457</f>
        <v>D</v>
      </c>
      <c r="B2472" s="236" t="str">
        <f ca="1">IF(AND(OFFSET($AO$1,$L2457-1,8,1,1),$A2458&lt;&gt;"",$J2458&lt;&gt;""),CHOOSE($L2457,$AP$1,$AP$2,$AP$3,$AP$4,$AP$5,$AP$6,$AP$7,$AP$8,$AP$9,$AP$10,$AP$11,$AP$12),"")</f>
        <v/>
      </c>
      <c r="C2472" s="237"/>
      <c r="D2472" s="237"/>
      <c r="E2472" s="237"/>
      <c r="F2472" s="237"/>
      <c r="G2472" s="237"/>
      <c r="H2472" s="233"/>
      <c r="I2472" s="233"/>
      <c r="J2472" s="233"/>
      <c r="K2472" s="233"/>
      <c r="L2472" s="233"/>
      <c r="M2472" s="250" t="s">
        <v>169</v>
      </c>
      <c r="N2472" s="251"/>
      <c r="O2472" s="251"/>
      <c r="P2472" s="252"/>
      <c r="Q2472" s="40" t="str">
        <f>IF($Q2470&lt;&gt;"",IF($Q2470="W","L","W"),"")</f>
        <v/>
      </c>
      <c r="R2472" s="14"/>
      <c r="S2472" s="14"/>
      <c r="T2472" s="14"/>
      <c r="U2472" s="14"/>
      <c r="V2472" s="14"/>
      <c r="W2472" s="14"/>
      <c r="X2472" s="7"/>
      <c r="Y2472" s="7"/>
      <c r="Z2472" s="14"/>
      <c r="AA2472" s="14"/>
      <c r="AB2472" s="14"/>
      <c r="AC2472" s="14"/>
      <c r="AD2472" s="14"/>
      <c r="AE2472" s="14"/>
      <c r="AF2472"/>
    </row>
    <row r="2473" spans="1:32" ht="12.75" customHeight="1" x14ac:dyDescent="0.25">
      <c r="A2473" s="260"/>
      <c r="B2473" s="238"/>
      <c r="C2473" s="239"/>
      <c r="D2473" s="239"/>
      <c r="E2473" s="239"/>
      <c r="F2473" s="239"/>
      <c r="G2473" s="239"/>
      <c r="H2473" s="234"/>
      <c r="I2473" s="234"/>
      <c r="J2473" s="235"/>
      <c r="K2473" s="235"/>
      <c r="L2473" s="235"/>
      <c r="M2473" s="250"/>
      <c r="N2473" s="251"/>
      <c r="O2473" s="251"/>
      <c r="P2473" s="252"/>
      <c r="Q2473" s="110" t="str">
        <f>IF($Q2472&lt;&gt;"",IF($Q2472="W",IF(SUM(IF($H2472&gt;$H2470,1,0),IF($I2472&gt;$I2470,1,0),IF($J2472&gt;$J2470,1,0),IF($K2472&gt;$K2470,1,0),IF($L2472&gt;$L2470,1,0))&lt;&gt;3,"Error",""),""),"")</f>
        <v/>
      </c>
      <c r="R2473" s="14"/>
      <c r="S2473" s="14"/>
      <c r="T2473" s="14"/>
      <c r="U2473" s="14"/>
      <c r="V2473" s="14"/>
      <c r="W2473" s="14"/>
      <c r="X2473" s="7"/>
      <c r="Y2473" s="7"/>
      <c r="Z2473" s="14"/>
      <c r="AA2473" s="14"/>
      <c r="AB2473" s="14"/>
      <c r="AC2473" s="14"/>
      <c r="AD2473" s="14"/>
      <c r="AE2473" s="14"/>
      <c r="AF2473"/>
    </row>
    <row r="2474" spans="1:32" ht="12.75" customHeight="1" x14ac:dyDescent="0.25">
      <c r="Q2474" s="6"/>
      <c r="R2474" s="14"/>
      <c r="S2474" s="14"/>
      <c r="T2474" s="14"/>
      <c r="U2474" s="14"/>
      <c r="V2474" s="14"/>
      <c r="W2474" s="14"/>
      <c r="X2474" s="7"/>
      <c r="Y2474" s="7"/>
      <c r="Z2474" s="14"/>
      <c r="AA2474" s="14"/>
      <c r="AB2474" s="14"/>
      <c r="AC2474" s="14"/>
      <c r="AD2474" s="14"/>
      <c r="AE2474" s="14"/>
      <c r="AF2474"/>
    </row>
    <row r="2475" spans="1:32" ht="12.75" customHeight="1" x14ac:dyDescent="0.25">
      <c r="A2475" s="15" t="s">
        <v>167</v>
      </c>
      <c r="H2475" s="110" t="str">
        <f>IF($Q2477&lt;&gt;"",IF(AND(AND($H2477&gt;-1,$H2479&gt;-1),OR($H2477&gt;10,$H2479&gt;10),ABS($H2477-$H2479)&gt;1,IF(OR($H2477&gt;11,$H2479&gt;11),ABS($H2477-$H2479)=2,TRUE),$H2477=INT($H2477),$H2479=INT($H2479)),"","Error"),"")</f>
        <v/>
      </c>
      <c r="I2475" s="110" t="str">
        <f>IF($Q2477&lt;&gt;"",IF(AND(AND($I2477&gt;-1,$I2479&gt;-1),OR($I2477&gt;10,$I2479&gt;10),ABS($I2477-$I2479)&gt;1,IF(OR($I2477&gt;11,$I2479&gt;11),ABS($I2477-$I2479)=2,TRUE),$I2477=INT($I2477),$I2479=INT($I2479)),"","Error"),"")</f>
        <v/>
      </c>
      <c r="J2475" s="110" t="str">
        <f>IF($Q2477&lt;&gt;"",IF(AND(AND($J2477&gt;-1,$J2479&gt;-1),OR($J2477&gt;10,$J2479&gt;10),ABS($J2477-$J2479)&gt;1,IF(OR($J2477&gt;11,$J2479&gt;11),ABS($J2477-$J2479)=2,TRUE),$J2477=INT($J2477),$J2479=INT($J2479)),"","Error"),"")</f>
        <v/>
      </c>
      <c r="K2475" s="110" t="str">
        <f>IF($Q2477&lt;&gt;"",IF(AND($K2477&lt;&gt;"",$K2479&lt;&gt;""), IF(AND(AND($K2477&gt;-1,$K2479&gt;-1),OR($K2477&gt;10,$K2479&gt;10),ABS($K2477-$K2479)&gt;1,IF(OR($K2477&gt;11,$K2479&gt;11),ABS($K2477-$K2479)=2,TRUE),$K2477=INT($K2477),$K2479=INT($K2479)),"","Error"),""),"")</f>
        <v/>
      </c>
      <c r="L2475" s="110" t="str">
        <f>IF($Q2477&lt;&gt;"",IF(AND($L2477&lt;&gt;"",$L2479&lt;&gt;""), IF(AND(AND($L2477&gt;-1,$L2479&gt;-1),OR($L2477&gt;10,$L2479&gt;10),ABS($L2477-$L2479)&gt;1,IF(OR($L2477&gt;11,$L2479&gt;11),ABS($L2477-$L2479)=2,TRUE),$L2477=INT($L2477),$L2479=INT($L2479)),"","Error"),""),"")</f>
        <v/>
      </c>
      <c r="Q2475" s="6"/>
      <c r="R2475" s="14"/>
      <c r="S2475" s="14"/>
      <c r="T2475" s="14"/>
      <c r="U2475" s="14"/>
      <c r="V2475" s="14"/>
      <c r="W2475" s="14"/>
      <c r="X2475" s="7"/>
      <c r="Y2475" s="7"/>
      <c r="Z2475" s="14"/>
      <c r="AA2475" s="14"/>
      <c r="AB2475" s="14"/>
      <c r="AC2475" s="14"/>
      <c r="AD2475" s="14"/>
      <c r="AE2475" s="14"/>
      <c r="AF2475"/>
    </row>
    <row r="2476" spans="1:32" ht="12.75" customHeight="1" x14ac:dyDescent="0.25">
      <c r="A2476" s="5" t="s">
        <v>160</v>
      </c>
      <c r="B2476" s="256" t="s">
        <v>58</v>
      </c>
      <c r="C2476" s="257"/>
      <c r="D2476" s="257"/>
      <c r="E2476" s="257"/>
      <c r="F2476" s="257"/>
      <c r="G2476" s="258"/>
      <c r="H2476" s="5">
        <v>1</v>
      </c>
      <c r="I2476" s="5">
        <v>2</v>
      </c>
      <c r="J2476" s="5">
        <v>3</v>
      </c>
      <c r="K2476" s="5">
        <v>4</v>
      </c>
      <c r="L2476" s="5">
        <v>5</v>
      </c>
      <c r="M2476" s="270"/>
      <c r="N2476" s="271"/>
      <c r="O2476" s="271"/>
      <c r="P2476" s="272"/>
      <c r="Q2476" s="6"/>
      <c r="R2476" s="14"/>
      <c r="S2476" s="14"/>
      <c r="T2476" s="14"/>
      <c r="U2476" s="14"/>
      <c r="V2476" s="14"/>
      <c r="W2476" s="14"/>
      <c r="X2476" s="7"/>
      <c r="Y2476" s="7"/>
      <c r="Z2476" s="14"/>
      <c r="AA2476" s="14"/>
      <c r="AB2476" s="14"/>
      <c r="AC2476" s="14"/>
      <c r="AD2476" s="14"/>
      <c r="AE2476" s="14"/>
      <c r="AF2476"/>
    </row>
    <row r="2477" spans="1:32" ht="12.75" customHeight="1" x14ac:dyDescent="0.25">
      <c r="A2477" s="259" t="str">
        <f>B2457</f>
        <v>A</v>
      </c>
      <c r="B2477" s="236" t="str">
        <f ca="1">IF(AND(OFFSET($AO$1,$C2457-1,8,1,1),$A2458&lt;&gt;"",$J2458&lt;&gt;""),CHOOSE($C2457,$AQ$1,$AQ$2,$AQ$3,$AQ$4,$AQ$5,$AQ$6,$AQ$7,$AQ$8,$AQ$9,$AQ$10,$AQ$11,$AQ$12),"")</f>
        <v/>
      </c>
      <c r="C2477" s="237"/>
      <c r="D2477" s="237"/>
      <c r="E2477" s="237"/>
      <c r="F2477" s="237"/>
      <c r="G2477" s="237"/>
      <c r="H2477" s="233"/>
      <c r="I2477" s="233"/>
      <c r="J2477" s="233"/>
      <c r="K2477" s="233"/>
      <c r="L2477" s="233"/>
      <c r="M2477" s="245" t="str">
        <f ca="1">IF(OR(AND($B2470&lt;&gt;"",$B2477&lt;&gt;"",$D2488&lt;=$C2488),AND($B2472&lt;&gt;"",$B2479&lt;&gt;"",$H2488&lt;=$G2488)),"Invalid Lineup","")</f>
        <v/>
      </c>
      <c r="N2477" s="246"/>
      <c r="O2477" s="246"/>
      <c r="P2477" s="247"/>
      <c r="Q2477" s="40" t="str">
        <f>IF($L2477=$L2479,IF($K2477=$K2479,IF($J2477&lt;&gt;"",IF($J2477&gt;$J2479,"W","L"),""),IF($K2477&gt;$K2479,"W","L")),IF($L2477&gt;$L2479,"W","L"))</f>
        <v/>
      </c>
      <c r="R2477" s="14"/>
      <c r="S2477" s="14"/>
      <c r="T2477" s="14"/>
      <c r="U2477" s="14"/>
      <c r="V2477" s="14"/>
      <c r="W2477" s="14"/>
      <c r="X2477" s="7"/>
      <c r="Y2477" s="7"/>
      <c r="Z2477" s="14"/>
      <c r="AA2477" s="14"/>
      <c r="AB2477" s="14"/>
      <c r="AC2477" s="14"/>
      <c r="AD2477" s="14"/>
      <c r="AE2477" s="14"/>
      <c r="AF2477"/>
    </row>
    <row r="2478" spans="1:32" ht="12.75" customHeight="1" x14ac:dyDescent="0.25">
      <c r="A2478" s="260"/>
      <c r="B2478" s="238"/>
      <c r="C2478" s="239"/>
      <c r="D2478" s="239"/>
      <c r="E2478" s="239"/>
      <c r="F2478" s="239"/>
      <c r="G2478" s="239"/>
      <c r="H2478" s="234"/>
      <c r="I2478" s="234"/>
      <c r="J2478" s="234"/>
      <c r="K2478" s="234"/>
      <c r="L2478" s="234"/>
      <c r="M2478" s="245"/>
      <c r="N2478" s="246"/>
      <c r="O2478" s="246"/>
      <c r="P2478" s="247"/>
      <c r="Q2478" s="110" t="str">
        <f>IF($Q2477&lt;&gt;"",IF($Q2477="W",IF(SUM(IF($H2477&gt;$H2479,1,0),IF($I2477&gt;$I2479,1,0),IF($J2477&gt;$J2479,1,0),IF($K2477&gt;$K2479,1,0),IF($L2477&gt;$L2479,1,0))&lt;&gt;3,"Error",""),""),"")</f>
        <v/>
      </c>
      <c r="R2478" s="295" t="str">
        <f>$A2458</f>
        <v/>
      </c>
      <c r="S2478" s="295"/>
      <c r="T2478" s="295"/>
      <c r="U2478" s="295"/>
      <c r="V2478" s="295"/>
      <c r="W2478" s="295"/>
      <c r="X2478" s="219" t="str">
        <f>CONCATENATE("(",$B2457," vs ",$K2457,")")</f>
        <v>(A vs D)</v>
      </c>
      <c r="Y2478" s="219"/>
      <c r="Z2478" s="295" t="str">
        <f>$J2458</f>
        <v/>
      </c>
      <c r="AA2478" s="295"/>
      <c r="AB2478" s="295"/>
      <c r="AC2478" s="295"/>
      <c r="AD2478" s="295"/>
      <c r="AE2478" s="295"/>
      <c r="AF2478"/>
    </row>
    <row r="2479" spans="1:32" ht="12.75" customHeight="1" x14ac:dyDescent="0.25">
      <c r="A2479" s="259" t="str">
        <f>K2457</f>
        <v>D</v>
      </c>
      <c r="B2479" s="236" t="str">
        <f ca="1">IF(AND(OFFSET($AO$1,$L2457-1,8,1,1),$A2458&lt;&gt;"",$J2458&lt;&gt;""),CHOOSE($L2457,$AQ$1,$AQ$2,$AQ$3,$AQ$4,$AQ$5,$AQ$6,$AQ$7,$AQ$8,$AQ$9,$AQ$10,$AQ$11,$AQ$12),"")</f>
        <v/>
      </c>
      <c r="C2479" s="237"/>
      <c r="D2479" s="237"/>
      <c r="E2479" s="237"/>
      <c r="F2479" s="237"/>
      <c r="G2479" s="237"/>
      <c r="H2479" s="233"/>
      <c r="I2479" s="233"/>
      <c r="J2479" s="233"/>
      <c r="K2479" s="233"/>
      <c r="L2479" s="233"/>
      <c r="M2479" s="250" t="s">
        <v>169</v>
      </c>
      <c r="N2479" s="251"/>
      <c r="O2479" s="251"/>
      <c r="P2479" s="252"/>
      <c r="Q2479" s="40" t="str">
        <f>IF($Q2477&lt;&gt;"",IF($Q2477="W","L","W"),"")</f>
        <v/>
      </c>
      <c r="R2479"/>
      <c r="S2479"/>
      <c r="T2479"/>
      <c r="U2479"/>
      <c r="V2479"/>
      <c r="W2479"/>
      <c r="X2479"/>
      <c r="Y2479"/>
      <c r="Z2479"/>
      <c r="AA2479"/>
      <c r="AB2479"/>
      <c r="AC2479"/>
      <c r="AD2479"/>
      <c r="AE2479"/>
      <c r="AF2479"/>
    </row>
    <row r="2480" spans="1:32" ht="12.75" customHeight="1" x14ac:dyDescent="0.25">
      <c r="A2480" s="260"/>
      <c r="B2480" s="238"/>
      <c r="C2480" s="239"/>
      <c r="D2480" s="239"/>
      <c r="E2480" s="239"/>
      <c r="F2480" s="239"/>
      <c r="G2480" s="239"/>
      <c r="H2480" s="234"/>
      <c r="I2480" s="234"/>
      <c r="J2480" s="235"/>
      <c r="K2480" s="235"/>
      <c r="L2480" s="235"/>
      <c r="M2480" s="250"/>
      <c r="N2480" s="251"/>
      <c r="O2480" s="251"/>
      <c r="P2480" s="252"/>
      <c r="Q2480" s="110" t="str">
        <f>IF($Q2479&lt;&gt;"",IF($Q2479="W",IF(SUM(IF($H2479&gt;$H2477,1,0),IF($I2479&gt;$I2477,1,0),IF($J2479&gt;$J2477,1,0),IF($K2479&gt;$K2477,1,0),IF($L2479&gt;$L2477,1,0))&lt;&gt;3,"Error",""),""),"")</f>
        <v/>
      </c>
      <c r="R2480" t="str">
        <f>$A2475</f>
        <v>3rd Singles</v>
      </c>
      <c r="S2480"/>
      <c r="T2480"/>
      <c r="U2480"/>
      <c r="V2480"/>
      <c r="W2480"/>
      <c r="X2480"/>
      <c r="Y2480"/>
      <c r="Z2480"/>
      <c r="AA2480"/>
      <c r="AB2480"/>
      <c r="AC2480"/>
      <c r="AD2480"/>
      <c r="AE2480"/>
      <c r="AF2480"/>
    </row>
    <row r="2481" spans="1:32" ht="12.75" customHeight="1" x14ac:dyDescent="0.25">
      <c r="Q2481" s="6"/>
      <c r="R2481" s="47" t="s">
        <v>160</v>
      </c>
      <c r="S2481" s="86" t="s">
        <v>58</v>
      </c>
      <c r="T2481" s="87"/>
      <c r="U2481" s="87"/>
      <c r="V2481" s="87"/>
      <c r="W2481" s="87"/>
      <c r="X2481" s="88"/>
      <c r="Y2481" s="47">
        <v>1</v>
      </c>
      <c r="Z2481" s="47">
        <v>2</v>
      </c>
      <c r="AA2481" s="47">
        <v>3</v>
      </c>
      <c r="AB2481" s="47">
        <v>4</v>
      </c>
      <c r="AC2481" s="47">
        <v>5</v>
      </c>
      <c r="AD2481" s="89"/>
      <c r="AE2481" s="90"/>
      <c r="AF2481" s="91"/>
    </row>
    <row r="2482" spans="1:32" ht="12.75" customHeight="1" x14ac:dyDescent="0.25">
      <c r="A2482" s="15" t="s">
        <v>168</v>
      </c>
      <c r="H2482" s="110" t="str">
        <f ca="1">IF($Q2484&lt;&gt;"",IF(AND($B2484&lt;&gt;"Missing Player",$B2486&lt;&gt;"Missing Player"),IF(AND(AND($H2484&gt;-1,$H2486&gt;-1),OR($H2484&gt;10,$H2486&gt;10),ABS($H2484-$H2486)&gt;1,IF(OR($H2484&gt;11,$H2486&gt;11),ABS($H2484-$H2486)=2,TRUE),$H2484=INT($H2484),$H2486=INT($H2486)),"","Error"),""),"")</f>
        <v/>
      </c>
      <c r="I2482" s="110" t="str">
        <f ca="1">IF($Q2484&lt;&gt;"",IF(AND($B2484&lt;&gt;"Missing Player",$B2486&lt;&gt;"Missing Player"),IF(AND(AND($I2484&gt;-1,$I2486&gt;-1),OR($I2484&gt;10,$I2486&gt;10),ABS($I2484-$I2486)&gt;1,IF(OR($I2484&gt;11,$I2486&gt;11),ABS($I2484-$I2486)=2,TRUE),$I2484=INT($I2484),$I2486=INT($I2486)),"","Error"),""),"")</f>
        <v/>
      </c>
      <c r="J2482" s="110" t="str">
        <f ca="1">IF($Q2484&lt;&gt;"",IF(AND($B2484&lt;&gt;"Missing Player",$B2486&lt;&gt;"Missing Player"),IF(AND(AND($J2484&gt;-1,$J2486&gt;-1),OR($J2484&gt;10,$J2486&gt;10),ABS($J2484-$J2486)&gt;1,IF(OR($J2484&gt;11,$J2486&gt;11),ABS($J2484-$J2486)=2,TRUE),$J2484=INT($J2484),$J2486=INT($J2486)),"","Error"),""),"")</f>
        <v/>
      </c>
      <c r="K2482" s="110" t="str">
        <f ca="1">IF($Q2484&lt;&gt;"",IF(AND($K2484&lt;&gt;"",$K2486&lt;&gt;""), IF(AND(AND($K2484&gt;-1,$K2486&gt;-1),OR($K2484&gt;10,$K2486&gt;10),ABS($K2484-$K2486)&gt;1,IF(OR($K2484&gt;11,$K2486&gt;11),ABS($K2484-$K2486)=2,TRUE),$K2484=INT($K2484),$K2486=INT($K2486)),"","Error"),""),"")</f>
        <v/>
      </c>
      <c r="L2482" s="110" t="str">
        <f ca="1">IF($Q2484&lt;&gt;"",IF(AND($L2484&lt;&gt;"",$L2486&lt;&gt;""), IF(AND(AND($L2484&gt;-1,$L2486&gt;-1),OR($L2484&gt;10,$L2486&gt;10),ABS($L2484-$L2486)&gt;1,IF(OR($L2484&gt;11,$L2486&gt;11),ABS($L2484-$L2486)=2,TRUE),$L2484=INT($L2484),$L2486=INT($L2486)),"","Error"),""),"")</f>
        <v/>
      </c>
      <c r="Q2482" s="6"/>
      <c r="R2482" s="259" t="str">
        <f>$B2457</f>
        <v>A</v>
      </c>
      <c r="S2482" s="307" t="str">
        <f ca="1">IF($B2477&lt;&gt;"",$B2477,"")</f>
        <v/>
      </c>
      <c r="T2482" s="308"/>
      <c r="U2482" s="308"/>
      <c r="V2482" s="308"/>
      <c r="W2482" s="308"/>
      <c r="X2482" s="309"/>
      <c r="Y2482" s="284"/>
      <c r="Z2482" s="284"/>
      <c r="AA2482" s="284"/>
      <c r="AB2482" s="284"/>
      <c r="AC2482" s="284"/>
      <c r="AD2482" s="296"/>
      <c r="AE2482" s="290"/>
      <c r="AF2482" s="291"/>
    </row>
    <row r="2483" spans="1:32" ht="12.75" customHeight="1" x14ac:dyDescent="0.25">
      <c r="A2483" s="5" t="s">
        <v>160</v>
      </c>
      <c r="B2483" s="256" t="s">
        <v>58</v>
      </c>
      <c r="C2483" s="257"/>
      <c r="D2483" s="257"/>
      <c r="E2483" s="257"/>
      <c r="F2483" s="257"/>
      <c r="G2483" s="258"/>
      <c r="H2483" s="5">
        <v>1</v>
      </c>
      <c r="I2483" s="5">
        <v>2</v>
      </c>
      <c r="J2483" s="5">
        <v>3</v>
      </c>
      <c r="K2483" s="5">
        <v>4</v>
      </c>
      <c r="L2483" s="5">
        <v>5</v>
      </c>
      <c r="M2483" s="270"/>
      <c r="N2483" s="271"/>
      <c r="O2483" s="271"/>
      <c r="P2483" s="272"/>
      <c r="Q2483" s="6"/>
      <c r="R2483" s="285"/>
      <c r="S2483" s="310"/>
      <c r="T2483" s="311"/>
      <c r="U2483" s="311"/>
      <c r="V2483" s="311"/>
      <c r="W2483" s="311"/>
      <c r="X2483" s="312"/>
      <c r="Y2483" s="285"/>
      <c r="Z2483" s="285"/>
      <c r="AA2483" s="285"/>
      <c r="AB2483" s="285"/>
      <c r="AC2483" s="285"/>
      <c r="AD2483" s="292"/>
      <c r="AE2483" s="293"/>
      <c r="AF2483" s="294"/>
    </row>
    <row r="2484" spans="1:32" ht="12.75" customHeight="1" x14ac:dyDescent="0.25">
      <c r="A2484" s="259" t="str">
        <f>B2457</f>
        <v>A</v>
      </c>
      <c r="B2484" s="236" t="str">
        <f ca="1">IF(AND(OFFSET($AO$1,$C2457-1,8,1,1),$A2458&lt;&gt;"",$J2458&lt;&gt;""),CHOOSE($C2457,$AR$1,$AR$2,$AR$3,$AR$4,$AR$5,$AR$6,$AR$7,$AR$8,$AR$9,$AR$10,$AR$11,$AR$12),"")</f>
        <v/>
      </c>
      <c r="C2484" s="237"/>
      <c r="D2484" s="237"/>
      <c r="E2484" s="237"/>
      <c r="F2484" s="237"/>
      <c r="G2484" s="237"/>
      <c r="H2484" s="233"/>
      <c r="I2484" s="233"/>
      <c r="J2484" s="233"/>
      <c r="K2484" s="233"/>
      <c r="L2484" s="233" t="str">
        <f ca="1">IF(AND($B2484&lt;&gt;"",$Q2463&lt;&gt;""),IF($B2484="Missing Player",0,IF($B2486="Missing Player",11,"")),"")</f>
        <v/>
      </c>
      <c r="M2484" s="245" t="str">
        <f ca="1">IF(OR(AND($B2477&lt;&gt;"",$B2484&lt;&gt;"",$E2488&lt;=$D2488),AND($B2479&lt;&gt;"",$B2486&lt;&gt;"",$I2488&lt;=$H2488)),"Invalid Lineup","")</f>
        <v/>
      </c>
      <c r="N2484" s="246"/>
      <c r="O2484" s="246"/>
      <c r="P2484" s="247"/>
      <c r="Q2484" s="40" t="str">
        <f ca="1">IF($L2484=$L2486,IF($K2484=$K2486,IF($J2484&lt;&gt;"",IF($J2484&gt;$J2486,"W","L"),""),IF($K2484&gt;$K2486,"W","L")),IF($L2484&gt;$L2486,"W","L"))</f>
        <v/>
      </c>
      <c r="R2484" s="259" t="str">
        <f>$K2457</f>
        <v>D</v>
      </c>
      <c r="S2484" s="307" t="str">
        <f ca="1">IF($B2479&lt;&gt;"",$B2479,"")</f>
        <v/>
      </c>
      <c r="T2484" s="308"/>
      <c r="U2484" s="308"/>
      <c r="V2484" s="308"/>
      <c r="W2484" s="308"/>
      <c r="X2484" s="309"/>
      <c r="Y2484" s="284"/>
      <c r="Z2484" s="284"/>
      <c r="AA2484" s="284"/>
      <c r="AB2484" s="284"/>
      <c r="AC2484" s="297"/>
      <c r="AD2484" s="289" t="s">
        <v>169</v>
      </c>
      <c r="AE2484" s="290"/>
      <c r="AF2484" s="291"/>
    </row>
    <row r="2485" spans="1:32" ht="12.75" customHeight="1" x14ac:dyDescent="0.25">
      <c r="A2485" s="260"/>
      <c r="B2485" s="238"/>
      <c r="C2485" s="239"/>
      <c r="D2485" s="239"/>
      <c r="E2485" s="239"/>
      <c r="F2485" s="239"/>
      <c r="G2485" s="239"/>
      <c r="H2485" s="234"/>
      <c r="I2485" s="234"/>
      <c r="J2485" s="234"/>
      <c r="K2485" s="234"/>
      <c r="L2485" s="234"/>
      <c r="M2485" s="245"/>
      <c r="N2485" s="246"/>
      <c r="O2485" s="246"/>
      <c r="P2485" s="247"/>
      <c r="Q2485" s="110" t="str">
        <f ca="1">IF($Q2484&lt;&gt;"",IF($B2486&lt;&gt;"Missing Player",IF($Q2484="W",IF(SUM(IF($H2484&gt;$H2486,1,0),IF($I2484&gt;$I2486,1,0),IF($J2484&gt;$J2486,1,0),IF($K2484&gt;$K2486,1,0),IF($L2484&gt;$L2486,1,0))&lt;&gt;3,"Error",""),""),""),"")</f>
        <v/>
      </c>
      <c r="R2485" s="285"/>
      <c r="S2485" s="310"/>
      <c r="T2485" s="311"/>
      <c r="U2485" s="311"/>
      <c r="V2485" s="311"/>
      <c r="W2485" s="311"/>
      <c r="X2485" s="312"/>
      <c r="Y2485" s="285"/>
      <c r="Z2485" s="285"/>
      <c r="AA2485" s="285"/>
      <c r="AB2485" s="285"/>
      <c r="AC2485" s="285"/>
      <c r="AD2485" s="292"/>
      <c r="AE2485" s="293"/>
      <c r="AF2485" s="294"/>
    </row>
    <row r="2486" spans="1:32" ht="12.75" customHeight="1" x14ac:dyDescent="0.25">
      <c r="A2486" s="259" t="str">
        <f>K2457</f>
        <v>D</v>
      </c>
      <c r="B2486" s="236" t="str">
        <f ca="1">IF(AND(OFFSET($AO$1,$L2457-1,8,1,1),$A2458&lt;&gt;"",$J2458&lt;&gt;""),CHOOSE($L2457,$AR$1,$AR$2,$AR$3,$AR$4,$AR$5,$AR$6,$AR$7,$AR$8,$AR$9,$AR$10,$AR$11,$AR$12),"")</f>
        <v/>
      </c>
      <c r="C2486" s="237"/>
      <c r="D2486" s="237"/>
      <c r="E2486" s="237"/>
      <c r="F2486" s="237"/>
      <c r="G2486" s="237"/>
      <c r="H2486" s="233"/>
      <c r="I2486" s="233"/>
      <c r="J2486" s="233"/>
      <c r="K2486" s="233"/>
      <c r="L2486" s="233" t="str">
        <f ca="1">IF(AND($B2486&lt;&gt;"",$Q2463&lt;&gt;""),IF($B2486="Missing Player",0,IF($B2484="Missing Player",11,"")),"")</f>
        <v/>
      </c>
      <c r="M2486" s="250" t="s">
        <v>169</v>
      </c>
      <c r="N2486" s="251"/>
      <c r="O2486" s="251"/>
      <c r="P2486" s="252"/>
      <c r="Q2486" s="40" t="str">
        <f ca="1">IF($Q2484&lt;&gt;"",IF($Q2484="W","L","W"),"")</f>
        <v/>
      </c>
      <c r="R2486" s="94"/>
      <c r="S2486" s="84"/>
      <c r="T2486" s="84"/>
      <c r="U2486" s="84"/>
      <c r="V2486" s="84"/>
      <c r="W2486" s="84"/>
      <c r="X2486" s="84"/>
      <c r="Y2486" s="93"/>
      <c r="Z2486" s="93"/>
      <c r="AA2486" s="93"/>
      <c r="AB2486" s="93"/>
      <c r="AC2486" s="93"/>
      <c r="AD2486" s="92"/>
      <c r="AE2486" s="93"/>
      <c r="AF2486" s="93"/>
    </row>
    <row r="2487" spans="1:32" ht="12.75" customHeight="1" x14ac:dyDescent="0.25">
      <c r="A2487" s="260"/>
      <c r="B2487" s="238"/>
      <c r="C2487" s="239"/>
      <c r="D2487" s="239"/>
      <c r="E2487" s="239"/>
      <c r="F2487" s="239"/>
      <c r="G2487" s="239"/>
      <c r="H2487" s="234"/>
      <c r="I2487" s="234"/>
      <c r="J2487" s="235"/>
      <c r="K2487" s="235"/>
      <c r="L2487" s="235"/>
      <c r="M2487" s="250"/>
      <c r="N2487" s="251"/>
      <c r="O2487" s="251"/>
      <c r="P2487" s="252"/>
      <c r="Q2487" s="110" t="str">
        <f ca="1">IF($Q2486&lt;&gt;"",IF($B2484&lt;&gt;"Missing Player",IF($Q2486="W",IF(SUM(IF($H2486&gt;$H2484,1,0),IF($I2486&gt;$I2484,1,0),IF($J2486&gt;$J2484,1,0),IF($K2486&gt;$K2484,1,0),IF($L2486&gt;$L2484,1,0))&lt;&gt;3,"Error",""),""),""),"")</f>
        <v/>
      </c>
      <c r="R2487" s="85"/>
      <c r="S2487" s="95"/>
      <c r="T2487" s="95"/>
      <c r="U2487" s="95"/>
      <c r="V2487" s="95"/>
      <c r="W2487" s="95"/>
      <c r="X2487" s="95"/>
      <c r="Y2487" s="85"/>
      <c r="Z2487" s="85"/>
      <c r="AA2487" s="85"/>
      <c r="AB2487" s="85"/>
      <c r="AC2487" s="85"/>
      <c r="AD2487" s="85"/>
      <c r="AE2487" s="85"/>
      <c r="AF2487" s="85"/>
    </row>
    <row r="2488" spans="1:32" ht="12.75" customHeight="1" x14ac:dyDescent="0.25">
      <c r="B2488" s="111" t="str">
        <f ca="1">IF(ISERROR(VLOOKUP($B2463&amp;"("&amp;$B2457&amp;")",Players!$S$4:$T$132,2,FALSE)),"",VLOOKUP($B2463&amp;"("&amp;$B2457&amp;")",Players!$S$4:$T$132,2,FALSE))</f>
        <v>A1</v>
      </c>
      <c r="C2488" s="111" t="str">
        <f ca="1">IF(ISERROR(VLOOKUP($B2470&amp;"("&amp;$B2457&amp;")",Players!$S$4:$T$132,2,FALSE)),"",VLOOKUP($B2470&amp;"("&amp;$B2457&amp;")",Players!$S$4:$T$132,2,FALSE))</f>
        <v>A1</v>
      </c>
      <c r="D2488" s="111" t="str">
        <f ca="1">IF(ISERROR(VLOOKUP($B2477&amp;"("&amp;$B2457&amp;")",Players!$S$4:$T$132,2,FALSE)),"",VLOOKUP($B2477&amp;"("&amp;$B2457&amp;")",Players!$S$4:$T$132,2,FALSE))</f>
        <v>A1</v>
      </c>
      <c r="E2488" s="111" t="str">
        <f ca="1">IF(ISERROR(VLOOKUP($B2484&amp;"("&amp;$B2457&amp;")",Players!$S$4:$T$132,2,FALSE)),"",VLOOKUP($B2484&amp;"("&amp;$B2457&amp;")",Players!$S$4:$T$132,2,FALSE))</f>
        <v>A1</v>
      </c>
      <c r="F2488" s="111" t="str">
        <f ca="1">IF(ISERROR(VLOOKUP($B2465&amp;"("&amp;$K2457&amp;")",Players!$S$4:$T$132,2,FALSE)),"",VLOOKUP($B2465&amp;"("&amp;$K2457&amp;")",Players!$S$4:$T$132,2,FALSE))</f>
        <v>D1</v>
      </c>
      <c r="G2488" s="111" t="str">
        <f ca="1">IF(ISERROR(VLOOKUP($B2472&amp;"("&amp;$K2457&amp;")",Players!$S$4:$T$132,2,FALSE)),"",VLOOKUP($B2472&amp;"("&amp;$K2457&amp;")",Players!$S$4:$T$132,2,FALSE))</f>
        <v>D1</v>
      </c>
      <c r="H2488" s="111" t="str">
        <f ca="1">IF(ISERROR(VLOOKUP($B2479&amp;"("&amp;$K2457&amp;")",Players!$S$4:$T$132,2,FALSE)),"",VLOOKUP($B2479&amp;"("&amp;$K2457&amp;")",Players!$S$4:$T$132,2,FALSE))</f>
        <v>D1</v>
      </c>
      <c r="I2488" s="111" t="str">
        <f ca="1">IF(ISERROR(VLOOKUP($B2486&amp;"("&amp;$K2457&amp;")",Players!$S$4:$T$132,2,FALSE)),"",VLOOKUP($B2486&amp;"("&amp;$K2457&amp;")",Players!$S$4:$T$132,2,FALSE))</f>
        <v>D1</v>
      </c>
      <c r="Q2488" s="6"/>
      <c r="R2488" s="37"/>
      <c r="S2488" s="95"/>
      <c r="T2488" s="95"/>
      <c r="U2488" s="95"/>
      <c r="V2488" s="95"/>
      <c r="W2488" s="95"/>
      <c r="X2488" s="95"/>
      <c r="Y2488" s="85"/>
      <c r="Z2488" s="85"/>
      <c r="AA2488" s="85"/>
      <c r="AB2488" s="85"/>
      <c r="AC2488" s="96"/>
      <c r="AD2488" s="97"/>
      <c r="AE2488" s="85"/>
      <c r="AF2488" s="85"/>
    </row>
    <row r="2489" spans="1:32" ht="12.75" customHeight="1" x14ac:dyDescent="0.25">
      <c r="A2489" s="15" t="s">
        <v>157</v>
      </c>
      <c r="H2489" s="110" t="str">
        <f ca="1">IF($Q2491&lt;&gt;"",IF(AND($B2492&lt;&gt;"Missing Player",$B2494&lt;&gt;"Missing Player"),IF(AND(AND($H2491&gt;-1,$H2493&gt;-1),OR($H2491&gt;10,$H2493&gt;10),ABS($H2491-$H2493)&gt;1,IF(OR($H2491&gt;11,$H2493&gt;11),ABS($H2491-$H2493)=2,TRUE),$H2491=INT($H2491),$H2493=INT($H2493)),"","Error"),""),"")</f>
        <v/>
      </c>
      <c r="I2489" s="110" t="str">
        <f ca="1">IF($Q2491&lt;&gt;"",IF(AND($B2492&lt;&gt;"Missing Player",$B2494&lt;&gt;"Missing Player"),IF(AND(AND($I2491&gt;-1,$I2493&gt;-1),OR($I2491&gt;10,$I2493&gt;10),ABS($I2491-$I2493)&gt;1,IF(OR($I2491&gt;11,$I2493&gt;11),ABS($I2491-$I2493)=2,TRUE),$I2491=INT($I2491),$I2493=INT($I2493)),"","Error"),""),"")</f>
        <v/>
      </c>
      <c r="J2489" s="110" t="str">
        <f ca="1">IF($Q2491&lt;&gt;"",IF(AND($B2492&lt;&gt;"Missing Player",$B2494&lt;&gt;"Missing Player"),IF(AND(AND($J2491&gt;-1,$J2493&gt;-1),OR($J2491&gt;10,$J2493&gt;10),ABS($J2491-$J2493)&gt;1,IF(OR($J2491&gt;11,$J2493&gt;11),ABS($J2491-$J2493)=2,TRUE),$J2491=INT($J2491),$J2493=INT($J2493)),"","Error"),""),"")</f>
        <v/>
      </c>
      <c r="K2489" s="110" t="str">
        <f ca="1">IF($Q2491&lt;&gt;"",IF(AND($K2491&lt;&gt;"",$K2493&lt;&gt;""), IF(AND(AND($K2491&gt;-1,$K2493&gt;-1),OR($K2491&gt;10,$K2493&gt;10),ABS($K2491-$K2493)&gt;1,IF(OR($K2491&gt;11,$K2493&gt;11),ABS($K2491-$K2493)=2,TRUE),$K2491=INT($K2491),$K2493=INT($K2493)),"","Error"),""),"")</f>
        <v/>
      </c>
      <c r="L2489" s="110" t="str">
        <f ca="1">IF($Q2491&lt;&gt;"",IF(AND($L2491&lt;&gt;"",$L2493&lt;&gt;""), IF(AND(AND($L2491&gt;-1,$L2493&gt;-1),OR($L2491&gt;10,$L2493&gt;10),ABS($L2491-$L2493)&gt;1,IF(OR($L2491&gt;11,$L2493&gt;11),ABS($L2491-$L2493)=2,TRUE),$L2491=INT($L2491),$L2493=INT($L2493)),"","Error"),""),"")</f>
        <v/>
      </c>
      <c r="Q2489" s="6"/>
      <c r="R2489" s="85"/>
      <c r="S2489" s="95"/>
      <c r="T2489" s="95"/>
      <c r="U2489" s="95"/>
      <c r="V2489" s="95"/>
      <c r="W2489" s="95"/>
      <c r="X2489" s="95"/>
      <c r="Y2489" s="85"/>
      <c r="Z2489" s="85"/>
      <c r="AA2489" s="85"/>
      <c r="AB2489" s="85"/>
      <c r="AC2489" s="85"/>
      <c r="AD2489" s="85"/>
      <c r="AE2489" s="85"/>
      <c r="AF2489" s="85"/>
    </row>
    <row r="2490" spans="1:32" ht="12.75" customHeight="1" x14ac:dyDescent="0.25">
      <c r="A2490" s="5" t="s">
        <v>160</v>
      </c>
      <c r="B2490" s="256" t="s">
        <v>58</v>
      </c>
      <c r="C2490" s="257"/>
      <c r="D2490" s="257"/>
      <c r="E2490" s="257"/>
      <c r="F2490" s="257"/>
      <c r="G2490" s="258"/>
      <c r="H2490" s="5">
        <v>1</v>
      </c>
      <c r="I2490" s="5">
        <v>2</v>
      </c>
      <c r="J2490" s="5">
        <v>3</v>
      </c>
      <c r="K2490" s="5">
        <v>4</v>
      </c>
      <c r="L2490" s="5">
        <v>5</v>
      </c>
      <c r="M2490" s="270"/>
      <c r="N2490" s="271"/>
      <c r="O2490" s="271"/>
      <c r="P2490" s="272"/>
      <c r="Q2490" s="6"/>
      <c r="T2490" s="7"/>
    </row>
    <row r="2491" spans="1:32" ht="12.75" customHeight="1" x14ac:dyDescent="0.25">
      <c r="A2491" s="259" t="str">
        <f>B2457</f>
        <v>A</v>
      </c>
      <c r="B2491" s="230" t="str">
        <f ca="1">IF($B2463&lt;&gt;"",$B2463,"")</f>
        <v/>
      </c>
      <c r="C2491" s="231"/>
      <c r="D2491" s="231"/>
      <c r="E2491" s="231"/>
      <c r="F2491" s="231"/>
      <c r="G2491" s="232"/>
      <c r="H2491" s="233"/>
      <c r="I2491" s="233"/>
      <c r="J2491" s="233"/>
      <c r="K2491" s="233"/>
      <c r="L2491" s="233" t="str">
        <f ca="1">IF($B2484&lt;&gt;"",IF(AND($B2484="Missing Player",$G2495=2,$J2495=2),0,IF(AND($B2486="Missing Player",$G2495=2,$J2495=2),11,"")),"")</f>
        <v/>
      </c>
      <c r="M2491" s="245" t="str">
        <f ca="1">IF(OR(AND($B2491&lt;&gt;"",$B2492&lt;&gt;"",$B2491=$B2492),AND($B2493&lt;&gt;"",$B2494&lt;&gt;"",$B2493=$B2494)),"Invalid Partner","")</f>
        <v/>
      </c>
      <c r="N2491" s="246"/>
      <c r="O2491" s="246"/>
      <c r="P2491" s="247"/>
      <c r="Q2491" s="37" t="str">
        <f ca="1">IF(L2491=L2493,IF(K2491=K2493,IF(J2491&lt;&gt;"",IF(J2491&gt;J2493,"W","L"),""),IF(K2491&gt;K2493,"W","L")),IF(L2491&gt;L2493,"W","L"))</f>
        <v/>
      </c>
      <c r="T2491" s="7"/>
    </row>
    <row r="2492" spans="1:32" ht="12.75" customHeight="1" x14ac:dyDescent="0.25">
      <c r="A2492" s="260"/>
      <c r="B2492" s="266" t="str">
        <f ca="1">IF($B2484="Missing Player",$B2484,"")</f>
        <v/>
      </c>
      <c r="C2492" s="267"/>
      <c r="D2492" s="267"/>
      <c r="E2492" s="267"/>
      <c r="F2492" s="267"/>
      <c r="G2492" s="268"/>
      <c r="H2492" s="234"/>
      <c r="I2492" s="234"/>
      <c r="J2492" s="234"/>
      <c r="K2492" s="234"/>
      <c r="L2492" s="234"/>
      <c r="M2492" s="245"/>
      <c r="N2492" s="246"/>
      <c r="O2492" s="246"/>
      <c r="P2492" s="247"/>
      <c r="Q2492" s="110" t="str">
        <f ca="1">IF($Q2491&lt;&gt;"",IF($B2494&lt;&gt;"Missing Player",IF($Q2491="W",IF(SUM(IF($H2491&gt;$H2493,1,0),IF($I2491&gt;$I2493,1,0),IF($J2491&gt;$J2493,1,0),IF($K2491&gt;$K2493,1,0),IF($L2491&gt;$L2493,1,0))&lt;&gt;3,"Error",""),""),""),"")</f>
        <v/>
      </c>
      <c r="R2492" s="295" t="str">
        <f>$A2458</f>
        <v/>
      </c>
      <c r="S2492" s="295"/>
      <c r="T2492" s="295"/>
      <c r="U2492" s="295"/>
      <c r="V2492" s="295"/>
      <c r="W2492" s="295"/>
      <c r="X2492" s="219" t="str">
        <f>CONCATENATE("(",$B2457," vs ",$K2457,")")</f>
        <v>(A vs D)</v>
      </c>
      <c r="Y2492" s="219"/>
      <c r="Z2492" s="295" t="str">
        <f>$J2458</f>
        <v/>
      </c>
      <c r="AA2492" s="295"/>
      <c r="AB2492" s="295"/>
      <c r="AC2492" s="295"/>
      <c r="AD2492" s="295"/>
      <c r="AE2492" s="295"/>
      <c r="AF2492"/>
    </row>
    <row r="2493" spans="1:32" ht="12.75" customHeight="1" x14ac:dyDescent="0.25">
      <c r="A2493" s="265" t="str">
        <f>K2457</f>
        <v>D</v>
      </c>
      <c r="B2493" s="230" t="str">
        <f ca="1">IF($B2465&lt;&gt;"",$B2465,"")</f>
        <v/>
      </c>
      <c r="C2493" s="231"/>
      <c r="D2493" s="231"/>
      <c r="E2493" s="231"/>
      <c r="F2493" s="231"/>
      <c r="G2493" s="232"/>
      <c r="H2493" s="233"/>
      <c r="I2493" s="233"/>
      <c r="J2493" s="233"/>
      <c r="K2493" s="233"/>
      <c r="L2493" s="233" t="str">
        <f ca="1">IF($B2486&lt;&gt;"",IF(AND($B2486="Missing Player",$G2495=2,$J2495=2),0,IF(AND($B2484="Missing Player",$G2495=2,$J2495=2),11,"")),"")</f>
        <v/>
      </c>
      <c r="M2493" s="250" t="s">
        <v>169</v>
      </c>
      <c r="N2493" s="251"/>
      <c r="O2493" s="251"/>
      <c r="P2493" s="252"/>
      <c r="Q2493" s="37" t="str">
        <f ca="1">IF(Q2491&lt;&gt;"",IF(Q2491="W","L","W"),"")</f>
        <v/>
      </c>
      <c r="R2493"/>
      <c r="S2493"/>
      <c r="T2493"/>
      <c r="U2493"/>
      <c r="V2493"/>
      <c r="W2493"/>
      <c r="X2493"/>
      <c r="Y2493"/>
      <c r="Z2493"/>
      <c r="AA2493"/>
      <c r="AB2493"/>
      <c r="AC2493"/>
      <c r="AD2493"/>
      <c r="AE2493"/>
      <c r="AF2493"/>
    </row>
    <row r="2494" spans="1:32" ht="12.75" customHeight="1" x14ac:dyDescent="0.25">
      <c r="A2494" s="260"/>
      <c r="B2494" s="266" t="str">
        <f ca="1">IF($B2486="Missing Player",$B2486,"")</f>
        <v/>
      </c>
      <c r="C2494" s="267"/>
      <c r="D2494" s="267"/>
      <c r="E2494" s="267"/>
      <c r="F2494" s="267"/>
      <c r="G2494" s="268"/>
      <c r="H2494" s="234"/>
      <c r="I2494" s="234"/>
      <c r="J2494" s="235"/>
      <c r="K2494" s="235"/>
      <c r="L2494" s="235"/>
      <c r="M2494" s="250"/>
      <c r="N2494" s="251"/>
      <c r="O2494" s="251"/>
      <c r="P2494" s="252"/>
      <c r="Q2494" s="110" t="str">
        <f ca="1">IF($Q2493&lt;&gt;"",IF($B2492&lt;&gt;"Missing Player",IF($Q2493="W",IF(SUM(IF($H2493&gt;$H2491,1,0),IF($I2493&gt;$I2491,1,0),IF($J2493&gt;$J2491,1,0),IF($K2493&gt;$K2491,1,0),IF($L2493&gt;$L2491,1,0))&lt;&gt;3,"Error",""),""),""),"")</f>
        <v/>
      </c>
      <c r="R2494" t="str">
        <f>A2482</f>
        <v>4th Singles</v>
      </c>
      <c r="S2494"/>
      <c r="T2494"/>
      <c r="U2494"/>
      <c r="V2494"/>
      <c r="W2494"/>
      <c r="X2494"/>
      <c r="Y2494"/>
      <c r="Z2494"/>
      <c r="AA2494"/>
      <c r="AB2494"/>
      <c r="AC2494"/>
      <c r="AD2494"/>
      <c r="AE2494"/>
      <c r="AF2494"/>
    </row>
    <row r="2495" spans="1:32" ht="12.75" customHeight="1" x14ac:dyDescent="0.25">
      <c r="G2495" s="53">
        <f ca="1">COUNTIF($Q2463:$Q2463,"W")+COUNTIF($Q2470:$Q2470,"W")+COUNTIF($Q2477:$Q2477,"W")+COUNTIF($Q2484:$Q2484,"W")</f>
        <v>0</v>
      </c>
      <c r="J2495" s="53">
        <f ca="1">COUNTIF($Q2465:$Q2465,"W")+COUNTIF($Q2472:$Q2472,"W")+COUNTIF($Q2479:$Q2479,"W")+COUNTIF($Q2486:$Q2486,"W")</f>
        <v>0</v>
      </c>
      <c r="R2495" s="47" t="s">
        <v>160</v>
      </c>
      <c r="S2495" s="304" t="s">
        <v>58</v>
      </c>
      <c r="T2495" s="305"/>
      <c r="U2495" s="305"/>
      <c r="V2495" s="305"/>
      <c r="W2495" s="305"/>
      <c r="X2495" s="306"/>
      <c r="Y2495" s="47">
        <v>1</v>
      </c>
      <c r="Z2495" s="47">
        <v>2</v>
      </c>
      <c r="AA2495" s="47">
        <v>3</v>
      </c>
      <c r="AB2495" s="47">
        <v>4</v>
      </c>
      <c r="AC2495" s="47">
        <v>5</v>
      </c>
      <c r="AD2495" s="286"/>
      <c r="AE2495" s="287"/>
      <c r="AF2495" s="288"/>
    </row>
    <row r="2496" spans="1:32" ht="12.75" customHeight="1" thickBot="1" x14ac:dyDescent="0.3">
      <c r="F2496" s="212" t="s">
        <v>170</v>
      </c>
      <c r="G2496" s="212"/>
      <c r="H2496" s="212"/>
      <c r="I2496" s="212"/>
      <c r="J2496" s="212"/>
      <c r="K2496" s="212"/>
      <c r="R2496" s="259" t="str">
        <f>B2457</f>
        <v>A</v>
      </c>
      <c r="S2496" s="307" t="str">
        <f ca="1">IF($B2484&lt;&gt;"",$B2484,"")</f>
        <v/>
      </c>
      <c r="T2496" s="308"/>
      <c r="U2496" s="308"/>
      <c r="V2496" s="308"/>
      <c r="W2496" s="308"/>
      <c r="X2496" s="309"/>
      <c r="Y2496" s="284"/>
      <c r="Z2496" s="284"/>
      <c r="AA2496" s="297"/>
      <c r="AB2496" s="297"/>
      <c r="AC2496" s="297"/>
      <c r="AD2496" s="296"/>
      <c r="AE2496" s="298"/>
      <c r="AF2496" s="299"/>
    </row>
    <row r="2497" spans="1:32" ht="12.75" customHeight="1" x14ac:dyDescent="0.25">
      <c r="A2497" s="16"/>
      <c r="B2497" s="16"/>
      <c r="C2497" s="16"/>
      <c r="D2497" s="16"/>
      <c r="E2497" s="16"/>
      <c r="G2497" s="261" t="str">
        <f>B2457</f>
        <v>A</v>
      </c>
      <c r="H2497" s="262"/>
      <c r="I2497" s="263" t="str">
        <f>K2457</f>
        <v>D</v>
      </c>
      <c r="J2497" s="264"/>
      <c r="L2497" s="16"/>
      <c r="M2497" s="16"/>
      <c r="N2497" s="16"/>
      <c r="O2497" s="16"/>
      <c r="P2497" s="16"/>
      <c r="R2497" s="260"/>
      <c r="S2497" s="310"/>
      <c r="T2497" s="311"/>
      <c r="U2497" s="311"/>
      <c r="V2497" s="311"/>
      <c r="W2497" s="311"/>
      <c r="X2497" s="312"/>
      <c r="Y2497" s="285"/>
      <c r="Z2497" s="285"/>
      <c r="AA2497" s="303"/>
      <c r="AB2497" s="303"/>
      <c r="AC2497" s="303"/>
      <c r="AD2497" s="300"/>
      <c r="AE2497" s="301"/>
      <c r="AF2497" s="302"/>
    </row>
    <row r="2498" spans="1:32" ht="12.75" customHeight="1" thickBot="1" x14ac:dyDescent="0.3">
      <c r="A2498" s="2" t="s">
        <v>160</v>
      </c>
      <c r="B2498" s="40" t="str">
        <f>B2457</f>
        <v>A</v>
      </c>
      <c r="C2498" s="3" t="s">
        <v>158</v>
      </c>
      <c r="F2498" s="53" t="str">
        <f>CONCATENATE($B2457,"-",$K2457)</f>
        <v>A-D</v>
      </c>
      <c r="G2498" s="240" t="str">
        <f ca="1">IF(OR(Q2463&lt;&gt;"",Q2470&lt;&gt;"",Q2477&lt;&gt;"",Q2484&lt;&gt;"",Q2491&lt;&gt;""),COUNTIF(Q2463:Q2463,"W")+COUNTIF(Q2470:Q2470,"W")+COUNTIF(Q2477:Q2477,"W")+COUNTIF(Q2484:Q2484,"W")+COUNTIF(Q2491:Q2491,"W"),"")</f>
        <v/>
      </c>
      <c r="H2498" s="241"/>
      <c r="I2498" s="242" t="str">
        <f ca="1">IF(OR(Q2465&lt;&gt;"",Q2472&lt;&gt;"",Q2479&lt;&gt;"",Q2486&lt;&gt;"",Q2493&lt;&gt;""),COUNTIF(Q2465:Q2465,"W")+COUNTIF(Q2472:Q2472,"W")+COUNTIF(Q2479:Q2479,"W")+COUNTIF(Q2486:Q2486,"W")+COUNTIF(Q2493:Q2493,"W"),"")</f>
        <v/>
      </c>
      <c r="J2498" s="243"/>
      <c r="L2498" s="2" t="s">
        <v>160</v>
      </c>
      <c r="M2498" s="40" t="str">
        <f>K2457</f>
        <v>D</v>
      </c>
      <c r="N2498" s="3" t="s">
        <v>158</v>
      </c>
      <c r="R2498" s="259" t="str">
        <f>K2457</f>
        <v>D</v>
      </c>
      <c r="S2498" s="307" t="str">
        <f ca="1">IF($B2486&lt;&gt;"",$B2486,"")</f>
        <v/>
      </c>
      <c r="T2498" s="308"/>
      <c r="U2498" s="308"/>
      <c r="V2498" s="308"/>
      <c r="W2498" s="308"/>
      <c r="X2498" s="309"/>
      <c r="Y2498" s="284"/>
      <c r="Z2498" s="284"/>
      <c r="AA2498" s="297"/>
      <c r="AB2498" s="297"/>
      <c r="AC2498" s="297"/>
      <c r="AD2498" s="289" t="s">
        <v>169</v>
      </c>
      <c r="AE2498" s="290"/>
      <c r="AF2498" s="291"/>
    </row>
    <row r="2499" spans="1:32" ht="12.75" customHeight="1" x14ac:dyDescent="0.35">
      <c r="F2499" s="18" t="s">
        <v>403</v>
      </c>
      <c r="G2499" s="17"/>
      <c r="H2499" s="17"/>
      <c r="I2499" s="17"/>
      <c r="J2499" s="17"/>
      <c r="R2499" s="285"/>
      <c r="S2499" s="310"/>
      <c r="T2499" s="311"/>
      <c r="U2499" s="311"/>
      <c r="V2499" s="311"/>
      <c r="W2499" s="311"/>
      <c r="X2499" s="312"/>
      <c r="Y2499" s="285"/>
      <c r="Z2499" s="285"/>
      <c r="AA2499" s="285"/>
      <c r="AB2499" s="285"/>
      <c r="AC2499" s="285"/>
      <c r="AD2499" s="292"/>
      <c r="AE2499" s="293"/>
      <c r="AF2499" s="294"/>
    </row>
    <row r="2500" spans="1:32" ht="12.75" customHeight="1" x14ac:dyDescent="0.25">
      <c r="R2500" s="1"/>
      <c r="S2500" s="11"/>
      <c r="T2500" s="11"/>
      <c r="U2500" s="11"/>
      <c r="V2500" s="11"/>
      <c r="W2500" s="11"/>
    </row>
    <row r="2501" spans="1:32" ht="12.75" customHeight="1" x14ac:dyDescent="0.25">
      <c r="F2501" s="212"/>
      <c r="G2501" s="212"/>
      <c r="H2501" s="212"/>
      <c r="I2501" s="212"/>
      <c r="R2501" s="1"/>
      <c r="S2501" s="11"/>
      <c r="T2501" s="11"/>
      <c r="U2501" s="11"/>
      <c r="V2501" s="11"/>
      <c r="W2501" s="11"/>
    </row>
    <row r="2502" spans="1:32" ht="12.75" customHeight="1" x14ac:dyDescent="0.25">
      <c r="F2502" s="212"/>
      <c r="G2502" s="212"/>
      <c r="H2502" s="212"/>
      <c r="I2502" s="212"/>
      <c r="R2502" s="1"/>
      <c r="S2502" s="11"/>
      <c r="T2502" s="11"/>
      <c r="U2502" s="11"/>
      <c r="V2502" s="11"/>
      <c r="W2502" s="11"/>
    </row>
    <row r="2503" spans="1:32" ht="12.75" customHeight="1" x14ac:dyDescent="0.25">
      <c r="K2503" s="219" t="s">
        <v>176</v>
      </c>
      <c r="L2503" s="219"/>
      <c r="M2503" s="219"/>
      <c r="N2503" s="219"/>
      <c r="O2503" s="219"/>
      <c r="P2503" s="219"/>
      <c r="R2503" s="1"/>
      <c r="S2503" s="11"/>
      <c r="T2503" s="11"/>
      <c r="U2503" s="11"/>
      <c r="V2503" s="11"/>
      <c r="W2503" s="11"/>
    </row>
    <row r="2504" spans="1:32" ht="12.75" customHeight="1" x14ac:dyDescent="0.25">
      <c r="A2504" s="9" t="s">
        <v>161</v>
      </c>
      <c r="B2504"/>
      <c r="C2504"/>
      <c r="D2504" t="str">
        <f>Draw!$B$1</f>
        <v>Enter Division Name</v>
      </c>
      <c r="E2504"/>
      <c r="F2504" s="6"/>
      <c r="G2504" s="6"/>
      <c r="H2504" s="6"/>
      <c r="I2504"/>
      <c r="J2504"/>
      <c r="K2504"/>
      <c r="L2504"/>
      <c r="M2504" s="219"/>
      <c r="N2504" s="219"/>
      <c r="O2504" s="219"/>
      <c r="P2504" s="219"/>
      <c r="R2504" s="1"/>
      <c r="S2504" s="11"/>
      <c r="T2504" s="11"/>
      <c r="U2504" s="11"/>
      <c r="V2504" s="11"/>
      <c r="W2504" s="11"/>
    </row>
    <row r="2505" spans="1:32" ht="12.75" customHeight="1" x14ac:dyDescent="0.25">
      <c r="A2505" s="2" t="s">
        <v>162</v>
      </c>
      <c r="D2505" t="str">
        <f>Draw!$D$1</f>
        <v>Enter Hosting Location (City, ST)</v>
      </c>
      <c r="J2505" t="str">
        <f ca="1">$J$6</f>
        <v>[NCTTA Teams Template (v3.4).xlsx]</v>
      </c>
      <c r="R2505" s="1"/>
      <c r="S2505" s="11"/>
      <c r="T2505" s="11"/>
      <c r="U2505" s="11"/>
      <c r="V2505" s="11"/>
      <c r="W2505" s="11"/>
    </row>
    <row r="2506" spans="1:32" ht="12.75" customHeight="1" x14ac:dyDescent="0.25">
      <c r="A2506" s="2" t="s">
        <v>163</v>
      </c>
      <c r="D2506" s="275" t="str">
        <f>Draw!$P$1</f>
        <v>Enter Date</v>
      </c>
      <c r="E2506" s="275"/>
      <c r="F2506" s="275"/>
      <c r="G2506" s="275"/>
      <c r="J2506" s="244" t="str">
        <f>CHOOSE(Draw!$T$1,"Round 9, Match 2","","","","","","","","","","Round 10, Match 5")</f>
        <v>Round 9, Match 2</v>
      </c>
      <c r="K2506" s="244"/>
      <c r="L2506" s="244"/>
      <c r="M2506" s="277" t="str">
        <f>IF(AND($J2506&lt;&gt;"",Draw!$AC$10&lt;&gt;"",Draw!$AC$13&lt;&gt;""),Draw!$AC$10+TIME(0,VALUE(MID($J2506,7,FIND(",",$J2506)-FIND(" ",$J2506)-1)-1)*Draw!$AC$13,0),"")</f>
        <v/>
      </c>
      <c r="N2506" s="277"/>
      <c r="O2506" s="125" t="str">
        <f>$F2549</f>
        <v>C-E</v>
      </c>
      <c r="R2506" s="1"/>
      <c r="S2506" s="11"/>
      <c r="T2506" s="11"/>
      <c r="U2506" s="11"/>
      <c r="V2506" s="11"/>
      <c r="W2506" s="11"/>
    </row>
    <row r="2507" spans="1:32" ht="12.75" customHeight="1" x14ac:dyDescent="0.25">
      <c r="A2507" s="6"/>
      <c r="B2507"/>
      <c r="C2507"/>
      <c r="D2507"/>
      <c r="E2507"/>
      <c r="F2507" s="6"/>
      <c r="G2507" s="6"/>
      <c r="H2507" s="11"/>
      <c r="I2507" s="6"/>
      <c r="J2507"/>
      <c r="K2507"/>
      <c r="L2507"/>
      <c r="M2507"/>
      <c r="N2507"/>
      <c r="O2507" s="269" t="str">
        <f>IF(OR(AND(VLOOKUP($B2508,$AM$1:$AX$12,12,FALSE)="C",VLOOKUP($K2508,$AM$1:$AX$12,12,FALSE)="C"),AND(VLOOKUP($B2508,$AM$1:$AX$12,12,FALSE)="W",VLOOKUP($K2508,$AM$1:$AX$12,12,FALSE)="W")),"Official",IF(AND($A2509="",$J2509=""),"","Scrimmage"))</f>
        <v/>
      </c>
      <c r="P2507" s="269"/>
      <c r="R2507" s="1"/>
      <c r="S2507" s="11"/>
      <c r="T2507" s="11"/>
      <c r="U2507" s="11"/>
      <c r="V2507" s="11"/>
      <c r="W2507" s="11"/>
    </row>
    <row r="2508" spans="1:32" ht="12.75" customHeight="1" x14ac:dyDescent="0.25">
      <c r="A2508" s="12" t="s">
        <v>160</v>
      </c>
      <c r="B2508" s="98" t="str">
        <f>CHOOSE(Draw!$T$1,"C","D","D","E","F","F","F","F","E","C","H")</f>
        <v>C</v>
      </c>
      <c r="C2508" s="109">
        <f>VLOOKUP($B2508,$AM$1:$AN$12,2)</f>
        <v>3</v>
      </c>
      <c r="D2508" s="10"/>
      <c r="E2508" s="10"/>
      <c r="F2508" s="8"/>
      <c r="H2508" s="1" t="s">
        <v>164</v>
      </c>
      <c r="J2508" s="12" t="s">
        <v>160</v>
      </c>
      <c r="K2508" s="98" t="str">
        <f>CHOOSE(Draw!$T$1,"E","H","L","K","K","K","K","J","K","K","I")</f>
        <v>E</v>
      </c>
      <c r="L2508" s="109">
        <f>VLOOKUP($K2508,$AM$1:$AN$12,2)</f>
        <v>5</v>
      </c>
      <c r="M2508" s="10"/>
      <c r="N2508" s="10"/>
      <c r="O2508" s="13"/>
      <c r="R2508" s="1"/>
      <c r="S2508" s="11"/>
      <c r="T2508" s="11"/>
      <c r="U2508" s="11"/>
      <c r="V2508" s="11"/>
      <c r="W2508" s="11"/>
    </row>
    <row r="2509" spans="1:32" ht="12.75" customHeight="1" x14ac:dyDescent="0.25">
      <c r="A2509" s="253" t="str">
        <f>IF(VLOOKUP($B2508,Draw!$A$4:$B$27,2)&lt;&gt;0,VLOOKUP($B2508,Draw!$A$4:$B$27,2),"")</f>
        <v/>
      </c>
      <c r="B2509" s="254"/>
      <c r="C2509" s="254"/>
      <c r="D2509" s="254"/>
      <c r="E2509" s="254"/>
      <c r="F2509" s="255"/>
      <c r="G2509" s="273" t="s">
        <v>453</v>
      </c>
      <c r="H2509" s="249"/>
      <c r="I2509" s="274"/>
      <c r="J2509" s="253" t="str">
        <f>IF(VLOOKUP($K2508,Draw!$A$4:$B$27,2)&lt;&gt;0,VLOOKUP($K2508,Draw!$A$4:$B$27,2),"")</f>
        <v/>
      </c>
      <c r="K2509" s="254"/>
      <c r="L2509" s="254"/>
      <c r="M2509" s="254"/>
      <c r="N2509" s="254"/>
      <c r="O2509" s="255"/>
      <c r="P2509"/>
      <c r="R2509" s="1"/>
      <c r="S2509" s="11"/>
      <c r="T2509" s="11"/>
      <c r="U2509" s="11"/>
      <c r="V2509" s="11"/>
      <c r="W2509" s="11"/>
    </row>
    <row r="2510" spans="1:32" ht="12.75" customHeight="1" x14ac:dyDescent="0.25">
      <c r="A2510" s="6"/>
      <c r="B2510"/>
      <c r="C2510"/>
      <c r="D2510"/>
      <c r="E2510"/>
      <c r="F2510" s="6"/>
      <c r="G2510" s="248" t="str">
        <f>"Page "&amp;VALUE(RIGHT($G2509,LEN($G2509)-SEARCH("-",$G2509)))/2</f>
        <v>Page 50</v>
      </c>
      <c r="H2510" s="249"/>
      <c r="I2510" s="249"/>
      <c r="J2510"/>
      <c r="K2510"/>
      <c r="L2510"/>
      <c r="M2510"/>
      <c r="N2510"/>
      <c r="O2510"/>
      <c r="P2510"/>
      <c r="R2510" s="1"/>
      <c r="S2510" s="11"/>
      <c r="T2510" s="11"/>
      <c r="U2510" s="11"/>
      <c r="V2510" s="11"/>
      <c r="W2510" s="11"/>
      <c r="AF2510"/>
    </row>
    <row r="2511" spans="1:32" ht="12.75" customHeight="1" x14ac:dyDescent="0.25">
      <c r="A2511" s="276" t="s">
        <v>177</v>
      </c>
      <c r="B2511" s="276"/>
      <c r="C2511" s="276"/>
      <c r="D2511" s="276"/>
      <c r="E2511" s="276"/>
      <c r="F2511" s="276"/>
      <c r="G2511" s="276"/>
      <c r="H2511" s="276"/>
      <c r="I2511" s="276"/>
      <c r="J2511" s="276"/>
      <c r="K2511" s="276"/>
      <c r="L2511" s="276"/>
      <c r="M2511" s="276"/>
      <c r="N2511" s="276"/>
      <c r="O2511" s="276"/>
      <c r="P2511" s="276"/>
      <c r="Q2511" s="6"/>
      <c r="R2511" s="1"/>
      <c r="S2511" s="11"/>
      <c r="T2511" s="11"/>
      <c r="U2511" s="11"/>
      <c r="V2511" s="11"/>
      <c r="W2511" s="11"/>
      <c r="AF2511" s="14"/>
    </row>
    <row r="2512" spans="1:32" ht="12.75" customHeight="1" x14ac:dyDescent="0.25">
      <c r="A2512" s="15" t="s">
        <v>165</v>
      </c>
      <c r="H2512" s="110" t="str">
        <f>IF($Q2514&lt;&gt;"",IF(AND(AND($H2514&gt;-1,$H2516&gt;-1),OR($H2514&gt;10,$H2516&gt;10),ABS($H2514-$H2516)&gt;1,IF(OR($H2514&gt;11,$H2516&gt;11),ABS($H2514-$H2516)=2,TRUE),$H2514=INT($H2514),$H2516=INT($H2516)),"","Error"),"")</f>
        <v/>
      </c>
      <c r="I2512" s="110" t="str">
        <f>IF($Q2514&lt;&gt;"",IF(AND(AND($I2514&gt;-1,$I2516&gt;-1),OR($I2514&gt;10,$I2516&gt;10),ABS($I2514-$I2516)&gt;1,IF(OR($I2514&gt;11,$I2516&gt;11),ABS($I2514-$I2516)=2,TRUE),$I2514=INT($I2514),$I2516=INT($I2516)),"","Error"),"")</f>
        <v/>
      </c>
      <c r="J2512" s="110" t="str">
        <f>IF($Q2514&lt;&gt;"",IF(AND(AND($J2514&gt;-1,$J2516&gt;-1),OR($J2514&gt;10,$J2516&gt;10),ABS($J2514-$J2516)&gt;1,IF(OR($J2514&gt;11,$J2516&gt;11),ABS($J2514-$J2516)=2,TRUE),$J2514=INT($J2514),$J2516=INT($J2516)),"","Error"),"")</f>
        <v/>
      </c>
      <c r="K2512" s="110" t="str">
        <f>IF($Q2514&lt;&gt;"",IF(AND($K2514&lt;&gt;"",$K2516&lt;&gt;""), IF(AND(AND($K2514&gt;-1,$K2516&gt;-1),OR($K2514&gt;10,$K2516&gt;10),ABS($K2514-$K2516)&gt;1,IF(OR($K2514&gt;11,$K2516&gt;11),ABS($K2514-$K2516)=2,TRUE),$K2514=INT($K2514),$K2516=INT($K2516)),"","Error"),""),"")</f>
        <v/>
      </c>
      <c r="L2512" s="110" t="str">
        <f>IF($Q2514&lt;&gt;"",IF(AND($L2514&lt;&gt;"",$L2516&lt;&gt;""), IF(AND(AND($L2514&gt;-1,$L2516&gt;-1),OR($L2514&gt;10,$L2516&gt;10),ABS($L2514-$L2516)&gt;1,IF(OR($L2514&gt;11,$L2516&gt;11),ABS($L2514-$L2516)=2,TRUE),$L2514=INT($L2514),$L2516=INT($L2516)),"","Error"),""),"")</f>
        <v/>
      </c>
      <c r="R2512" s="1"/>
      <c r="S2512" s="11"/>
      <c r="T2512" s="11"/>
      <c r="U2512" s="11"/>
      <c r="V2512" s="11"/>
      <c r="W2512" s="11"/>
    </row>
    <row r="2513" spans="1:32" ht="12.75" customHeight="1" x14ac:dyDescent="0.25">
      <c r="A2513" s="5" t="s">
        <v>160</v>
      </c>
      <c r="B2513" s="256" t="s">
        <v>58</v>
      </c>
      <c r="C2513" s="257"/>
      <c r="D2513" s="257"/>
      <c r="E2513" s="257"/>
      <c r="F2513" s="257"/>
      <c r="G2513" s="258"/>
      <c r="H2513" s="5">
        <v>1</v>
      </c>
      <c r="I2513" s="5">
        <v>2</v>
      </c>
      <c r="J2513" s="5">
        <v>3</v>
      </c>
      <c r="K2513" s="5">
        <v>4</v>
      </c>
      <c r="L2513" s="5">
        <v>5</v>
      </c>
      <c r="M2513" s="270"/>
      <c r="N2513" s="271"/>
      <c r="O2513" s="271"/>
      <c r="P2513" s="272"/>
      <c r="R2513" s="1"/>
      <c r="S2513" s="11"/>
      <c r="T2513" s="11"/>
      <c r="U2513" s="11"/>
      <c r="V2513" s="11"/>
      <c r="W2513" s="11"/>
    </row>
    <row r="2514" spans="1:32" ht="12.75" customHeight="1" x14ac:dyDescent="0.25">
      <c r="A2514" s="259" t="str">
        <f>B2508</f>
        <v>C</v>
      </c>
      <c r="B2514" s="236" t="str">
        <f ca="1">IF(AND(OFFSET($AO$1,$C2508-1,8,1,1),$A2509&lt;&gt;"",$J2509&lt;&gt;""),CHOOSE($C2508,$AO$1,$AO$2,$AO$3,$AO$4,$AO$5,$AO$6,$AO$7,$AO$8,$AO$9,$AO$10,$AO$11,$AO$12),"")</f>
        <v/>
      </c>
      <c r="C2514" s="237"/>
      <c r="D2514" s="237"/>
      <c r="E2514" s="237"/>
      <c r="F2514" s="237"/>
      <c r="G2514" s="237"/>
      <c r="H2514" s="233"/>
      <c r="I2514" s="233"/>
      <c r="J2514" s="233"/>
      <c r="K2514" s="233"/>
      <c r="L2514" s="233"/>
      <c r="M2514" s="281"/>
      <c r="N2514" s="282"/>
      <c r="O2514" s="282"/>
      <c r="P2514" s="283"/>
      <c r="Q2514" s="40" t="str">
        <f>IF($L2514=$L2516,IF($K2514=$K2516,IF($J2514&lt;&gt;"",IF($J2514&gt;$J2516,"W","L"),""),IF($K2514&gt;$K2516,"W","L")),IF($L2514&gt;$L2516,"W","L"))</f>
        <v/>
      </c>
      <c r="R2514" s="1"/>
      <c r="S2514" s="11"/>
      <c r="T2514" s="11"/>
      <c r="U2514" s="11"/>
      <c r="V2514" s="11"/>
      <c r="W2514" s="11"/>
    </row>
    <row r="2515" spans="1:32" ht="12.75" customHeight="1" x14ac:dyDescent="0.25">
      <c r="A2515" s="260"/>
      <c r="B2515" s="238"/>
      <c r="C2515" s="239"/>
      <c r="D2515" s="239"/>
      <c r="E2515" s="239"/>
      <c r="F2515" s="239"/>
      <c r="G2515" s="239"/>
      <c r="H2515" s="234"/>
      <c r="I2515" s="234"/>
      <c r="J2515" s="234"/>
      <c r="K2515" s="234"/>
      <c r="L2515" s="234"/>
      <c r="M2515" s="281"/>
      <c r="N2515" s="282"/>
      <c r="O2515" s="282"/>
      <c r="P2515" s="283"/>
      <c r="Q2515" s="110" t="str">
        <f>IF($Q2514&lt;&gt;"",IF($Q2514="W",IF(SUM(IF($H2514&gt;$H2516,1,0),IF($I2514&gt;$I2516,1,0),IF($J2514&gt;$J2516,1,0),IF($K2514&gt;$K2516,1,0),IF($L2514&gt;$L2516,1,0))&lt;&gt;3,"Error",""),""),"")</f>
        <v/>
      </c>
      <c r="R2515" s="295" t="str">
        <f>$A2509</f>
        <v/>
      </c>
      <c r="S2515" s="295"/>
      <c r="T2515" s="295"/>
      <c r="U2515" s="295"/>
      <c r="V2515" s="295"/>
      <c r="W2515" s="295"/>
      <c r="X2515" s="219" t="str">
        <f>CONCATENATE("(",$B2508," vs ",$K2508,")")</f>
        <v>(C vs E)</v>
      </c>
      <c r="Y2515" s="219"/>
      <c r="Z2515" s="295" t="str">
        <f>$J2509</f>
        <v/>
      </c>
      <c r="AA2515" s="295"/>
      <c r="AB2515" s="295"/>
      <c r="AC2515" s="295"/>
      <c r="AD2515" s="295"/>
      <c r="AE2515" s="295"/>
      <c r="AF2515"/>
    </row>
    <row r="2516" spans="1:32" ht="12.75" customHeight="1" x14ac:dyDescent="0.25">
      <c r="A2516" s="259" t="str">
        <f>K2508</f>
        <v>E</v>
      </c>
      <c r="B2516" s="236" t="str">
        <f ca="1">IF(AND(OFFSET($AO$1,$L2508-1,8,1,1),$A2509&lt;&gt;"",$J2509&lt;&gt;""),CHOOSE($L2508,$AO$1,$AO$2,$AO$3,$AO$4,$AO$5,$AO$6,$AO$7,$AO$8,$AO$9,$AO$10,$AO$11,$AO$12),"")</f>
        <v/>
      </c>
      <c r="C2516" s="237"/>
      <c r="D2516" s="237"/>
      <c r="E2516" s="237"/>
      <c r="F2516" s="237"/>
      <c r="G2516" s="237"/>
      <c r="H2516" s="233"/>
      <c r="I2516" s="233"/>
      <c r="J2516" s="233"/>
      <c r="K2516" s="233"/>
      <c r="L2516" s="233"/>
      <c r="M2516" s="250" t="s">
        <v>169</v>
      </c>
      <c r="N2516" s="251"/>
      <c r="O2516" s="251"/>
      <c r="P2516" s="252"/>
      <c r="Q2516" s="40" t="str">
        <f>IF($Q2514&lt;&gt;"",IF($Q2514="W","L","W"),"")</f>
        <v/>
      </c>
      <c r="R2516"/>
      <c r="S2516"/>
      <c r="T2516"/>
      <c r="U2516"/>
      <c r="V2516"/>
      <c r="W2516"/>
      <c r="X2516"/>
      <c r="Y2516"/>
      <c r="Z2516"/>
      <c r="AA2516"/>
      <c r="AB2516"/>
      <c r="AC2516"/>
      <c r="AD2516"/>
      <c r="AE2516"/>
      <c r="AF2516"/>
    </row>
    <row r="2517" spans="1:32" ht="12.75" customHeight="1" x14ac:dyDescent="0.25">
      <c r="A2517" s="260"/>
      <c r="B2517" s="238"/>
      <c r="C2517" s="239"/>
      <c r="D2517" s="239"/>
      <c r="E2517" s="239"/>
      <c r="F2517" s="239"/>
      <c r="G2517" s="239"/>
      <c r="H2517" s="234"/>
      <c r="I2517" s="234"/>
      <c r="J2517" s="235"/>
      <c r="K2517" s="235"/>
      <c r="L2517" s="235"/>
      <c r="M2517" s="250"/>
      <c r="N2517" s="251"/>
      <c r="O2517" s="251"/>
      <c r="P2517" s="252"/>
      <c r="Q2517" s="110" t="str">
        <f>IF($Q2516&lt;&gt;"",IF($Q2516="W",IF(SUM(IF($H2516&gt;$H2514,1,0),IF($I2516&gt;$I2514,1,0),IF($J2516&gt;$J2514,1,0),IF($K2516&gt;$K2514,1,0),IF($L2516&gt;$L2514,1,0))&lt;&gt;3,"Error",""),""),"")</f>
        <v/>
      </c>
      <c r="R2517" t="str">
        <f>$A2519</f>
        <v>2nd Singles</v>
      </c>
      <c r="S2517"/>
      <c r="T2517"/>
      <c r="U2517"/>
      <c r="V2517"/>
      <c r="W2517"/>
      <c r="X2517"/>
      <c r="Y2517"/>
      <c r="Z2517"/>
      <c r="AA2517"/>
      <c r="AB2517"/>
      <c r="AC2517"/>
      <c r="AD2517"/>
      <c r="AE2517"/>
      <c r="AF2517"/>
    </row>
    <row r="2518" spans="1:32" ht="12.75" customHeight="1" x14ac:dyDescent="0.25">
      <c r="Q2518" s="6"/>
      <c r="R2518" s="47" t="s">
        <v>160</v>
      </c>
      <c r="S2518" s="304" t="s">
        <v>58</v>
      </c>
      <c r="T2518" s="305"/>
      <c r="U2518" s="305"/>
      <c r="V2518" s="305"/>
      <c r="W2518" s="305"/>
      <c r="X2518" s="306"/>
      <c r="Y2518" s="47">
        <v>1</v>
      </c>
      <c r="Z2518" s="47">
        <v>2</v>
      </c>
      <c r="AA2518" s="47">
        <v>3</v>
      </c>
      <c r="AB2518" s="47">
        <v>4</v>
      </c>
      <c r="AC2518" s="47">
        <v>5</v>
      </c>
      <c r="AD2518" s="286"/>
      <c r="AE2518" s="287"/>
      <c r="AF2518" s="288"/>
    </row>
    <row r="2519" spans="1:32" ht="12.75" customHeight="1" x14ac:dyDescent="0.25">
      <c r="A2519" s="15" t="s">
        <v>166</v>
      </c>
      <c r="H2519" s="110" t="str">
        <f>IF($Q2521&lt;&gt;"",IF(AND(AND($H2521&gt;-1,$H2523&gt;-1),OR($H2521&gt;10,$H2523&gt;10),ABS($H2521-$H2523)&gt;1,IF(OR($H2521&gt;11,$H2523&gt;11),ABS($H2521-$H2523)=2,TRUE),$H2521=INT($H2521),$H2523=INT($H2523)),"","Error"),"")</f>
        <v/>
      </c>
      <c r="I2519" s="110" t="str">
        <f>IF($Q2521&lt;&gt;"",IF(AND(AND($I2521&gt;-1,$I2523&gt;-1),OR($I2521&gt;10,$I2523&gt;10),ABS($I2521-$I2523)&gt;1,IF(OR($I2521&gt;11,$I2523&gt;11),ABS($I2521-$I2523)=2,TRUE),$I2521=INT($I2521),$I2523=INT($I2523)),"","Error"),"")</f>
        <v/>
      </c>
      <c r="J2519" s="110" t="str">
        <f>IF($Q2521&lt;&gt;"",IF(AND(AND($J2521&gt;-1,$J2523&gt;-1),OR($J2521&gt;10,$J2523&gt;10),ABS($J2521-$J2523)&gt;1,IF(OR($J2521&gt;11,$J2523&gt;11),ABS($J2521-$J2523)=2,TRUE),$J2521=INT($J2521),$J2523=INT($J2523)),"","Error"),"")</f>
        <v/>
      </c>
      <c r="K2519" s="110" t="str">
        <f>IF($Q2521&lt;&gt;"",IF(AND($K2521&lt;&gt;"",$K2523&lt;&gt;""), IF(AND(AND($K2521&gt;-1,$K2523&gt;-1),OR($K2521&gt;10,$K2523&gt;10),ABS($K2521-$K2523)&gt;1,IF(OR($K2521&gt;11,$K2523&gt;11),ABS($K2521-$K2523)=2,TRUE),$K2521=INT($K2521),$K2523=INT($K2523)),"","Error"),""),"")</f>
        <v/>
      </c>
      <c r="L2519" s="110" t="str">
        <f>IF($Q2521&lt;&gt;"",IF(AND($L2521&lt;&gt;"",$L2523&lt;&gt;""), IF(AND(AND($L2521&gt;-1,$L2523&gt;-1),OR($L2521&gt;10,$L2523&gt;10),ABS($L2521-$L2523)&gt;1,IF(OR($L2521&gt;11,$L2523&gt;11),ABS($L2521-$L2523)=2,TRUE),$L2521=INT($L2521),$L2523=INT($L2523)),"","Error"),""),"")</f>
        <v/>
      </c>
      <c r="Q2519" s="6"/>
      <c r="R2519" s="259" t="str">
        <f>$B2508</f>
        <v>C</v>
      </c>
      <c r="S2519" s="307" t="str">
        <f ca="1">IF($B2521&lt;&gt;"",$B2521,"")</f>
        <v/>
      </c>
      <c r="T2519" s="308"/>
      <c r="U2519" s="308"/>
      <c r="V2519" s="308"/>
      <c r="W2519" s="308"/>
      <c r="X2519" s="309"/>
      <c r="Y2519" s="284"/>
      <c r="Z2519" s="284"/>
      <c r="AA2519" s="284"/>
      <c r="AB2519" s="284"/>
      <c r="AC2519" s="284"/>
      <c r="AD2519" s="296"/>
      <c r="AE2519" s="290"/>
      <c r="AF2519" s="291"/>
    </row>
    <row r="2520" spans="1:32" ht="12.75" customHeight="1" x14ac:dyDescent="0.25">
      <c r="A2520" s="5" t="s">
        <v>160</v>
      </c>
      <c r="B2520" s="256" t="s">
        <v>58</v>
      </c>
      <c r="C2520" s="257"/>
      <c r="D2520" s="257"/>
      <c r="E2520" s="257"/>
      <c r="F2520" s="257"/>
      <c r="G2520" s="258"/>
      <c r="H2520" s="5">
        <v>1</v>
      </c>
      <c r="I2520" s="5">
        <v>2</v>
      </c>
      <c r="J2520" s="5">
        <v>3</v>
      </c>
      <c r="K2520" s="5">
        <v>4</v>
      </c>
      <c r="L2520" s="5">
        <v>5</v>
      </c>
      <c r="M2520" s="270"/>
      <c r="N2520" s="271"/>
      <c r="O2520" s="271"/>
      <c r="P2520" s="272"/>
      <c r="Q2520" s="6"/>
      <c r="R2520" s="285"/>
      <c r="S2520" s="310"/>
      <c r="T2520" s="311"/>
      <c r="U2520" s="311"/>
      <c r="V2520" s="311"/>
      <c r="W2520" s="311"/>
      <c r="X2520" s="312"/>
      <c r="Y2520" s="285"/>
      <c r="Z2520" s="285"/>
      <c r="AA2520" s="285"/>
      <c r="AB2520" s="285"/>
      <c r="AC2520" s="285"/>
      <c r="AD2520" s="292"/>
      <c r="AE2520" s="293"/>
      <c r="AF2520" s="294"/>
    </row>
    <row r="2521" spans="1:32" ht="12.75" customHeight="1" x14ac:dyDescent="0.25">
      <c r="A2521" s="259" t="str">
        <f>B2508</f>
        <v>C</v>
      </c>
      <c r="B2521" s="236" t="str">
        <f ca="1">IF(AND(OFFSET($AO$1,$C2508-1,8,1,1),$A2509&lt;&gt;"",$J2509&lt;&gt;""),CHOOSE($C2508,$AP$1,$AP$2,$AP$3,$AP$4,$AP$5,$AP$6,$AP$7,$AP$8,$AP$9,$AP$10,$AP$11,$AP$12),"")</f>
        <v/>
      </c>
      <c r="C2521" s="237"/>
      <c r="D2521" s="237"/>
      <c r="E2521" s="237"/>
      <c r="F2521" s="237"/>
      <c r="G2521" s="237"/>
      <c r="H2521" s="233"/>
      <c r="I2521" s="233"/>
      <c r="J2521" s="233"/>
      <c r="K2521" s="233"/>
      <c r="L2521" s="233"/>
      <c r="M2521" s="245" t="str">
        <f ca="1">IF(OR(AND($B2514&lt;&gt;"",$B2521&lt;&gt;"",$C2539&lt;=$B2539),AND($B2516&lt;&gt;"",$B2523&lt;&gt;"",$G2539&lt;=$F2539)),"Invalid Lineup","")</f>
        <v/>
      </c>
      <c r="N2521" s="246"/>
      <c r="O2521" s="246"/>
      <c r="P2521" s="247"/>
      <c r="Q2521" s="40" t="str">
        <f>IF($L2521=$L2523,IF($K2521=$K2523,IF($J2521&lt;&gt;"",IF($J2521&gt;$J2523,"W","L"),""),IF($K2521&gt;$K2523,"W","L")),IF($L2521&gt;$L2523,"W","L"))</f>
        <v/>
      </c>
      <c r="R2521" s="259" t="str">
        <f>$K2508</f>
        <v>E</v>
      </c>
      <c r="S2521" s="307" t="str">
        <f ca="1">IF($B2523&lt;&gt;"",$B2523,"")</f>
        <v/>
      </c>
      <c r="T2521" s="308"/>
      <c r="U2521" s="308"/>
      <c r="V2521" s="308"/>
      <c r="W2521" s="308"/>
      <c r="X2521" s="309"/>
      <c r="Y2521" s="284"/>
      <c r="Z2521" s="284"/>
      <c r="AA2521" s="284"/>
      <c r="AB2521" s="284"/>
      <c r="AC2521" s="297"/>
      <c r="AD2521" s="289" t="s">
        <v>169</v>
      </c>
      <c r="AE2521" s="290"/>
      <c r="AF2521" s="291"/>
    </row>
    <row r="2522" spans="1:32" ht="12.75" customHeight="1" x14ac:dyDescent="0.25">
      <c r="A2522" s="260"/>
      <c r="B2522" s="238"/>
      <c r="C2522" s="239"/>
      <c r="D2522" s="239"/>
      <c r="E2522" s="239"/>
      <c r="F2522" s="239"/>
      <c r="G2522" s="239"/>
      <c r="H2522" s="234"/>
      <c r="I2522" s="234"/>
      <c r="J2522" s="234"/>
      <c r="K2522" s="234"/>
      <c r="L2522" s="234"/>
      <c r="M2522" s="245"/>
      <c r="N2522" s="246"/>
      <c r="O2522" s="246"/>
      <c r="P2522" s="247"/>
      <c r="Q2522" s="110" t="str">
        <f>IF($Q2521&lt;&gt;"",IF($Q2521="W",IF(SUM(IF($H2521&gt;$H2523,1,0),IF($I2521&gt;$I2523,1,0),IF($J2521&gt;$J2523,1,0),IF($K2521&gt;$K2523,1,0),IF($L2521&gt;$L2523,1,0))&lt;&gt;3,"Error",""),""),"")</f>
        <v/>
      </c>
      <c r="R2522" s="285"/>
      <c r="S2522" s="310"/>
      <c r="T2522" s="311"/>
      <c r="U2522" s="311"/>
      <c r="V2522" s="311"/>
      <c r="W2522" s="311"/>
      <c r="X2522" s="312"/>
      <c r="Y2522" s="285"/>
      <c r="Z2522" s="285"/>
      <c r="AA2522" s="285"/>
      <c r="AB2522" s="285"/>
      <c r="AC2522" s="285"/>
      <c r="AD2522" s="292"/>
      <c r="AE2522" s="293"/>
      <c r="AF2522" s="294"/>
    </row>
    <row r="2523" spans="1:32" ht="12.75" customHeight="1" x14ac:dyDescent="0.25">
      <c r="A2523" s="259" t="str">
        <f>K2508</f>
        <v>E</v>
      </c>
      <c r="B2523" s="236" t="str">
        <f ca="1">IF(AND(OFFSET($AO$1,$L2508-1,8,1,1),$A2509&lt;&gt;"",$J2509&lt;&gt;""),CHOOSE($L2508,$AP$1,$AP$2,$AP$3,$AP$4,$AP$5,$AP$6,$AP$7,$AP$8,$AP$9,$AP$10,$AP$11,$AP$12),"")</f>
        <v/>
      </c>
      <c r="C2523" s="237"/>
      <c r="D2523" s="237"/>
      <c r="E2523" s="237"/>
      <c r="F2523" s="237"/>
      <c r="G2523" s="237"/>
      <c r="H2523" s="233"/>
      <c r="I2523" s="233"/>
      <c r="J2523" s="233"/>
      <c r="K2523" s="233"/>
      <c r="L2523" s="233"/>
      <c r="M2523" s="250" t="s">
        <v>169</v>
      </c>
      <c r="N2523" s="251"/>
      <c r="O2523" s="251"/>
      <c r="P2523" s="252"/>
      <c r="Q2523" s="40" t="str">
        <f>IF($Q2521&lt;&gt;"",IF($Q2521="W","L","W"),"")</f>
        <v/>
      </c>
      <c r="R2523" s="14"/>
      <c r="S2523" s="14"/>
      <c r="T2523" s="14"/>
      <c r="U2523" s="14"/>
      <c r="V2523" s="14"/>
      <c r="W2523" s="14"/>
      <c r="X2523" s="7"/>
      <c r="Y2523" s="7"/>
      <c r="Z2523" s="14"/>
      <c r="AA2523" s="14"/>
      <c r="AB2523" s="14"/>
      <c r="AC2523" s="14"/>
      <c r="AD2523" s="14"/>
      <c r="AE2523" s="14"/>
      <c r="AF2523"/>
    </row>
    <row r="2524" spans="1:32" ht="12.75" customHeight="1" x14ac:dyDescent="0.25">
      <c r="A2524" s="260"/>
      <c r="B2524" s="238"/>
      <c r="C2524" s="239"/>
      <c r="D2524" s="239"/>
      <c r="E2524" s="239"/>
      <c r="F2524" s="239"/>
      <c r="G2524" s="239"/>
      <c r="H2524" s="234"/>
      <c r="I2524" s="234"/>
      <c r="J2524" s="235"/>
      <c r="K2524" s="235"/>
      <c r="L2524" s="235"/>
      <c r="M2524" s="250"/>
      <c r="N2524" s="251"/>
      <c r="O2524" s="251"/>
      <c r="P2524" s="252"/>
      <c r="Q2524" s="110" t="str">
        <f>IF($Q2523&lt;&gt;"",IF($Q2523="W",IF(SUM(IF($H2523&gt;$H2521,1,0),IF($I2523&gt;$I2521,1,0),IF($J2523&gt;$J2521,1,0),IF($K2523&gt;$K2521,1,0),IF($L2523&gt;$L2521,1,0))&lt;&gt;3,"Error",""),""),"")</f>
        <v/>
      </c>
      <c r="R2524" s="14"/>
      <c r="S2524" s="14"/>
      <c r="T2524" s="14"/>
      <c r="U2524" s="14"/>
      <c r="V2524" s="14"/>
      <c r="W2524" s="14"/>
      <c r="X2524" s="7"/>
      <c r="Y2524" s="7"/>
      <c r="Z2524" s="14"/>
      <c r="AA2524" s="14"/>
      <c r="AB2524" s="14"/>
      <c r="AC2524" s="14"/>
      <c r="AD2524" s="14"/>
      <c r="AE2524" s="14"/>
      <c r="AF2524"/>
    </row>
    <row r="2525" spans="1:32" ht="12.75" customHeight="1" x14ac:dyDescent="0.25">
      <c r="Q2525" s="6"/>
      <c r="R2525" s="14"/>
      <c r="S2525" s="14"/>
      <c r="T2525" s="14"/>
      <c r="U2525" s="14"/>
      <c r="V2525" s="14"/>
      <c r="W2525" s="14"/>
      <c r="X2525" s="7"/>
      <c r="Y2525" s="7"/>
      <c r="Z2525" s="14"/>
      <c r="AA2525" s="14"/>
      <c r="AB2525" s="14"/>
      <c r="AC2525" s="14"/>
      <c r="AD2525" s="14"/>
      <c r="AE2525" s="14"/>
      <c r="AF2525"/>
    </row>
    <row r="2526" spans="1:32" ht="12.75" customHeight="1" x14ac:dyDescent="0.25">
      <c r="A2526" s="15" t="s">
        <v>167</v>
      </c>
      <c r="H2526" s="110" t="str">
        <f>IF($Q2528&lt;&gt;"",IF(AND(AND($H2528&gt;-1,$H2530&gt;-1),OR($H2528&gt;10,$H2530&gt;10),ABS($H2528-$H2530)&gt;1,IF(OR($H2528&gt;11,$H2530&gt;11),ABS($H2528-$H2530)=2,TRUE),$H2528=INT($H2528),$H2530=INT($H2530)),"","Error"),"")</f>
        <v/>
      </c>
      <c r="I2526" s="110" t="str">
        <f>IF($Q2528&lt;&gt;"",IF(AND(AND($I2528&gt;-1,$I2530&gt;-1),OR($I2528&gt;10,$I2530&gt;10),ABS($I2528-$I2530)&gt;1,IF(OR($I2528&gt;11,$I2530&gt;11),ABS($I2528-$I2530)=2,TRUE),$I2528=INT($I2528),$I2530=INT($I2530)),"","Error"),"")</f>
        <v/>
      </c>
      <c r="J2526" s="110" t="str">
        <f>IF($Q2528&lt;&gt;"",IF(AND(AND($J2528&gt;-1,$J2530&gt;-1),OR($J2528&gt;10,$J2530&gt;10),ABS($J2528-$J2530)&gt;1,IF(OR($J2528&gt;11,$J2530&gt;11),ABS($J2528-$J2530)=2,TRUE),$J2528=INT($J2528),$J2530=INT($J2530)),"","Error"),"")</f>
        <v/>
      </c>
      <c r="K2526" s="110" t="str">
        <f>IF($Q2528&lt;&gt;"",IF(AND($K2528&lt;&gt;"",$K2530&lt;&gt;""), IF(AND(AND($K2528&gt;-1,$K2530&gt;-1),OR($K2528&gt;10,$K2530&gt;10),ABS($K2528-$K2530)&gt;1,IF(OR($K2528&gt;11,$K2530&gt;11),ABS($K2528-$K2530)=2,TRUE),$K2528=INT($K2528),$K2530=INT($K2530)),"","Error"),""),"")</f>
        <v/>
      </c>
      <c r="L2526" s="110" t="str">
        <f>IF($Q2528&lt;&gt;"",IF(AND($L2528&lt;&gt;"",$L2530&lt;&gt;""), IF(AND(AND($L2528&gt;-1,$L2530&gt;-1),OR($L2528&gt;10,$L2530&gt;10),ABS($L2528-$L2530)&gt;1,IF(OR($L2528&gt;11,$L2530&gt;11),ABS($L2528-$L2530)=2,TRUE),$L2528=INT($L2528),$L2530=INT($L2530)),"","Error"),""),"")</f>
        <v/>
      </c>
      <c r="Q2526" s="6"/>
      <c r="R2526" s="14"/>
      <c r="S2526" s="14"/>
      <c r="T2526" s="14"/>
      <c r="U2526" s="14"/>
      <c r="V2526" s="14"/>
      <c r="W2526" s="14"/>
      <c r="X2526" s="7"/>
      <c r="Y2526" s="7"/>
      <c r="Z2526" s="14"/>
      <c r="AA2526" s="14"/>
      <c r="AB2526" s="14"/>
      <c r="AC2526" s="14"/>
      <c r="AD2526" s="14"/>
      <c r="AE2526" s="14"/>
      <c r="AF2526"/>
    </row>
    <row r="2527" spans="1:32" ht="12.75" customHeight="1" x14ac:dyDescent="0.25">
      <c r="A2527" s="5" t="s">
        <v>160</v>
      </c>
      <c r="B2527" s="256" t="s">
        <v>58</v>
      </c>
      <c r="C2527" s="257"/>
      <c r="D2527" s="257"/>
      <c r="E2527" s="257"/>
      <c r="F2527" s="257"/>
      <c r="G2527" s="258"/>
      <c r="H2527" s="5">
        <v>1</v>
      </c>
      <c r="I2527" s="5">
        <v>2</v>
      </c>
      <c r="J2527" s="5">
        <v>3</v>
      </c>
      <c r="K2527" s="5">
        <v>4</v>
      </c>
      <c r="L2527" s="5">
        <v>5</v>
      </c>
      <c r="M2527" s="270"/>
      <c r="N2527" s="271"/>
      <c r="O2527" s="271"/>
      <c r="P2527" s="272"/>
      <c r="Q2527" s="6"/>
      <c r="R2527" s="14"/>
      <c r="S2527" s="14"/>
      <c r="T2527" s="14"/>
      <c r="U2527" s="14"/>
      <c r="V2527" s="14"/>
      <c r="W2527" s="14"/>
      <c r="X2527" s="7"/>
      <c r="Y2527" s="7"/>
      <c r="Z2527" s="14"/>
      <c r="AA2527" s="14"/>
      <c r="AB2527" s="14"/>
      <c r="AC2527" s="14"/>
      <c r="AD2527" s="14"/>
      <c r="AE2527" s="14"/>
      <c r="AF2527"/>
    </row>
    <row r="2528" spans="1:32" ht="12.75" customHeight="1" x14ac:dyDescent="0.25">
      <c r="A2528" s="259" t="str">
        <f>B2508</f>
        <v>C</v>
      </c>
      <c r="B2528" s="236" t="str">
        <f ca="1">IF(AND(OFFSET($AO$1,$C2508-1,8,1,1),$A2509&lt;&gt;"",$J2509&lt;&gt;""),CHOOSE($C2508,$AQ$1,$AQ$2,$AQ$3,$AQ$4,$AQ$5,$AQ$6,$AQ$7,$AQ$8,$AQ$9,$AQ$10,$AQ$11,$AQ$12),"")</f>
        <v/>
      </c>
      <c r="C2528" s="237"/>
      <c r="D2528" s="237"/>
      <c r="E2528" s="237"/>
      <c r="F2528" s="237"/>
      <c r="G2528" s="237"/>
      <c r="H2528" s="233"/>
      <c r="I2528" s="233"/>
      <c r="J2528" s="233"/>
      <c r="K2528" s="233"/>
      <c r="L2528" s="233"/>
      <c r="M2528" s="245" t="str">
        <f ca="1">IF(OR(AND($B2521&lt;&gt;"",$B2528&lt;&gt;"",$D2539&lt;=$C2539),AND($B2523&lt;&gt;"",$B2530&lt;&gt;"",$H2539&lt;=$G2539)),"Invalid Lineup","")</f>
        <v/>
      </c>
      <c r="N2528" s="246"/>
      <c r="O2528" s="246"/>
      <c r="P2528" s="247"/>
      <c r="Q2528" s="40" t="str">
        <f>IF($L2528=$L2530,IF($K2528=$K2530,IF($J2528&lt;&gt;"",IF($J2528&gt;$J2530,"W","L"),""),IF($K2528&gt;$K2530,"W","L")),IF($L2528&gt;$L2530,"W","L"))</f>
        <v/>
      </c>
      <c r="R2528" s="14"/>
      <c r="S2528" s="14"/>
      <c r="T2528" s="14"/>
      <c r="U2528" s="14"/>
      <c r="V2528" s="14"/>
      <c r="W2528" s="14"/>
      <c r="X2528" s="7"/>
      <c r="Y2528" s="7"/>
      <c r="Z2528" s="14"/>
      <c r="AA2528" s="14"/>
      <c r="AB2528" s="14"/>
      <c r="AC2528" s="14"/>
      <c r="AD2528" s="14"/>
      <c r="AE2528" s="14"/>
      <c r="AF2528"/>
    </row>
    <row r="2529" spans="1:32" ht="12.75" customHeight="1" x14ac:dyDescent="0.25">
      <c r="A2529" s="260"/>
      <c r="B2529" s="238"/>
      <c r="C2529" s="239"/>
      <c r="D2529" s="239"/>
      <c r="E2529" s="239"/>
      <c r="F2529" s="239"/>
      <c r="G2529" s="239"/>
      <c r="H2529" s="234"/>
      <c r="I2529" s="234"/>
      <c r="J2529" s="234"/>
      <c r="K2529" s="234"/>
      <c r="L2529" s="234"/>
      <c r="M2529" s="245"/>
      <c r="N2529" s="246"/>
      <c r="O2529" s="246"/>
      <c r="P2529" s="247"/>
      <c r="Q2529" s="110" t="str">
        <f>IF($Q2528&lt;&gt;"",IF($Q2528="W",IF(SUM(IF($H2528&gt;$H2530,1,0),IF($I2528&gt;$I2530,1,0),IF($J2528&gt;$J2530,1,0),IF($K2528&gt;$K2530,1,0),IF($L2528&gt;$L2530,1,0))&lt;&gt;3,"Error",""),""),"")</f>
        <v/>
      </c>
      <c r="R2529" s="295" t="str">
        <f>$A2509</f>
        <v/>
      </c>
      <c r="S2529" s="295"/>
      <c r="T2529" s="295"/>
      <c r="U2529" s="295"/>
      <c r="V2529" s="295"/>
      <c r="W2529" s="295"/>
      <c r="X2529" s="219" t="str">
        <f>CONCATENATE("(",$B2508," vs ",$K2508,")")</f>
        <v>(C vs E)</v>
      </c>
      <c r="Y2529" s="219"/>
      <c r="Z2529" s="295" t="str">
        <f>$J2509</f>
        <v/>
      </c>
      <c r="AA2529" s="295"/>
      <c r="AB2529" s="295"/>
      <c r="AC2529" s="295"/>
      <c r="AD2529" s="295"/>
      <c r="AE2529" s="295"/>
      <c r="AF2529"/>
    </row>
    <row r="2530" spans="1:32" ht="12.75" customHeight="1" x14ac:dyDescent="0.25">
      <c r="A2530" s="259" t="str">
        <f>K2508</f>
        <v>E</v>
      </c>
      <c r="B2530" s="236" t="str">
        <f ca="1">IF(AND(OFFSET($AO$1,$L2508-1,8,1,1),$A2509&lt;&gt;"",$J2509&lt;&gt;""),CHOOSE($L2508,$AQ$1,$AQ$2,$AQ$3,$AQ$4,$AQ$5,$AQ$6,$AQ$7,$AQ$8,$AQ$9,$AQ$10,$AQ$11,$AQ$12),"")</f>
        <v/>
      </c>
      <c r="C2530" s="237"/>
      <c r="D2530" s="237"/>
      <c r="E2530" s="237"/>
      <c r="F2530" s="237"/>
      <c r="G2530" s="237"/>
      <c r="H2530" s="233"/>
      <c r="I2530" s="233"/>
      <c r="J2530" s="233"/>
      <c r="K2530" s="233"/>
      <c r="L2530" s="233"/>
      <c r="M2530" s="250" t="s">
        <v>169</v>
      </c>
      <c r="N2530" s="251"/>
      <c r="O2530" s="251"/>
      <c r="P2530" s="252"/>
      <c r="Q2530" s="40" t="str">
        <f>IF($Q2528&lt;&gt;"",IF($Q2528="W","L","W"),"")</f>
        <v/>
      </c>
      <c r="R2530"/>
      <c r="S2530"/>
      <c r="T2530"/>
      <c r="U2530"/>
      <c r="V2530"/>
      <c r="W2530"/>
      <c r="X2530"/>
      <c r="Y2530"/>
      <c r="Z2530"/>
      <c r="AA2530"/>
      <c r="AB2530"/>
      <c r="AC2530"/>
      <c r="AD2530"/>
      <c r="AE2530"/>
      <c r="AF2530"/>
    </row>
    <row r="2531" spans="1:32" ht="12.75" customHeight="1" x14ac:dyDescent="0.25">
      <c r="A2531" s="260"/>
      <c r="B2531" s="238"/>
      <c r="C2531" s="239"/>
      <c r="D2531" s="239"/>
      <c r="E2531" s="239"/>
      <c r="F2531" s="239"/>
      <c r="G2531" s="239"/>
      <c r="H2531" s="234"/>
      <c r="I2531" s="234"/>
      <c r="J2531" s="235"/>
      <c r="K2531" s="235"/>
      <c r="L2531" s="235"/>
      <c r="M2531" s="250"/>
      <c r="N2531" s="251"/>
      <c r="O2531" s="251"/>
      <c r="P2531" s="252"/>
      <c r="Q2531" s="110" t="str">
        <f>IF($Q2530&lt;&gt;"",IF($Q2530="W",IF(SUM(IF($H2530&gt;$H2528,1,0),IF($I2530&gt;$I2528,1,0),IF($J2530&gt;$J2528,1,0),IF($K2530&gt;$K2528,1,0),IF($L2530&gt;$L2528,1,0))&lt;&gt;3,"Error",""),""),"")</f>
        <v/>
      </c>
      <c r="R2531" t="str">
        <f>$A2526</f>
        <v>3rd Singles</v>
      </c>
      <c r="S2531"/>
      <c r="T2531"/>
      <c r="U2531"/>
      <c r="V2531"/>
      <c r="W2531"/>
      <c r="X2531"/>
      <c r="Y2531"/>
      <c r="Z2531"/>
      <c r="AA2531"/>
      <c r="AB2531"/>
      <c r="AC2531"/>
      <c r="AD2531"/>
      <c r="AE2531"/>
      <c r="AF2531"/>
    </row>
    <row r="2532" spans="1:32" ht="12.75" customHeight="1" x14ac:dyDescent="0.25">
      <c r="Q2532" s="6"/>
      <c r="R2532" s="47" t="s">
        <v>160</v>
      </c>
      <c r="S2532" s="86" t="s">
        <v>58</v>
      </c>
      <c r="T2532" s="87"/>
      <c r="U2532" s="87"/>
      <c r="V2532" s="87"/>
      <c r="W2532" s="87"/>
      <c r="X2532" s="88"/>
      <c r="Y2532" s="47">
        <v>1</v>
      </c>
      <c r="Z2532" s="47">
        <v>2</v>
      </c>
      <c r="AA2532" s="47">
        <v>3</v>
      </c>
      <c r="AB2532" s="47">
        <v>4</v>
      </c>
      <c r="AC2532" s="47">
        <v>5</v>
      </c>
      <c r="AD2532" s="89"/>
      <c r="AE2532" s="90"/>
      <c r="AF2532" s="91"/>
    </row>
    <row r="2533" spans="1:32" ht="12.75" customHeight="1" x14ac:dyDescent="0.25">
      <c r="A2533" s="15" t="s">
        <v>168</v>
      </c>
      <c r="H2533" s="110" t="str">
        <f ca="1">IF($Q2535&lt;&gt;"",IF(AND($B2535&lt;&gt;"Missing Player",$B2537&lt;&gt;"Missing Player"),IF(AND(AND($H2535&gt;-1,$H2537&gt;-1),OR($H2535&gt;10,$H2537&gt;10),ABS($H2535-$H2537)&gt;1,IF(OR($H2535&gt;11,$H2537&gt;11),ABS($H2535-$H2537)=2,TRUE),$H2535=INT($H2535),$H2537=INT($H2537)),"","Error"),""),"")</f>
        <v/>
      </c>
      <c r="I2533" s="110" t="str">
        <f ca="1">IF($Q2535&lt;&gt;"",IF(AND($B2535&lt;&gt;"Missing Player",$B2537&lt;&gt;"Missing Player"),IF(AND(AND($I2535&gt;-1,$I2537&gt;-1),OR($I2535&gt;10,$I2537&gt;10),ABS($I2535-$I2537)&gt;1,IF(OR($I2535&gt;11,$I2537&gt;11),ABS($I2535-$I2537)=2,TRUE),$I2535=INT($I2535),$I2537=INT($I2537)),"","Error"),""),"")</f>
        <v/>
      </c>
      <c r="J2533" s="110" t="str">
        <f ca="1">IF($Q2535&lt;&gt;"",IF(AND($B2535&lt;&gt;"Missing Player",$B2537&lt;&gt;"Missing Player"),IF(AND(AND($J2535&gt;-1,$J2537&gt;-1),OR($J2535&gt;10,$J2537&gt;10),ABS($J2535-$J2537)&gt;1,IF(OR($J2535&gt;11,$J2537&gt;11),ABS($J2535-$J2537)=2,TRUE),$J2535=INT($J2535),$J2537=INT($J2537)),"","Error"),""),"")</f>
        <v/>
      </c>
      <c r="K2533" s="110" t="str">
        <f ca="1">IF($Q2535&lt;&gt;"",IF(AND($K2535&lt;&gt;"",$K2537&lt;&gt;""), IF(AND(AND($K2535&gt;-1,$K2537&gt;-1),OR($K2535&gt;10,$K2537&gt;10),ABS($K2535-$K2537)&gt;1,IF(OR($K2535&gt;11,$K2537&gt;11),ABS($K2535-$K2537)=2,TRUE),$K2535=INT($K2535),$K2537=INT($K2537)),"","Error"),""),"")</f>
        <v/>
      </c>
      <c r="L2533" s="110" t="str">
        <f ca="1">IF($Q2535&lt;&gt;"",IF(AND($L2535&lt;&gt;"",$L2537&lt;&gt;""), IF(AND(AND($L2535&gt;-1,$L2537&gt;-1),OR($L2535&gt;10,$L2537&gt;10),ABS($L2535-$L2537)&gt;1,IF(OR($L2535&gt;11,$L2537&gt;11),ABS($L2535-$L2537)=2,TRUE),$L2535=INT($L2535),$L2537=INT($L2537)),"","Error"),""),"")</f>
        <v/>
      </c>
      <c r="Q2533" s="6"/>
      <c r="R2533" s="259" t="str">
        <f>$B2508</f>
        <v>C</v>
      </c>
      <c r="S2533" s="307" t="str">
        <f ca="1">IF($B2528&lt;&gt;"",$B2528,"")</f>
        <v/>
      </c>
      <c r="T2533" s="308"/>
      <c r="U2533" s="308"/>
      <c r="V2533" s="308"/>
      <c r="W2533" s="308"/>
      <c r="X2533" s="309"/>
      <c r="Y2533" s="284"/>
      <c r="Z2533" s="284"/>
      <c r="AA2533" s="284"/>
      <c r="AB2533" s="284"/>
      <c r="AC2533" s="284"/>
      <c r="AD2533" s="296"/>
      <c r="AE2533" s="290"/>
      <c r="AF2533" s="291"/>
    </row>
    <row r="2534" spans="1:32" ht="12.75" customHeight="1" x14ac:dyDescent="0.25">
      <c r="A2534" s="5" t="s">
        <v>160</v>
      </c>
      <c r="B2534" s="256" t="s">
        <v>58</v>
      </c>
      <c r="C2534" s="257"/>
      <c r="D2534" s="257"/>
      <c r="E2534" s="257"/>
      <c r="F2534" s="257"/>
      <c r="G2534" s="258"/>
      <c r="H2534" s="5">
        <v>1</v>
      </c>
      <c r="I2534" s="5">
        <v>2</v>
      </c>
      <c r="J2534" s="5">
        <v>3</v>
      </c>
      <c r="K2534" s="5">
        <v>4</v>
      </c>
      <c r="L2534" s="5">
        <v>5</v>
      </c>
      <c r="M2534" s="270"/>
      <c r="N2534" s="271"/>
      <c r="O2534" s="271"/>
      <c r="P2534" s="272"/>
      <c r="Q2534" s="6"/>
      <c r="R2534" s="285"/>
      <c r="S2534" s="310"/>
      <c r="T2534" s="311"/>
      <c r="U2534" s="311"/>
      <c r="V2534" s="311"/>
      <c r="W2534" s="311"/>
      <c r="X2534" s="312"/>
      <c r="Y2534" s="285"/>
      <c r="Z2534" s="285"/>
      <c r="AA2534" s="285"/>
      <c r="AB2534" s="285"/>
      <c r="AC2534" s="285"/>
      <c r="AD2534" s="292"/>
      <c r="AE2534" s="293"/>
      <c r="AF2534" s="294"/>
    </row>
    <row r="2535" spans="1:32" ht="12.75" customHeight="1" x14ac:dyDescent="0.25">
      <c r="A2535" s="259" t="str">
        <f>B2508</f>
        <v>C</v>
      </c>
      <c r="B2535" s="236" t="str">
        <f ca="1">IF(AND(OFFSET($AO$1,$C2508-1,8,1,1),$A2509&lt;&gt;"",$J2509&lt;&gt;""),CHOOSE($C2508,$AR$1,$AR$2,$AR$3,$AR$4,$AR$5,$AR$6,$AR$7,$AR$8,$AR$9,$AR$10,$AR$11,$AR$12),"")</f>
        <v/>
      </c>
      <c r="C2535" s="237"/>
      <c r="D2535" s="237"/>
      <c r="E2535" s="237"/>
      <c r="F2535" s="237"/>
      <c r="G2535" s="237"/>
      <c r="H2535" s="233"/>
      <c r="I2535" s="233"/>
      <c r="J2535" s="233"/>
      <c r="K2535" s="233"/>
      <c r="L2535" s="233" t="str">
        <f ca="1">IF(AND($B2535&lt;&gt;"",$Q2514&lt;&gt;""),IF($B2535="Missing Player",0,IF($B2537="Missing Player",11,"")),"")</f>
        <v/>
      </c>
      <c r="M2535" s="245" t="str">
        <f ca="1">IF(OR(AND($B2528&lt;&gt;"",$B2535&lt;&gt;"",$E2539&lt;=$D2539),AND($B2530&lt;&gt;"",$B2537&lt;&gt;"",$I2539&lt;=$H2539)),"Invalid Lineup","")</f>
        <v/>
      </c>
      <c r="N2535" s="246"/>
      <c r="O2535" s="246"/>
      <c r="P2535" s="247"/>
      <c r="Q2535" s="40" t="str">
        <f ca="1">IF($L2535=$L2537,IF($K2535=$K2537,IF($J2535&lt;&gt;"",IF($J2535&gt;$J2537,"W","L"),""),IF($K2535&gt;$K2537,"W","L")),IF($L2535&gt;$L2537,"W","L"))</f>
        <v/>
      </c>
      <c r="R2535" s="259" t="str">
        <f>$K2508</f>
        <v>E</v>
      </c>
      <c r="S2535" s="307" t="str">
        <f ca="1">IF($B2530&lt;&gt;"",$B2530,"")</f>
        <v/>
      </c>
      <c r="T2535" s="308"/>
      <c r="U2535" s="308"/>
      <c r="V2535" s="308"/>
      <c r="W2535" s="308"/>
      <c r="X2535" s="309"/>
      <c r="Y2535" s="284"/>
      <c r="Z2535" s="284"/>
      <c r="AA2535" s="284"/>
      <c r="AB2535" s="284"/>
      <c r="AC2535" s="297"/>
      <c r="AD2535" s="289" t="s">
        <v>169</v>
      </c>
      <c r="AE2535" s="290"/>
      <c r="AF2535" s="291"/>
    </row>
    <row r="2536" spans="1:32" ht="12.75" customHeight="1" x14ac:dyDescent="0.25">
      <c r="A2536" s="260"/>
      <c r="B2536" s="238"/>
      <c r="C2536" s="239"/>
      <c r="D2536" s="239"/>
      <c r="E2536" s="239"/>
      <c r="F2536" s="239"/>
      <c r="G2536" s="239"/>
      <c r="H2536" s="234"/>
      <c r="I2536" s="234"/>
      <c r="J2536" s="234"/>
      <c r="K2536" s="234"/>
      <c r="L2536" s="234"/>
      <c r="M2536" s="245"/>
      <c r="N2536" s="246"/>
      <c r="O2536" s="246"/>
      <c r="P2536" s="247"/>
      <c r="Q2536" s="110" t="str">
        <f ca="1">IF($Q2535&lt;&gt;"",IF($B2537&lt;&gt;"Missing Player",IF($Q2535="W",IF(SUM(IF($H2535&gt;$H2537,1,0),IF($I2535&gt;$I2537,1,0),IF($J2535&gt;$J2537,1,0),IF($K2535&gt;$K2537,1,0),IF($L2535&gt;$L2537,1,0))&lt;&gt;3,"Error",""),""),""),"")</f>
        <v/>
      </c>
      <c r="R2536" s="285"/>
      <c r="S2536" s="310"/>
      <c r="T2536" s="311"/>
      <c r="U2536" s="311"/>
      <c r="V2536" s="311"/>
      <c r="W2536" s="311"/>
      <c r="X2536" s="312"/>
      <c r="Y2536" s="285"/>
      <c r="Z2536" s="285"/>
      <c r="AA2536" s="285"/>
      <c r="AB2536" s="285"/>
      <c r="AC2536" s="285"/>
      <c r="AD2536" s="292"/>
      <c r="AE2536" s="293"/>
      <c r="AF2536" s="294"/>
    </row>
    <row r="2537" spans="1:32" ht="12.75" customHeight="1" x14ac:dyDescent="0.25">
      <c r="A2537" s="259" t="str">
        <f>K2508</f>
        <v>E</v>
      </c>
      <c r="B2537" s="236" t="str">
        <f ca="1">IF(AND(OFFSET($AO$1,$L2508-1,8,1,1),$A2509&lt;&gt;"",$J2509&lt;&gt;""),CHOOSE($L2508,$AR$1,$AR$2,$AR$3,$AR$4,$AR$5,$AR$6,$AR$7,$AR$8,$AR$9,$AR$10,$AR$11,$AR$12),"")</f>
        <v/>
      </c>
      <c r="C2537" s="237"/>
      <c r="D2537" s="237"/>
      <c r="E2537" s="237"/>
      <c r="F2537" s="237"/>
      <c r="G2537" s="237"/>
      <c r="H2537" s="233"/>
      <c r="I2537" s="233"/>
      <c r="J2537" s="233"/>
      <c r="K2537" s="233"/>
      <c r="L2537" s="233" t="str">
        <f ca="1">IF(AND($B2537&lt;&gt;"",$Q2514&lt;&gt;""),IF($B2537="Missing Player",0,IF($B2535="Missing Player",11,"")),"")</f>
        <v/>
      </c>
      <c r="M2537" s="250" t="s">
        <v>169</v>
      </c>
      <c r="N2537" s="251"/>
      <c r="O2537" s="251"/>
      <c r="P2537" s="252"/>
      <c r="Q2537" s="40" t="str">
        <f ca="1">IF($Q2535&lt;&gt;"",IF($Q2535="W","L","W"),"")</f>
        <v/>
      </c>
      <c r="R2537" s="94"/>
      <c r="S2537" s="84"/>
      <c r="T2537" s="84"/>
      <c r="U2537" s="84"/>
      <c r="V2537" s="84"/>
      <c r="W2537" s="84"/>
      <c r="X2537" s="84"/>
      <c r="Y2537" s="93"/>
      <c r="Z2537" s="93"/>
      <c r="AA2537" s="93"/>
      <c r="AB2537" s="93"/>
      <c r="AC2537" s="93"/>
      <c r="AD2537" s="92"/>
      <c r="AE2537" s="93"/>
      <c r="AF2537" s="93"/>
    </row>
    <row r="2538" spans="1:32" ht="12.75" customHeight="1" x14ac:dyDescent="0.25">
      <c r="A2538" s="260"/>
      <c r="B2538" s="238"/>
      <c r="C2538" s="239"/>
      <c r="D2538" s="239"/>
      <c r="E2538" s="239"/>
      <c r="F2538" s="239"/>
      <c r="G2538" s="239"/>
      <c r="H2538" s="234"/>
      <c r="I2538" s="234"/>
      <c r="J2538" s="235"/>
      <c r="K2538" s="235"/>
      <c r="L2538" s="235"/>
      <c r="M2538" s="250"/>
      <c r="N2538" s="251"/>
      <c r="O2538" s="251"/>
      <c r="P2538" s="252"/>
      <c r="Q2538" s="110" t="str">
        <f ca="1">IF($Q2537&lt;&gt;"",IF($B2535&lt;&gt;"Missing Player",IF($Q2537="W",IF(SUM(IF($H2537&gt;$H2535,1,0),IF($I2537&gt;$I2535,1,0),IF($J2537&gt;$J2535,1,0),IF($K2537&gt;$K2535,1,0),IF($L2537&gt;$L2535,1,0))&lt;&gt;3,"Error",""),""),""),"")</f>
        <v/>
      </c>
      <c r="R2538" s="85"/>
      <c r="S2538" s="95"/>
      <c r="T2538" s="95"/>
      <c r="U2538" s="95"/>
      <c r="V2538" s="95"/>
      <c r="W2538" s="95"/>
      <c r="X2538" s="95"/>
      <c r="Y2538" s="85"/>
      <c r="Z2538" s="85"/>
      <c r="AA2538" s="85"/>
      <c r="AB2538" s="85"/>
      <c r="AC2538" s="85"/>
      <c r="AD2538" s="85"/>
      <c r="AE2538" s="85"/>
      <c r="AF2538" s="85"/>
    </row>
    <row r="2539" spans="1:32" ht="12.75" customHeight="1" x14ac:dyDescent="0.25">
      <c r="B2539" s="111" t="str">
        <f ca="1">IF(ISERROR(VLOOKUP($B2514&amp;"("&amp;$B2508&amp;")",Players!$S$4:$T$132,2,FALSE)),"",VLOOKUP($B2514&amp;"("&amp;$B2508&amp;")",Players!$S$4:$T$132,2,FALSE))</f>
        <v>C1</v>
      </c>
      <c r="C2539" s="111" t="str">
        <f ca="1">IF(ISERROR(VLOOKUP($B2521&amp;"("&amp;$B2508&amp;")",Players!$S$4:$T$132,2,FALSE)),"",VLOOKUP($B2521&amp;"("&amp;$B2508&amp;")",Players!$S$4:$T$132,2,FALSE))</f>
        <v>C1</v>
      </c>
      <c r="D2539" s="111" t="str">
        <f ca="1">IF(ISERROR(VLOOKUP($B2528&amp;"("&amp;$B2508&amp;")",Players!$S$4:$T$132,2,FALSE)),"",VLOOKUP($B2528&amp;"("&amp;$B2508&amp;")",Players!$S$4:$T$132,2,FALSE))</f>
        <v>C1</v>
      </c>
      <c r="E2539" s="111" t="str">
        <f ca="1">IF(ISERROR(VLOOKUP($B2535&amp;"("&amp;$B2508&amp;")",Players!$S$4:$T$132,2,FALSE)),"",VLOOKUP($B2535&amp;"("&amp;$B2508&amp;")",Players!$S$4:$T$132,2,FALSE))</f>
        <v>C1</v>
      </c>
      <c r="F2539" s="111" t="str">
        <f ca="1">IF(ISERROR(VLOOKUP($B2516&amp;"("&amp;$K2508&amp;")",Players!$S$4:$T$132,2,FALSE)),"",VLOOKUP($B2516&amp;"("&amp;$K2508&amp;")",Players!$S$4:$T$132,2,FALSE))</f>
        <v>E1</v>
      </c>
      <c r="G2539" s="111" t="str">
        <f ca="1">IF(ISERROR(VLOOKUP($B2523&amp;"("&amp;$K2508&amp;")",Players!$S$4:$T$132,2,FALSE)),"",VLOOKUP($B2523&amp;"("&amp;$K2508&amp;")",Players!$S$4:$T$132,2,FALSE))</f>
        <v>E1</v>
      </c>
      <c r="H2539" s="111" t="str">
        <f ca="1">IF(ISERROR(VLOOKUP($B2530&amp;"("&amp;$K2508&amp;")",Players!$S$4:$T$132,2,FALSE)),"",VLOOKUP($B2530&amp;"("&amp;$K2508&amp;")",Players!$S$4:$T$132,2,FALSE))</f>
        <v>E1</v>
      </c>
      <c r="I2539" s="111" t="str">
        <f ca="1">IF(ISERROR(VLOOKUP($B2537&amp;"("&amp;$K2508&amp;")",Players!$S$4:$T$132,2,FALSE)),"",VLOOKUP($B2537&amp;"("&amp;$K2508&amp;")",Players!$S$4:$T$132,2,FALSE))</f>
        <v>E1</v>
      </c>
      <c r="Q2539" s="6"/>
      <c r="R2539" s="37"/>
      <c r="S2539" s="95"/>
      <c r="T2539" s="95"/>
      <c r="U2539" s="95"/>
      <c r="V2539" s="95"/>
      <c r="W2539" s="95"/>
      <c r="X2539" s="95"/>
      <c r="Y2539" s="85"/>
      <c r="Z2539" s="85"/>
      <c r="AA2539" s="85"/>
      <c r="AB2539" s="85"/>
      <c r="AC2539" s="96"/>
      <c r="AD2539" s="97"/>
      <c r="AE2539" s="85"/>
      <c r="AF2539" s="85"/>
    </row>
    <row r="2540" spans="1:32" ht="12.75" customHeight="1" x14ac:dyDescent="0.25">
      <c r="A2540" s="15" t="s">
        <v>157</v>
      </c>
      <c r="H2540" s="110" t="str">
        <f ca="1">IF($Q2542&lt;&gt;"",IF(AND($B2543&lt;&gt;"Missing Player",$B2545&lt;&gt;"Missing Player"),IF(AND(AND($H2542&gt;-1,$H2544&gt;-1),OR($H2542&gt;10,$H2544&gt;10),ABS($H2542-$H2544)&gt;1,IF(OR($H2542&gt;11,$H2544&gt;11),ABS($H2542-$H2544)=2,TRUE),$H2542=INT($H2542),$H2544=INT($H2544)),"","Error"),""),"")</f>
        <v/>
      </c>
      <c r="I2540" s="110" t="str">
        <f ca="1">IF($Q2542&lt;&gt;"",IF(AND($B2543&lt;&gt;"Missing Player",$B2545&lt;&gt;"Missing Player"),IF(AND(AND($I2542&gt;-1,$I2544&gt;-1),OR($I2542&gt;10,$I2544&gt;10),ABS($I2542-$I2544)&gt;1,IF(OR($I2542&gt;11,$I2544&gt;11),ABS($I2542-$I2544)=2,TRUE),$I2542=INT($I2542),$I2544=INT($I2544)),"","Error"),""),"")</f>
        <v/>
      </c>
      <c r="J2540" s="110" t="str">
        <f ca="1">IF($Q2542&lt;&gt;"",IF(AND($B2543&lt;&gt;"Missing Player",$B2545&lt;&gt;"Missing Player"),IF(AND(AND($J2542&gt;-1,$J2544&gt;-1),OR($J2542&gt;10,$J2544&gt;10),ABS($J2542-$J2544)&gt;1,IF(OR($J2542&gt;11,$J2544&gt;11),ABS($J2542-$J2544)=2,TRUE),$J2542=INT($J2542),$J2544=INT($J2544)),"","Error"),""),"")</f>
        <v/>
      </c>
      <c r="K2540" s="110" t="str">
        <f ca="1">IF($Q2542&lt;&gt;"",IF(AND($K2542&lt;&gt;"",$K2544&lt;&gt;""), IF(AND(AND($K2542&gt;-1,$K2544&gt;-1),OR($K2542&gt;10,$K2544&gt;10),ABS($K2542-$K2544)&gt;1,IF(OR($K2542&gt;11,$K2544&gt;11),ABS($K2542-$K2544)=2,TRUE),$K2542=INT($K2542),$K2544=INT($K2544)),"","Error"),""),"")</f>
        <v/>
      </c>
      <c r="L2540" s="110" t="str">
        <f ca="1">IF($Q2542&lt;&gt;"",IF(AND($L2542&lt;&gt;"",$L2544&lt;&gt;""), IF(AND(AND($L2542&gt;-1,$L2544&gt;-1),OR($L2542&gt;10,$L2544&gt;10),ABS($L2542-$L2544)&gt;1,IF(OR($L2542&gt;11,$L2544&gt;11),ABS($L2542-$L2544)=2,TRUE),$L2542=INT($L2542),$L2544=INT($L2544)),"","Error"),""),"")</f>
        <v/>
      </c>
      <c r="Q2540" s="6"/>
      <c r="R2540" s="85"/>
      <c r="S2540" s="95"/>
      <c r="T2540" s="95"/>
      <c r="U2540" s="95"/>
      <c r="V2540" s="95"/>
      <c r="W2540" s="95"/>
      <c r="X2540" s="95"/>
      <c r="Y2540" s="85"/>
      <c r="Z2540" s="85"/>
      <c r="AA2540" s="85"/>
      <c r="AB2540" s="85"/>
      <c r="AC2540" s="85"/>
      <c r="AD2540" s="85"/>
      <c r="AE2540" s="85"/>
      <c r="AF2540" s="85"/>
    </row>
    <row r="2541" spans="1:32" ht="12.75" customHeight="1" x14ac:dyDescent="0.25">
      <c r="A2541" s="5" t="s">
        <v>160</v>
      </c>
      <c r="B2541" s="256" t="s">
        <v>58</v>
      </c>
      <c r="C2541" s="257"/>
      <c r="D2541" s="257"/>
      <c r="E2541" s="257"/>
      <c r="F2541" s="257"/>
      <c r="G2541" s="258"/>
      <c r="H2541" s="5">
        <v>1</v>
      </c>
      <c r="I2541" s="5">
        <v>2</v>
      </c>
      <c r="J2541" s="5">
        <v>3</v>
      </c>
      <c r="K2541" s="5">
        <v>4</v>
      </c>
      <c r="L2541" s="5">
        <v>5</v>
      </c>
      <c r="M2541" s="270"/>
      <c r="N2541" s="271"/>
      <c r="O2541" s="271"/>
      <c r="P2541" s="272"/>
      <c r="Q2541" s="6"/>
      <c r="T2541" s="7"/>
    </row>
    <row r="2542" spans="1:32" ht="12.75" customHeight="1" x14ac:dyDescent="0.25">
      <c r="A2542" s="259" t="str">
        <f>B2508</f>
        <v>C</v>
      </c>
      <c r="B2542" s="230" t="str">
        <f ca="1">IF($B2514&lt;&gt;"",$B2514,"")</f>
        <v/>
      </c>
      <c r="C2542" s="231"/>
      <c r="D2542" s="231"/>
      <c r="E2542" s="231"/>
      <c r="F2542" s="231"/>
      <c r="G2542" s="232"/>
      <c r="H2542" s="233"/>
      <c r="I2542" s="233"/>
      <c r="J2542" s="233"/>
      <c r="K2542" s="233"/>
      <c r="L2542" s="233" t="str">
        <f ca="1">IF($B2535&lt;&gt;"",IF(AND($B2535="Missing Player",$G2546=2,$J2546=2),0,IF(AND($B2537="Missing Player",$G2546=2,$J2546=2),11,"")),"")</f>
        <v/>
      </c>
      <c r="M2542" s="245" t="str">
        <f ca="1">IF(OR(AND($B2542&lt;&gt;"",$B2543&lt;&gt;"",$B2542=$B2543),AND($B2544&lt;&gt;"",$B2545&lt;&gt;"",$B2544=$B2545)),"Invalid Partner","")</f>
        <v/>
      </c>
      <c r="N2542" s="246"/>
      <c r="O2542" s="246"/>
      <c r="P2542" s="247"/>
      <c r="Q2542" s="37" t="str">
        <f ca="1">IF(L2542=L2544,IF(K2542=K2544,IF(J2542&lt;&gt;"",IF(J2542&gt;J2544,"W","L"),""),IF(K2542&gt;K2544,"W","L")),IF(L2542&gt;L2544,"W","L"))</f>
        <v/>
      </c>
      <c r="T2542" s="7"/>
    </row>
    <row r="2543" spans="1:32" ht="12.75" customHeight="1" x14ac:dyDescent="0.25">
      <c r="A2543" s="260"/>
      <c r="B2543" s="266" t="str">
        <f ca="1">IF($B2535="Missing Player",$B2535,"")</f>
        <v/>
      </c>
      <c r="C2543" s="267"/>
      <c r="D2543" s="267"/>
      <c r="E2543" s="267"/>
      <c r="F2543" s="267"/>
      <c r="G2543" s="268"/>
      <c r="H2543" s="234"/>
      <c r="I2543" s="234"/>
      <c r="J2543" s="234"/>
      <c r="K2543" s="234"/>
      <c r="L2543" s="234"/>
      <c r="M2543" s="245"/>
      <c r="N2543" s="246"/>
      <c r="O2543" s="246"/>
      <c r="P2543" s="247"/>
      <c r="Q2543" s="110" t="str">
        <f ca="1">IF($Q2542&lt;&gt;"",IF($B2545&lt;&gt;"Missing Player",IF($Q2542="W",IF(SUM(IF($H2542&gt;$H2544,1,0),IF($I2542&gt;$I2544,1,0),IF($J2542&gt;$J2544,1,0),IF($K2542&gt;$K2544,1,0),IF($L2542&gt;$L2544,1,0))&lt;&gt;3,"Error",""),""),""),"")</f>
        <v/>
      </c>
      <c r="R2543" s="295" t="str">
        <f>$A2509</f>
        <v/>
      </c>
      <c r="S2543" s="295"/>
      <c r="T2543" s="295"/>
      <c r="U2543" s="295"/>
      <c r="V2543" s="295"/>
      <c r="W2543" s="295"/>
      <c r="X2543" s="219" t="str">
        <f>CONCATENATE("(",$B2508," vs ",$K2508,")")</f>
        <v>(C vs E)</v>
      </c>
      <c r="Y2543" s="219"/>
      <c r="Z2543" s="295" t="str">
        <f>$J2509</f>
        <v/>
      </c>
      <c r="AA2543" s="295"/>
      <c r="AB2543" s="295"/>
      <c r="AC2543" s="295"/>
      <c r="AD2543" s="295"/>
      <c r="AE2543" s="295"/>
      <c r="AF2543"/>
    </row>
    <row r="2544" spans="1:32" ht="12.75" customHeight="1" x14ac:dyDescent="0.25">
      <c r="A2544" s="265" t="str">
        <f>K2508</f>
        <v>E</v>
      </c>
      <c r="B2544" s="230" t="str">
        <f ca="1">IF($B2516&lt;&gt;"",$B2516,"")</f>
        <v/>
      </c>
      <c r="C2544" s="231"/>
      <c r="D2544" s="231"/>
      <c r="E2544" s="231"/>
      <c r="F2544" s="231"/>
      <c r="G2544" s="232"/>
      <c r="H2544" s="233"/>
      <c r="I2544" s="233"/>
      <c r="J2544" s="233"/>
      <c r="K2544" s="233"/>
      <c r="L2544" s="233" t="str">
        <f ca="1">IF($B2537&lt;&gt;"",IF(AND($B2537="Missing Player",$G2546=2,$J2546=2),0,IF(AND($B2535="Missing Player",$G2546=2,$J2546=2),11,"")),"")</f>
        <v/>
      </c>
      <c r="M2544" s="250" t="s">
        <v>169</v>
      </c>
      <c r="N2544" s="251"/>
      <c r="O2544" s="251"/>
      <c r="P2544" s="252"/>
      <c r="Q2544" s="37" t="str">
        <f ca="1">IF(Q2542&lt;&gt;"",IF(Q2542="W","L","W"),"")</f>
        <v/>
      </c>
      <c r="R2544"/>
      <c r="S2544"/>
      <c r="T2544"/>
      <c r="U2544"/>
      <c r="V2544"/>
      <c r="W2544"/>
      <c r="X2544"/>
      <c r="Y2544"/>
      <c r="Z2544"/>
      <c r="AA2544"/>
      <c r="AB2544"/>
      <c r="AC2544"/>
      <c r="AD2544"/>
      <c r="AE2544"/>
      <c r="AF2544"/>
    </row>
    <row r="2545" spans="1:32" ht="12.75" customHeight="1" x14ac:dyDescent="0.25">
      <c r="A2545" s="260"/>
      <c r="B2545" s="266" t="str">
        <f ca="1">IF($B2537="Missing Player",$B2537,"")</f>
        <v/>
      </c>
      <c r="C2545" s="267"/>
      <c r="D2545" s="267"/>
      <c r="E2545" s="267"/>
      <c r="F2545" s="267"/>
      <c r="G2545" s="268"/>
      <c r="H2545" s="234"/>
      <c r="I2545" s="234"/>
      <c r="J2545" s="235"/>
      <c r="K2545" s="235"/>
      <c r="L2545" s="235"/>
      <c r="M2545" s="250"/>
      <c r="N2545" s="251"/>
      <c r="O2545" s="251"/>
      <c r="P2545" s="252"/>
      <c r="Q2545" s="110" t="str">
        <f ca="1">IF($Q2544&lt;&gt;"",IF($B2543&lt;&gt;"Missing Player",IF($Q2544="W",IF(SUM(IF($H2544&gt;$H2542,1,0),IF($I2544&gt;$I2542,1,0),IF($J2544&gt;$J2542,1,0),IF($K2544&gt;$K2542,1,0),IF($L2544&gt;$L2542,1,0))&lt;&gt;3,"Error",""),""),""),"")</f>
        <v/>
      </c>
      <c r="R2545" t="str">
        <f>A2533</f>
        <v>4th Singles</v>
      </c>
      <c r="S2545"/>
      <c r="T2545"/>
      <c r="U2545"/>
      <c r="V2545"/>
      <c r="W2545"/>
      <c r="X2545"/>
      <c r="Y2545"/>
      <c r="Z2545"/>
      <c r="AA2545"/>
      <c r="AB2545"/>
      <c r="AC2545"/>
      <c r="AD2545"/>
      <c r="AE2545"/>
      <c r="AF2545"/>
    </row>
    <row r="2546" spans="1:32" ht="12.75" customHeight="1" x14ac:dyDescent="0.25">
      <c r="G2546" s="53">
        <f ca="1">COUNTIF($Q2514:$Q2514,"W")+COUNTIF($Q2521:$Q2521,"W")+COUNTIF($Q2528:$Q2528,"W")+COUNTIF($Q2535:$Q2535,"W")</f>
        <v>0</v>
      </c>
      <c r="J2546" s="53">
        <f ca="1">COUNTIF($Q2516:$Q2516,"W")+COUNTIF($Q2523:$Q2523,"W")+COUNTIF($Q2530:$Q2530,"W")+COUNTIF($Q2537:$Q2537,"W")</f>
        <v>0</v>
      </c>
      <c r="R2546" s="47" t="s">
        <v>160</v>
      </c>
      <c r="S2546" s="304" t="s">
        <v>58</v>
      </c>
      <c r="T2546" s="305"/>
      <c r="U2546" s="305"/>
      <c r="V2546" s="305"/>
      <c r="W2546" s="305"/>
      <c r="X2546" s="306"/>
      <c r="Y2546" s="47">
        <v>1</v>
      </c>
      <c r="Z2546" s="47">
        <v>2</v>
      </c>
      <c r="AA2546" s="47">
        <v>3</v>
      </c>
      <c r="AB2546" s="47">
        <v>4</v>
      </c>
      <c r="AC2546" s="47">
        <v>5</v>
      </c>
      <c r="AD2546" s="286"/>
      <c r="AE2546" s="287"/>
      <c r="AF2546" s="288"/>
    </row>
    <row r="2547" spans="1:32" ht="12.75" customHeight="1" thickBot="1" x14ac:dyDescent="0.3">
      <c r="F2547" s="212" t="s">
        <v>170</v>
      </c>
      <c r="G2547" s="212"/>
      <c r="H2547" s="212"/>
      <c r="I2547" s="212"/>
      <c r="J2547" s="212"/>
      <c r="K2547" s="212"/>
      <c r="R2547" s="259" t="str">
        <f>B2508</f>
        <v>C</v>
      </c>
      <c r="S2547" s="307" t="str">
        <f ca="1">IF($B2535&lt;&gt;"",$B2535,"")</f>
        <v/>
      </c>
      <c r="T2547" s="308"/>
      <c r="U2547" s="308"/>
      <c r="V2547" s="308"/>
      <c r="W2547" s="308"/>
      <c r="X2547" s="309"/>
      <c r="Y2547" s="284"/>
      <c r="Z2547" s="284"/>
      <c r="AA2547" s="297"/>
      <c r="AB2547" s="297"/>
      <c r="AC2547" s="297"/>
      <c r="AD2547" s="296"/>
      <c r="AE2547" s="298"/>
      <c r="AF2547" s="299"/>
    </row>
    <row r="2548" spans="1:32" ht="12.75" customHeight="1" x14ac:dyDescent="0.25">
      <c r="A2548" s="16"/>
      <c r="B2548" s="16"/>
      <c r="C2548" s="16"/>
      <c r="D2548" s="16"/>
      <c r="E2548" s="16"/>
      <c r="G2548" s="261" t="str">
        <f>B2508</f>
        <v>C</v>
      </c>
      <c r="H2548" s="262"/>
      <c r="I2548" s="263" t="str">
        <f>K2508</f>
        <v>E</v>
      </c>
      <c r="J2548" s="264"/>
      <c r="L2548" s="16"/>
      <c r="M2548" s="16"/>
      <c r="N2548" s="16"/>
      <c r="O2548" s="16"/>
      <c r="P2548" s="16"/>
      <c r="R2548" s="260"/>
      <c r="S2548" s="310"/>
      <c r="T2548" s="311"/>
      <c r="U2548" s="311"/>
      <c r="V2548" s="311"/>
      <c r="W2548" s="311"/>
      <c r="X2548" s="312"/>
      <c r="Y2548" s="285"/>
      <c r="Z2548" s="285"/>
      <c r="AA2548" s="303"/>
      <c r="AB2548" s="303"/>
      <c r="AC2548" s="303"/>
      <c r="AD2548" s="300"/>
      <c r="AE2548" s="301"/>
      <c r="AF2548" s="302"/>
    </row>
    <row r="2549" spans="1:32" ht="12.75" customHeight="1" thickBot="1" x14ac:dyDescent="0.3">
      <c r="A2549" s="2" t="s">
        <v>160</v>
      </c>
      <c r="B2549" s="40" t="str">
        <f>B2508</f>
        <v>C</v>
      </c>
      <c r="C2549" s="3" t="s">
        <v>158</v>
      </c>
      <c r="F2549" s="53" t="str">
        <f>CONCATENATE($B2508,"-",$K2508)</f>
        <v>C-E</v>
      </c>
      <c r="G2549" s="240" t="str">
        <f ca="1">IF(OR(Q2514&lt;&gt;"",Q2521&lt;&gt;"",Q2528&lt;&gt;"",Q2535&lt;&gt;"",Q2542&lt;&gt;""),COUNTIF(Q2514:Q2514,"W")+COUNTIF(Q2521:Q2521,"W")+COUNTIF(Q2528:Q2528,"W")+COUNTIF(Q2535:Q2535,"W")+COUNTIF(Q2542:Q2542,"W"),"")</f>
        <v/>
      </c>
      <c r="H2549" s="241"/>
      <c r="I2549" s="242" t="str">
        <f ca="1">IF(OR(Q2516&lt;&gt;"",Q2523&lt;&gt;"",Q2530&lt;&gt;"",Q2537&lt;&gt;"",Q2544&lt;&gt;""),COUNTIF(Q2516:Q2516,"W")+COUNTIF(Q2523:Q2523,"W")+COUNTIF(Q2530:Q2530,"W")+COUNTIF(Q2537:Q2537,"W")+COUNTIF(Q2544:Q2544,"W"),"")</f>
        <v/>
      </c>
      <c r="J2549" s="243"/>
      <c r="L2549" s="2" t="s">
        <v>160</v>
      </c>
      <c r="M2549" s="40" t="str">
        <f>K2508</f>
        <v>E</v>
      </c>
      <c r="N2549" s="3" t="s">
        <v>158</v>
      </c>
      <c r="R2549" s="259" t="str">
        <f>K2508</f>
        <v>E</v>
      </c>
      <c r="S2549" s="307" t="str">
        <f ca="1">IF($B2537&lt;&gt;"",$B2537,"")</f>
        <v/>
      </c>
      <c r="T2549" s="308"/>
      <c r="U2549" s="308"/>
      <c r="V2549" s="308"/>
      <c r="W2549" s="308"/>
      <c r="X2549" s="309"/>
      <c r="Y2549" s="284"/>
      <c r="Z2549" s="284"/>
      <c r="AA2549" s="297"/>
      <c r="AB2549" s="297"/>
      <c r="AC2549" s="297"/>
      <c r="AD2549" s="289" t="s">
        <v>169</v>
      </c>
      <c r="AE2549" s="290"/>
      <c r="AF2549" s="291"/>
    </row>
    <row r="2550" spans="1:32" ht="12.75" customHeight="1" x14ac:dyDescent="0.35">
      <c r="F2550" s="18" t="s">
        <v>403</v>
      </c>
      <c r="G2550" s="17"/>
      <c r="H2550" s="17"/>
      <c r="I2550" s="17"/>
      <c r="J2550" s="17"/>
      <c r="R2550" s="285"/>
      <c r="S2550" s="310"/>
      <c r="T2550" s="311"/>
      <c r="U2550" s="311"/>
      <c r="V2550" s="311"/>
      <c r="W2550" s="311"/>
      <c r="X2550" s="312"/>
      <c r="Y2550" s="285"/>
      <c r="Z2550" s="285"/>
      <c r="AA2550" s="285"/>
      <c r="AB2550" s="285"/>
      <c r="AC2550" s="285"/>
      <c r="AD2550" s="292"/>
      <c r="AE2550" s="293"/>
      <c r="AF2550" s="294"/>
    </row>
    <row r="2551" spans="1:32" ht="12.75" customHeight="1" x14ac:dyDescent="0.25">
      <c r="R2551" s="1"/>
      <c r="S2551" s="11"/>
      <c r="T2551" s="11"/>
      <c r="U2551" s="11"/>
      <c r="V2551" s="11"/>
      <c r="W2551" s="11"/>
    </row>
    <row r="2552" spans="1:32" ht="12.75" customHeight="1" x14ac:dyDescent="0.25">
      <c r="F2552" s="212"/>
      <c r="G2552" s="212"/>
      <c r="H2552" s="212"/>
      <c r="I2552" s="212"/>
      <c r="R2552" s="1"/>
      <c r="S2552" s="11"/>
      <c r="T2552" s="11"/>
      <c r="U2552" s="11"/>
      <c r="V2552" s="11"/>
      <c r="W2552" s="11"/>
    </row>
    <row r="2553" spans="1:32" ht="12.75" customHeight="1" x14ac:dyDescent="0.25">
      <c r="F2553" s="212"/>
      <c r="G2553" s="212"/>
      <c r="H2553" s="212"/>
      <c r="I2553" s="212"/>
      <c r="R2553" s="1"/>
      <c r="S2553" s="11"/>
      <c r="T2553" s="11"/>
      <c r="U2553" s="11"/>
      <c r="V2553" s="11"/>
      <c r="W2553" s="11"/>
    </row>
    <row r="2554" spans="1:32" ht="12.75" customHeight="1" x14ac:dyDescent="0.25">
      <c r="K2554" s="219" t="s">
        <v>176</v>
      </c>
      <c r="L2554" s="219"/>
      <c r="M2554" s="219"/>
      <c r="N2554" s="219"/>
      <c r="O2554" s="219"/>
      <c r="P2554" s="219"/>
      <c r="R2554" s="1"/>
      <c r="S2554" s="11"/>
      <c r="T2554" s="11"/>
      <c r="U2554" s="11"/>
      <c r="V2554" s="11"/>
      <c r="W2554" s="11"/>
    </row>
    <row r="2555" spans="1:32" ht="12.75" customHeight="1" x14ac:dyDescent="0.25">
      <c r="A2555" s="9" t="s">
        <v>161</v>
      </c>
      <c r="B2555"/>
      <c r="C2555"/>
      <c r="D2555" t="str">
        <f>Draw!$B$1</f>
        <v>Enter Division Name</v>
      </c>
      <c r="E2555"/>
      <c r="F2555" s="6"/>
      <c r="G2555" s="6"/>
      <c r="H2555" s="6"/>
      <c r="I2555"/>
      <c r="J2555"/>
      <c r="K2555"/>
      <c r="L2555"/>
      <c r="M2555" s="219"/>
      <c r="N2555" s="219"/>
      <c r="O2555" s="219"/>
      <c r="P2555" s="219"/>
      <c r="R2555" s="1"/>
      <c r="S2555" s="11"/>
      <c r="T2555" s="11"/>
      <c r="U2555" s="11"/>
      <c r="V2555" s="11"/>
      <c r="W2555" s="11"/>
    </row>
    <row r="2556" spans="1:32" ht="12.75" customHeight="1" x14ac:dyDescent="0.25">
      <c r="A2556" s="2" t="s">
        <v>162</v>
      </c>
      <c r="D2556" t="str">
        <f>Draw!$D$1</f>
        <v>Enter Hosting Location (City, ST)</v>
      </c>
      <c r="J2556" t="str">
        <f ca="1">$J$6</f>
        <v>[NCTTA Teams Template (v3.4).xlsx]</v>
      </c>
      <c r="R2556" s="1"/>
      <c r="S2556" s="11"/>
      <c r="T2556" s="11"/>
      <c r="U2556" s="11"/>
      <c r="V2556" s="11"/>
      <c r="W2556" s="11"/>
    </row>
    <row r="2557" spans="1:32" ht="12.75" customHeight="1" x14ac:dyDescent="0.25">
      <c r="A2557" s="2" t="s">
        <v>163</v>
      </c>
      <c r="D2557" s="275" t="str">
        <f>Draw!$P$1</f>
        <v>Enter Date</v>
      </c>
      <c r="E2557" s="275"/>
      <c r="F2557" s="275"/>
      <c r="G2557" s="275"/>
      <c r="J2557" s="244" t="str">
        <f>CHOOSE(Draw!$T$1,"Round 9, Match 3","","","","","","","","","","Round 11, Match 1")</f>
        <v>Round 9, Match 3</v>
      </c>
      <c r="K2557" s="244"/>
      <c r="L2557" s="244"/>
      <c r="M2557" s="277" t="str">
        <f>IF(AND($J2557&lt;&gt;"",Draw!$AC$10&lt;&gt;"",Draw!$AC$13&lt;&gt;""),Draw!$AC$10+TIME(0,VALUE(MID($J2557,7,FIND(",",$J2557)-FIND(" ",$J2557)-1)-1)*Draw!$AC$13,0),"")</f>
        <v/>
      </c>
      <c r="N2557" s="277"/>
      <c r="O2557" s="125" t="str">
        <f>$F2600</f>
        <v>B-F</v>
      </c>
      <c r="R2557" s="1"/>
      <c r="S2557" s="11"/>
      <c r="T2557" s="11"/>
      <c r="U2557" s="11"/>
      <c r="V2557" s="11"/>
      <c r="W2557" s="11"/>
    </row>
    <row r="2558" spans="1:32" ht="12.75" customHeight="1" x14ac:dyDescent="0.25">
      <c r="A2558" s="6"/>
      <c r="B2558"/>
      <c r="C2558"/>
      <c r="D2558"/>
      <c r="E2558"/>
      <c r="F2558" s="6"/>
      <c r="G2558" s="6"/>
      <c r="H2558" s="11"/>
      <c r="I2558" s="6"/>
      <c r="J2558"/>
      <c r="K2558"/>
      <c r="L2558"/>
      <c r="M2558"/>
      <c r="N2558"/>
      <c r="O2558" s="269" t="str">
        <f>IF(OR(AND(VLOOKUP($B2559,$AM$1:$AX$12,12,FALSE)="C",VLOOKUP($K2559,$AM$1:$AX$12,12,FALSE)="C"),AND(VLOOKUP($B2559,$AM$1:$AX$12,12,FALSE)="W",VLOOKUP($K2559,$AM$1:$AX$12,12,FALSE)="W")),"Official",IF(AND($A2560="",$J2560=""),"","Scrimmage"))</f>
        <v/>
      </c>
      <c r="P2558" s="269"/>
      <c r="R2558" s="1"/>
      <c r="S2558" s="11"/>
      <c r="T2558" s="11"/>
      <c r="U2558" s="11"/>
      <c r="V2558" s="11"/>
      <c r="W2558" s="11"/>
    </row>
    <row r="2559" spans="1:32" ht="12.75" customHeight="1" x14ac:dyDescent="0.25">
      <c r="A2559" s="12" t="s">
        <v>160</v>
      </c>
      <c r="B2559" s="80" t="str">
        <f>CHOOSE(Draw!$T$1,"B","D","E","E","F","F","F","F","E","C","A")</f>
        <v>B</v>
      </c>
      <c r="C2559" s="109">
        <f>VLOOKUP($B2559,$AM$1:$AN$12,2)</f>
        <v>2</v>
      </c>
      <c r="D2559" s="10"/>
      <c r="E2559" s="10"/>
      <c r="F2559" s="8"/>
      <c r="H2559" s="1" t="s">
        <v>164</v>
      </c>
      <c r="J2559" s="12" t="s">
        <v>160</v>
      </c>
      <c r="K2559" s="98" t="str">
        <f>CHOOSE(Draw!$T$1,"F","I","I","L","L","L","L","K","L","L","H")</f>
        <v>F</v>
      </c>
      <c r="L2559" s="109">
        <f>VLOOKUP($K2559,$AM$1:$AN$12,2)</f>
        <v>6</v>
      </c>
      <c r="M2559" s="10"/>
      <c r="N2559" s="10"/>
      <c r="O2559" s="13"/>
      <c r="R2559" s="1"/>
      <c r="S2559" s="11"/>
      <c r="T2559" s="11"/>
      <c r="U2559" s="11"/>
      <c r="V2559" s="11"/>
      <c r="W2559" s="11"/>
    </row>
    <row r="2560" spans="1:32" ht="12.75" customHeight="1" x14ac:dyDescent="0.25">
      <c r="A2560" s="253" t="str">
        <f>IF(VLOOKUP($B2559,Draw!$A$4:$B$27,2)&lt;&gt;0,VLOOKUP($B2559,Draw!$A$4:$B$27,2),"")</f>
        <v/>
      </c>
      <c r="B2560" s="254"/>
      <c r="C2560" s="254"/>
      <c r="D2560" s="254"/>
      <c r="E2560" s="254"/>
      <c r="F2560" s="255"/>
      <c r="G2560" s="273" t="s">
        <v>454</v>
      </c>
      <c r="H2560" s="249"/>
      <c r="I2560" s="274"/>
      <c r="J2560" s="253" t="str">
        <f>IF(VLOOKUP($K2559,Draw!$A$4:$B$27,2)&lt;&gt;0,VLOOKUP($K2559,Draw!$A$4:$B$27,2),"")</f>
        <v/>
      </c>
      <c r="K2560" s="254"/>
      <c r="L2560" s="254"/>
      <c r="M2560" s="254"/>
      <c r="N2560" s="254"/>
      <c r="O2560" s="255"/>
      <c r="P2560"/>
      <c r="R2560" s="1"/>
      <c r="S2560" s="11"/>
      <c r="T2560" s="11"/>
      <c r="U2560" s="11"/>
      <c r="V2560" s="11"/>
      <c r="W2560" s="11"/>
    </row>
    <row r="2561" spans="1:32" ht="12.75" customHeight="1" x14ac:dyDescent="0.25">
      <c r="A2561" s="6"/>
      <c r="B2561"/>
      <c r="C2561"/>
      <c r="D2561"/>
      <c r="E2561"/>
      <c r="F2561" s="6"/>
      <c r="G2561" s="248" t="str">
        <f>"Page "&amp;VALUE(RIGHT($G2560,LEN($G2560)-SEARCH("-",$G2560)))/2</f>
        <v>Page 51</v>
      </c>
      <c r="H2561" s="249"/>
      <c r="I2561" s="249"/>
      <c r="J2561"/>
      <c r="K2561"/>
      <c r="L2561"/>
      <c r="M2561"/>
      <c r="N2561"/>
      <c r="O2561"/>
      <c r="P2561"/>
      <c r="R2561" s="1"/>
      <c r="S2561" s="11"/>
      <c r="T2561" s="11"/>
      <c r="U2561" s="11"/>
      <c r="V2561" s="11"/>
      <c r="W2561" s="11"/>
      <c r="AF2561"/>
    </row>
    <row r="2562" spans="1:32" ht="12.75" customHeight="1" x14ac:dyDescent="0.25">
      <c r="A2562" s="276" t="s">
        <v>177</v>
      </c>
      <c r="B2562" s="276"/>
      <c r="C2562" s="276"/>
      <c r="D2562" s="276"/>
      <c r="E2562" s="276"/>
      <c r="F2562" s="276"/>
      <c r="G2562" s="276"/>
      <c r="H2562" s="276"/>
      <c r="I2562" s="276"/>
      <c r="J2562" s="276"/>
      <c r="K2562" s="276"/>
      <c r="L2562" s="276"/>
      <c r="M2562" s="276"/>
      <c r="N2562" s="276"/>
      <c r="O2562" s="276"/>
      <c r="P2562" s="276"/>
      <c r="Q2562" s="6"/>
      <c r="R2562" s="1"/>
      <c r="S2562" s="11"/>
      <c r="T2562" s="11"/>
      <c r="U2562" s="11"/>
      <c r="V2562" s="11"/>
      <c r="W2562" s="11"/>
      <c r="AF2562" s="14"/>
    </row>
    <row r="2563" spans="1:32" ht="12.75" customHeight="1" x14ac:dyDescent="0.25">
      <c r="A2563" s="15" t="s">
        <v>165</v>
      </c>
      <c r="H2563" s="110" t="str">
        <f>IF($Q2565&lt;&gt;"",IF(AND(AND($H2565&gt;-1,$H2567&gt;-1),OR($H2565&gt;10,$H2567&gt;10),ABS($H2565-$H2567)&gt;1,IF(OR($H2565&gt;11,$H2567&gt;11),ABS($H2565-$H2567)=2,TRUE),$H2565=INT($H2565),$H2567=INT($H2567)),"","Error"),"")</f>
        <v/>
      </c>
      <c r="I2563" s="110" t="str">
        <f>IF($Q2565&lt;&gt;"",IF(AND(AND($I2565&gt;-1,$I2567&gt;-1),OR($I2565&gt;10,$I2567&gt;10),ABS($I2565-$I2567)&gt;1,IF(OR($I2565&gt;11,$I2567&gt;11),ABS($I2565-$I2567)=2,TRUE),$I2565=INT($I2565),$I2567=INT($I2567)),"","Error"),"")</f>
        <v/>
      </c>
      <c r="J2563" s="110" t="str">
        <f>IF($Q2565&lt;&gt;"",IF(AND(AND($J2565&gt;-1,$J2567&gt;-1),OR($J2565&gt;10,$J2567&gt;10),ABS($J2565-$J2567)&gt;1,IF(OR($J2565&gt;11,$J2567&gt;11),ABS($J2565-$J2567)=2,TRUE),$J2565=INT($J2565),$J2567=INT($J2567)),"","Error"),"")</f>
        <v/>
      </c>
      <c r="K2563" s="110" t="str">
        <f>IF($Q2565&lt;&gt;"",IF(AND($K2565&lt;&gt;"",$K2567&lt;&gt;""), IF(AND(AND($K2565&gt;-1,$K2567&gt;-1),OR($K2565&gt;10,$K2567&gt;10),ABS($K2565-$K2567)&gt;1,IF(OR($K2565&gt;11,$K2567&gt;11),ABS($K2565-$K2567)=2,TRUE),$K2565=INT($K2565),$K2567=INT($K2567)),"","Error"),""),"")</f>
        <v/>
      </c>
      <c r="L2563" s="110" t="str">
        <f>IF($Q2565&lt;&gt;"",IF(AND($L2565&lt;&gt;"",$L2567&lt;&gt;""), IF(AND(AND($L2565&gt;-1,$L2567&gt;-1),OR($L2565&gt;10,$L2567&gt;10),ABS($L2565-$L2567)&gt;1,IF(OR($L2565&gt;11,$L2567&gt;11),ABS($L2565-$L2567)=2,TRUE),$L2565=INT($L2565),$L2567=INT($L2567)),"","Error"),""),"")</f>
        <v/>
      </c>
      <c r="R2563" s="1"/>
      <c r="S2563" s="11"/>
      <c r="T2563" s="11"/>
      <c r="U2563" s="11"/>
      <c r="V2563" s="11"/>
      <c r="W2563" s="11"/>
    </row>
    <row r="2564" spans="1:32" ht="12.75" customHeight="1" x14ac:dyDescent="0.25">
      <c r="A2564" s="5" t="s">
        <v>160</v>
      </c>
      <c r="B2564" s="256" t="s">
        <v>58</v>
      </c>
      <c r="C2564" s="257"/>
      <c r="D2564" s="257"/>
      <c r="E2564" s="257"/>
      <c r="F2564" s="257"/>
      <c r="G2564" s="258"/>
      <c r="H2564" s="5">
        <v>1</v>
      </c>
      <c r="I2564" s="5">
        <v>2</v>
      </c>
      <c r="J2564" s="5">
        <v>3</v>
      </c>
      <c r="K2564" s="5">
        <v>4</v>
      </c>
      <c r="L2564" s="5">
        <v>5</v>
      </c>
      <c r="M2564" s="270"/>
      <c r="N2564" s="271"/>
      <c r="O2564" s="271"/>
      <c r="P2564" s="272"/>
      <c r="R2564" s="1"/>
      <c r="S2564" s="11"/>
      <c r="T2564" s="11"/>
      <c r="U2564" s="11"/>
      <c r="V2564" s="11"/>
      <c r="W2564" s="11"/>
    </row>
    <row r="2565" spans="1:32" ht="12.75" customHeight="1" x14ac:dyDescent="0.25">
      <c r="A2565" s="259" t="str">
        <f>B2559</f>
        <v>B</v>
      </c>
      <c r="B2565" s="236" t="str">
        <f ca="1">IF(AND(OFFSET($AO$1,$C2559-1,8,1,1),$A2560&lt;&gt;"",$J2560&lt;&gt;""),CHOOSE($C2559,$AO$1,$AO$2,$AO$3,$AO$4,$AO$5,$AO$6,$AO$7,$AO$8,$AO$9,$AO$10,$AO$11,$AO$12),"")</f>
        <v/>
      </c>
      <c r="C2565" s="237"/>
      <c r="D2565" s="237"/>
      <c r="E2565" s="237"/>
      <c r="F2565" s="237"/>
      <c r="G2565" s="237"/>
      <c r="H2565" s="233"/>
      <c r="I2565" s="233"/>
      <c r="J2565" s="233"/>
      <c r="K2565" s="233"/>
      <c r="L2565" s="233"/>
      <c r="M2565" s="281"/>
      <c r="N2565" s="282"/>
      <c r="O2565" s="282"/>
      <c r="P2565" s="283"/>
      <c r="Q2565" s="40" t="str">
        <f>IF($L2565=$L2567,IF($K2565=$K2567,IF($J2565&lt;&gt;"",IF($J2565&gt;$J2567,"W","L"),""),IF($K2565&gt;$K2567,"W","L")),IF($L2565&gt;$L2567,"W","L"))</f>
        <v/>
      </c>
      <c r="R2565" s="1"/>
      <c r="S2565" s="11"/>
      <c r="T2565" s="11"/>
      <c r="U2565" s="11"/>
      <c r="V2565" s="11"/>
      <c r="W2565" s="11"/>
    </row>
    <row r="2566" spans="1:32" ht="12.75" customHeight="1" x14ac:dyDescent="0.25">
      <c r="A2566" s="260"/>
      <c r="B2566" s="238"/>
      <c r="C2566" s="239"/>
      <c r="D2566" s="239"/>
      <c r="E2566" s="239"/>
      <c r="F2566" s="239"/>
      <c r="G2566" s="239"/>
      <c r="H2566" s="234"/>
      <c r="I2566" s="234"/>
      <c r="J2566" s="234"/>
      <c r="K2566" s="234"/>
      <c r="L2566" s="234"/>
      <c r="M2566" s="281"/>
      <c r="N2566" s="282"/>
      <c r="O2566" s="282"/>
      <c r="P2566" s="283"/>
      <c r="Q2566" s="110" t="str">
        <f>IF($Q2565&lt;&gt;"",IF($Q2565="W",IF(SUM(IF($H2565&gt;$H2567,1,0),IF($I2565&gt;$I2567,1,0),IF($J2565&gt;$J2567,1,0),IF($K2565&gt;$K2567,1,0),IF($L2565&gt;$L2567,1,0))&lt;&gt;3,"Error",""),""),"")</f>
        <v/>
      </c>
      <c r="R2566" s="295" t="str">
        <f>$A2560</f>
        <v/>
      </c>
      <c r="S2566" s="295"/>
      <c r="T2566" s="295"/>
      <c r="U2566" s="295"/>
      <c r="V2566" s="295"/>
      <c r="W2566" s="295"/>
      <c r="X2566" s="219" t="str">
        <f>CONCATENATE("(",$B2559," vs ",$K2559,")")</f>
        <v>(B vs F)</v>
      </c>
      <c r="Y2566" s="219"/>
      <c r="Z2566" s="295" t="str">
        <f>$J2560</f>
        <v/>
      </c>
      <c r="AA2566" s="295"/>
      <c r="AB2566" s="295"/>
      <c r="AC2566" s="295"/>
      <c r="AD2566" s="295"/>
      <c r="AE2566" s="295"/>
      <c r="AF2566"/>
    </row>
    <row r="2567" spans="1:32" ht="12.75" customHeight="1" x14ac:dyDescent="0.25">
      <c r="A2567" s="259" t="str">
        <f>K2559</f>
        <v>F</v>
      </c>
      <c r="B2567" s="236" t="str">
        <f ca="1">IF(AND(OFFSET($AO$1,$L2559-1,8,1,1),$A2560&lt;&gt;"",$J2560&lt;&gt;""),CHOOSE($L2559,$AO$1,$AO$2,$AO$3,$AO$4,$AO$5,$AO$6,$AO$7,$AO$8,$AO$9,$AO$10,$AO$11,$AO$12),"")</f>
        <v/>
      </c>
      <c r="C2567" s="237"/>
      <c r="D2567" s="237"/>
      <c r="E2567" s="237"/>
      <c r="F2567" s="237"/>
      <c r="G2567" s="237"/>
      <c r="H2567" s="233"/>
      <c r="I2567" s="233"/>
      <c r="J2567" s="233"/>
      <c r="K2567" s="233"/>
      <c r="L2567" s="233"/>
      <c r="M2567" s="250" t="s">
        <v>169</v>
      </c>
      <c r="N2567" s="251"/>
      <c r="O2567" s="251"/>
      <c r="P2567" s="252"/>
      <c r="Q2567" s="40" t="str">
        <f>IF($Q2565&lt;&gt;"",IF($Q2565="W","L","W"),"")</f>
        <v/>
      </c>
      <c r="R2567"/>
      <c r="S2567"/>
      <c r="T2567"/>
      <c r="U2567"/>
      <c r="V2567"/>
      <c r="W2567"/>
      <c r="X2567"/>
      <c r="Y2567"/>
      <c r="Z2567"/>
      <c r="AA2567"/>
      <c r="AB2567"/>
      <c r="AC2567"/>
      <c r="AD2567"/>
      <c r="AE2567"/>
      <c r="AF2567"/>
    </row>
    <row r="2568" spans="1:32" ht="12.75" customHeight="1" x14ac:dyDescent="0.25">
      <c r="A2568" s="260"/>
      <c r="B2568" s="238"/>
      <c r="C2568" s="239"/>
      <c r="D2568" s="239"/>
      <c r="E2568" s="239"/>
      <c r="F2568" s="239"/>
      <c r="G2568" s="239"/>
      <c r="H2568" s="234"/>
      <c r="I2568" s="234"/>
      <c r="J2568" s="235"/>
      <c r="K2568" s="235"/>
      <c r="L2568" s="235"/>
      <c r="M2568" s="250"/>
      <c r="N2568" s="251"/>
      <c r="O2568" s="251"/>
      <c r="P2568" s="252"/>
      <c r="Q2568" s="110" t="str">
        <f>IF($Q2567&lt;&gt;"",IF($Q2567="W",IF(SUM(IF($H2567&gt;$H2565,1,0),IF($I2567&gt;$I2565,1,0),IF($J2567&gt;$J2565,1,0),IF($K2567&gt;$K2565,1,0),IF($L2567&gt;$L2565,1,0))&lt;&gt;3,"Error",""),""),"")</f>
        <v/>
      </c>
      <c r="R2568" t="str">
        <f>$A2570</f>
        <v>2nd Singles</v>
      </c>
      <c r="S2568"/>
      <c r="T2568"/>
      <c r="U2568"/>
      <c r="V2568"/>
      <c r="W2568"/>
      <c r="X2568"/>
      <c r="Y2568"/>
      <c r="Z2568"/>
      <c r="AA2568"/>
      <c r="AB2568"/>
      <c r="AC2568"/>
      <c r="AD2568"/>
      <c r="AE2568"/>
      <c r="AF2568"/>
    </row>
    <row r="2569" spans="1:32" ht="12.75" customHeight="1" x14ac:dyDescent="0.25">
      <c r="Q2569" s="6"/>
      <c r="R2569" s="47" t="s">
        <v>160</v>
      </c>
      <c r="S2569" s="304" t="s">
        <v>58</v>
      </c>
      <c r="T2569" s="305"/>
      <c r="U2569" s="305"/>
      <c r="V2569" s="305"/>
      <c r="W2569" s="305"/>
      <c r="X2569" s="306"/>
      <c r="Y2569" s="47">
        <v>1</v>
      </c>
      <c r="Z2569" s="47">
        <v>2</v>
      </c>
      <c r="AA2569" s="47">
        <v>3</v>
      </c>
      <c r="AB2569" s="47">
        <v>4</v>
      </c>
      <c r="AC2569" s="47">
        <v>5</v>
      </c>
      <c r="AD2569" s="286"/>
      <c r="AE2569" s="287"/>
      <c r="AF2569" s="288"/>
    </row>
    <row r="2570" spans="1:32" ht="12.75" customHeight="1" x14ac:dyDescent="0.25">
      <c r="A2570" s="15" t="s">
        <v>166</v>
      </c>
      <c r="H2570" s="110" t="str">
        <f>IF($Q2572&lt;&gt;"",IF(AND(AND($H2572&gt;-1,$H2574&gt;-1),OR($H2572&gt;10,$H2574&gt;10),ABS($H2572-$H2574)&gt;1,IF(OR($H2572&gt;11,$H2574&gt;11),ABS($H2572-$H2574)=2,TRUE),$H2572=INT($H2572),$H2574=INT($H2574)),"","Error"),"")</f>
        <v/>
      </c>
      <c r="I2570" s="110" t="str">
        <f>IF($Q2572&lt;&gt;"",IF(AND(AND($I2572&gt;-1,$I2574&gt;-1),OR($I2572&gt;10,$I2574&gt;10),ABS($I2572-$I2574)&gt;1,IF(OR($I2572&gt;11,$I2574&gt;11),ABS($I2572-$I2574)=2,TRUE),$I2572=INT($I2572),$I2574=INT($I2574)),"","Error"),"")</f>
        <v/>
      </c>
      <c r="J2570" s="110" t="str">
        <f>IF($Q2572&lt;&gt;"",IF(AND(AND($J2572&gt;-1,$J2574&gt;-1),OR($J2572&gt;10,$J2574&gt;10),ABS($J2572-$J2574)&gt;1,IF(OR($J2572&gt;11,$J2574&gt;11),ABS($J2572-$J2574)=2,TRUE),$J2572=INT($J2572),$J2574=INT($J2574)),"","Error"),"")</f>
        <v/>
      </c>
      <c r="K2570" s="110" t="str">
        <f>IF($Q2572&lt;&gt;"",IF(AND($K2572&lt;&gt;"",$K2574&lt;&gt;""), IF(AND(AND($K2572&gt;-1,$K2574&gt;-1),OR($K2572&gt;10,$K2574&gt;10),ABS($K2572-$K2574)&gt;1,IF(OR($K2572&gt;11,$K2574&gt;11),ABS($K2572-$K2574)=2,TRUE),$K2572=INT($K2572),$K2574=INT($K2574)),"","Error"),""),"")</f>
        <v/>
      </c>
      <c r="L2570" s="110" t="str">
        <f>IF($Q2572&lt;&gt;"",IF(AND($L2572&lt;&gt;"",$L2574&lt;&gt;""), IF(AND(AND($L2572&gt;-1,$L2574&gt;-1),OR($L2572&gt;10,$L2574&gt;10),ABS($L2572-$L2574)&gt;1,IF(OR($L2572&gt;11,$L2574&gt;11),ABS($L2572-$L2574)=2,TRUE),$L2572=INT($L2572),$L2574=INT($L2574)),"","Error"),""),"")</f>
        <v/>
      </c>
      <c r="Q2570" s="6"/>
      <c r="R2570" s="259" t="str">
        <f>$B2559</f>
        <v>B</v>
      </c>
      <c r="S2570" s="307" t="str">
        <f ca="1">IF($B2572&lt;&gt;"",$B2572,"")</f>
        <v/>
      </c>
      <c r="T2570" s="308"/>
      <c r="U2570" s="308"/>
      <c r="V2570" s="308"/>
      <c r="W2570" s="308"/>
      <c r="X2570" s="309"/>
      <c r="Y2570" s="284"/>
      <c r="Z2570" s="284"/>
      <c r="AA2570" s="284"/>
      <c r="AB2570" s="284"/>
      <c r="AC2570" s="284"/>
      <c r="AD2570" s="296"/>
      <c r="AE2570" s="290"/>
      <c r="AF2570" s="291"/>
    </row>
    <row r="2571" spans="1:32" ht="12.75" customHeight="1" x14ac:dyDescent="0.25">
      <c r="A2571" s="5" t="s">
        <v>160</v>
      </c>
      <c r="B2571" s="256" t="s">
        <v>58</v>
      </c>
      <c r="C2571" s="257"/>
      <c r="D2571" s="257"/>
      <c r="E2571" s="257"/>
      <c r="F2571" s="257"/>
      <c r="G2571" s="258"/>
      <c r="H2571" s="5">
        <v>1</v>
      </c>
      <c r="I2571" s="5">
        <v>2</v>
      </c>
      <c r="J2571" s="5">
        <v>3</v>
      </c>
      <c r="K2571" s="5">
        <v>4</v>
      </c>
      <c r="L2571" s="5">
        <v>5</v>
      </c>
      <c r="M2571" s="270"/>
      <c r="N2571" s="271"/>
      <c r="O2571" s="271"/>
      <c r="P2571" s="272"/>
      <c r="Q2571" s="6"/>
      <c r="R2571" s="285"/>
      <c r="S2571" s="310"/>
      <c r="T2571" s="311"/>
      <c r="U2571" s="311"/>
      <c r="V2571" s="311"/>
      <c r="W2571" s="311"/>
      <c r="X2571" s="312"/>
      <c r="Y2571" s="285"/>
      <c r="Z2571" s="285"/>
      <c r="AA2571" s="285"/>
      <c r="AB2571" s="285"/>
      <c r="AC2571" s="285"/>
      <c r="AD2571" s="292"/>
      <c r="AE2571" s="293"/>
      <c r="AF2571" s="294"/>
    </row>
    <row r="2572" spans="1:32" ht="12.75" customHeight="1" x14ac:dyDescent="0.25">
      <c r="A2572" s="259" t="str">
        <f>B2559</f>
        <v>B</v>
      </c>
      <c r="B2572" s="236" t="str">
        <f ca="1">IF(AND(OFFSET($AO$1,$C2559-1,8,1,1),$A2560&lt;&gt;"",$J2560&lt;&gt;""),CHOOSE($C2559,$AP$1,$AP$2,$AP$3,$AP$4,$AP$5,$AP$6,$AP$7,$AP$8,$AP$9,$AP$10,$AP$11,$AP$12),"")</f>
        <v/>
      </c>
      <c r="C2572" s="237"/>
      <c r="D2572" s="237"/>
      <c r="E2572" s="237"/>
      <c r="F2572" s="237"/>
      <c r="G2572" s="237"/>
      <c r="H2572" s="233"/>
      <c r="I2572" s="233"/>
      <c r="J2572" s="233"/>
      <c r="K2572" s="233"/>
      <c r="L2572" s="233"/>
      <c r="M2572" s="245" t="str">
        <f ca="1">IF(OR(AND($B2565&lt;&gt;"",$B2572&lt;&gt;"",$C2590&lt;=$B2590),AND($B2567&lt;&gt;"",$B2574&lt;&gt;"",$G2590&lt;=$F2590)),"Invalid Lineup","")</f>
        <v/>
      </c>
      <c r="N2572" s="246"/>
      <c r="O2572" s="246"/>
      <c r="P2572" s="247"/>
      <c r="Q2572" s="40" t="str">
        <f>IF($L2572=$L2574,IF($K2572=$K2574,IF($J2572&lt;&gt;"",IF($J2572&gt;$J2574,"W","L"),""),IF($K2572&gt;$K2574,"W","L")),IF($L2572&gt;$L2574,"W","L"))</f>
        <v/>
      </c>
      <c r="R2572" s="259" t="str">
        <f>$K2559</f>
        <v>F</v>
      </c>
      <c r="S2572" s="307" t="str">
        <f ca="1">IF($B2574&lt;&gt;"",$B2574,"")</f>
        <v/>
      </c>
      <c r="T2572" s="308"/>
      <c r="U2572" s="308"/>
      <c r="V2572" s="308"/>
      <c r="W2572" s="308"/>
      <c r="X2572" s="309"/>
      <c r="Y2572" s="284"/>
      <c r="Z2572" s="284"/>
      <c r="AA2572" s="284"/>
      <c r="AB2572" s="284"/>
      <c r="AC2572" s="297"/>
      <c r="AD2572" s="289" t="s">
        <v>169</v>
      </c>
      <c r="AE2572" s="290"/>
      <c r="AF2572" s="291"/>
    </row>
    <row r="2573" spans="1:32" ht="12.75" customHeight="1" x14ac:dyDescent="0.25">
      <c r="A2573" s="260"/>
      <c r="B2573" s="238"/>
      <c r="C2573" s="239"/>
      <c r="D2573" s="239"/>
      <c r="E2573" s="239"/>
      <c r="F2573" s="239"/>
      <c r="G2573" s="239"/>
      <c r="H2573" s="234"/>
      <c r="I2573" s="234"/>
      <c r="J2573" s="234"/>
      <c r="K2573" s="234"/>
      <c r="L2573" s="234"/>
      <c r="M2573" s="245"/>
      <c r="N2573" s="246"/>
      <c r="O2573" s="246"/>
      <c r="P2573" s="247"/>
      <c r="Q2573" s="110" t="str">
        <f>IF($Q2572&lt;&gt;"",IF($Q2572="W",IF(SUM(IF($H2572&gt;$H2574,1,0),IF($I2572&gt;$I2574,1,0),IF($J2572&gt;$J2574,1,0),IF($K2572&gt;$K2574,1,0),IF($L2572&gt;$L2574,1,0))&lt;&gt;3,"Error",""),""),"")</f>
        <v/>
      </c>
      <c r="R2573" s="285"/>
      <c r="S2573" s="310"/>
      <c r="T2573" s="311"/>
      <c r="U2573" s="311"/>
      <c r="V2573" s="311"/>
      <c r="W2573" s="311"/>
      <c r="X2573" s="312"/>
      <c r="Y2573" s="285"/>
      <c r="Z2573" s="285"/>
      <c r="AA2573" s="285"/>
      <c r="AB2573" s="285"/>
      <c r="AC2573" s="285"/>
      <c r="AD2573" s="292"/>
      <c r="AE2573" s="293"/>
      <c r="AF2573" s="294"/>
    </row>
    <row r="2574" spans="1:32" ht="12.75" customHeight="1" x14ac:dyDescent="0.25">
      <c r="A2574" s="259" t="str">
        <f>K2559</f>
        <v>F</v>
      </c>
      <c r="B2574" s="236" t="str">
        <f ca="1">IF(AND(OFFSET($AO$1,$L2559-1,8,1,1),$A2560&lt;&gt;"",$J2560&lt;&gt;""),CHOOSE($L2559,$AP$1,$AP$2,$AP$3,$AP$4,$AP$5,$AP$6,$AP$7,$AP$8,$AP$9,$AP$10,$AP$11,$AP$12),"")</f>
        <v/>
      </c>
      <c r="C2574" s="237"/>
      <c r="D2574" s="237"/>
      <c r="E2574" s="237"/>
      <c r="F2574" s="237"/>
      <c r="G2574" s="237"/>
      <c r="H2574" s="233"/>
      <c r="I2574" s="233"/>
      <c r="J2574" s="233"/>
      <c r="K2574" s="233"/>
      <c r="L2574" s="233"/>
      <c r="M2574" s="250" t="s">
        <v>169</v>
      </c>
      <c r="N2574" s="251"/>
      <c r="O2574" s="251"/>
      <c r="P2574" s="252"/>
      <c r="Q2574" s="40" t="str">
        <f>IF($Q2572&lt;&gt;"",IF($Q2572="W","L","W"),"")</f>
        <v/>
      </c>
      <c r="R2574" s="14"/>
      <c r="S2574" s="14"/>
      <c r="T2574" s="14"/>
      <c r="U2574" s="14"/>
      <c r="V2574" s="14"/>
      <c r="W2574" s="14"/>
      <c r="X2574" s="7"/>
      <c r="Y2574" s="7"/>
      <c r="Z2574" s="14"/>
      <c r="AA2574" s="14"/>
      <c r="AB2574" s="14"/>
      <c r="AC2574" s="14"/>
      <c r="AD2574" s="14"/>
      <c r="AE2574" s="14"/>
      <c r="AF2574"/>
    </row>
    <row r="2575" spans="1:32" ht="12.75" customHeight="1" x14ac:dyDescent="0.25">
      <c r="A2575" s="260"/>
      <c r="B2575" s="238"/>
      <c r="C2575" s="239"/>
      <c r="D2575" s="239"/>
      <c r="E2575" s="239"/>
      <c r="F2575" s="239"/>
      <c r="G2575" s="239"/>
      <c r="H2575" s="234"/>
      <c r="I2575" s="234"/>
      <c r="J2575" s="235"/>
      <c r="K2575" s="235"/>
      <c r="L2575" s="235"/>
      <c r="M2575" s="250"/>
      <c r="N2575" s="251"/>
      <c r="O2575" s="251"/>
      <c r="P2575" s="252"/>
      <c r="Q2575" s="110" t="str">
        <f>IF($Q2574&lt;&gt;"",IF($Q2574="W",IF(SUM(IF($H2574&gt;$H2572,1,0),IF($I2574&gt;$I2572,1,0),IF($J2574&gt;$J2572,1,0),IF($K2574&gt;$K2572,1,0),IF($L2574&gt;$L2572,1,0))&lt;&gt;3,"Error",""),""),"")</f>
        <v/>
      </c>
      <c r="R2575" s="14"/>
      <c r="S2575" s="14"/>
      <c r="T2575" s="14"/>
      <c r="U2575" s="14"/>
      <c r="V2575" s="14"/>
      <c r="W2575" s="14"/>
      <c r="X2575" s="7"/>
      <c r="Y2575" s="7"/>
      <c r="Z2575" s="14"/>
      <c r="AA2575" s="14"/>
      <c r="AB2575" s="14"/>
      <c r="AC2575" s="14"/>
      <c r="AD2575" s="14"/>
      <c r="AE2575" s="14"/>
      <c r="AF2575"/>
    </row>
    <row r="2576" spans="1:32" ht="12.75" customHeight="1" x14ac:dyDescent="0.25">
      <c r="Q2576" s="6"/>
      <c r="R2576" s="14"/>
      <c r="S2576" s="14"/>
      <c r="T2576" s="14"/>
      <c r="U2576" s="14"/>
      <c r="V2576" s="14"/>
      <c r="W2576" s="14"/>
      <c r="X2576" s="7"/>
      <c r="Y2576" s="7"/>
      <c r="Z2576" s="14"/>
      <c r="AA2576" s="14"/>
      <c r="AB2576" s="14"/>
      <c r="AC2576" s="14"/>
      <c r="AD2576" s="14"/>
      <c r="AE2576" s="14"/>
      <c r="AF2576"/>
    </row>
    <row r="2577" spans="1:32" ht="12.75" customHeight="1" x14ac:dyDescent="0.25">
      <c r="A2577" s="15" t="s">
        <v>167</v>
      </c>
      <c r="H2577" s="110" t="str">
        <f>IF($Q2579&lt;&gt;"",IF(AND(AND($H2579&gt;-1,$H2581&gt;-1),OR($H2579&gt;10,$H2581&gt;10),ABS($H2579-$H2581)&gt;1,IF(OR($H2579&gt;11,$H2581&gt;11),ABS($H2579-$H2581)=2,TRUE),$H2579=INT($H2579),$H2581=INT($H2581)),"","Error"),"")</f>
        <v/>
      </c>
      <c r="I2577" s="110" t="str">
        <f>IF($Q2579&lt;&gt;"",IF(AND(AND($I2579&gt;-1,$I2581&gt;-1),OR($I2579&gt;10,$I2581&gt;10),ABS($I2579-$I2581)&gt;1,IF(OR($I2579&gt;11,$I2581&gt;11),ABS($I2579-$I2581)=2,TRUE),$I2579=INT($I2579),$I2581=INT($I2581)),"","Error"),"")</f>
        <v/>
      </c>
      <c r="J2577" s="110" t="str">
        <f>IF($Q2579&lt;&gt;"",IF(AND(AND($J2579&gt;-1,$J2581&gt;-1),OR($J2579&gt;10,$J2581&gt;10),ABS($J2579-$J2581)&gt;1,IF(OR($J2579&gt;11,$J2581&gt;11),ABS($J2579-$J2581)=2,TRUE),$J2579=INT($J2579),$J2581=INT($J2581)),"","Error"),"")</f>
        <v/>
      </c>
      <c r="K2577" s="110" t="str">
        <f>IF($Q2579&lt;&gt;"",IF(AND($K2579&lt;&gt;"",$K2581&lt;&gt;""), IF(AND(AND($K2579&gt;-1,$K2581&gt;-1),OR($K2579&gt;10,$K2581&gt;10),ABS($K2579-$K2581)&gt;1,IF(OR($K2579&gt;11,$K2581&gt;11),ABS($K2579-$K2581)=2,TRUE),$K2579=INT($K2579),$K2581=INT($K2581)),"","Error"),""),"")</f>
        <v/>
      </c>
      <c r="L2577" s="110" t="str">
        <f>IF($Q2579&lt;&gt;"",IF(AND($L2579&lt;&gt;"",$L2581&lt;&gt;""), IF(AND(AND($L2579&gt;-1,$L2581&gt;-1),OR($L2579&gt;10,$L2581&gt;10),ABS($L2579-$L2581)&gt;1,IF(OR($L2579&gt;11,$L2581&gt;11),ABS($L2579-$L2581)=2,TRUE),$L2579=INT($L2579),$L2581=INT($L2581)),"","Error"),""),"")</f>
        <v/>
      </c>
      <c r="Q2577" s="6"/>
      <c r="R2577" s="14"/>
      <c r="S2577" s="14"/>
      <c r="T2577" s="14"/>
      <c r="U2577" s="14"/>
      <c r="V2577" s="14"/>
      <c r="W2577" s="14"/>
      <c r="X2577" s="7"/>
      <c r="Y2577" s="7"/>
      <c r="Z2577" s="14"/>
      <c r="AA2577" s="14"/>
      <c r="AB2577" s="14"/>
      <c r="AC2577" s="14"/>
      <c r="AD2577" s="14"/>
      <c r="AE2577" s="14"/>
      <c r="AF2577"/>
    </row>
    <row r="2578" spans="1:32" ht="12.75" customHeight="1" x14ac:dyDescent="0.25">
      <c r="A2578" s="5" t="s">
        <v>160</v>
      </c>
      <c r="B2578" s="256" t="s">
        <v>58</v>
      </c>
      <c r="C2578" s="257"/>
      <c r="D2578" s="257"/>
      <c r="E2578" s="257"/>
      <c r="F2578" s="257"/>
      <c r="G2578" s="258"/>
      <c r="H2578" s="5">
        <v>1</v>
      </c>
      <c r="I2578" s="5">
        <v>2</v>
      </c>
      <c r="J2578" s="5">
        <v>3</v>
      </c>
      <c r="K2578" s="5">
        <v>4</v>
      </c>
      <c r="L2578" s="5">
        <v>5</v>
      </c>
      <c r="M2578" s="270"/>
      <c r="N2578" s="271"/>
      <c r="O2578" s="271"/>
      <c r="P2578" s="272"/>
      <c r="Q2578" s="6"/>
      <c r="R2578" s="14"/>
      <c r="S2578" s="14"/>
      <c r="T2578" s="14"/>
      <c r="U2578" s="14"/>
      <c r="V2578" s="14"/>
      <c r="W2578" s="14"/>
      <c r="X2578" s="7"/>
      <c r="Y2578" s="7"/>
      <c r="Z2578" s="14"/>
      <c r="AA2578" s="14"/>
      <c r="AB2578" s="14"/>
      <c r="AC2578" s="14"/>
      <c r="AD2578" s="14"/>
      <c r="AE2578" s="14"/>
      <c r="AF2578"/>
    </row>
    <row r="2579" spans="1:32" ht="12.75" customHeight="1" x14ac:dyDescent="0.25">
      <c r="A2579" s="259" t="str">
        <f>B2559</f>
        <v>B</v>
      </c>
      <c r="B2579" s="236" t="str">
        <f ca="1">IF(AND(OFFSET($AO$1,$C2559-1,8,1,1),$A2560&lt;&gt;"",$J2560&lt;&gt;""),CHOOSE($C2559,$AQ$1,$AQ$2,$AQ$3,$AQ$4,$AQ$5,$AQ$6,$AQ$7,$AQ$8,$AQ$9,$AQ$10,$AQ$11,$AQ$12),"")</f>
        <v/>
      </c>
      <c r="C2579" s="237"/>
      <c r="D2579" s="237"/>
      <c r="E2579" s="237"/>
      <c r="F2579" s="237"/>
      <c r="G2579" s="237"/>
      <c r="H2579" s="233"/>
      <c r="I2579" s="233"/>
      <c r="J2579" s="233"/>
      <c r="K2579" s="233"/>
      <c r="L2579" s="233"/>
      <c r="M2579" s="245" t="str">
        <f ca="1">IF(OR(AND($B2572&lt;&gt;"",$B2579&lt;&gt;"",$D2590&lt;=$C2590),AND($B2574&lt;&gt;"",$B2581&lt;&gt;"",$H2590&lt;=$G2590)),"Invalid Lineup","")</f>
        <v/>
      </c>
      <c r="N2579" s="246"/>
      <c r="O2579" s="246"/>
      <c r="P2579" s="247"/>
      <c r="Q2579" s="40" t="str">
        <f>IF($L2579=$L2581,IF($K2579=$K2581,IF($J2579&lt;&gt;"",IF($J2579&gt;$J2581,"W","L"),""),IF($K2579&gt;$K2581,"W","L")),IF($L2579&gt;$L2581,"W","L"))</f>
        <v/>
      </c>
      <c r="R2579" s="14"/>
      <c r="S2579" s="14"/>
      <c r="T2579" s="14"/>
      <c r="U2579" s="14"/>
      <c r="V2579" s="14"/>
      <c r="W2579" s="14"/>
      <c r="X2579" s="7"/>
      <c r="Y2579" s="7"/>
      <c r="Z2579" s="14"/>
      <c r="AA2579" s="14"/>
      <c r="AB2579" s="14"/>
      <c r="AC2579" s="14"/>
      <c r="AD2579" s="14"/>
      <c r="AE2579" s="14"/>
      <c r="AF2579"/>
    </row>
    <row r="2580" spans="1:32" ht="12.75" customHeight="1" x14ac:dyDescent="0.25">
      <c r="A2580" s="260"/>
      <c r="B2580" s="238"/>
      <c r="C2580" s="239"/>
      <c r="D2580" s="239"/>
      <c r="E2580" s="239"/>
      <c r="F2580" s="239"/>
      <c r="G2580" s="239"/>
      <c r="H2580" s="234"/>
      <c r="I2580" s="234"/>
      <c r="J2580" s="234"/>
      <c r="K2580" s="234"/>
      <c r="L2580" s="234"/>
      <c r="M2580" s="245"/>
      <c r="N2580" s="246"/>
      <c r="O2580" s="246"/>
      <c r="P2580" s="247"/>
      <c r="Q2580" s="110" t="str">
        <f>IF($Q2579&lt;&gt;"",IF($Q2579="W",IF(SUM(IF($H2579&gt;$H2581,1,0),IF($I2579&gt;$I2581,1,0),IF($J2579&gt;$J2581,1,0),IF($K2579&gt;$K2581,1,0),IF($L2579&gt;$L2581,1,0))&lt;&gt;3,"Error",""),""),"")</f>
        <v/>
      </c>
      <c r="R2580" s="295" t="str">
        <f>$A2560</f>
        <v/>
      </c>
      <c r="S2580" s="295"/>
      <c r="T2580" s="295"/>
      <c r="U2580" s="295"/>
      <c r="V2580" s="295"/>
      <c r="W2580" s="295"/>
      <c r="X2580" s="219" t="str">
        <f>CONCATENATE("(",$B2559," vs ",$K2559,")")</f>
        <v>(B vs F)</v>
      </c>
      <c r="Y2580" s="219"/>
      <c r="Z2580" s="295" t="str">
        <f>$J2560</f>
        <v/>
      </c>
      <c r="AA2580" s="295"/>
      <c r="AB2580" s="295"/>
      <c r="AC2580" s="295"/>
      <c r="AD2580" s="295"/>
      <c r="AE2580" s="295"/>
      <c r="AF2580"/>
    </row>
    <row r="2581" spans="1:32" ht="12.75" customHeight="1" x14ac:dyDescent="0.25">
      <c r="A2581" s="259" t="str">
        <f>K2559</f>
        <v>F</v>
      </c>
      <c r="B2581" s="236" t="str">
        <f ca="1">IF(AND(OFFSET($AO$1,$L2559-1,8,1,1),$A2560&lt;&gt;"",$J2560&lt;&gt;""),CHOOSE($L2559,$AQ$1,$AQ$2,$AQ$3,$AQ$4,$AQ$5,$AQ$6,$AQ$7,$AQ$8,$AQ$9,$AQ$10,$AQ$11,$AQ$12),"")</f>
        <v/>
      </c>
      <c r="C2581" s="237"/>
      <c r="D2581" s="237"/>
      <c r="E2581" s="237"/>
      <c r="F2581" s="237"/>
      <c r="G2581" s="237"/>
      <c r="H2581" s="233"/>
      <c r="I2581" s="233"/>
      <c r="J2581" s="233"/>
      <c r="K2581" s="233"/>
      <c r="L2581" s="233"/>
      <c r="M2581" s="250" t="s">
        <v>169</v>
      </c>
      <c r="N2581" s="251"/>
      <c r="O2581" s="251"/>
      <c r="P2581" s="252"/>
      <c r="Q2581" s="40" t="str">
        <f>IF($Q2579&lt;&gt;"",IF($Q2579="W","L","W"),"")</f>
        <v/>
      </c>
      <c r="R2581"/>
      <c r="S2581"/>
      <c r="T2581"/>
      <c r="U2581"/>
      <c r="V2581"/>
      <c r="W2581"/>
      <c r="X2581"/>
      <c r="Y2581"/>
      <c r="Z2581"/>
      <c r="AA2581"/>
      <c r="AB2581"/>
      <c r="AC2581"/>
      <c r="AD2581"/>
      <c r="AE2581"/>
      <c r="AF2581"/>
    </row>
    <row r="2582" spans="1:32" ht="12.75" customHeight="1" x14ac:dyDescent="0.25">
      <c r="A2582" s="260"/>
      <c r="B2582" s="238"/>
      <c r="C2582" s="239"/>
      <c r="D2582" s="239"/>
      <c r="E2582" s="239"/>
      <c r="F2582" s="239"/>
      <c r="G2582" s="239"/>
      <c r="H2582" s="234"/>
      <c r="I2582" s="234"/>
      <c r="J2582" s="235"/>
      <c r="K2582" s="235"/>
      <c r="L2582" s="235"/>
      <c r="M2582" s="250"/>
      <c r="N2582" s="251"/>
      <c r="O2582" s="251"/>
      <c r="P2582" s="252"/>
      <c r="Q2582" s="110" t="str">
        <f>IF($Q2581&lt;&gt;"",IF($Q2581="W",IF(SUM(IF($H2581&gt;$H2579,1,0),IF($I2581&gt;$I2579,1,0),IF($J2581&gt;$J2579,1,0),IF($K2581&gt;$K2579,1,0),IF($L2581&gt;$L2579,1,0))&lt;&gt;3,"Error",""),""),"")</f>
        <v/>
      </c>
      <c r="R2582" t="str">
        <f>$A2577</f>
        <v>3rd Singles</v>
      </c>
      <c r="S2582"/>
      <c r="T2582"/>
      <c r="U2582"/>
      <c r="V2582"/>
      <c r="W2582"/>
      <c r="X2582"/>
      <c r="Y2582"/>
      <c r="Z2582"/>
      <c r="AA2582"/>
      <c r="AB2582"/>
      <c r="AC2582"/>
      <c r="AD2582"/>
      <c r="AE2582"/>
      <c r="AF2582"/>
    </row>
    <row r="2583" spans="1:32" ht="12.75" customHeight="1" x14ac:dyDescent="0.25">
      <c r="Q2583" s="6"/>
      <c r="R2583" s="47" t="s">
        <v>160</v>
      </c>
      <c r="S2583" s="86" t="s">
        <v>58</v>
      </c>
      <c r="T2583" s="87"/>
      <c r="U2583" s="87"/>
      <c r="V2583" s="87"/>
      <c r="W2583" s="87"/>
      <c r="X2583" s="88"/>
      <c r="Y2583" s="47">
        <v>1</v>
      </c>
      <c r="Z2583" s="47">
        <v>2</v>
      </c>
      <c r="AA2583" s="47">
        <v>3</v>
      </c>
      <c r="AB2583" s="47">
        <v>4</v>
      </c>
      <c r="AC2583" s="47">
        <v>5</v>
      </c>
      <c r="AD2583" s="89"/>
      <c r="AE2583" s="90"/>
      <c r="AF2583" s="91"/>
    </row>
    <row r="2584" spans="1:32" ht="12.75" customHeight="1" x14ac:dyDescent="0.25">
      <c r="A2584" s="15" t="s">
        <v>168</v>
      </c>
      <c r="H2584" s="110" t="str">
        <f ca="1">IF($Q2586&lt;&gt;"",IF(AND($B2586&lt;&gt;"Missing Player",$B2588&lt;&gt;"Missing Player"),IF(AND(AND($H2586&gt;-1,$H2588&gt;-1),OR($H2586&gt;10,$H2588&gt;10),ABS($H2586-$H2588)&gt;1,IF(OR($H2586&gt;11,$H2588&gt;11),ABS($H2586-$H2588)=2,TRUE),$H2586=INT($H2586),$H2588=INT($H2588)),"","Error"),""),"")</f>
        <v/>
      </c>
      <c r="I2584" s="110" t="str">
        <f ca="1">IF($Q2586&lt;&gt;"",IF(AND($B2586&lt;&gt;"Missing Player",$B2588&lt;&gt;"Missing Player"),IF(AND(AND($I2586&gt;-1,$I2588&gt;-1),OR($I2586&gt;10,$I2588&gt;10),ABS($I2586-$I2588)&gt;1,IF(OR($I2586&gt;11,$I2588&gt;11),ABS($I2586-$I2588)=2,TRUE),$I2586=INT($I2586),$I2588=INT($I2588)),"","Error"),""),"")</f>
        <v/>
      </c>
      <c r="J2584" s="110" t="str">
        <f ca="1">IF($Q2586&lt;&gt;"",IF(AND($B2586&lt;&gt;"Missing Player",$B2588&lt;&gt;"Missing Player"),IF(AND(AND($J2586&gt;-1,$J2588&gt;-1),OR($J2586&gt;10,$J2588&gt;10),ABS($J2586-$J2588)&gt;1,IF(OR($J2586&gt;11,$J2588&gt;11),ABS($J2586-$J2588)=2,TRUE),$J2586=INT($J2586),$J2588=INT($J2588)),"","Error"),""),"")</f>
        <v/>
      </c>
      <c r="K2584" s="110" t="str">
        <f ca="1">IF($Q2586&lt;&gt;"",IF(AND($K2586&lt;&gt;"",$K2588&lt;&gt;""), IF(AND(AND($K2586&gt;-1,$K2588&gt;-1),OR($K2586&gt;10,$K2588&gt;10),ABS($K2586-$K2588)&gt;1,IF(OR($K2586&gt;11,$K2588&gt;11),ABS($K2586-$K2588)=2,TRUE),$K2586=INT($K2586),$K2588=INT($K2588)),"","Error"),""),"")</f>
        <v/>
      </c>
      <c r="L2584" s="110" t="str">
        <f ca="1">IF($Q2586&lt;&gt;"",IF(AND($L2586&lt;&gt;"",$L2588&lt;&gt;""), IF(AND(AND($L2586&gt;-1,$L2588&gt;-1),OR($L2586&gt;10,$L2588&gt;10),ABS($L2586-$L2588)&gt;1,IF(OR($L2586&gt;11,$L2588&gt;11),ABS($L2586-$L2588)=2,TRUE),$L2586=INT($L2586),$L2588=INT($L2588)),"","Error"),""),"")</f>
        <v/>
      </c>
      <c r="Q2584" s="6"/>
      <c r="R2584" s="259" t="str">
        <f>$B2559</f>
        <v>B</v>
      </c>
      <c r="S2584" s="307" t="str">
        <f ca="1">IF($B2579&lt;&gt;"",$B2579,"")</f>
        <v/>
      </c>
      <c r="T2584" s="308"/>
      <c r="U2584" s="308"/>
      <c r="V2584" s="308"/>
      <c r="W2584" s="308"/>
      <c r="X2584" s="309"/>
      <c r="Y2584" s="284"/>
      <c r="Z2584" s="284"/>
      <c r="AA2584" s="284"/>
      <c r="AB2584" s="284"/>
      <c r="AC2584" s="284"/>
      <c r="AD2584" s="296"/>
      <c r="AE2584" s="290"/>
      <c r="AF2584" s="291"/>
    </row>
    <row r="2585" spans="1:32" ht="12.75" customHeight="1" x14ac:dyDescent="0.25">
      <c r="A2585" s="5" t="s">
        <v>160</v>
      </c>
      <c r="B2585" s="256" t="s">
        <v>58</v>
      </c>
      <c r="C2585" s="257"/>
      <c r="D2585" s="257"/>
      <c r="E2585" s="257"/>
      <c r="F2585" s="257"/>
      <c r="G2585" s="258"/>
      <c r="H2585" s="5">
        <v>1</v>
      </c>
      <c r="I2585" s="5">
        <v>2</v>
      </c>
      <c r="J2585" s="5">
        <v>3</v>
      </c>
      <c r="K2585" s="5">
        <v>4</v>
      </c>
      <c r="L2585" s="5">
        <v>5</v>
      </c>
      <c r="M2585" s="270"/>
      <c r="N2585" s="271"/>
      <c r="O2585" s="271"/>
      <c r="P2585" s="272"/>
      <c r="Q2585" s="6"/>
      <c r="R2585" s="285"/>
      <c r="S2585" s="310"/>
      <c r="T2585" s="311"/>
      <c r="U2585" s="311"/>
      <c r="V2585" s="311"/>
      <c r="W2585" s="311"/>
      <c r="X2585" s="312"/>
      <c r="Y2585" s="285"/>
      <c r="Z2585" s="285"/>
      <c r="AA2585" s="285"/>
      <c r="AB2585" s="285"/>
      <c r="AC2585" s="285"/>
      <c r="AD2585" s="292"/>
      <c r="AE2585" s="293"/>
      <c r="AF2585" s="294"/>
    </row>
    <row r="2586" spans="1:32" ht="12.75" customHeight="1" x14ac:dyDescent="0.25">
      <c r="A2586" s="259" t="str">
        <f>B2559</f>
        <v>B</v>
      </c>
      <c r="B2586" s="236" t="str">
        <f ca="1">IF(AND(OFFSET($AO$1,$C2559-1,8,1,1),$A2560&lt;&gt;"",$J2560&lt;&gt;""),CHOOSE($C2559,$AR$1,$AR$2,$AR$3,$AR$4,$AR$5,$AR$6,$AR$7,$AR$8,$AR$9,$AR$10,$AR$11,$AR$12),"")</f>
        <v/>
      </c>
      <c r="C2586" s="237"/>
      <c r="D2586" s="237"/>
      <c r="E2586" s="237"/>
      <c r="F2586" s="237"/>
      <c r="G2586" s="237"/>
      <c r="H2586" s="233"/>
      <c r="I2586" s="233"/>
      <c r="J2586" s="233"/>
      <c r="K2586" s="233"/>
      <c r="L2586" s="233" t="str">
        <f ca="1">IF(AND($B2586&lt;&gt;"",$Q2565&lt;&gt;""),IF($B2586="Missing Player",0,IF($B2588="Missing Player",11,"")),"")</f>
        <v/>
      </c>
      <c r="M2586" s="245" t="str">
        <f ca="1">IF(OR(AND($B2579&lt;&gt;"",$B2586&lt;&gt;"",$E2590&lt;=$D2590),AND($B2581&lt;&gt;"",$B2588&lt;&gt;"",$I2590&lt;=$H2590)),"Invalid Lineup","")</f>
        <v/>
      </c>
      <c r="N2586" s="246"/>
      <c r="O2586" s="246"/>
      <c r="P2586" s="247"/>
      <c r="Q2586" s="40" t="str">
        <f ca="1">IF($L2586=$L2588,IF($K2586=$K2588,IF($J2586&lt;&gt;"",IF($J2586&gt;$J2588,"W","L"),""),IF($K2586&gt;$K2588,"W","L")),IF($L2586&gt;$L2588,"W","L"))</f>
        <v/>
      </c>
      <c r="R2586" s="259" t="str">
        <f>$K2559</f>
        <v>F</v>
      </c>
      <c r="S2586" s="307" t="str">
        <f ca="1">IF($B2581&lt;&gt;"",$B2581,"")</f>
        <v/>
      </c>
      <c r="T2586" s="308"/>
      <c r="U2586" s="308"/>
      <c r="V2586" s="308"/>
      <c r="W2586" s="308"/>
      <c r="X2586" s="309"/>
      <c r="Y2586" s="284"/>
      <c r="Z2586" s="284"/>
      <c r="AA2586" s="284"/>
      <c r="AB2586" s="284"/>
      <c r="AC2586" s="297"/>
      <c r="AD2586" s="289" t="s">
        <v>169</v>
      </c>
      <c r="AE2586" s="290"/>
      <c r="AF2586" s="291"/>
    </row>
    <row r="2587" spans="1:32" ht="12.75" customHeight="1" x14ac:dyDescent="0.25">
      <c r="A2587" s="260"/>
      <c r="B2587" s="238"/>
      <c r="C2587" s="239"/>
      <c r="D2587" s="239"/>
      <c r="E2587" s="239"/>
      <c r="F2587" s="239"/>
      <c r="G2587" s="239"/>
      <c r="H2587" s="234"/>
      <c r="I2587" s="234"/>
      <c r="J2587" s="234"/>
      <c r="K2587" s="234"/>
      <c r="L2587" s="234"/>
      <c r="M2587" s="245"/>
      <c r="N2587" s="246"/>
      <c r="O2587" s="246"/>
      <c r="P2587" s="247"/>
      <c r="Q2587" s="110" t="str">
        <f ca="1">IF($Q2586&lt;&gt;"",IF($B2588&lt;&gt;"Missing Player",IF($Q2586="W",IF(SUM(IF($H2586&gt;$H2588,1,0),IF($I2586&gt;$I2588,1,0),IF($J2586&gt;$J2588,1,0),IF($K2586&gt;$K2588,1,0),IF($L2586&gt;$L2588,1,0))&lt;&gt;3,"Error",""),""),""),"")</f>
        <v/>
      </c>
      <c r="R2587" s="285"/>
      <c r="S2587" s="310"/>
      <c r="T2587" s="311"/>
      <c r="U2587" s="311"/>
      <c r="V2587" s="311"/>
      <c r="W2587" s="311"/>
      <c r="X2587" s="312"/>
      <c r="Y2587" s="285"/>
      <c r="Z2587" s="285"/>
      <c r="AA2587" s="285"/>
      <c r="AB2587" s="285"/>
      <c r="AC2587" s="285"/>
      <c r="AD2587" s="292"/>
      <c r="AE2587" s="293"/>
      <c r="AF2587" s="294"/>
    </row>
    <row r="2588" spans="1:32" ht="12.75" customHeight="1" x14ac:dyDescent="0.25">
      <c r="A2588" s="259" t="str">
        <f>K2559</f>
        <v>F</v>
      </c>
      <c r="B2588" s="236" t="str">
        <f ca="1">IF(AND(OFFSET($AO$1,$L2559-1,8,1,1),$A2560&lt;&gt;"",$J2560&lt;&gt;""),CHOOSE($L2559,$AR$1,$AR$2,$AR$3,$AR$4,$AR$5,$AR$6,$AR$7,$AR$8,$AR$9,$AR$10,$AR$11,$AR$12),"")</f>
        <v/>
      </c>
      <c r="C2588" s="237"/>
      <c r="D2588" s="237"/>
      <c r="E2588" s="237"/>
      <c r="F2588" s="237"/>
      <c r="G2588" s="237"/>
      <c r="H2588" s="233"/>
      <c r="I2588" s="233"/>
      <c r="J2588" s="233"/>
      <c r="K2588" s="233"/>
      <c r="L2588" s="233" t="str">
        <f ca="1">IF(AND($B2588&lt;&gt;"",$Q2565&lt;&gt;""),IF($B2588="Missing Player",0,IF($B2586="Missing Player",11,"")),"")</f>
        <v/>
      </c>
      <c r="M2588" s="250" t="s">
        <v>169</v>
      </c>
      <c r="N2588" s="251"/>
      <c r="O2588" s="251"/>
      <c r="P2588" s="252"/>
      <c r="Q2588" s="40" t="str">
        <f ca="1">IF($Q2586&lt;&gt;"",IF($Q2586="W","L","W"),"")</f>
        <v/>
      </c>
      <c r="R2588" s="94"/>
      <c r="S2588" s="84"/>
      <c r="T2588" s="84"/>
      <c r="U2588" s="84"/>
      <c r="V2588" s="84"/>
      <c r="W2588" s="84"/>
      <c r="X2588" s="84"/>
      <c r="Y2588" s="93"/>
      <c r="Z2588" s="93"/>
      <c r="AA2588" s="93"/>
      <c r="AB2588" s="93"/>
      <c r="AC2588" s="93"/>
      <c r="AD2588" s="92"/>
      <c r="AE2588" s="93"/>
      <c r="AF2588" s="93"/>
    </row>
    <row r="2589" spans="1:32" ht="12.75" customHeight="1" x14ac:dyDescent="0.25">
      <c r="A2589" s="260"/>
      <c r="B2589" s="238"/>
      <c r="C2589" s="239"/>
      <c r="D2589" s="239"/>
      <c r="E2589" s="239"/>
      <c r="F2589" s="239"/>
      <c r="G2589" s="239"/>
      <c r="H2589" s="234"/>
      <c r="I2589" s="234"/>
      <c r="J2589" s="235"/>
      <c r="K2589" s="235"/>
      <c r="L2589" s="235"/>
      <c r="M2589" s="250"/>
      <c r="N2589" s="251"/>
      <c r="O2589" s="251"/>
      <c r="P2589" s="252"/>
      <c r="Q2589" s="110" t="str">
        <f ca="1">IF($Q2588&lt;&gt;"",IF($B2586&lt;&gt;"Missing Player",IF($Q2588="W",IF(SUM(IF($H2588&gt;$H2586,1,0),IF($I2588&gt;$I2586,1,0),IF($J2588&gt;$J2586,1,0),IF($K2588&gt;$K2586,1,0),IF($L2588&gt;$L2586,1,0))&lt;&gt;3,"Error",""),""),""),"")</f>
        <v/>
      </c>
      <c r="R2589" s="85"/>
      <c r="S2589" s="95"/>
      <c r="T2589" s="95"/>
      <c r="U2589" s="95"/>
      <c r="V2589" s="95"/>
      <c r="W2589" s="95"/>
      <c r="X2589" s="95"/>
      <c r="Y2589" s="85"/>
      <c r="Z2589" s="85"/>
      <c r="AA2589" s="85"/>
      <c r="AB2589" s="85"/>
      <c r="AC2589" s="85"/>
      <c r="AD2589" s="85"/>
      <c r="AE2589" s="85"/>
      <c r="AF2589" s="85"/>
    </row>
    <row r="2590" spans="1:32" ht="12.75" customHeight="1" x14ac:dyDescent="0.25">
      <c r="B2590" s="111" t="str">
        <f ca="1">IF(ISERROR(VLOOKUP($B2565&amp;"("&amp;$B2559&amp;")",Players!$S$4:$T$132,2,FALSE)),"",VLOOKUP($B2565&amp;"("&amp;$B2559&amp;")",Players!$S$4:$T$132,2,FALSE))</f>
        <v>B1</v>
      </c>
      <c r="C2590" s="111" t="str">
        <f ca="1">IF(ISERROR(VLOOKUP($B2572&amp;"("&amp;$B2559&amp;")",Players!$S$4:$T$132,2,FALSE)),"",VLOOKUP($B2572&amp;"("&amp;$B2559&amp;")",Players!$S$4:$T$132,2,FALSE))</f>
        <v>B1</v>
      </c>
      <c r="D2590" s="111" t="str">
        <f ca="1">IF(ISERROR(VLOOKUP($B2579&amp;"("&amp;$B2559&amp;")",Players!$S$4:$T$132,2,FALSE)),"",VLOOKUP($B2579&amp;"("&amp;$B2559&amp;")",Players!$S$4:$T$132,2,FALSE))</f>
        <v>B1</v>
      </c>
      <c r="E2590" s="111" t="str">
        <f ca="1">IF(ISERROR(VLOOKUP($B2586&amp;"("&amp;$B2559&amp;")",Players!$S$4:$T$132,2,FALSE)),"",VLOOKUP($B2586&amp;"("&amp;$B2559&amp;")",Players!$S$4:$T$132,2,FALSE))</f>
        <v>B1</v>
      </c>
      <c r="F2590" s="111" t="str">
        <f ca="1">IF(ISERROR(VLOOKUP($B2567&amp;"("&amp;$K2559&amp;")",Players!$S$4:$T$132,2,FALSE)),"",VLOOKUP($B2567&amp;"("&amp;$K2559&amp;")",Players!$S$4:$T$132,2,FALSE))</f>
        <v>F1</v>
      </c>
      <c r="G2590" s="111" t="str">
        <f ca="1">IF(ISERROR(VLOOKUP($B2574&amp;"("&amp;$K2559&amp;")",Players!$S$4:$T$132,2,FALSE)),"",VLOOKUP($B2574&amp;"("&amp;$K2559&amp;")",Players!$S$4:$T$132,2,FALSE))</f>
        <v>F1</v>
      </c>
      <c r="H2590" s="111" t="str">
        <f ca="1">IF(ISERROR(VLOOKUP($B2581&amp;"("&amp;$K2559&amp;")",Players!$S$4:$T$132,2,FALSE)),"",VLOOKUP($B2581&amp;"("&amp;$K2559&amp;")",Players!$S$4:$T$132,2,FALSE))</f>
        <v>F1</v>
      </c>
      <c r="I2590" s="111" t="str">
        <f ca="1">IF(ISERROR(VLOOKUP($B2588&amp;"("&amp;$K2559&amp;")",Players!$S$4:$T$132,2,FALSE)),"",VLOOKUP($B2588&amp;"("&amp;$K2559&amp;")",Players!$S$4:$T$132,2,FALSE))</f>
        <v>F1</v>
      </c>
      <c r="Q2590" s="6"/>
      <c r="R2590" s="37"/>
      <c r="S2590" s="95"/>
      <c r="T2590" s="95"/>
      <c r="U2590" s="95"/>
      <c r="V2590" s="95"/>
      <c r="W2590" s="95"/>
      <c r="X2590" s="95"/>
      <c r="Y2590" s="85"/>
      <c r="Z2590" s="85"/>
      <c r="AA2590" s="85"/>
      <c r="AB2590" s="85"/>
      <c r="AC2590" s="96"/>
      <c r="AD2590" s="97"/>
      <c r="AE2590" s="85"/>
      <c r="AF2590" s="85"/>
    </row>
    <row r="2591" spans="1:32" ht="12.75" customHeight="1" x14ac:dyDescent="0.25">
      <c r="A2591" s="15" t="s">
        <v>157</v>
      </c>
      <c r="H2591" s="110" t="str">
        <f ca="1">IF($Q2593&lt;&gt;"",IF(AND($B2594&lt;&gt;"Missing Player",$B2596&lt;&gt;"Missing Player"),IF(AND(AND($H2593&gt;-1,$H2595&gt;-1),OR($H2593&gt;10,$H2595&gt;10),ABS($H2593-$H2595)&gt;1,IF(OR($H2593&gt;11,$H2595&gt;11),ABS($H2593-$H2595)=2,TRUE),$H2593=INT($H2593),$H2595=INT($H2595)),"","Error"),""),"")</f>
        <v/>
      </c>
      <c r="I2591" s="110" t="str">
        <f ca="1">IF($Q2593&lt;&gt;"",IF(AND($B2594&lt;&gt;"Missing Player",$B2596&lt;&gt;"Missing Player"),IF(AND(AND($I2593&gt;-1,$I2595&gt;-1),OR($I2593&gt;10,$I2595&gt;10),ABS($I2593-$I2595)&gt;1,IF(OR($I2593&gt;11,$I2595&gt;11),ABS($I2593-$I2595)=2,TRUE),$I2593=INT($I2593),$I2595=INT($I2595)),"","Error"),""),"")</f>
        <v/>
      </c>
      <c r="J2591" s="110" t="str">
        <f ca="1">IF($Q2593&lt;&gt;"",IF(AND($B2594&lt;&gt;"Missing Player",$B2596&lt;&gt;"Missing Player"),IF(AND(AND($J2593&gt;-1,$J2595&gt;-1),OR($J2593&gt;10,$J2595&gt;10),ABS($J2593-$J2595)&gt;1,IF(OR($J2593&gt;11,$J2595&gt;11),ABS($J2593-$J2595)=2,TRUE),$J2593=INT($J2593),$J2595=INT($J2595)),"","Error"),""),"")</f>
        <v/>
      </c>
      <c r="K2591" s="110" t="str">
        <f ca="1">IF($Q2593&lt;&gt;"",IF(AND($K2593&lt;&gt;"",$K2595&lt;&gt;""), IF(AND(AND($K2593&gt;-1,$K2595&gt;-1),OR($K2593&gt;10,$K2595&gt;10),ABS($K2593-$K2595)&gt;1,IF(OR($K2593&gt;11,$K2595&gt;11),ABS($K2593-$K2595)=2,TRUE),$K2593=INT($K2593),$K2595=INT($K2595)),"","Error"),""),"")</f>
        <v/>
      </c>
      <c r="L2591" s="110" t="str">
        <f ca="1">IF($Q2593&lt;&gt;"",IF(AND($L2593&lt;&gt;"",$L2595&lt;&gt;""), IF(AND(AND($L2593&gt;-1,$L2595&gt;-1),OR($L2593&gt;10,$L2595&gt;10),ABS($L2593-$L2595)&gt;1,IF(OR($L2593&gt;11,$L2595&gt;11),ABS($L2593-$L2595)=2,TRUE),$L2593=INT($L2593),$L2595=INT($L2595)),"","Error"),""),"")</f>
        <v/>
      </c>
      <c r="Q2591" s="6"/>
      <c r="R2591" s="85"/>
      <c r="S2591" s="95"/>
      <c r="T2591" s="95"/>
      <c r="U2591" s="95"/>
      <c r="V2591" s="95"/>
      <c r="W2591" s="95"/>
      <c r="X2591" s="95"/>
      <c r="Y2591" s="85"/>
      <c r="Z2591" s="85"/>
      <c r="AA2591" s="85"/>
      <c r="AB2591" s="85"/>
      <c r="AC2591" s="85"/>
      <c r="AD2591" s="85"/>
      <c r="AE2591" s="85"/>
      <c r="AF2591" s="85"/>
    </row>
    <row r="2592" spans="1:32" ht="12.75" customHeight="1" x14ac:dyDescent="0.25">
      <c r="A2592" s="5" t="s">
        <v>160</v>
      </c>
      <c r="B2592" s="256" t="s">
        <v>58</v>
      </c>
      <c r="C2592" s="257"/>
      <c r="D2592" s="257"/>
      <c r="E2592" s="257"/>
      <c r="F2592" s="257"/>
      <c r="G2592" s="258"/>
      <c r="H2592" s="5">
        <v>1</v>
      </c>
      <c r="I2592" s="5">
        <v>2</v>
      </c>
      <c r="J2592" s="5">
        <v>3</v>
      </c>
      <c r="K2592" s="5">
        <v>4</v>
      </c>
      <c r="L2592" s="5">
        <v>5</v>
      </c>
      <c r="M2592" s="270"/>
      <c r="N2592" s="271"/>
      <c r="O2592" s="271"/>
      <c r="P2592" s="272"/>
      <c r="Q2592" s="6"/>
      <c r="T2592" s="7"/>
    </row>
    <row r="2593" spans="1:32" ht="12.75" customHeight="1" x14ac:dyDescent="0.25">
      <c r="A2593" s="259" t="str">
        <f>B2559</f>
        <v>B</v>
      </c>
      <c r="B2593" s="230" t="str">
        <f ca="1">IF($B2565&lt;&gt;"",$B2565,"")</f>
        <v/>
      </c>
      <c r="C2593" s="231"/>
      <c r="D2593" s="231"/>
      <c r="E2593" s="231"/>
      <c r="F2593" s="231"/>
      <c r="G2593" s="232"/>
      <c r="H2593" s="233"/>
      <c r="I2593" s="233"/>
      <c r="J2593" s="233"/>
      <c r="K2593" s="233"/>
      <c r="L2593" s="233" t="str">
        <f ca="1">IF($B2586&lt;&gt;"",IF(AND($B2586="Missing Player",$G2597=2,$J2597=2),0,IF(AND($B2588="Missing Player",$G2597=2,$J2597=2),11,"")),"")</f>
        <v/>
      </c>
      <c r="M2593" s="245" t="str">
        <f ca="1">IF(OR(AND($B2593&lt;&gt;"",$B2594&lt;&gt;"",$B2593=$B2594),AND($B2595&lt;&gt;"",$B2596&lt;&gt;"",$B2595=$B2596)),"Invalid Partner","")</f>
        <v/>
      </c>
      <c r="N2593" s="246"/>
      <c r="O2593" s="246"/>
      <c r="P2593" s="247"/>
      <c r="Q2593" s="37" t="str">
        <f ca="1">IF(L2593=L2595,IF(K2593=K2595,IF(J2593&lt;&gt;"",IF(J2593&gt;J2595,"W","L"),""),IF(K2593&gt;K2595,"W","L")),IF(L2593&gt;L2595,"W","L"))</f>
        <v/>
      </c>
      <c r="T2593" s="7"/>
    </row>
    <row r="2594" spans="1:32" ht="12.75" customHeight="1" x14ac:dyDescent="0.25">
      <c r="A2594" s="260"/>
      <c r="B2594" s="266" t="str">
        <f ca="1">IF($B2586="Missing Player",$B2586,"")</f>
        <v/>
      </c>
      <c r="C2594" s="267"/>
      <c r="D2594" s="267"/>
      <c r="E2594" s="267"/>
      <c r="F2594" s="267"/>
      <c r="G2594" s="268"/>
      <c r="H2594" s="234"/>
      <c r="I2594" s="234"/>
      <c r="J2594" s="234"/>
      <c r="K2594" s="234"/>
      <c r="L2594" s="234"/>
      <c r="M2594" s="245"/>
      <c r="N2594" s="246"/>
      <c r="O2594" s="246"/>
      <c r="P2594" s="247"/>
      <c r="Q2594" s="110" t="str">
        <f ca="1">IF($Q2593&lt;&gt;"",IF($B2596&lt;&gt;"Missing Player",IF($Q2593="W",IF(SUM(IF($H2593&gt;$H2595,1,0),IF($I2593&gt;$I2595,1,0),IF($J2593&gt;$J2595,1,0),IF($K2593&gt;$K2595,1,0),IF($L2593&gt;$L2595,1,0))&lt;&gt;3,"Error",""),""),""),"")</f>
        <v/>
      </c>
      <c r="R2594" s="295" t="str">
        <f>$A2560</f>
        <v/>
      </c>
      <c r="S2594" s="295"/>
      <c r="T2594" s="295"/>
      <c r="U2594" s="295"/>
      <c r="V2594" s="295"/>
      <c r="W2594" s="295"/>
      <c r="X2594" s="219" t="str">
        <f>CONCATENATE("(",$B2559," vs ",$K2559,")")</f>
        <v>(B vs F)</v>
      </c>
      <c r="Y2594" s="219"/>
      <c r="Z2594" s="295" t="str">
        <f>$J2560</f>
        <v/>
      </c>
      <c r="AA2594" s="295"/>
      <c r="AB2594" s="295"/>
      <c r="AC2594" s="295"/>
      <c r="AD2594" s="295"/>
      <c r="AE2594" s="295"/>
      <c r="AF2594"/>
    </row>
    <row r="2595" spans="1:32" ht="12.75" customHeight="1" x14ac:dyDescent="0.25">
      <c r="A2595" s="265" t="str">
        <f>K2559</f>
        <v>F</v>
      </c>
      <c r="B2595" s="230" t="str">
        <f ca="1">IF($B2567&lt;&gt;"",$B2567,"")</f>
        <v/>
      </c>
      <c r="C2595" s="231"/>
      <c r="D2595" s="231"/>
      <c r="E2595" s="231"/>
      <c r="F2595" s="231"/>
      <c r="G2595" s="232"/>
      <c r="H2595" s="233"/>
      <c r="I2595" s="233"/>
      <c r="J2595" s="233"/>
      <c r="K2595" s="233"/>
      <c r="L2595" s="233" t="str">
        <f ca="1">IF($B2588&lt;&gt;"",IF(AND($B2588="Missing Player",$G2597=2,$J2597=2),0,IF(AND($B2586="Missing Player",$G2597=2,$J2597=2),11,"")),"")</f>
        <v/>
      </c>
      <c r="M2595" s="250" t="s">
        <v>169</v>
      </c>
      <c r="N2595" s="251"/>
      <c r="O2595" s="251"/>
      <c r="P2595" s="252"/>
      <c r="Q2595" s="37" t="str">
        <f ca="1">IF(Q2593&lt;&gt;"",IF(Q2593="W","L","W"),"")</f>
        <v/>
      </c>
      <c r="R2595"/>
      <c r="S2595"/>
      <c r="T2595"/>
      <c r="U2595"/>
      <c r="V2595"/>
      <c r="W2595"/>
      <c r="X2595"/>
      <c r="Y2595"/>
      <c r="Z2595"/>
      <c r="AA2595"/>
      <c r="AB2595"/>
      <c r="AC2595"/>
      <c r="AD2595"/>
      <c r="AE2595"/>
      <c r="AF2595"/>
    </row>
    <row r="2596" spans="1:32" ht="12.75" customHeight="1" x14ac:dyDescent="0.25">
      <c r="A2596" s="260"/>
      <c r="B2596" s="266" t="str">
        <f ca="1">IF($B2588="Missing Player",$B2588,"")</f>
        <v/>
      </c>
      <c r="C2596" s="267"/>
      <c r="D2596" s="267"/>
      <c r="E2596" s="267"/>
      <c r="F2596" s="267"/>
      <c r="G2596" s="268"/>
      <c r="H2596" s="234"/>
      <c r="I2596" s="234"/>
      <c r="J2596" s="235"/>
      <c r="K2596" s="235"/>
      <c r="L2596" s="235"/>
      <c r="M2596" s="250"/>
      <c r="N2596" s="251"/>
      <c r="O2596" s="251"/>
      <c r="P2596" s="252"/>
      <c r="Q2596" s="110" t="str">
        <f ca="1">IF($Q2595&lt;&gt;"",IF($B2594&lt;&gt;"Missing Player",IF($Q2595="W",IF(SUM(IF($H2595&gt;$H2593,1,0),IF($I2595&gt;$I2593,1,0),IF($J2595&gt;$J2593,1,0),IF($K2595&gt;$K2593,1,0),IF($L2595&gt;$L2593,1,0))&lt;&gt;3,"Error",""),""),""),"")</f>
        <v/>
      </c>
      <c r="R2596" t="str">
        <f>A2584</f>
        <v>4th Singles</v>
      </c>
      <c r="S2596"/>
      <c r="T2596"/>
      <c r="U2596"/>
      <c r="V2596"/>
      <c r="W2596"/>
      <c r="X2596"/>
      <c r="Y2596"/>
      <c r="Z2596"/>
      <c r="AA2596"/>
      <c r="AB2596"/>
      <c r="AC2596"/>
      <c r="AD2596"/>
      <c r="AE2596"/>
      <c r="AF2596"/>
    </row>
    <row r="2597" spans="1:32" ht="12.75" customHeight="1" x14ac:dyDescent="0.25">
      <c r="G2597" s="53">
        <f ca="1">COUNTIF($Q2565:$Q2565,"W")+COUNTIF($Q2572:$Q2572,"W")+COUNTIF($Q2579:$Q2579,"W")+COUNTIF($Q2586:$Q2586,"W")</f>
        <v>0</v>
      </c>
      <c r="J2597" s="53">
        <f ca="1">COUNTIF($Q2567:$Q2567,"W")+COUNTIF($Q2574:$Q2574,"W")+COUNTIF($Q2581:$Q2581,"W")+COUNTIF($Q2588:$Q2588,"W")</f>
        <v>0</v>
      </c>
      <c r="R2597" s="47" t="s">
        <v>160</v>
      </c>
      <c r="S2597" s="304" t="s">
        <v>58</v>
      </c>
      <c r="T2597" s="305"/>
      <c r="U2597" s="305"/>
      <c r="V2597" s="305"/>
      <c r="W2597" s="305"/>
      <c r="X2597" s="306"/>
      <c r="Y2597" s="47">
        <v>1</v>
      </c>
      <c r="Z2597" s="47">
        <v>2</v>
      </c>
      <c r="AA2597" s="47">
        <v>3</v>
      </c>
      <c r="AB2597" s="47">
        <v>4</v>
      </c>
      <c r="AC2597" s="47">
        <v>5</v>
      </c>
      <c r="AD2597" s="286"/>
      <c r="AE2597" s="287"/>
      <c r="AF2597" s="288"/>
    </row>
    <row r="2598" spans="1:32" ht="12.75" customHeight="1" thickBot="1" x14ac:dyDescent="0.3">
      <c r="F2598" s="212" t="s">
        <v>170</v>
      </c>
      <c r="G2598" s="212"/>
      <c r="H2598" s="212"/>
      <c r="I2598" s="212"/>
      <c r="J2598" s="212"/>
      <c r="K2598" s="212"/>
      <c r="R2598" s="259" t="str">
        <f>B2559</f>
        <v>B</v>
      </c>
      <c r="S2598" s="307" t="str">
        <f ca="1">IF($B2586&lt;&gt;"",$B2586,"")</f>
        <v/>
      </c>
      <c r="T2598" s="308"/>
      <c r="U2598" s="308"/>
      <c r="V2598" s="308"/>
      <c r="W2598" s="308"/>
      <c r="X2598" s="309"/>
      <c r="Y2598" s="284"/>
      <c r="Z2598" s="284"/>
      <c r="AA2598" s="297"/>
      <c r="AB2598" s="297"/>
      <c r="AC2598" s="297"/>
      <c r="AD2598" s="296"/>
      <c r="AE2598" s="298"/>
      <c r="AF2598" s="299"/>
    </row>
    <row r="2599" spans="1:32" ht="12.75" customHeight="1" x14ac:dyDescent="0.25">
      <c r="A2599" s="16"/>
      <c r="B2599" s="16"/>
      <c r="C2599" s="16"/>
      <c r="D2599" s="16"/>
      <c r="E2599" s="16"/>
      <c r="G2599" s="261" t="str">
        <f>B2559</f>
        <v>B</v>
      </c>
      <c r="H2599" s="262"/>
      <c r="I2599" s="263" t="str">
        <f>K2559</f>
        <v>F</v>
      </c>
      <c r="J2599" s="264"/>
      <c r="L2599" s="16"/>
      <c r="M2599" s="16"/>
      <c r="N2599" s="16"/>
      <c r="O2599" s="16"/>
      <c r="P2599" s="16"/>
      <c r="R2599" s="260"/>
      <c r="S2599" s="310"/>
      <c r="T2599" s="311"/>
      <c r="U2599" s="311"/>
      <c r="V2599" s="311"/>
      <c r="W2599" s="311"/>
      <c r="X2599" s="312"/>
      <c r="Y2599" s="285"/>
      <c r="Z2599" s="285"/>
      <c r="AA2599" s="303"/>
      <c r="AB2599" s="303"/>
      <c r="AC2599" s="303"/>
      <c r="AD2599" s="300"/>
      <c r="AE2599" s="301"/>
      <c r="AF2599" s="302"/>
    </row>
    <row r="2600" spans="1:32" ht="12.75" customHeight="1" thickBot="1" x14ac:dyDescent="0.3">
      <c r="A2600" s="2" t="s">
        <v>160</v>
      </c>
      <c r="B2600" s="40" t="str">
        <f>B2559</f>
        <v>B</v>
      </c>
      <c r="C2600" s="3" t="s">
        <v>158</v>
      </c>
      <c r="F2600" s="53" t="str">
        <f>CONCATENATE($B2559,"-",$K2559)</f>
        <v>B-F</v>
      </c>
      <c r="G2600" s="240" t="str">
        <f ca="1">IF(OR(Q2565&lt;&gt;"",Q2572&lt;&gt;"",Q2579&lt;&gt;"",Q2586&lt;&gt;"",Q2593&lt;&gt;""),COUNTIF(Q2565:Q2565,"W")+COUNTIF(Q2572:Q2572,"W")+COUNTIF(Q2579:Q2579,"W")+COUNTIF(Q2586:Q2586,"W")+COUNTIF(Q2593:Q2593,"W"),"")</f>
        <v/>
      </c>
      <c r="H2600" s="241"/>
      <c r="I2600" s="242" t="str">
        <f ca="1">IF(OR(Q2567&lt;&gt;"",Q2574&lt;&gt;"",Q2581&lt;&gt;"",Q2588&lt;&gt;"",Q2595&lt;&gt;""),COUNTIF(Q2567:Q2567,"W")+COUNTIF(Q2574:Q2574,"W")+COUNTIF(Q2581:Q2581,"W")+COUNTIF(Q2588:Q2588,"W")+COUNTIF(Q2595:Q2595,"W"),"")</f>
        <v/>
      </c>
      <c r="J2600" s="243"/>
      <c r="L2600" s="2" t="s">
        <v>160</v>
      </c>
      <c r="M2600" s="40" t="str">
        <f>K2559</f>
        <v>F</v>
      </c>
      <c r="N2600" s="3" t="s">
        <v>158</v>
      </c>
      <c r="R2600" s="259" t="str">
        <f>K2559</f>
        <v>F</v>
      </c>
      <c r="S2600" s="307" t="str">
        <f ca="1">IF($B2588&lt;&gt;"",$B2588,"")</f>
        <v/>
      </c>
      <c r="T2600" s="308"/>
      <c r="U2600" s="308"/>
      <c r="V2600" s="308"/>
      <c r="W2600" s="308"/>
      <c r="X2600" s="309"/>
      <c r="Y2600" s="284"/>
      <c r="Z2600" s="284"/>
      <c r="AA2600" s="297"/>
      <c r="AB2600" s="297"/>
      <c r="AC2600" s="297"/>
      <c r="AD2600" s="289" t="s">
        <v>169</v>
      </c>
      <c r="AE2600" s="290"/>
      <c r="AF2600" s="291"/>
    </row>
    <row r="2601" spans="1:32" ht="12.75" customHeight="1" x14ac:dyDescent="0.35">
      <c r="F2601" s="18" t="s">
        <v>403</v>
      </c>
      <c r="G2601" s="17"/>
      <c r="H2601" s="17"/>
      <c r="I2601" s="17"/>
      <c r="J2601" s="17"/>
      <c r="R2601" s="285"/>
      <c r="S2601" s="310"/>
      <c r="T2601" s="311"/>
      <c r="U2601" s="311"/>
      <c r="V2601" s="311"/>
      <c r="W2601" s="311"/>
      <c r="X2601" s="312"/>
      <c r="Y2601" s="285"/>
      <c r="Z2601" s="285"/>
      <c r="AA2601" s="285"/>
      <c r="AB2601" s="285"/>
      <c r="AC2601" s="285"/>
      <c r="AD2601" s="292"/>
      <c r="AE2601" s="293"/>
      <c r="AF2601" s="294"/>
    </row>
    <row r="2602" spans="1:32" ht="12.75" customHeight="1" x14ac:dyDescent="0.25">
      <c r="R2602" s="1"/>
      <c r="S2602" s="11"/>
      <c r="T2602" s="11"/>
      <c r="U2602" s="11"/>
      <c r="V2602" s="11"/>
      <c r="W2602" s="11"/>
    </row>
    <row r="2603" spans="1:32" ht="12.75" customHeight="1" x14ac:dyDescent="0.25">
      <c r="F2603" s="212"/>
      <c r="G2603" s="212"/>
      <c r="H2603" s="212"/>
      <c r="I2603" s="212"/>
      <c r="R2603" s="1"/>
      <c r="S2603" s="11"/>
      <c r="T2603" s="11"/>
      <c r="U2603" s="11"/>
      <c r="V2603" s="11"/>
      <c r="W2603" s="11"/>
    </row>
    <row r="2604" spans="1:32" ht="12.75" customHeight="1" x14ac:dyDescent="0.25">
      <c r="F2604" s="212"/>
      <c r="G2604" s="212"/>
      <c r="H2604" s="212"/>
      <c r="I2604" s="212"/>
      <c r="R2604" s="1"/>
      <c r="S2604" s="11"/>
      <c r="T2604" s="11"/>
      <c r="U2604" s="11"/>
      <c r="V2604" s="11"/>
      <c r="W2604" s="11"/>
    </row>
    <row r="2605" spans="1:32" ht="12.75" customHeight="1" x14ac:dyDescent="0.25">
      <c r="K2605" s="219" t="s">
        <v>176</v>
      </c>
      <c r="L2605" s="219"/>
      <c r="M2605" s="219"/>
      <c r="N2605" s="219"/>
      <c r="O2605" s="219"/>
      <c r="P2605" s="219"/>
      <c r="R2605" s="1"/>
      <c r="S2605" s="11"/>
      <c r="T2605" s="11"/>
      <c r="U2605" s="11"/>
      <c r="V2605" s="11"/>
      <c r="W2605" s="11"/>
    </row>
    <row r="2606" spans="1:32" ht="12.75" customHeight="1" x14ac:dyDescent="0.25">
      <c r="A2606" s="9" t="s">
        <v>161</v>
      </c>
      <c r="B2606"/>
      <c r="C2606"/>
      <c r="D2606" t="str">
        <f>Draw!$B$1</f>
        <v>Enter Division Name</v>
      </c>
      <c r="E2606"/>
      <c r="F2606" s="6"/>
      <c r="G2606" s="6"/>
      <c r="H2606" s="6"/>
      <c r="I2606"/>
      <c r="J2606"/>
      <c r="K2606"/>
      <c r="L2606"/>
      <c r="M2606" s="219"/>
      <c r="N2606" s="219"/>
      <c r="O2606" s="219"/>
      <c r="P2606" s="219"/>
      <c r="R2606" s="1"/>
      <c r="S2606" s="11"/>
      <c r="T2606" s="11"/>
      <c r="U2606" s="11"/>
      <c r="V2606" s="11"/>
      <c r="W2606" s="11"/>
    </row>
    <row r="2607" spans="1:32" ht="12.75" customHeight="1" x14ac:dyDescent="0.25">
      <c r="A2607" s="2" t="s">
        <v>162</v>
      </c>
      <c r="D2607" t="str">
        <f>Draw!$D$1</f>
        <v>Enter Hosting Location (City, ST)</v>
      </c>
      <c r="J2607" t="str">
        <f ca="1">$J$6</f>
        <v>[NCTTA Teams Template (v3.4).xlsx]</v>
      </c>
      <c r="R2607" s="1"/>
      <c r="S2607" s="11"/>
      <c r="T2607" s="11"/>
      <c r="U2607" s="11"/>
      <c r="V2607" s="11"/>
      <c r="W2607" s="11"/>
    </row>
    <row r="2608" spans="1:32" ht="12.75" customHeight="1" x14ac:dyDescent="0.25">
      <c r="A2608" s="2" t="s">
        <v>163</v>
      </c>
      <c r="D2608" s="275" t="str">
        <f>Draw!$P$1</f>
        <v>Enter Date</v>
      </c>
      <c r="E2608" s="275"/>
      <c r="F2608" s="275"/>
      <c r="G2608" s="275"/>
      <c r="J2608" s="244" t="str">
        <f>CHOOSE(Draw!$T$1,"Round 9, Match 4","","","","","","","","","","Round 11, Match 2")</f>
        <v>Round 9, Match 4</v>
      </c>
      <c r="K2608" s="244"/>
      <c r="L2608" s="244"/>
      <c r="M2608" s="277" t="str">
        <f>IF(AND($J2608&lt;&gt;"",Draw!$AC$10&lt;&gt;"",Draw!$AC$13&lt;&gt;""),Draw!$AC$10+TIME(0,VALUE(MID($J2608,7,FIND(",",$J2608)-FIND(" ",$J2608)-1)-1)*Draw!$AC$13,0),"")</f>
        <v/>
      </c>
      <c r="N2608" s="277"/>
      <c r="O2608" s="125" t="str">
        <f>$F2651</f>
        <v>G-L</v>
      </c>
      <c r="R2608" s="1"/>
      <c r="S2608" s="11"/>
      <c r="T2608" s="11"/>
      <c r="U2608" s="11"/>
      <c r="V2608" s="11"/>
      <c r="W2608" s="11"/>
    </row>
    <row r="2609" spans="1:32" ht="12.75" customHeight="1" x14ac:dyDescent="0.25">
      <c r="A2609" s="6"/>
      <c r="B2609"/>
      <c r="C2609"/>
      <c r="D2609"/>
      <c r="E2609"/>
      <c r="F2609" s="6"/>
      <c r="G2609" s="6"/>
      <c r="H2609" s="11"/>
      <c r="I2609" s="6"/>
      <c r="J2609"/>
      <c r="K2609"/>
      <c r="L2609"/>
      <c r="M2609"/>
      <c r="N2609"/>
      <c r="O2609" s="269" t="str">
        <f>IF(OR(AND(VLOOKUP($B2610,$AM$1:$AX$12,12,FALSE)="C",VLOOKUP($K2610,$AM$1:$AX$12,12,FALSE)="C"),AND(VLOOKUP($B2610,$AM$1:$AX$12,12,FALSE)="W",VLOOKUP($K2610,$AM$1:$AX$12,12,FALSE)="W")),"Official",IF(AND($A2611="",$J2611=""),"","Scrimmage"))</f>
        <v/>
      </c>
      <c r="P2609" s="269"/>
      <c r="R2609" s="1"/>
      <c r="S2609" s="11"/>
      <c r="T2609" s="11"/>
      <c r="U2609" s="11"/>
      <c r="V2609" s="11"/>
      <c r="W2609" s="11"/>
    </row>
    <row r="2610" spans="1:32" ht="12.75" customHeight="1" x14ac:dyDescent="0.25">
      <c r="A2610" s="12" t="s">
        <v>160</v>
      </c>
      <c r="B2610" s="98" t="str">
        <f>CHOOSE(Draw!$T$1,"G","D","E","F","G","G","G","F","F","D","G")</f>
        <v>G</v>
      </c>
      <c r="C2610" s="109">
        <f>VLOOKUP($B2610,$AM$1:$AN$12,2)</f>
        <v>7</v>
      </c>
      <c r="D2610" s="10"/>
      <c r="E2610" s="10"/>
      <c r="F2610" s="8"/>
      <c r="H2610" s="1" t="s">
        <v>164</v>
      </c>
      <c r="J2610" s="12" t="s">
        <v>160</v>
      </c>
      <c r="K2610" s="98" t="str">
        <f>CHOOSE(Draw!$T$1,"L","J","J","G","H","H","H","L","J","K","I")</f>
        <v>L</v>
      </c>
      <c r="L2610" s="109">
        <f>VLOOKUP($K2610,$AM$1:$AN$12,2)</f>
        <v>12</v>
      </c>
      <c r="M2610" s="10"/>
      <c r="N2610" s="10"/>
      <c r="O2610" s="13"/>
      <c r="R2610" s="1"/>
      <c r="S2610" s="11"/>
      <c r="T2610" s="11"/>
      <c r="U2610" s="11"/>
      <c r="V2610" s="11"/>
      <c r="W2610" s="11"/>
    </row>
    <row r="2611" spans="1:32" ht="12.75" customHeight="1" x14ac:dyDescent="0.25">
      <c r="A2611" s="253" t="str">
        <f>IF(VLOOKUP($B2610,Draw!$A$4:$B$27,2)&lt;&gt;0,VLOOKUP($B2610,Draw!$A$4:$B$27,2),"")</f>
        <v/>
      </c>
      <c r="B2611" s="254"/>
      <c r="C2611" s="254"/>
      <c r="D2611" s="254"/>
      <c r="E2611" s="254"/>
      <c r="F2611" s="255"/>
      <c r="G2611" s="273" t="s">
        <v>455</v>
      </c>
      <c r="H2611" s="249"/>
      <c r="I2611" s="274"/>
      <c r="J2611" s="253" t="str">
        <f>IF(VLOOKUP($K2610,Draw!$A$4:$B$27,2)&lt;&gt;0,VLOOKUP($K2610,Draw!$A$4:$B$27,2),"")</f>
        <v/>
      </c>
      <c r="K2611" s="254"/>
      <c r="L2611" s="254"/>
      <c r="M2611" s="254"/>
      <c r="N2611" s="254"/>
      <c r="O2611" s="255"/>
      <c r="P2611"/>
      <c r="R2611" s="1"/>
      <c r="S2611" s="11"/>
      <c r="T2611" s="11"/>
      <c r="U2611" s="11"/>
      <c r="V2611" s="11"/>
      <c r="W2611" s="11"/>
    </row>
    <row r="2612" spans="1:32" ht="12.75" customHeight="1" x14ac:dyDescent="0.25">
      <c r="A2612" s="6"/>
      <c r="B2612"/>
      <c r="C2612"/>
      <c r="D2612"/>
      <c r="E2612"/>
      <c r="F2612" s="6"/>
      <c r="G2612" s="248" t="str">
        <f>"Page "&amp;VALUE(RIGHT($G2611,LEN($G2611)-SEARCH("-",$G2611)))/2</f>
        <v>Page 52</v>
      </c>
      <c r="H2612" s="249"/>
      <c r="I2612" s="249"/>
      <c r="J2612"/>
      <c r="K2612"/>
      <c r="L2612"/>
      <c r="M2612"/>
      <c r="N2612"/>
      <c r="O2612"/>
      <c r="P2612"/>
      <c r="R2612" s="1"/>
      <c r="S2612" s="11"/>
      <c r="T2612" s="11"/>
      <c r="U2612" s="11"/>
      <c r="V2612" s="11"/>
      <c r="W2612" s="11"/>
      <c r="AF2612"/>
    </row>
    <row r="2613" spans="1:32" ht="12.75" customHeight="1" x14ac:dyDescent="0.25">
      <c r="A2613" s="276" t="s">
        <v>177</v>
      </c>
      <c r="B2613" s="276"/>
      <c r="C2613" s="276"/>
      <c r="D2613" s="276"/>
      <c r="E2613" s="276"/>
      <c r="F2613" s="276"/>
      <c r="G2613" s="276"/>
      <c r="H2613" s="276"/>
      <c r="I2613" s="276"/>
      <c r="J2613" s="276"/>
      <c r="K2613" s="276"/>
      <c r="L2613" s="276"/>
      <c r="M2613" s="276"/>
      <c r="N2613" s="276"/>
      <c r="O2613" s="276"/>
      <c r="P2613" s="276"/>
      <c r="Q2613" s="6"/>
      <c r="R2613" s="1"/>
      <c r="S2613" s="11"/>
      <c r="T2613" s="11"/>
      <c r="U2613" s="11"/>
      <c r="V2613" s="11"/>
      <c r="W2613" s="11"/>
      <c r="AF2613" s="14"/>
    </row>
    <row r="2614" spans="1:32" ht="12.75" customHeight="1" x14ac:dyDescent="0.25">
      <c r="A2614" s="15" t="s">
        <v>165</v>
      </c>
      <c r="H2614" s="110" t="str">
        <f>IF($Q2616&lt;&gt;"",IF(AND(AND($H2616&gt;-1,$H2618&gt;-1),OR($H2616&gt;10,$H2618&gt;10),ABS($H2616-$H2618)&gt;1,IF(OR($H2616&gt;11,$H2618&gt;11),ABS($H2616-$H2618)=2,TRUE),$H2616=INT($H2616),$H2618=INT($H2618)),"","Error"),"")</f>
        <v/>
      </c>
      <c r="I2614" s="110" t="str">
        <f>IF($Q2616&lt;&gt;"",IF(AND(AND($I2616&gt;-1,$I2618&gt;-1),OR($I2616&gt;10,$I2618&gt;10),ABS($I2616-$I2618)&gt;1,IF(OR($I2616&gt;11,$I2618&gt;11),ABS($I2616-$I2618)=2,TRUE),$I2616=INT($I2616),$I2618=INT($I2618)),"","Error"),"")</f>
        <v/>
      </c>
      <c r="J2614" s="110" t="str">
        <f>IF($Q2616&lt;&gt;"",IF(AND(AND($J2616&gt;-1,$J2618&gt;-1),OR($J2616&gt;10,$J2618&gt;10),ABS($J2616-$J2618)&gt;1,IF(OR($J2616&gt;11,$J2618&gt;11),ABS($J2616-$J2618)=2,TRUE),$J2616=INT($J2616),$J2618=INT($J2618)),"","Error"),"")</f>
        <v/>
      </c>
      <c r="K2614" s="110" t="str">
        <f>IF($Q2616&lt;&gt;"",IF(AND($K2616&lt;&gt;"",$K2618&lt;&gt;""), IF(AND(AND($K2616&gt;-1,$K2618&gt;-1),OR($K2616&gt;10,$K2618&gt;10),ABS($K2616-$K2618)&gt;1,IF(OR($K2616&gt;11,$K2618&gt;11),ABS($K2616-$K2618)=2,TRUE),$K2616=INT($K2616),$K2618=INT($K2618)),"","Error"),""),"")</f>
        <v/>
      </c>
      <c r="L2614" s="110" t="str">
        <f>IF($Q2616&lt;&gt;"",IF(AND($L2616&lt;&gt;"",$L2618&lt;&gt;""), IF(AND(AND($L2616&gt;-1,$L2618&gt;-1),OR($L2616&gt;10,$L2618&gt;10),ABS($L2616-$L2618)&gt;1,IF(OR($L2616&gt;11,$L2618&gt;11),ABS($L2616-$L2618)=2,TRUE),$L2616=INT($L2616),$L2618=INT($L2618)),"","Error"),""),"")</f>
        <v/>
      </c>
      <c r="R2614" s="1"/>
      <c r="S2614" s="11"/>
      <c r="T2614" s="11"/>
      <c r="U2614" s="11"/>
      <c r="V2614" s="11"/>
      <c r="W2614" s="11"/>
    </row>
    <row r="2615" spans="1:32" ht="12.75" customHeight="1" x14ac:dyDescent="0.25">
      <c r="A2615" s="5" t="s">
        <v>160</v>
      </c>
      <c r="B2615" s="256" t="s">
        <v>58</v>
      </c>
      <c r="C2615" s="257"/>
      <c r="D2615" s="257"/>
      <c r="E2615" s="257"/>
      <c r="F2615" s="257"/>
      <c r="G2615" s="258"/>
      <c r="H2615" s="5">
        <v>1</v>
      </c>
      <c r="I2615" s="5">
        <v>2</v>
      </c>
      <c r="J2615" s="5">
        <v>3</v>
      </c>
      <c r="K2615" s="5">
        <v>4</v>
      </c>
      <c r="L2615" s="5">
        <v>5</v>
      </c>
      <c r="M2615" s="270"/>
      <c r="N2615" s="271"/>
      <c r="O2615" s="271"/>
      <c r="P2615" s="272"/>
      <c r="R2615" s="1"/>
      <c r="S2615" s="11"/>
      <c r="T2615" s="11"/>
      <c r="U2615" s="11"/>
      <c r="V2615" s="11"/>
      <c r="W2615" s="11"/>
    </row>
    <row r="2616" spans="1:32" ht="12.75" customHeight="1" x14ac:dyDescent="0.25">
      <c r="A2616" s="259" t="str">
        <f>B2610</f>
        <v>G</v>
      </c>
      <c r="B2616" s="236" t="str">
        <f ca="1">IF(AND(OFFSET($AO$1,$C2610-1,8,1,1),$A2611&lt;&gt;"",$J2611&lt;&gt;""),CHOOSE($C2610,$AO$1,$AO$2,$AO$3,$AO$4,$AO$5,$AO$6,$AO$7,$AO$8,$AO$9,$AO$10,$AO$11,$AO$12),"")</f>
        <v/>
      </c>
      <c r="C2616" s="237"/>
      <c r="D2616" s="237"/>
      <c r="E2616" s="237"/>
      <c r="F2616" s="237"/>
      <c r="G2616" s="237"/>
      <c r="H2616" s="233"/>
      <c r="I2616" s="233"/>
      <c r="J2616" s="233"/>
      <c r="K2616" s="233"/>
      <c r="L2616" s="233"/>
      <c r="M2616" s="281"/>
      <c r="N2616" s="282"/>
      <c r="O2616" s="282"/>
      <c r="P2616" s="283"/>
      <c r="Q2616" s="40" t="str">
        <f>IF($L2616=$L2618,IF($K2616=$K2618,IF($J2616&lt;&gt;"",IF($J2616&gt;$J2618,"W","L"),""),IF($K2616&gt;$K2618,"W","L")),IF($L2616&gt;$L2618,"W","L"))</f>
        <v/>
      </c>
      <c r="R2616" s="1"/>
      <c r="S2616" s="11"/>
      <c r="T2616" s="11"/>
      <c r="U2616" s="11"/>
      <c r="V2616" s="11"/>
      <c r="W2616" s="11"/>
    </row>
    <row r="2617" spans="1:32" ht="12.75" customHeight="1" x14ac:dyDescent="0.25">
      <c r="A2617" s="260"/>
      <c r="B2617" s="238"/>
      <c r="C2617" s="239"/>
      <c r="D2617" s="239"/>
      <c r="E2617" s="239"/>
      <c r="F2617" s="239"/>
      <c r="G2617" s="239"/>
      <c r="H2617" s="234"/>
      <c r="I2617" s="234"/>
      <c r="J2617" s="234"/>
      <c r="K2617" s="234"/>
      <c r="L2617" s="234"/>
      <c r="M2617" s="281"/>
      <c r="N2617" s="282"/>
      <c r="O2617" s="282"/>
      <c r="P2617" s="283"/>
      <c r="Q2617" s="110" t="str">
        <f>IF($Q2616&lt;&gt;"",IF($Q2616="W",IF(SUM(IF($H2616&gt;$H2618,1,0),IF($I2616&gt;$I2618,1,0),IF($J2616&gt;$J2618,1,0),IF($K2616&gt;$K2618,1,0),IF($L2616&gt;$L2618,1,0))&lt;&gt;3,"Error",""),""),"")</f>
        <v/>
      </c>
      <c r="R2617" s="295" t="str">
        <f>$A2611</f>
        <v/>
      </c>
      <c r="S2617" s="295"/>
      <c r="T2617" s="295"/>
      <c r="U2617" s="295"/>
      <c r="V2617" s="295"/>
      <c r="W2617" s="295"/>
      <c r="X2617" s="219" t="str">
        <f>CONCATENATE("(",$B2610," vs ",$K2610,")")</f>
        <v>(G vs L)</v>
      </c>
      <c r="Y2617" s="219"/>
      <c r="Z2617" s="295" t="str">
        <f>$J2611</f>
        <v/>
      </c>
      <c r="AA2617" s="295"/>
      <c r="AB2617" s="295"/>
      <c r="AC2617" s="295"/>
      <c r="AD2617" s="295"/>
      <c r="AE2617" s="295"/>
      <c r="AF2617"/>
    </row>
    <row r="2618" spans="1:32" ht="12.75" customHeight="1" x14ac:dyDescent="0.25">
      <c r="A2618" s="259" t="str">
        <f>K2610</f>
        <v>L</v>
      </c>
      <c r="B2618" s="236" t="str">
        <f ca="1">IF(AND(OFFSET($AO$1,$L2610-1,8,1,1),$A2611&lt;&gt;"",$J2611&lt;&gt;""),CHOOSE($L2610,$AO$1,$AO$2,$AO$3,$AO$4,$AO$5,$AO$6,$AO$7,$AO$8,$AO$9,$AO$10,$AO$11,$AO$12),"")</f>
        <v/>
      </c>
      <c r="C2618" s="237"/>
      <c r="D2618" s="237"/>
      <c r="E2618" s="237"/>
      <c r="F2618" s="237"/>
      <c r="G2618" s="237"/>
      <c r="H2618" s="233"/>
      <c r="I2618" s="233"/>
      <c r="J2618" s="233"/>
      <c r="K2618" s="233"/>
      <c r="L2618" s="233"/>
      <c r="M2618" s="250" t="s">
        <v>169</v>
      </c>
      <c r="N2618" s="251"/>
      <c r="O2618" s="251"/>
      <c r="P2618" s="252"/>
      <c r="Q2618" s="40" t="str">
        <f>IF($Q2616&lt;&gt;"",IF($Q2616="W","L","W"),"")</f>
        <v/>
      </c>
      <c r="R2618"/>
      <c r="S2618"/>
      <c r="T2618"/>
      <c r="U2618"/>
      <c r="V2618"/>
      <c r="W2618"/>
      <c r="X2618"/>
      <c r="Y2618"/>
      <c r="Z2618"/>
      <c r="AA2618"/>
      <c r="AB2618"/>
      <c r="AC2618"/>
      <c r="AD2618"/>
      <c r="AE2618"/>
      <c r="AF2618"/>
    </row>
    <row r="2619" spans="1:32" ht="12.75" customHeight="1" x14ac:dyDescent="0.25">
      <c r="A2619" s="260"/>
      <c r="B2619" s="238"/>
      <c r="C2619" s="239"/>
      <c r="D2619" s="239"/>
      <c r="E2619" s="239"/>
      <c r="F2619" s="239"/>
      <c r="G2619" s="239"/>
      <c r="H2619" s="234"/>
      <c r="I2619" s="234"/>
      <c r="J2619" s="235"/>
      <c r="K2619" s="235"/>
      <c r="L2619" s="235"/>
      <c r="M2619" s="250"/>
      <c r="N2619" s="251"/>
      <c r="O2619" s="251"/>
      <c r="P2619" s="252"/>
      <c r="Q2619" s="110" t="str">
        <f>IF($Q2618&lt;&gt;"",IF($Q2618="W",IF(SUM(IF($H2618&gt;$H2616,1,0),IF($I2618&gt;$I2616,1,0),IF($J2618&gt;$J2616,1,0),IF($K2618&gt;$K2616,1,0),IF($L2618&gt;$L2616,1,0))&lt;&gt;3,"Error",""),""),"")</f>
        <v/>
      </c>
      <c r="R2619" t="str">
        <f>$A2621</f>
        <v>2nd Singles</v>
      </c>
      <c r="S2619"/>
      <c r="T2619"/>
      <c r="U2619"/>
      <c r="V2619"/>
      <c r="W2619"/>
      <c r="X2619"/>
      <c r="Y2619"/>
      <c r="Z2619"/>
      <c r="AA2619"/>
      <c r="AB2619"/>
      <c r="AC2619"/>
      <c r="AD2619"/>
      <c r="AE2619"/>
      <c r="AF2619"/>
    </row>
    <row r="2620" spans="1:32" ht="12.75" customHeight="1" x14ac:dyDescent="0.25">
      <c r="Q2620" s="6"/>
      <c r="R2620" s="47" t="s">
        <v>160</v>
      </c>
      <c r="S2620" s="304" t="s">
        <v>58</v>
      </c>
      <c r="T2620" s="305"/>
      <c r="U2620" s="305"/>
      <c r="V2620" s="305"/>
      <c r="W2620" s="305"/>
      <c r="X2620" s="306"/>
      <c r="Y2620" s="47">
        <v>1</v>
      </c>
      <c r="Z2620" s="47">
        <v>2</v>
      </c>
      <c r="AA2620" s="47">
        <v>3</v>
      </c>
      <c r="AB2620" s="47">
        <v>4</v>
      </c>
      <c r="AC2620" s="47">
        <v>5</v>
      </c>
      <c r="AD2620" s="286"/>
      <c r="AE2620" s="287"/>
      <c r="AF2620" s="288"/>
    </row>
    <row r="2621" spans="1:32" ht="12.75" customHeight="1" x14ac:dyDescent="0.25">
      <c r="A2621" s="15" t="s">
        <v>166</v>
      </c>
      <c r="H2621" s="110" t="str">
        <f>IF($Q2623&lt;&gt;"",IF(AND(AND($H2623&gt;-1,$H2625&gt;-1),OR($H2623&gt;10,$H2625&gt;10),ABS($H2623-$H2625)&gt;1,IF(OR($H2623&gt;11,$H2625&gt;11),ABS($H2623-$H2625)=2,TRUE),$H2623=INT($H2623),$H2625=INT($H2625)),"","Error"),"")</f>
        <v/>
      </c>
      <c r="I2621" s="110" t="str">
        <f>IF($Q2623&lt;&gt;"",IF(AND(AND($I2623&gt;-1,$I2625&gt;-1),OR($I2623&gt;10,$I2625&gt;10),ABS($I2623-$I2625)&gt;1,IF(OR($I2623&gt;11,$I2625&gt;11),ABS($I2623-$I2625)=2,TRUE),$I2623=INT($I2623),$I2625=INT($I2625)),"","Error"),"")</f>
        <v/>
      </c>
      <c r="J2621" s="110" t="str">
        <f>IF($Q2623&lt;&gt;"",IF(AND(AND($J2623&gt;-1,$J2625&gt;-1),OR($J2623&gt;10,$J2625&gt;10),ABS($J2623-$J2625)&gt;1,IF(OR($J2623&gt;11,$J2625&gt;11),ABS($J2623-$J2625)=2,TRUE),$J2623=INT($J2623),$J2625=INT($J2625)),"","Error"),"")</f>
        <v/>
      </c>
      <c r="K2621" s="110" t="str">
        <f>IF($Q2623&lt;&gt;"",IF(AND($K2623&lt;&gt;"",$K2625&lt;&gt;""), IF(AND(AND($K2623&gt;-1,$K2625&gt;-1),OR($K2623&gt;10,$K2625&gt;10),ABS($K2623-$K2625)&gt;1,IF(OR($K2623&gt;11,$K2625&gt;11),ABS($K2623-$K2625)=2,TRUE),$K2623=INT($K2623),$K2625=INT($K2625)),"","Error"),""),"")</f>
        <v/>
      </c>
      <c r="L2621" s="110" t="str">
        <f>IF($Q2623&lt;&gt;"",IF(AND($L2623&lt;&gt;"",$L2625&lt;&gt;""), IF(AND(AND($L2623&gt;-1,$L2625&gt;-1),OR($L2623&gt;10,$L2625&gt;10),ABS($L2623-$L2625)&gt;1,IF(OR($L2623&gt;11,$L2625&gt;11),ABS($L2623-$L2625)=2,TRUE),$L2623=INT($L2623),$L2625=INT($L2625)),"","Error"),""),"")</f>
        <v/>
      </c>
      <c r="Q2621" s="6"/>
      <c r="R2621" s="259" t="str">
        <f>$B2610</f>
        <v>G</v>
      </c>
      <c r="S2621" s="307" t="str">
        <f ca="1">IF($B2623&lt;&gt;"",$B2623,"")</f>
        <v/>
      </c>
      <c r="T2621" s="308"/>
      <c r="U2621" s="308"/>
      <c r="V2621" s="308"/>
      <c r="W2621" s="308"/>
      <c r="X2621" s="309"/>
      <c r="Y2621" s="284"/>
      <c r="Z2621" s="284"/>
      <c r="AA2621" s="284"/>
      <c r="AB2621" s="284"/>
      <c r="AC2621" s="284"/>
      <c r="AD2621" s="296"/>
      <c r="AE2621" s="290"/>
      <c r="AF2621" s="291"/>
    </row>
    <row r="2622" spans="1:32" ht="12.75" customHeight="1" x14ac:dyDescent="0.25">
      <c r="A2622" s="5" t="s">
        <v>160</v>
      </c>
      <c r="B2622" s="256" t="s">
        <v>58</v>
      </c>
      <c r="C2622" s="257"/>
      <c r="D2622" s="257"/>
      <c r="E2622" s="257"/>
      <c r="F2622" s="257"/>
      <c r="G2622" s="258"/>
      <c r="H2622" s="5">
        <v>1</v>
      </c>
      <c r="I2622" s="5">
        <v>2</v>
      </c>
      <c r="J2622" s="5">
        <v>3</v>
      </c>
      <c r="K2622" s="5">
        <v>4</v>
      </c>
      <c r="L2622" s="5">
        <v>5</v>
      </c>
      <c r="M2622" s="270"/>
      <c r="N2622" s="271"/>
      <c r="O2622" s="271"/>
      <c r="P2622" s="272"/>
      <c r="Q2622" s="6"/>
      <c r="R2622" s="285"/>
      <c r="S2622" s="310"/>
      <c r="T2622" s="311"/>
      <c r="U2622" s="311"/>
      <c r="V2622" s="311"/>
      <c r="W2622" s="311"/>
      <c r="X2622" s="312"/>
      <c r="Y2622" s="285"/>
      <c r="Z2622" s="285"/>
      <c r="AA2622" s="285"/>
      <c r="AB2622" s="285"/>
      <c r="AC2622" s="285"/>
      <c r="AD2622" s="292"/>
      <c r="AE2622" s="293"/>
      <c r="AF2622" s="294"/>
    </row>
    <row r="2623" spans="1:32" ht="12.75" customHeight="1" x14ac:dyDescent="0.25">
      <c r="A2623" s="259" t="str">
        <f>B2610</f>
        <v>G</v>
      </c>
      <c r="B2623" s="236" t="str">
        <f ca="1">IF(AND(OFFSET($AO$1,$C2610-1,8,1,1),$A2611&lt;&gt;"",$J2611&lt;&gt;""),CHOOSE($C2610,$AP$1,$AP$2,$AP$3,$AP$4,$AP$5,$AP$6,$AP$7,$AP$8,$AP$9,$AP$10,$AP$11,$AP$12),"")</f>
        <v/>
      </c>
      <c r="C2623" s="237"/>
      <c r="D2623" s="237"/>
      <c r="E2623" s="237"/>
      <c r="F2623" s="237"/>
      <c r="G2623" s="237"/>
      <c r="H2623" s="233"/>
      <c r="I2623" s="233"/>
      <c r="J2623" s="233"/>
      <c r="K2623" s="233"/>
      <c r="L2623" s="233"/>
      <c r="M2623" s="245" t="str">
        <f ca="1">IF(OR(AND($B2616&lt;&gt;"",$B2623&lt;&gt;"",$C2641&lt;=$B2641),AND($B2618&lt;&gt;"",$B2625&lt;&gt;"",$G2641&lt;=$F2641)),"Invalid Lineup","")</f>
        <v/>
      </c>
      <c r="N2623" s="246"/>
      <c r="O2623" s="246"/>
      <c r="P2623" s="247"/>
      <c r="Q2623" s="40" t="str">
        <f>IF($L2623=$L2625,IF($K2623=$K2625,IF($J2623&lt;&gt;"",IF($J2623&gt;$J2625,"W","L"),""),IF($K2623&gt;$K2625,"W","L")),IF($L2623&gt;$L2625,"W","L"))</f>
        <v/>
      </c>
      <c r="R2623" s="259" t="str">
        <f>$K2610</f>
        <v>L</v>
      </c>
      <c r="S2623" s="307" t="str">
        <f ca="1">IF($B2625&lt;&gt;"",$B2625,"")</f>
        <v/>
      </c>
      <c r="T2623" s="308"/>
      <c r="U2623" s="308"/>
      <c r="V2623" s="308"/>
      <c r="W2623" s="308"/>
      <c r="X2623" s="309"/>
      <c r="Y2623" s="284"/>
      <c r="Z2623" s="284"/>
      <c r="AA2623" s="284"/>
      <c r="AB2623" s="284"/>
      <c r="AC2623" s="297"/>
      <c r="AD2623" s="289" t="s">
        <v>169</v>
      </c>
      <c r="AE2623" s="290"/>
      <c r="AF2623" s="291"/>
    </row>
    <row r="2624" spans="1:32" ht="12.75" customHeight="1" x14ac:dyDescent="0.25">
      <c r="A2624" s="260"/>
      <c r="B2624" s="238"/>
      <c r="C2624" s="239"/>
      <c r="D2624" s="239"/>
      <c r="E2624" s="239"/>
      <c r="F2624" s="239"/>
      <c r="G2624" s="239"/>
      <c r="H2624" s="234"/>
      <c r="I2624" s="234"/>
      <c r="J2624" s="234"/>
      <c r="K2624" s="234"/>
      <c r="L2624" s="234"/>
      <c r="M2624" s="245"/>
      <c r="N2624" s="246"/>
      <c r="O2624" s="246"/>
      <c r="P2624" s="247"/>
      <c r="Q2624" s="110" t="str">
        <f>IF($Q2623&lt;&gt;"",IF($Q2623="W",IF(SUM(IF($H2623&gt;$H2625,1,0),IF($I2623&gt;$I2625,1,0),IF($J2623&gt;$J2625,1,0),IF($K2623&gt;$K2625,1,0),IF($L2623&gt;$L2625,1,0))&lt;&gt;3,"Error",""),""),"")</f>
        <v/>
      </c>
      <c r="R2624" s="285"/>
      <c r="S2624" s="310"/>
      <c r="T2624" s="311"/>
      <c r="U2624" s="311"/>
      <c r="V2624" s="311"/>
      <c r="W2624" s="311"/>
      <c r="X2624" s="312"/>
      <c r="Y2624" s="285"/>
      <c r="Z2624" s="285"/>
      <c r="AA2624" s="285"/>
      <c r="AB2624" s="285"/>
      <c r="AC2624" s="285"/>
      <c r="AD2624" s="292"/>
      <c r="AE2624" s="293"/>
      <c r="AF2624" s="294"/>
    </row>
    <row r="2625" spans="1:32" ht="12.75" customHeight="1" x14ac:dyDescent="0.25">
      <c r="A2625" s="259" t="str">
        <f>K2610</f>
        <v>L</v>
      </c>
      <c r="B2625" s="236" t="str">
        <f ca="1">IF(AND(OFFSET($AO$1,$L2610-1,8,1,1),$A2611&lt;&gt;"",$J2611&lt;&gt;""),CHOOSE($L2610,$AP$1,$AP$2,$AP$3,$AP$4,$AP$5,$AP$6,$AP$7,$AP$8,$AP$9,$AP$10,$AP$11,$AP$12),"")</f>
        <v/>
      </c>
      <c r="C2625" s="237"/>
      <c r="D2625" s="237"/>
      <c r="E2625" s="237"/>
      <c r="F2625" s="237"/>
      <c r="G2625" s="237"/>
      <c r="H2625" s="233"/>
      <c r="I2625" s="233"/>
      <c r="J2625" s="233"/>
      <c r="K2625" s="233"/>
      <c r="L2625" s="233"/>
      <c r="M2625" s="250" t="s">
        <v>169</v>
      </c>
      <c r="N2625" s="251"/>
      <c r="O2625" s="251"/>
      <c r="P2625" s="252"/>
      <c r="Q2625" s="40" t="str">
        <f>IF($Q2623&lt;&gt;"",IF($Q2623="W","L","W"),"")</f>
        <v/>
      </c>
      <c r="R2625" s="14"/>
      <c r="S2625" s="14"/>
      <c r="T2625" s="14"/>
      <c r="U2625" s="14"/>
      <c r="V2625" s="14"/>
      <c r="W2625" s="14"/>
      <c r="X2625" s="7"/>
      <c r="Y2625" s="7"/>
      <c r="Z2625" s="14"/>
      <c r="AA2625" s="14"/>
      <c r="AB2625" s="14"/>
      <c r="AC2625" s="14"/>
      <c r="AD2625" s="14"/>
      <c r="AE2625" s="14"/>
      <c r="AF2625"/>
    </row>
    <row r="2626" spans="1:32" ht="12.75" customHeight="1" x14ac:dyDescent="0.25">
      <c r="A2626" s="260"/>
      <c r="B2626" s="238"/>
      <c r="C2626" s="239"/>
      <c r="D2626" s="239"/>
      <c r="E2626" s="239"/>
      <c r="F2626" s="239"/>
      <c r="G2626" s="239"/>
      <c r="H2626" s="234"/>
      <c r="I2626" s="234"/>
      <c r="J2626" s="235"/>
      <c r="K2626" s="235"/>
      <c r="L2626" s="235"/>
      <c r="M2626" s="250"/>
      <c r="N2626" s="251"/>
      <c r="O2626" s="251"/>
      <c r="P2626" s="252"/>
      <c r="Q2626" s="110" t="str">
        <f>IF($Q2625&lt;&gt;"",IF($Q2625="W",IF(SUM(IF($H2625&gt;$H2623,1,0),IF($I2625&gt;$I2623,1,0),IF($J2625&gt;$J2623,1,0),IF($K2625&gt;$K2623,1,0),IF($L2625&gt;$L2623,1,0))&lt;&gt;3,"Error",""),""),"")</f>
        <v/>
      </c>
      <c r="R2626" s="14"/>
      <c r="S2626" s="14"/>
      <c r="T2626" s="14"/>
      <c r="U2626" s="14"/>
      <c r="V2626" s="14"/>
      <c r="W2626" s="14"/>
      <c r="X2626" s="7"/>
      <c r="Y2626" s="7"/>
      <c r="Z2626" s="14"/>
      <c r="AA2626" s="14"/>
      <c r="AB2626" s="14"/>
      <c r="AC2626" s="14"/>
      <c r="AD2626" s="14"/>
      <c r="AE2626" s="14"/>
      <c r="AF2626"/>
    </row>
    <row r="2627" spans="1:32" ht="12.75" customHeight="1" x14ac:dyDescent="0.25">
      <c r="Q2627" s="6"/>
      <c r="R2627" s="14"/>
      <c r="S2627" s="14"/>
      <c r="T2627" s="14"/>
      <c r="U2627" s="14"/>
      <c r="V2627" s="14"/>
      <c r="W2627" s="14"/>
      <c r="X2627" s="7"/>
      <c r="Y2627" s="7"/>
      <c r="Z2627" s="14"/>
      <c r="AA2627" s="14"/>
      <c r="AB2627" s="14"/>
      <c r="AC2627" s="14"/>
      <c r="AD2627" s="14"/>
      <c r="AE2627" s="14"/>
      <c r="AF2627"/>
    </row>
    <row r="2628" spans="1:32" ht="12.75" customHeight="1" x14ac:dyDescent="0.25">
      <c r="A2628" s="15" t="s">
        <v>167</v>
      </c>
      <c r="H2628" s="110" t="str">
        <f>IF($Q2630&lt;&gt;"",IF(AND(AND($H2630&gt;-1,$H2632&gt;-1),OR($H2630&gt;10,$H2632&gt;10),ABS($H2630-$H2632)&gt;1,IF(OR($H2630&gt;11,$H2632&gt;11),ABS($H2630-$H2632)=2,TRUE),$H2630=INT($H2630),$H2632=INT($H2632)),"","Error"),"")</f>
        <v/>
      </c>
      <c r="I2628" s="110" t="str">
        <f>IF($Q2630&lt;&gt;"",IF(AND(AND($I2630&gt;-1,$I2632&gt;-1),OR($I2630&gt;10,$I2632&gt;10),ABS($I2630-$I2632)&gt;1,IF(OR($I2630&gt;11,$I2632&gt;11),ABS($I2630-$I2632)=2,TRUE),$I2630=INT($I2630),$I2632=INT($I2632)),"","Error"),"")</f>
        <v/>
      </c>
      <c r="J2628" s="110" t="str">
        <f>IF($Q2630&lt;&gt;"",IF(AND(AND($J2630&gt;-1,$J2632&gt;-1),OR($J2630&gt;10,$J2632&gt;10),ABS($J2630-$J2632)&gt;1,IF(OR($J2630&gt;11,$J2632&gt;11),ABS($J2630-$J2632)=2,TRUE),$J2630=INT($J2630),$J2632=INT($J2632)),"","Error"),"")</f>
        <v/>
      </c>
      <c r="K2628" s="110" t="str">
        <f>IF($Q2630&lt;&gt;"",IF(AND($K2630&lt;&gt;"",$K2632&lt;&gt;""), IF(AND(AND($K2630&gt;-1,$K2632&gt;-1),OR($K2630&gt;10,$K2632&gt;10),ABS($K2630-$K2632)&gt;1,IF(OR($K2630&gt;11,$K2632&gt;11),ABS($K2630-$K2632)=2,TRUE),$K2630=INT($K2630),$K2632=INT($K2632)),"","Error"),""),"")</f>
        <v/>
      </c>
      <c r="L2628" s="110" t="str">
        <f>IF($Q2630&lt;&gt;"",IF(AND($L2630&lt;&gt;"",$L2632&lt;&gt;""), IF(AND(AND($L2630&gt;-1,$L2632&gt;-1),OR($L2630&gt;10,$L2632&gt;10),ABS($L2630-$L2632)&gt;1,IF(OR($L2630&gt;11,$L2632&gt;11),ABS($L2630-$L2632)=2,TRUE),$L2630=INT($L2630),$L2632=INT($L2632)),"","Error"),""),"")</f>
        <v/>
      </c>
      <c r="Q2628" s="6"/>
      <c r="R2628" s="14"/>
      <c r="S2628" s="14"/>
      <c r="T2628" s="14"/>
      <c r="U2628" s="14"/>
      <c r="V2628" s="14"/>
      <c r="W2628" s="14"/>
      <c r="X2628" s="7"/>
      <c r="Y2628" s="7"/>
      <c r="Z2628" s="14"/>
      <c r="AA2628" s="14"/>
      <c r="AB2628" s="14"/>
      <c r="AC2628" s="14"/>
      <c r="AD2628" s="14"/>
      <c r="AE2628" s="14"/>
      <c r="AF2628"/>
    </row>
    <row r="2629" spans="1:32" ht="12.75" customHeight="1" x14ac:dyDescent="0.25">
      <c r="A2629" s="5" t="s">
        <v>160</v>
      </c>
      <c r="B2629" s="256" t="s">
        <v>58</v>
      </c>
      <c r="C2629" s="257"/>
      <c r="D2629" s="257"/>
      <c r="E2629" s="257"/>
      <c r="F2629" s="257"/>
      <c r="G2629" s="258"/>
      <c r="H2629" s="5">
        <v>1</v>
      </c>
      <c r="I2629" s="5">
        <v>2</v>
      </c>
      <c r="J2629" s="5">
        <v>3</v>
      </c>
      <c r="K2629" s="5">
        <v>4</v>
      </c>
      <c r="L2629" s="5">
        <v>5</v>
      </c>
      <c r="M2629" s="270"/>
      <c r="N2629" s="271"/>
      <c r="O2629" s="271"/>
      <c r="P2629" s="272"/>
      <c r="Q2629" s="6"/>
      <c r="R2629" s="14"/>
      <c r="S2629" s="14"/>
      <c r="T2629" s="14"/>
      <c r="U2629" s="14"/>
      <c r="V2629" s="14"/>
      <c r="W2629" s="14"/>
      <c r="X2629" s="7"/>
      <c r="Y2629" s="7"/>
      <c r="Z2629" s="14"/>
      <c r="AA2629" s="14"/>
      <c r="AB2629" s="14"/>
      <c r="AC2629" s="14"/>
      <c r="AD2629" s="14"/>
      <c r="AE2629" s="14"/>
      <c r="AF2629"/>
    </row>
    <row r="2630" spans="1:32" ht="12.75" customHeight="1" x14ac:dyDescent="0.25">
      <c r="A2630" s="259" t="str">
        <f>B2610</f>
        <v>G</v>
      </c>
      <c r="B2630" s="236" t="str">
        <f ca="1">IF(AND(OFFSET($AO$1,$C2610-1,8,1,1),$A2611&lt;&gt;"",$J2611&lt;&gt;""),CHOOSE($C2610,$AQ$1,$AQ$2,$AQ$3,$AQ$4,$AQ$5,$AQ$6,$AQ$7,$AQ$8,$AQ$9,$AQ$10,$AQ$11,$AQ$12),"")</f>
        <v/>
      </c>
      <c r="C2630" s="237"/>
      <c r="D2630" s="237"/>
      <c r="E2630" s="237"/>
      <c r="F2630" s="237"/>
      <c r="G2630" s="237"/>
      <c r="H2630" s="233"/>
      <c r="I2630" s="233"/>
      <c r="J2630" s="233"/>
      <c r="K2630" s="233"/>
      <c r="L2630" s="233"/>
      <c r="M2630" s="245" t="str">
        <f ca="1">IF(OR(AND($B2623&lt;&gt;"",$B2630&lt;&gt;"",$D2641&lt;=$C2641),AND($B2625&lt;&gt;"",$B2632&lt;&gt;"",$H2641&lt;=$G2641)),"Invalid Lineup","")</f>
        <v/>
      </c>
      <c r="N2630" s="246"/>
      <c r="O2630" s="246"/>
      <c r="P2630" s="247"/>
      <c r="Q2630" s="40" t="str">
        <f>IF($L2630=$L2632,IF($K2630=$K2632,IF($J2630&lt;&gt;"",IF($J2630&gt;$J2632,"W","L"),""),IF($K2630&gt;$K2632,"W","L")),IF($L2630&gt;$L2632,"W","L"))</f>
        <v/>
      </c>
      <c r="R2630" s="14"/>
      <c r="S2630" s="14"/>
      <c r="T2630" s="14"/>
      <c r="U2630" s="14"/>
      <c r="V2630" s="14"/>
      <c r="W2630" s="14"/>
      <c r="X2630" s="7"/>
      <c r="Y2630" s="7"/>
      <c r="Z2630" s="14"/>
      <c r="AA2630" s="14"/>
      <c r="AB2630" s="14"/>
      <c r="AC2630" s="14"/>
      <c r="AD2630" s="14"/>
      <c r="AE2630" s="14"/>
      <c r="AF2630"/>
    </row>
    <row r="2631" spans="1:32" ht="12.75" customHeight="1" x14ac:dyDescent="0.25">
      <c r="A2631" s="260"/>
      <c r="B2631" s="238"/>
      <c r="C2631" s="239"/>
      <c r="D2631" s="239"/>
      <c r="E2631" s="239"/>
      <c r="F2631" s="239"/>
      <c r="G2631" s="239"/>
      <c r="H2631" s="234"/>
      <c r="I2631" s="234"/>
      <c r="J2631" s="234"/>
      <c r="K2631" s="234"/>
      <c r="L2631" s="234"/>
      <c r="M2631" s="245"/>
      <c r="N2631" s="246"/>
      <c r="O2631" s="246"/>
      <c r="P2631" s="247"/>
      <c r="Q2631" s="110" t="str">
        <f>IF($Q2630&lt;&gt;"",IF($Q2630="W",IF(SUM(IF($H2630&gt;$H2632,1,0),IF($I2630&gt;$I2632,1,0),IF($J2630&gt;$J2632,1,0),IF($K2630&gt;$K2632,1,0),IF($L2630&gt;$L2632,1,0))&lt;&gt;3,"Error",""),""),"")</f>
        <v/>
      </c>
      <c r="R2631" s="295" t="str">
        <f>$A2611</f>
        <v/>
      </c>
      <c r="S2631" s="295"/>
      <c r="T2631" s="295"/>
      <c r="U2631" s="295"/>
      <c r="V2631" s="295"/>
      <c r="W2631" s="295"/>
      <c r="X2631" s="219" t="str">
        <f>CONCATENATE("(",$B2610," vs ",$K2610,")")</f>
        <v>(G vs L)</v>
      </c>
      <c r="Y2631" s="219"/>
      <c r="Z2631" s="295" t="str">
        <f>$J2611</f>
        <v/>
      </c>
      <c r="AA2631" s="295"/>
      <c r="AB2631" s="295"/>
      <c r="AC2631" s="295"/>
      <c r="AD2631" s="295"/>
      <c r="AE2631" s="295"/>
      <c r="AF2631"/>
    </row>
    <row r="2632" spans="1:32" ht="12.75" customHeight="1" x14ac:dyDescent="0.25">
      <c r="A2632" s="259" t="str">
        <f>K2610</f>
        <v>L</v>
      </c>
      <c r="B2632" s="236" t="str">
        <f ca="1">IF(AND(OFFSET($AO$1,$L2610-1,8,1,1),$A2611&lt;&gt;"",$J2611&lt;&gt;""),CHOOSE($L2610,$AQ$1,$AQ$2,$AQ$3,$AQ$4,$AQ$5,$AQ$6,$AQ$7,$AQ$8,$AQ$9,$AQ$10,$AQ$11,$AQ$12),"")</f>
        <v/>
      </c>
      <c r="C2632" s="237"/>
      <c r="D2632" s="237"/>
      <c r="E2632" s="237"/>
      <c r="F2632" s="237"/>
      <c r="G2632" s="237"/>
      <c r="H2632" s="233"/>
      <c r="I2632" s="233"/>
      <c r="J2632" s="233"/>
      <c r="K2632" s="233"/>
      <c r="L2632" s="233"/>
      <c r="M2632" s="250" t="s">
        <v>169</v>
      </c>
      <c r="N2632" s="251"/>
      <c r="O2632" s="251"/>
      <c r="P2632" s="252"/>
      <c r="Q2632" s="40" t="str">
        <f>IF($Q2630&lt;&gt;"",IF($Q2630="W","L","W"),"")</f>
        <v/>
      </c>
      <c r="R2632"/>
      <c r="S2632"/>
      <c r="T2632"/>
      <c r="U2632"/>
      <c r="V2632"/>
      <c r="W2632"/>
      <c r="X2632"/>
      <c r="Y2632"/>
      <c r="Z2632"/>
      <c r="AA2632"/>
      <c r="AB2632"/>
      <c r="AC2632"/>
      <c r="AD2632"/>
      <c r="AE2632"/>
      <c r="AF2632"/>
    </row>
    <row r="2633" spans="1:32" ht="12.75" customHeight="1" x14ac:dyDescent="0.25">
      <c r="A2633" s="260"/>
      <c r="B2633" s="238"/>
      <c r="C2633" s="239"/>
      <c r="D2633" s="239"/>
      <c r="E2633" s="239"/>
      <c r="F2633" s="239"/>
      <c r="G2633" s="239"/>
      <c r="H2633" s="234"/>
      <c r="I2633" s="234"/>
      <c r="J2633" s="235"/>
      <c r="K2633" s="235"/>
      <c r="L2633" s="235"/>
      <c r="M2633" s="250"/>
      <c r="N2633" s="251"/>
      <c r="O2633" s="251"/>
      <c r="P2633" s="252"/>
      <c r="Q2633" s="110" t="str">
        <f>IF($Q2632&lt;&gt;"",IF($Q2632="W",IF(SUM(IF($H2632&gt;$H2630,1,0),IF($I2632&gt;$I2630,1,0),IF($J2632&gt;$J2630,1,0),IF($K2632&gt;$K2630,1,0),IF($L2632&gt;$L2630,1,0))&lt;&gt;3,"Error",""),""),"")</f>
        <v/>
      </c>
      <c r="R2633" t="str">
        <f>$A2628</f>
        <v>3rd Singles</v>
      </c>
      <c r="S2633"/>
      <c r="T2633"/>
      <c r="U2633"/>
      <c r="V2633"/>
      <c r="W2633"/>
      <c r="X2633"/>
      <c r="Y2633"/>
      <c r="Z2633"/>
      <c r="AA2633"/>
      <c r="AB2633"/>
      <c r="AC2633"/>
      <c r="AD2633"/>
      <c r="AE2633"/>
      <c r="AF2633"/>
    </row>
    <row r="2634" spans="1:32" ht="12.75" customHeight="1" x14ac:dyDescent="0.25">
      <c r="Q2634" s="6"/>
      <c r="R2634" s="47" t="s">
        <v>160</v>
      </c>
      <c r="S2634" s="86" t="s">
        <v>58</v>
      </c>
      <c r="T2634" s="87"/>
      <c r="U2634" s="87"/>
      <c r="V2634" s="87"/>
      <c r="W2634" s="87"/>
      <c r="X2634" s="88"/>
      <c r="Y2634" s="47">
        <v>1</v>
      </c>
      <c r="Z2634" s="47">
        <v>2</v>
      </c>
      <c r="AA2634" s="47">
        <v>3</v>
      </c>
      <c r="AB2634" s="47">
        <v>4</v>
      </c>
      <c r="AC2634" s="47">
        <v>5</v>
      </c>
      <c r="AD2634" s="89"/>
      <c r="AE2634" s="90"/>
      <c r="AF2634" s="91"/>
    </row>
    <row r="2635" spans="1:32" ht="12.75" customHeight="1" x14ac:dyDescent="0.25">
      <c r="A2635" s="15" t="s">
        <v>168</v>
      </c>
      <c r="H2635" s="110" t="str">
        <f ca="1">IF($Q2637&lt;&gt;"",IF(AND($B2637&lt;&gt;"Missing Player",$B2639&lt;&gt;"Missing Player"),IF(AND(AND($H2637&gt;-1,$H2639&gt;-1),OR($H2637&gt;10,$H2639&gt;10),ABS($H2637-$H2639)&gt;1,IF(OR($H2637&gt;11,$H2639&gt;11),ABS($H2637-$H2639)=2,TRUE),$H2637=INT($H2637),$H2639=INT($H2639)),"","Error"),""),"")</f>
        <v/>
      </c>
      <c r="I2635" s="110" t="str">
        <f ca="1">IF($Q2637&lt;&gt;"",IF(AND($B2637&lt;&gt;"Missing Player",$B2639&lt;&gt;"Missing Player"),IF(AND(AND($I2637&gt;-1,$I2639&gt;-1),OR($I2637&gt;10,$I2639&gt;10),ABS($I2637-$I2639)&gt;1,IF(OR($I2637&gt;11,$I2639&gt;11),ABS($I2637-$I2639)=2,TRUE),$I2637=INT($I2637),$I2639=INT($I2639)),"","Error"),""),"")</f>
        <v/>
      </c>
      <c r="J2635" s="110" t="str">
        <f ca="1">IF($Q2637&lt;&gt;"",IF(AND($B2637&lt;&gt;"Missing Player",$B2639&lt;&gt;"Missing Player"),IF(AND(AND($J2637&gt;-1,$J2639&gt;-1),OR($J2637&gt;10,$J2639&gt;10),ABS($J2637-$J2639)&gt;1,IF(OR($J2637&gt;11,$J2639&gt;11),ABS($J2637-$J2639)=2,TRUE),$J2637=INT($J2637),$J2639=INT($J2639)),"","Error"),""),"")</f>
        <v/>
      </c>
      <c r="K2635" s="110" t="str">
        <f ca="1">IF($Q2637&lt;&gt;"",IF(AND($K2637&lt;&gt;"",$K2639&lt;&gt;""), IF(AND(AND($K2637&gt;-1,$K2639&gt;-1),OR($K2637&gt;10,$K2639&gt;10),ABS($K2637-$K2639)&gt;1,IF(OR($K2637&gt;11,$K2639&gt;11),ABS($K2637-$K2639)=2,TRUE),$K2637=INT($K2637),$K2639=INT($K2639)),"","Error"),""),"")</f>
        <v/>
      </c>
      <c r="L2635" s="110" t="str">
        <f ca="1">IF($Q2637&lt;&gt;"",IF(AND($L2637&lt;&gt;"",$L2639&lt;&gt;""), IF(AND(AND($L2637&gt;-1,$L2639&gt;-1),OR($L2637&gt;10,$L2639&gt;10),ABS($L2637-$L2639)&gt;1,IF(OR($L2637&gt;11,$L2639&gt;11),ABS($L2637-$L2639)=2,TRUE),$L2637=INT($L2637),$L2639=INT($L2639)),"","Error"),""),"")</f>
        <v/>
      </c>
      <c r="Q2635" s="6"/>
      <c r="R2635" s="259" t="str">
        <f>$B2610</f>
        <v>G</v>
      </c>
      <c r="S2635" s="307" t="str">
        <f ca="1">IF($B2630&lt;&gt;"",$B2630,"")</f>
        <v/>
      </c>
      <c r="T2635" s="308"/>
      <c r="U2635" s="308"/>
      <c r="V2635" s="308"/>
      <c r="W2635" s="308"/>
      <c r="X2635" s="309"/>
      <c r="Y2635" s="284"/>
      <c r="Z2635" s="284"/>
      <c r="AA2635" s="284"/>
      <c r="AB2635" s="284"/>
      <c r="AC2635" s="284"/>
      <c r="AD2635" s="296"/>
      <c r="AE2635" s="290"/>
      <c r="AF2635" s="291"/>
    </row>
    <row r="2636" spans="1:32" ht="12.75" customHeight="1" x14ac:dyDescent="0.25">
      <c r="A2636" s="5" t="s">
        <v>160</v>
      </c>
      <c r="B2636" s="256" t="s">
        <v>58</v>
      </c>
      <c r="C2636" s="257"/>
      <c r="D2636" s="257"/>
      <c r="E2636" s="257"/>
      <c r="F2636" s="257"/>
      <c r="G2636" s="258"/>
      <c r="H2636" s="5">
        <v>1</v>
      </c>
      <c r="I2636" s="5">
        <v>2</v>
      </c>
      <c r="J2636" s="5">
        <v>3</v>
      </c>
      <c r="K2636" s="5">
        <v>4</v>
      </c>
      <c r="L2636" s="5">
        <v>5</v>
      </c>
      <c r="M2636" s="270"/>
      <c r="N2636" s="271"/>
      <c r="O2636" s="271"/>
      <c r="P2636" s="272"/>
      <c r="Q2636" s="6"/>
      <c r="R2636" s="285"/>
      <c r="S2636" s="310"/>
      <c r="T2636" s="311"/>
      <c r="U2636" s="311"/>
      <c r="V2636" s="311"/>
      <c r="W2636" s="311"/>
      <c r="X2636" s="312"/>
      <c r="Y2636" s="285"/>
      <c r="Z2636" s="285"/>
      <c r="AA2636" s="285"/>
      <c r="AB2636" s="285"/>
      <c r="AC2636" s="285"/>
      <c r="AD2636" s="292"/>
      <c r="AE2636" s="293"/>
      <c r="AF2636" s="294"/>
    </row>
    <row r="2637" spans="1:32" ht="12.75" customHeight="1" x14ac:dyDescent="0.25">
      <c r="A2637" s="259" t="str">
        <f>B2610</f>
        <v>G</v>
      </c>
      <c r="B2637" s="236" t="str">
        <f ca="1">IF(AND(OFFSET($AO$1,$C2610-1,8,1,1),$A2611&lt;&gt;"",$J2611&lt;&gt;""),CHOOSE($C2610,$AR$1,$AR$2,$AR$3,$AR$4,$AR$5,$AR$6,$AR$7,$AR$8,$AR$9,$AR$10,$AR$11,$AR$12),"")</f>
        <v/>
      </c>
      <c r="C2637" s="237"/>
      <c r="D2637" s="237"/>
      <c r="E2637" s="237"/>
      <c r="F2637" s="237"/>
      <c r="G2637" s="237"/>
      <c r="H2637" s="233"/>
      <c r="I2637" s="233"/>
      <c r="J2637" s="233"/>
      <c r="K2637" s="233"/>
      <c r="L2637" s="233" t="str">
        <f ca="1">IF(AND($B2637&lt;&gt;"",$Q2616&lt;&gt;""),IF($B2637="Missing Player",0,IF($B2639="Missing Player",11,"")),"")</f>
        <v/>
      </c>
      <c r="M2637" s="245" t="str">
        <f ca="1">IF(OR(AND($B2630&lt;&gt;"",$B2637&lt;&gt;"",$E2641&lt;=$D2641),AND($B2632&lt;&gt;"",$B2639&lt;&gt;"",$I2641&lt;=$H2641)),"Invalid Lineup","")</f>
        <v/>
      </c>
      <c r="N2637" s="246"/>
      <c r="O2637" s="246"/>
      <c r="P2637" s="247"/>
      <c r="Q2637" s="40" t="str">
        <f ca="1">IF($L2637=$L2639,IF($K2637=$K2639,IF($J2637&lt;&gt;"",IF($J2637&gt;$J2639,"W","L"),""),IF($K2637&gt;$K2639,"W","L")),IF($L2637&gt;$L2639,"W","L"))</f>
        <v/>
      </c>
      <c r="R2637" s="259" t="str">
        <f>$K2610</f>
        <v>L</v>
      </c>
      <c r="S2637" s="307" t="str">
        <f ca="1">IF($B2632&lt;&gt;"",$B2632,"")</f>
        <v/>
      </c>
      <c r="T2637" s="308"/>
      <c r="U2637" s="308"/>
      <c r="V2637" s="308"/>
      <c r="W2637" s="308"/>
      <c r="X2637" s="309"/>
      <c r="Y2637" s="284"/>
      <c r="Z2637" s="284"/>
      <c r="AA2637" s="284"/>
      <c r="AB2637" s="284"/>
      <c r="AC2637" s="297"/>
      <c r="AD2637" s="289" t="s">
        <v>169</v>
      </c>
      <c r="AE2637" s="290"/>
      <c r="AF2637" s="291"/>
    </row>
    <row r="2638" spans="1:32" ht="12.75" customHeight="1" x14ac:dyDescent="0.25">
      <c r="A2638" s="260"/>
      <c r="B2638" s="238"/>
      <c r="C2638" s="239"/>
      <c r="D2638" s="239"/>
      <c r="E2638" s="239"/>
      <c r="F2638" s="239"/>
      <c r="G2638" s="239"/>
      <c r="H2638" s="234"/>
      <c r="I2638" s="234"/>
      <c r="J2638" s="234"/>
      <c r="K2638" s="234"/>
      <c r="L2638" s="234"/>
      <c r="M2638" s="245"/>
      <c r="N2638" s="246"/>
      <c r="O2638" s="246"/>
      <c r="P2638" s="247"/>
      <c r="Q2638" s="110" t="str">
        <f ca="1">IF($Q2637&lt;&gt;"",IF($B2639&lt;&gt;"Missing Player",IF($Q2637="W",IF(SUM(IF($H2637&gt;$H2639,1,0),IF($I2637&gt;$I2639,1,0),IF($J2637&gt;$J2639,1,0),IF($K2637&gt;$K2639,1,0),IF($L2637&gt;$L2639,1,0))&lt;&gt;3,"Error",""),""),""),"")</f>
        <v/>
      </c>
      <c r="R2638" s="285"/>
      <c r="S2638" s="310"/>
      <c r="T2638" s="311"/>
      <c r="U2638" s="311"/>
      <c r="V2638" s="311"/>
      <c r="W2638" s="311"/>
      <c r="X2638" s="312"/>
      <c r="Y2638" s="285"/>
      <c r="Z2638" s="285"/>
      <c r="AA2638" s="285"/>
      <c r="AB2638" s="285"/>
      <c r="AC2638" s="285"/>
      <c r="AD2638" s="292"/>
      <c r="AE2638" s="293"/>
      <c r="AF2638" s="294"/>
    </row>
    <row r="2639" spans="1:32" ht="12.75" customHeight="1" x14ac:dyDescent="0.25">
      <c r="A2639" s="259" t="str">
        <f>K2610</f>
        <v>L</v>
      </c>
      <c r="B2639" s="236" t="str">
        <f ca="1">IF(AND(OFFSET($AO$1,$L2610-1,8,1,1),$A2611&lt;&gt;"",$J2611&lt;&gt;""),CHOOSE($L2610,$AR$1,$AR$2,$AR$3,$AR$4,$AR$5,$AR$6,$AR$7,$AR$8,$AR$9,$AR$10,$AR$11,$AR$12),"")</f>
        <v/>
      </c>
      <c r="C2639" s="237"/>
      <c r="D2639" s="237"/>
      <c r="E2639" s="237"/>
      <c r="F2639" s="237"/>
      <c r="G2639" s="237"/>
      <c r="H2639" s="233"/>
      <c r="I2639" s="233"/>
      <c r="J2639" s="233"/>
      <c r="K2639" s="233"/>
      <c r="L2639" s="233" t="str">
        <f ca="1">IF(AND($B2639&lt;&gt;"",$Q2616&lt;&gt;""),IF($B2639="Missing Player",0,IF($B2637="Missing Player",11,"")),"")</f>
        <v/>
      </c>
      <c r="M2639" s="250" t="s">
        <v>169</v>
      </c>
      <c r="N2639" s="251"/>
      <c r="O2639" s="251"/>
      <c r="P2639" s="252"/>
      <c r="Q2639" s="40" t="str">
        <f ca="1">IF($Q2637&lt;&gt;"",IF($Q2637="W","L","W"),"")</f>
        <v/>
      </c>
      <c r="R2639" s="94"/>
      <c r="S2639" s="84"/>
      <c r="T2639" s="84"/>
      <c r="U2639" s="84"/>
      <c r="V2639" s="84"/>
      <c r="W2639" s="84"/>
      <c r="X2639" s="84"/>
      <c r="Y2639" s="93"/>
      <c r="Z2639" s="93"/>
      <c r="AA2639" s="93"/>
      <c r="AB2639" s="93"/>
      <c r="AC2639" s="93"/>
      <c r="AD2639" s="92"/>
      <c r="AE2639" s="93"/>
      <c r="AF2639" s="93"/>
    </row>
    <row r="2640" spans="1:32" ht="12.75" customHeight="1" x14ac:dyDescent="0.25">
      <c r="A2640" s="260"/>
      <c r="B2640" s="238"/>
      <c r="C2640" s="239"/>
      <c r="D2640" s="239"/>
      <c r="E2640" s="239"/>
      <c r="F2640" s="239"/>
      <c r="G2640" s="239"/>
      <c r="H2640" s="234"/>
      <c r="I2640" s="234"/>
      <c r="J2640" s="235"/>
      <c r="K2640" s="235"/>
      <c r="L2640" s="235"/>
      <c r="M2640" s="250"/>
      <c r="N2640" s="251"/>
      <c r="O2640" s="251"/>
      <c r="P2640" s="252"/>
      <c r="Q2640" s="110" t="str">
        <f ca="1">IF($Q2639&lt;&gt;"",IF($B2637&lt;&gt;"Missing Player",IF($Q2639="W",IF(SUM(IF($H2639&gt;$H2637,1,0),IF($I2639&gt;$I2637,1,0),IF($J2639&gt;$J2637,1,0),IF($K2639&gt;$K2637,1,0),IF($L2639&gt;$L2637,1,0))&lt;&gt;3,"Error",""),""),""),"")</f>
        <v/>
      </c>
      <c r="R2640" s="85"/>
      <c r="S2640" s="95"/>
      <c r="T2640" s="95"/>
      <c r="U2640" s="95"/>
      <c r="V2640" s="95"/>
      <c r="W2640" s="95"/>
      <c r="X2640" s="95"/>
      <c r="Y2640" s="85"/>
      <c r="Z2640" s="85"/>
      <c r="AA2640" s="85"/>
      <c r="AB2640" s="85"/>
      <c r="AC2640" s="85"/>
      <c r="AD2640" s="85"/>
      <c r="AE2640" s="85"/>
      <c r="AF2640" s="85"/>
    </row>
    <row r="2641" spans="1:32" ht="12.75" customHeight="1" x14ac:dyDescent="0.25">
      <c r="B2641" s="111" t="str">
        <f ca="1">IF(ISERROR(VLOOKUP($B2616&amp;"("&amp;$B2610&amp;")",Players!$S$4:$T$132,2,FALSE)),"",VLOOKUP($B2616&amp;"("&amp;$B2610&amp;")",Players!$S$4:$T$132,2,FALSE))</f>
        <v>G1</v>
      </c>
      <c r="C2641" s="111" t="str">
        <f ca="1">IF(ISERROR(VLOOKUP($B2623&amp;"("&amp;$B2610&amp;")",Players!$S$4:$T$132,2,FALSE)),"",VLOOKUP($B2623&amp;"("&amp;$B2610&amp;")",Players!$S$4:$T$132,2,FALSE))</f>
        <v>G1</v>
      </c>
      <c r="D2641" s="111" t="str">
        <f ca="1">IF(ISERROR(VLOOKUP($B2630&amp;"("&amp;$B2610&amp;")",Players!$S$4:$T$132,2,FALSE)),"",VLOOKUP($B2630&amp;"("&amp;$B2610&amp;")",Players!$S$4:$T$132,2,FALSE))</f>
        <v>G1</v>
      </c>
      <c r="E2641" s="111" t="str">
        <f ca="1">IF(ISERROR(VLOOKUP($B2637&amp;"("&amp;$B2610&amp;")",Players!$S$4:$T$132,2,FALSE)),"",VLOOKUP($B2637&amp;"("&amp;$B2610&amp;")",Players!$S$4:$T$132,2,FALSE))</f>
        <v>G1</v>
      </c>
      <c r="F2641" s="111" t="str">
        <f ca="1">IF(ISERROR(VLOOKUP($B2618&amp;"("&amp;$K2610&amp;")",Players!$S$4:$T$132,2,FALSE)),"",VLOOKUP($B2618&amp;"("&amp;$K2610&amp;")",Players!$S$4:$T$132,2,FALSE))</f>
        <v>L1</v>
      </c>
      <c r="G2641" s="111" t="str">
        <f ca="1">IF(ISERROR(VLOOKUP($B2625&amp;"("&amp;$K2610&amp;")",Players!$S$4:$T$132,2,FALSE)),"",VLOOKUP($B2625&amp;"("&amp;$K2610&amp;")",Players!$S$4:$T$132,2,FALSE))</f>
        <v>L1</v>
      </c>
      <c r="H2641" s="111" t="str">
        <f ca="1">IF(ISERROR(VLOOKUP($B2632&amp;"("&amp;$K2610&amp;")",Players!$S$4:$T$132,2,FALSE)),"",VLOOKUP($B2632&amp;"("&amp;$K2610&amp;")",Players!$S$4:$T$132,2,FALSE))</f>
        <v>L1</v>
      </c>
      <c r="I2641" s="111" t="str">
        <f ca="1">IF(ISERROR(VLOOKUP($B2639&amp;"("&amp;$K2610&amp;")",Players!$S$4:$T$132,2,FALSE)),"",VLOOKUP($B2639&amp;"("&amp;$K2610&amp;")",Players!$S$4:$T$132,2,FALSE))</f>
        <v>L1</v>
      </c>
      <c r="Q2641" s="6"/>
      <c r="R2641" s="37"/>
      <c r="S2641" s="95"/>
      <c r="T2641" s="95"/>
      <c r="U2641" s="95"/>
      <c r="V2641" s="95"/>
      <c r="W2641" s="95"/>
      <c r="X2641" s="95"/>
      <c r="Y2641" s="85"/>
      <c r="Z2641" s="85"/>
      <c r="AA2641" s="85"/>
      <c r="AB2641" s="85"/>
      <c r="AC2641" s="96"/>
      <c r="AD2641" s="97"/>
      <c r="AE2641" s="85"/>
      <c r="AF2641" s="85"/>
    </row>
    <row r="2642" spans="1:32" ht="12.75" customHeight="1" x14ac:dyDescent="0.25">
      <c r="A2642" s="15" t="s">
        <v>157</v>
      </c>
      <c r="H2642" s="110" t="str">
        <f ca="1">IF($Q2644&lt;&gt;"",IF(AND($B2645&lt;&gt;"Missing Player",$B2647&lt;&gt;"Missing Player"),IF(AND(AND($H2644&gt;-1,$H2646&gt;-1),OR($H2644&gt;10,$H2646&gt;10),ABS($H2644-$H2646)&gt;1,IF(OR($H2644&gt;11,$H2646&gt;11),ABS($H2644-$H2646)=2,TRUE),$H2644=INT($H2644),$H2646=INT($H2646)),"","Error"),""),"")</f>
        <v/>
      </c>
      <c r="I2642" s="110" t="str">
        <f ca="1">IF($Q2644&lt;&gt;"",IF(AND($B2645&lt;&gt;"Missing Player",$B2647&lt;&gt;"Missing Player"),IF(AND(AND($I2644&gt;-1,$I2646&gt;-1),OR($I2644&gt;10,$I2646&gt;10),ABS($I2644-$I2646)&gt;1,IF(OR($I2644&gt;11,$I2646&gt;11),ABS($I2644-$I2646)=2,TRUE),$I2644=INT($I2644),$I2646=INT($I2646)),"","Error"),""),"")</f>
        <v/>
      </c>
      <c r="J2642" s="110" t="str">
        <f ca="1">IF($Q2644&lt;&gt;"",IF(AND($B2645&lt;&gt;"Missing Player",$B2647&lt;&gt;"Missing Player"),IF(AND(AND($J2644&gt;-1,$J2646&gt;-1),OR($J2644&gt;10,$J2646&gt;10),ABS($J2644-$J2646)&gt;1,IF(OR($J2644&gt;11,$J2646&gt;11),ABS($J2644-$J2646)=2,TRUE),$J2644=INT($J2644),$J2646=INT($J2646)),"","Error"),""),"")</f>
        <v/>
      </c>
      <c r="K2642" s="110" t="str">
        <f ca="1">IF($Q2644&lt;&gt;"",IF(AND($K2644&lt;&gt;"",$K2646&lt;&gt;""), IF(AND(AND($K2644&gt;-1,$K2646&gt;-1),OR($K2644&gt;10,$K2646&gt;10),ABS($K2644-$K2646)&gt;1,IF(OR($K2644&gt;11,$K2646&gt;11),ABS($K2644-$K2646)=2,TRUE),$K2644=INT($K2644),$K2646=INT($K2646)),"","Error"),""),"")</f>
        <v/>
      </c>
      <c r="L2642" s="110" t="str">
        <f ca="1">IF($Q2644&lt;&gt;"",IF(AND($L2644&lt;&gt;"",$L2646&lt;&gt;""), IF(AND(AND($L2644&gt;-1,$L2646&gt;-1),OR($L2644&gt;10,$L2646&gt;10),ABS($L2644-$L2646)&gt;1,IF(OR($L2644&gt;11,$L2646&gt;11),ABS($L2644-$L2646)=2,TRUE),$L2644=INT($L2644),$L2646=INT($L2646)),"","Error"),""),"")</f>
        <v/>
      </c>
      <c r="Q2642" s="6"/>
      <c r="R2642" s="85"/>
      <c r="S2642" s="95"/>
      <c r="T2642" s="95"/>
      <c r="U2642" s="95"/>
      <c r="V2642" s="95"/>
      <c r="W2642" s="95"/>
      <c r="X2642" s="95"/>
      <c r="Y2642" s="85"/>
      <c r="Z2642" s="85"/>
      <c r="AA2642" s="85"/>
      <c r="AB2642" s="85"/>
      <c r="AC2642" s="85"/>
      <c r="AD2642" s="85"/>
      <c r="AE2642" s="85"/>
      <c r="AF2642" s="85"/>
    </row>
    <row r="2643" spans="1:32" ht="12.75" customHeight="1" x14ac:dyDescent="0.25">
      <c r="A2643" s="5" t="s">
        <v>160</v>
      </c>
      <c r="B2643" s="256" t="s">
        <v>58</v>
      </c>
      <c r="C2643" s="257"/>
      <c r="D2643" s="257"/>
      <c r="E2643" s="257"/>
      <c r="F2643" s="257"/>
      <c r="G2643" s="258"/>
      <c r="H2643" s="5">
        <v>1</v>
      </c>
      <c r="I2643" s="5">
        <v>2</v>
      </c>
      <c r="J2643" s="5">
        <v>3</v>
      </c>
      <c r="K2643" s="5">
        <v>4</v>
      </c>
      <c r="L2643" s="5">
        <v>5</v>
      </c>
      <c r="M2643" s="270"/>
      <c r="N2643" s="271"/>
      <c r="O2643" s="271"/>
      <c r="P2643" s="272"/>
      <c r="Q2643" s="6"/>
      <c r="T2643" s="7"/>
    </row>
    <row r="2644" spans="1:32" ht="12.75" customHeight="1" x14ac:dyDescent="0.25">
      <c r="A2644" s="259" t="str">
        <f>B2610</f>
        <v>G</v>
      </c>
      <c r="B2644" s="230" t="str">
        <f ca="1">IF($B2616&lt;&gt;"",$B2616,"")</f>
        <v/>
      </c>
      <c r="C2644" s="231"/>
      <c r="D2644" s="231"/>
      <c r="E2644" s="231"/>
      <c r="F2644" s="231"/>
      <c r="G2644" s="232"/>
      <c r="H2644" s="233"/>
      <c r="I2644" s="233"/>
      <c r="J2644" s="233"/>
      <c r="K2644" s="233"/>
      <c r="L2644" s="233" t="str">
        <f ca="1">IF($B2637&lt;&gt;"",IF(AND($B2637="Missing Player",$G2648=2,$J2648=2),0,IF(AND($B2639="Missing Player",$G2648=2,$J2648=2),11,"")),"")</f>
        <v/>
      </c>
      <c r="M2644" s="245" t="str">
        <f ca="1">IF(OR(AND($B2644&lt;&gt;"",$B2645&lt;&gt;"",$B2644=$B2645),AND($B2646&lt;&gt;"",$B2647&lt;&gt;"",$B2646=$B2647)),"Invalid Partner","")</f>
        <v/>
      </c>
      <c r="N2644" s="246"/>
      <c r="O2644" s="246"/>
      <c r="P2644" s="247"/>
      <c r="Q2644" s="37" t="str">
        <f ca="1">IF(L2644=L2646,IF(K2644=K2646,IF(J2644&lt;&gt;"",IF(J2644&gt;J2646,"W","L"),""),IF(K2644&gt;K2646,"W","L")),IF(L2644&gt;L2646,"W","L"))</f>
        <v/>
      </c>
      <c r="T2644" s="7"/>
    </row>
    <row r="2645" spans="1:32" ht="12.75" customHeight="1" x14ac:dyDescent="0.25">
      <c r="A2645" s="260"/>
      <c r="B2645" s="266" t="str">
        <f ca="1">IF($B2637="Missing Player",$B2637,"")</f>
        <v/>
      </c>
      <c r="C2645" s="267"/>
      <c r="D2645" s="267"/>
      <c r="E2645" s="267"/>
      <c r="F2645" s="267"/>
      <c r="G2645" s="268"/>
      <c r="H2645" s="234"/>
      <c r="I2645" s="234"/>
      <c r="J2645" s="234"/>
      <c r="K2645" s="234"/>
      <c r="L2645" s="234"/>
      <c r="M2645" s="245"/>
      <c r="N2645" s="246"/>
      <c r="O2645" s="246"/>
      <c r="P2645" s="247"/>
      <c r="Q2645" s="110" t="str">
        <f ca="1">IF($Q2644&lt;&gt;"",IF($B2647&lt;&gt;"Missing Player",IF($Q2644="W",IF(SUM(IF($H2644&gt;$H2646,1,0),IF($I2644&gt;$I2646,1,0),IF($J2644&gt;$J2646,1,0),IF($K2644&gt;$K2646,1,0),IF($L2644&gt;$L2646,1,0))&lt;&gt;3,"Error",""),""),""),"")</f>
        <v/>
      </c>
      <c r="R2645" s="295" t="str">
        <f>$A2611</f>
        <v/>
      </c>
      <c r="S2645" s="295"/>
      <c r="T2645" s="295"/>
      <c r="U2645" s="295"/>
      <c r="V2645" s="295"/>
      <c r="W2645" s="295"/>
      <c r="X2645" s="219" t="str">
        <f>CONCATENATE("(",$B2610," vs ",$K2610,")")</f>
        <v>(G vs L)</v>
      </c>
      <c r="Y2645" s="219"/>
      <c r="Z2645" s="295" t="str">
        <f>$J2611</f>
        <v/>
      </c>
      <c r="AA2645" s="295"/>
      <c r="AB2645" s="295"/>
      <c r="AC2645" s="295"/>
      <c r="AD2645" s="295"/>
      <c r="AE2645" s="295"/>
      <c r="AF2645"/>
    </row>
    <row r="2646" spans="1:32" ht="12.75" customHeight="1" x14ac:dyDescent="0.25">
      <c r="A2646" s="265" t="str">
        <f>K2610</f>
        <v>L</v>
      </c>
      <c r="B2646" s="230" t="str">
        <f ca="1">IF($B2618&lt;&gt;"",$B2618,"")</f>
        <v/>
      </c>
      <c r="C2646" s="231"/>
      <c r="D2646" s="231"/>
      <c r="E2646" s="231"/>
      <c r="F2646" s="231"/>
      <c r="G2646" s="232"/>
      <c r="H2646" s="233"/>
      <c r="I2646" s="233"/>
      <c r="J2646" s="233"/>
      <c r="K2646" s="233"/>
      <c r="L2646" s="233" t="str">
        <f ca="1">IF($B2639&lt;&gt;"",IF(AND($B2639="Missing Player",$G2648=2,$J2648=2),0,IF(AND($B2637="Missing Player",$G2648=2,$J2648=2),11,"")),"")</f>
        <v/>
      </c>
      <c r="M2646" s="250" t="s">
        <v>169</v>
      </c>
      <c r="N2646" s="251"/>
      <c r="O2646" s="251"/>
      <c r="P2646" s="252"/>
      <c r="Q2646" s="37" t="str">
        <f ca="1">IF(Q2644&lt;&gt;"",IF(Q2644="W","L","W"),"")</f>
        <v/>
      </c>
      <c r="R2646"/>
      <c r="S2646"/>
      <c r="T2646"/>
      <c r="U2646"/>
      <c r="V2646"/>
      <c r="W2646"/>
      <c r="X2646"/>
      <c r="Y2646"/>
      <c r="Z2646"/>
      <c r="AA2646"/>
      <c r="AB2646"/>
      <c r="AC2646"/>
      <c r="AD2646"/>
      <c r="AE2646"/>
      <c r="AF2646"/>
    </row>
    <row r="2647" spans="1:32" ht="12.75" customHeight="1" x14ac:dyDescent="0.25">
      <c r="A2647" s="260"/>
      <c r="B2647" s="266" t="str">
        <f ca="1">IF($B2639="Missing Player",$B2639,"")</f>
        <v/>
      </c>
      <c r="C2647" s="267"/>
      <c r="D2647" s="267"/>
      <c r="E2647" s="267"/>
      <c r="F2647" s="267"/>
      <c r="G2647" s="268"/>
      <c r="H2647" s="234"/>
      <c r="I2647" s="234"/>
      <c r="J2647" s="235"/>
      <c r="K2647" s="235"/>
      <c r="L2647" s="235"/>
      <c r="M2647" s="250"/>
      <c r="N2647" s="251"/>
      <c r="O2647" s="251"/>
      <c r="P2647" s="252"/>
      <c r="Q2647" s="110" t="str">
        <f ca="1">IF($Q2646&lt;&gt;"",IF($B2645&lt;&gt;"Missing Player",IF($Q2646="W",IF(SUM(IF($H2646&gt;$H2644,1,0),IF($I2646&gt;$I2644,1,0),IF($J2646&gt;$J2644,1,0),IF($K2646&gt;$K2644,1,0),IF($L2646&gt;$L2644,1,0))&lt;&gt;3,"Error",""),""),""),"")</f>
        <v/>
      </c>
      <c r="R2647" t="str">
        <f>A2635</f>
        <v>4th Singles</v>
      </c>
      <c r="S2647"/>
      <c r="T2647"/>
      <c r="U2647"/>
      <c r="V2647"/>
      <c r="W2647"/>
      <c r="X2647"/>
      <c r="Y2647"/>
      <c r="Z2647"/>
      <c r="AA2647"/>
      <c r="AB2647"/>
      <c r="AC2647"/>
      <c r="AD2647"/>
      <c r="AE2647"/>
      <c r="AF2647"/>
    </row>
    <row r="2648" spans="1:32" ht="12.75" customHeight="1" x14ac:dyDescent="0.25">
      <c r="G2648" s="53">
        <f ca="1">COUNTIF($Q2616:$Q2616,"W")+COUNTIF($Q2623:$Q2623,"W")+COUNTIF($Q2630:$Q2630,"W")+COUNTIF($Q2637:$Q2637,"W")</f>
        <v>0</v>
      </c>
      <c r="J2648" s="53">
        <f ca="1">COUNTIF($Q2618:$Q2618,"W")+COUNTIF($Q2625:$Q2625,"W")+COUNTIF($Q2632:$Q2632,"W")+COUNTIF($Q2639:$Q2639,"W")</f>
        <v>0</v>
      </c>
      <c r="R2648" s="47" t="s">
        <v>160</v>
      </c>
      <c r="S2648" s="304" t="s">
        <v>58</v>
      </c>
      <c r="T2648" s="305"/>
      <c r="U2648" s="305"/>
      <c r="V2648" s="305"/>
      <c r="W2648" s="305"/>
      <c r="X2648" s="306"/>
      <c r="Y2648" s="47">
        <v>1</v>
      </c>
      <c r="Z2648" s="47">
        <v>2</v>
      </c>
      <c r="AA2648" s="47">
        <v>3</v>
      </c>
      <c r="AB2648" s="47">
        <v>4</v>
      </c>
      <c r="AC2648" s="47">
        <v>5</v>
      </c>
      <c r="AD2648" s="286"/>
      <c r="AE2648" s="287"/>
      <c r="AF2648" s="288"/>
    </row>
    <row r="2649" spans="1:32" ht="12.75" customHeight="1" thickBot="1" x14ac:dyDescent="0.3">
      <c r="F2649" s="212" t="s">
        <v>170</v>
      </c>
      <c r="G2649" s="212"/>
      <c r="H2649" s="212"/>
      <c r="I2649" s="212"/>
      <c r="J2649" s="212"/>
      <c r="K2649" s="212"/>
      <c r="R2649" s="259" t="str">
        <f>B2610</f>
        <v>G</v>
      </c>
      <c r="S2649" s="307" t="str">
        <f ca="1">IF($B2637&lt;&gt;"",$B2637,"")</f>
        <v/>
      </c>
      <c r="T2649" s="308"/>
      <c r="U2649" s="308"/>
      <c r="V2649" s="308"/>
      <c r="W2649" s="308"/>
      <c r="X2649" s="309"/>
      <c r="Y2649" s="284"/>
      <c r="Z2649" s="284"/>
      <c r="AA2649" s="297"/>
      <c r="AB2649" s="297"/>
      <c r="AC2649" s="297"/>
      <c r="AD2649" s="296"/>
      <c r="AE2649" s="298"/>
      <c r="AF2649" s="299"/>
    </row>
    <row r="2650" spans="1:32" ht="12.75" customHeight="1" x14ac:dyDescent="0.25">
      <c r="A2650" s="16"/>
      <c r="B2650" s="16"/>
      <c r="C2650" s="16"/>
      <c r="D2650" s="16"/>
      <c r="E2650" s="16"/>
      <c r="G2650" s="261" t="str">
        <f>B2610</f>
        <v>G</v>
      </c>
      <c r="H2650" s="262"/>
      <c r="I2650" s="263" t="str">
        <f>K2610</f>
        <v>L</v>
      </c>
      <c r="J2650" s="264"/>
      <c r="L2650" s="16"/>
      <c r="M2650" s="16"/>
      <c r="N2650" s="16"/>
      <c r="O2650" s="16"/>
      <c r="P2650" s="16"/>
      <c r="R2650" s="260"/>
      <c r="S2650" s="310"/>
      <c r="T2650" s="311"/>
      <c r="U2650" s="311"/>
      <c r="V2650" s="311"/>
      <c r="W2650" s="311"/>
      <c r="X2650" s="312"/>
      <c r="Y2650" s="285"/>
      <c r="Z2650" s="285"/>
      <c r="AA2650" s="303"/>
      <c r="AB2650" s="303"/>
      <c r="AC2650" s="303"/>
      <c r="AD2650" s="300"/>
      <c r="AE2650" s="301"/>
      <c r="AF2650" s="302"/>
    </row>
    <row r="2651" spans="1:32" ht="12.75" customHeight="1" thickBot="1" x14ac:dyDescent="0.3">
      <c r="A2651" s="2" t="s">
        <v>160</v>
      </c>
      <c r="B2651" s="40" t="str">
        <f>B2610</f>
        <v>G</v>
      </c>
      <c r="C2651" s="3" t="s">
        <v>158</v>
      </c>
      <c r="F2651" s="53" t="str">
        <f>CONCATENATE($B2610,"-",$K2610)</f>
        <v>G-L</v>
      </c>
      <c r="G2651" s="240" t="str">
        <f ca="1">IF(OR(Q2616&lt;&gt;"",Q2623&lt;&gt;"",Q2630&lt;&gt;"",Q2637&lt;&gt;"",Q2644&lt;&gt;""),COUNTIF(Q2616:Q2616,"W")+COUNTIF(Q2623:Q2623,"W")+COUNTIF(Q2630:Q2630,"W")+COUNTIF(Q2637:Q2637,"W")+COUNTIF(Q2644:Q2644,"W"),"")</f>
        <v/>
      </c>
      <c r="H2651" s="241"/>
      <c r="I2651" s="242" t="str">
        <f ca="1">IF(OR(Q2618&lt;&gt;"",Q2625&lt;&gt;"",Q2632&lt;&gt;"",Q2639&lt;&gt;"",Q2646&lt;&gt;""),COUNTIF(Q2618:Q2618,"W")+COUNTIF(Q2625:Q2625,"W")+COUNTIF(Q2632:Q2632,"W")+COUNTIF(Q2639:Q2639,"W")+COUNTIF(Q2646:Q2646,"W"),"")</f>
        <v/>
      </c>
      <c r="J2651" s="243"/>
      <c r="L2651" s="2" t="s">
        <v>160</v>
      </c>
      <c r="M2651" s="40" t="str">
        <f>K2610</f>
        <v>L</v>
      </c>
      <c r="N2651" s="3" t="s">
        <v>158</v>
      </c>
      <c r="R2651" s="259" t="str">
        <f>K2610</f>
        <v>L</v>
      </c>
      <c r="S2651" s="307" t="str">
        <f ca="1">IF($B2639&lt;&gt;"",$B2639,"")</f>
        <v/>
      </c>
      <c r="T2651" s="308"/>
      <c r="U2651" s="308"/>
      <c r="V2651" s="308"/>
      <c r="W2651" s="308"/>
      <c r="X2651" s="309"/>
      <c r="Y2651" s="284"/>
      <c r="Z2651" s="284"/>
      <c r="AA2651" s="297"/>
      <c r="AB2651" s="297"/>
      <c r="AC2651" s="297"/>
      <c r="AD2651" s="289" t="s">
        <v>169</v>
      </c>
      <c r="AE2651" s="290"/>
      <c r="AF2651" s="291"/>
    </row>
    <row r="2652" spans="1:32" ht="12.75" customHeight="1" x14ac:dyDescent="0.35">
      <c r="F2652" s="18" t="s">
        <v>403</v>
      </c>
      <c r="G2652" s="17"/>
      <c r="H2652" s="17"/>
      <c r="I2652" s="17"/>
      <c r="J2652" s="17"/>
      <c r="R2652" s="285"/>
      <c r="S2652" s="310"/>
      <c r="T2652" s="311"/>
      <c r="U2652" s="311"/>
      <c r="V2652" s="311"/>
      <c r="W2652" s="311"/>
      <c r="X2652" s="312"/>
      <c r="Y2652" s="285"/>
      <c r="Z2652" s="285"/>
      <c r="AA2652" s="285"/>
      <c r="AB2652" s="285"/>
      <c r="AC2652" s="285"/>
      <c r="AD2652" s="292"/>
      <c r="AE2652" s="293"/>
      <c r="AF2652" s="294"/>
    </row>
    <row r="2653" spans="1:32" ht="12.75" customHeight="1" x14ac:dyDescent="0.25">
      <c r="R2653" s="1"/>
      <c r="S2653" s="11"/>
      <c r="T2653" s="11"/>
      <c r="U2653" s="11"/>
      <c r="V2653" s="11"/>
      <c r="W2653" s="11"/>
    </row>
    <row r="2654" spans="1:32" ht="12.75" customHeight="1" x14ac:dyDescent="0.25">
      <c r="F2654" s="212"/>
      <c r="G2654" s="212"/>
      <c r="H2654" s="212"/>
      <c r="I2654" s="212"/>
      <c r="R2654" s="1"/>
      <c r="S2654" s="11"/>
      <c r="T2654" s="11"/>
      <c r="U2654" s="11"/>
      <c r="V2654" s="11"/>
      <c r="W2654" s="11"/>
    </row>
    <row r="2655" spans="1:32" ht="12.75" customHeight="1" x14ac:dyDescent="0.25">
      <c r="F2655" s="212"/>
      <c r="G2655" s="212"/>
      <c r="H2655" s="212"/>
      <c r="I2655" s="212"/>
      <c r="R2655" s="1"/>
      <c r="S2655" s="11"/>
      <c r="T2655" s="11"/>
      <c r="U2655" s="11"/>
      <c r="V2655" s="11"/>
      <c r="W2655" s="11"/>
    </row>
    <row r="2656" spans="1:32" ht="12.75" customHeight="1" x14ac:dyDescent="0.25">
      <c r="K2656" s="219" t="s">
        <v>176</v>
      </c>
      <c r="L2656" s="219"/>
      <c r="M2656" s="219"/>
      <c r="N2656" s="219"/>
      <c r="O2656" s="219"/>
      <c r="P2656" s="219"/>
      <c r="R2656" s="1"/>
      <c r="S2656" s="11"/>
      <c r="T2656" s="11"/>
      <c r="U2656" s="11"/>
      <c r="V2656" s="11"/>
      <c r="W2656" s="11"/>
    </row>
    <row r="2657" spans="1:32" ht="12.75" customHeight="1" x14ac:dyDescent="0.25">
      <c r="A2657" s="9" t="s">
        <v>161</v>
      </c>
      <c r="B2657"/>
      <c r="C2657"/>
      <c r="D2657" t="str">
        <f>Draw!$B$1</f>
        <v>Enter Division Name</v>
      </c>
      <c r="E2657"/>
      <c r="F2657" s="6"/>
      <c r="G2657" s="6"/>
      <c r="H2657" s="6"/>
      <c r="I2657"/>
      <c r="J2657"/>
      <c r="K2657"/>
      <c r="L2657"/>
      <c r="M2657" s="219"/>
      <c r="N2657" s="219"/>
      <c r="O2657" s="219"/>
      <c r="P2657" s="219"/>
      <c r="R2657" s="1"/>
      <c r="S2657" s="11"/>
      <c r="T2657" s="11"/>
      <c r="U2657" s="11"/>
      <c r="V2657" s="11"/>
      <c r="W2657" s="11"/>
    </row>
    <row r="2658" spans="1:32" ht="12.75" customHeight="1" x14ac:dyDescent="0.25">
      <c r="A2658" s="2" t="s">
        <v>162</v>
      </c>
      <c r="D2658" t="str">
        <f>Draw!$D$1</f>
        <v>Enter Hosting Location (City, ST)</v>
      </c>
      <c r="J2658" t="str">
        <f ca="1">$J$6</f>
        <v>[NCTTA Teams Template (v3.4).xlsx]</v>
      </c>
      <c r="R2658" s="1"/>
      <c r="S2658" s="11"/>
      <c r="T2658" s="11"/>
      <c r="U2658" s="11"/>
      <c r="V2658" s="11"/>
      <c r="W2658" s="11"/>
    </row>
    <row r="2659" spans="1:32" ht="12.75" customHeight="1" x14ac:dyDescent="0.25">
      <c r="A2659" s="2" t="s">
        <v>163</v>
      </c>
      <c r="D2659" s="275" t="str">
        <f>Draw!$P$1</f>
        <v>Enter Date</v>
      </c>
      <c r="E2659" s="275"/>
      <c r="F2659" s="275"/>
      <c r="G2659" s="275"/>
      <c r="J2659" s="244" t="str">
        <f>CHOOSE(Draw!$T$1,"Round 9, Match 5","","","","","","","","","","Round 11, Match 3")</f>
        <v>Round 9, Match 5</v>
      </c>
      <c r="K2659" s="244"/>
      <c r="L2659" s="244"/>
      <c r="M2659" s="277" t="str">
        <f>IF(AND($J2659&lt;&gt;"",Draw!$AC$10&lt;&gt;"",Draw!$AC$13&lt;&gt;""),Draw!$AC$10+TIME(0,VALUE(MID($J2659,7,FIND(",",$J2659)-FIND(" ",$J2659)-1)-1)*Draw!$AC$13,0),"")</f>
        <v/>
      </c>
      <c r="N2659" s="277"/>
      <c r="O2659" s="125" t="str">
        <f>$F2702</f>
        <v>H-K</v>
      </c>
      <c r="R2659" s="1"/>
      <c r="S2659" s="11"/>
      <c r="T2659" s="11"/>
      <c r="U2659" s="11"/>
      <c r="V2659" s="11"/>
      <c r="W2659" s="11"/>
    </row>
    <row r="2660" spans="1:32" ht="12.75" customHeight="1" x14ac:dyDescent="0.25">
      <c r="A2660" s="6"/>
      <c r="B2660"/>
      <c r="C2660"/>
      <c r="D2660"/>
      <c r="E2660"/>
      <c r="F2660" s="6"/>
      <c r="G2660" s="6"/>
      <c r="H2660" s="11"/>
      <c r="I2660" s="6"/>
      <c r="J2660"/>
      <c r="K2660"/>
      <c r="L2660"/>
      <c r="M2660"/>
      <c r="N2660"/>
      <c r="O2660" s="269" t="str">
        <f>IF(OR(AND(VLOOKUP($B2661,$AM$1:$AX$12,12,FALSE)="C",VLOOKUP($K2661,$AM$1:$AX$12,12,FALSE)="C"),AND(VLOOKUP($B2661,$AM$1:$AX$12,12,FALSE)="W",VLOOKUP($K2661,$AM$1:$AX$12,12,FALSE)="W")),"Official",IF(AND($A2662="",$J2662=""),"","Scrimmage"))</f>
        <v/>
      </c>
      <c r="P2660" s="269"/>
      <c r="R2660" s="1"/>
      <c r="S2660" s="11"/>
      <c r="T2660" s="11"/>
      <c r="U2660" s="11"/>
      <c r="V2660" s="11"/>
      <c r="W2660" s="11"/>
    </row>
    <row r="2661" spans="1:32" ht="12.75" customHeight="1" x14ac:dyDescent="0.25">
      <c r="A2661" s="12" t="s">
        <v>160</v>
      </c>
      <c r="B2661" s="98" t="str">
        <f>CHOOSE(Draw!$T$1,"H","D","E","F","G","G","G","G","F","D","F")</f>
        <v>H</v>
      </c>
      <c r="C2661" s="109">
        <f>VLOOKUP($B2661,$AM$1:$AN$12,2)</f>
        <v>8</v>
      </c>
      <c r="D2661" s="10"/>
      <c r="E2661" s="10"/>
      <c r="F2661" s="8"/>
      <c r="H2661" s="1" t="s">
        <v>164</v>
      </c>
      <c r="J2661" s="12" t="s">
        <v>160</v>
      </c>
      <c r="K2661" s="98" t="str">
        <f>CHOOSE(Draw!$T$1,"K","K","K","H","I","I","I","I","K","L","J")</f>
        <v>K</v>
      </c>
      <c r="L2661" s="109">
        <f>VLOOKUP($K2661,$AM$1:$AN$12,2)</f>
        <v>11</v>
      </c>
      <c r="M2661" s="10"/>
      <c r="N2661" s="10"/>
      <c r="O2661" s="13"/>
      <c r="R2661" s="1"/>
      <c r="S2661" s="11"/>
      <c r="T2661" s="11"/>
      <c r="U2661" s="11"/>
      <c r="V2661" s="11"/>
      <c r="W2661" s="11"/>
    </row>
    <row r="2662" spans="1:32" ht="12.75" customHeight="1" x14ac:dyDescent="0.25">
      <c r="A2662" s="253" t="str">
        <f>IF(VLOOKUP($B2661,Draw!$A$4:$B$27,2)&lt;&gt;0,VLOOKUP($B2661,Draw!$A$4:$B$27,2),"")</f>
        <v/>
      </c>
      <c r="B2662" s="254"/>
      <c r="C2662" s="254"/>
      <c r="D2662" s="254"/>
      <c r="E2662" s="254"/>
      <c r="F2662" s="255"/>
      <c r="G2662" s="273" t="s">
        <v>456</v>
      </c>
      <c r="H2662" s="249"/>
      <c r="I2662" s="274"/>
      <c r="J2662" s="253" t="str">
        <f>IF(VLOOKUP($K2661,Draw!$A$4:$B$27,2)&lt;&gt;0,VLOOKUP($K2661,Draw!$A$4:$B$27,2),"")</f>
        <v/>
      </c>
      <c r="K2662" s="254"/>
      <c r="L2662" s="254"/>
      <c r="M2662" s="254"/>
      <c r="N2662" s="254"/>
      <c r="O2662" s="255"/>
      <c r="P2662"/>
      <c r="R2662" s="1"/>
      <c r="S2662" s="11"/>
      <c r="T2662" s="11"/>
      <c r="U2662" s="11"/>
      <c r="V2662" s="11"/>
      <c r="W2662" s="11"/>
    </row>
    <row r="2663" spans="1:32" ht="12.75" customHeight="1" x14ac:dyDescent="0.25">
      <c r="A2663" s="6"/>
      <c r="B2663"/>
      <c r="C2663"/>
      <c r="D2663"/>
      <c r="E2663"/>
      <c r="F2663" s="6"/>
      <c r="G2663" s="248" t="str">
        <f>"Page "&amp;VALUE(RIGHT($G2662,LEN($G2662)-SEARCH("-",$G2662)))/2</f>
        <v>Page 53</v>
      </c>
      <c r="H2663" s="249"/>
      <c r="I2663" s="249"/>
      <c r="J2663"/>
      <c r="K2663"/>
      <c r="L2663"/>
      <c r="M2663"/>
      <c r="N2663"/>
      <c r="O2663"/>
      <c r="P2663"/>
      <c r="R2663" s="1"/>
      <c r="S2663" s="11"/>
      <c r="T2663" s="11"/>
      <c r="U2663" s="11"/>
      <c r="V2663" s="11"/>
      <c r="W2663" s="11"/>
      <c r="AF2663"/>
    </row>
    <row r="2664" spans="1:32" ht="12.75" customHeight="1" x14ac:dyDescent="0.25">
      <c r="A2664" s="276" t="s">
        <v>177</v>
      </c>
      <c r="B2664" s="276"/>
      <c r="C2664" s="276"/>
      <c r="D2664" s="276"/>
      <c r="E2664" s="276"/>
      <c r="F2664" s="276"/>
      <c r="G2664" s="276"/>
      <c r="H2664" s="276"/>
      <c r="I2664" s="276"/>
      <c r="J2664" s="276"/>
      <c r="K2664" s="276"/>
      <c r="L2664" s="276"/>
      <c r="M2664" s="276"/>
      <c r="N2664" s="276"/>
      <c r="O2664" s="276"/>
      <c r="P2664" s="276"/>
      <c r="Q2664" s="6"/>
      <c r="R2664" s="1"/>
      <c r="S2664" s="11"/>
      <c r="T2664" s="11"/>
      <c r="U2664" s="11"/>
      <c r="V2664" s="11"/>
      <c r="W2664" s="11"/>
      <c r="AF2664" s="14"/>
    </row>
    <row r="2665" spans="1:32" ht="12.75" customHeight="1" x14ac:dyDescent="0.25">
      <c r="A2665" s="15" t="s">
        <v>165</v>
      </c>
      <c r="H2665" s="110" t="str">
        <f>IF($Q2667&lt;&gt;"",IF(AND(AND($H2667&gt;-1,$H2669&gt;-1),OR($H2667&gt;10,$H2669&gt;10),ABS($H2667-$H2669)&gt;1,IF(OR($H2667&gt;11,$H2669&gt;11),ABS($H2667-$H2669)=2,TRUE),$H2667=INT($H2667),$H2669=INT($H2669)),"","Error"),"")</f>
        <v/>
      </c>
      <c r="I2665" s="110" t="str">
        <f>IF($Q2667&lt;&gt;"",IF(AND(AND($I2667&gt;-1,$I2669&gt;-1),OR($I2667&gt;10,$I2669&gt;10),ABS($I2667-$I2669)&gt;1,IF(OR($I2667&gt;11,$I2669&gt;11),ABS($I2667-$I2669)=2,TRUE),$I2667=INT($I2667),$I2669=INT($I2669)),"","Error"),"")</f>
        <v/>
      </c>
      <c r="J2665" s="110" t="str">
        <f>IF($Q2667&lt;&gt;"",IF(AND(AND($J2667&gt;-1,$J2669&gt;-1),OR($J2667&gt;10,$J2669&gt;10),ABS($J2667-$J2669)&gt;1,IF(OR($J2667&gt;11,$J2669&gt;11),ABS($J2667-$J2669)=2,TRUE),$J2667=INT($J2667),$J2669=INT($J2669)),"","Error"),"")</f>
        <v/>
      </c>
      <c r="K2665" s="110" t="str">
        <f>IF($Q2667&lt;&gt;"",IF(AND($K2667&lt;&gt;"",$K2669&lt;&gt;""), IF(AND(AND($K2667&gt;-1,$K2669&gt;-1),OR($K2667&gt;10,$K2669&gt;10),ABS($K2667-$K2669)&gt;1,IF(OR($K2667&gt;11,$K2669&gt;11),ABS($K2667-$K2669)=2,TRUE),$K2667=INT($K2667),$K2669=INT($K2669)),"","Error"),""),"")</f>
        <v/>
      </c>
      <c r="L2665" s="110" t="str">
        <f>IF($Q2667&lt;&gt;"",IF(AND($L2667&lt;&gt;"",$L2669&lt;&gt;""), IF(AND(AND($L2667&gt;-1,$L2669&gt;-1),OR($L2667&gt;10,$L2669&gt;10),ABS($L2667-$L2669)&gt;1,IF(OR($L2667&gt;11,$L2669&gt;11),ABS($L2667-$L2669)=2,TRUE),$L2667=INT($L2667),$L2669=INT($L2669)),"","Error"),""),"")</f>
        <v/>
      </c>
      <c r="R2665" s="1"/>
      <c r="S2665" s="11"/>
      <c r="T2665" s="11"/>
      <c r="U2665" s="11"/>
      <c r="V2665" s="11"/>
      <c r="W2665" s="11"/>
    </row>
    <row r="2666" spans="1:32" ht="12.75" customHeight="1" x14ac:dyDescent="0.25">
      <c r="A2666" s="5" t="s">
        <v>160</v>
      </c>
      <c r="B2666" s="256" t="s">
        <v>58</v>
      </c>
      <c r="C2666" s="257"/>
      <c r="D2666" s="257"/>
      <c r="E2666" s="257"/>
      <c r="F2666" s="257"/>
      <c r="G2666" s="258"/>
      <c r="H2666" s="5">
        <v>1</v>
      </c>
      <c r="I2666" s="5">
        <v>2</v>
      </c>
      <c r="J2666" s="5">
        <v>3</v>
      </c>
      <c r="K2666" s="5">
        <v>4</v>
      </c>
      <c r="L2666" s="5">
        <v>5</v>
      </c>
      <c r="M2666" s="270"/>
      <c r="N2666" s="271"/>
      <c r="O2666" s="271"/>
      <c r="P2666" s="272"/>
      <c r="R2666" s="1"/>
      <c r="S2666" s="11"/>
      <c r="T2666" s="11"/>
      <c r="U2666" s="11"/>
      <c r="V2666" s="11"/>
      <c r="W2666" s="11"/>
    </row>
    <row r="2667" spans="1:32" ht="12.75" customHeight="1" x14ac:dyDescent="0.25">
      <c r="A2667" s="259" t="str">
        <f>B2661</f>
        <v>H</v>
      </c>
      <c r="B2667" s="236" t="str">
        <f ca="1">IF(AND(OFFSET($AO$1,$C2661-1,8,1,1),$A2662&lt;&gt;"",$J2662&lt;&gt;""),CHOOSE($C2661,$AO$1,$AO$2,$AO$3,$AO$4,$AO$5,$AO$6,$AO$7,$AO$8,$AO$9,$AO$10,$AO$11,$AO$12),"")</f>
        <v/>
      </c>
      <c r="C2667" s="237"/>
      <c r="D2667" s="237"/>
      <c r="E2667" s="237"/>
      <c r="F2667" s="237"/>
      <c r="G2667" s="237"/>
      <c r="H2667" s="233"/>
      <c r="I2667" s="233"/>
      <c r="J2667" s="233"/>
      <c r="K2667" s="233"/>
      <c r="L2667" s="233"/>
      <c r="M2667" s="281"/>
      <c r="N2667" s="282"/>
      <c r="O2667" s="282"/>
      <c r="P2667" s="283"/>
      <c r="Q2667" s="40" t="str">
        <f>IF($L2667=$L2669,IF($K2667=$K2669,IF($J2667&lt;&gt;"",IF($J2667&gt;$J2669,"W","L"),""),IF($K2667&gt;$K2669,"W","L")),IF($L2667&gt;$L2669,"W","L"))</f>
        <v/>
      </c>
      <c r="R2667" s="1"/>
      <c r="S2667" s="11"/>
      <c r="T2667" s="11"/>
      <c r="U2667" s="11"/>
      <c r="V2667" s="11"/>
      <c r="W2667" s="11"/>
    </row>
    <row r="2668" spans="1:32" ht="12.75" customHeight="1" x14ac:dyDescent="0.25">
      <c r="A2668" s="260"/>
      <c r="B2668" s="238"/>
      <c r="C2668" s="239"/>
      <c r="D2668" s="239"/>
      <c r="E2668" s="239"/>
      <c r="F2668" s="239"/>
      <c r="G2668" s="239"/>
      <c r="H2668" s="234"/>
      <c r="I2668" s="234"/>
      <c r="J2668" s="234"/>
      <c r="K2668" s="234"/>
      <c r="L2668" s="234"/>
      <c r="M2668" s="281"/>
      <c r="N2668" s="282"/>
      <c r="O2668" s="282"/>
      <c r="P2668" s="283"/>
      <c r="Q2668" s="110" t="str">
        <f>IF($Q2667&lt;&gt;"",IF($Q2667="W",IF(SUM(IF($H2667&gt;$H2669,1,0),IF($I2667&gt;$I2669,1,0),IF($J2667&gt;$J2669,1,0),IF($K2667&gt;$K2669,1,0),IF($L2667&gt;$L2669,1,0))&lt;&gt;3,"Error",""),""),"")</f>
        <v/>
      </c>
      <c r="R2668" s="295" t="str">
        <f>$A2662</f>
        <v/>
      </c>
      <c r="S2668" s="295"/>
      <c r="T2668" s="295"/>
      <c r="U2668" s="295"/>
      <c r="V2668" s="295"/>
      <c r="W2668" s="295"/>
      <c r="X2668" s="219" t="str">
        <f>CONCATENATE("(",$B2661," vs ",$K2661,")")</f>
        <v>(H vs K)</v>
      </c>
      <c r="Y2668" s="219"/>
      <c r="Z2668" s="295" t="str">
        <f>$J2662</f>
        <v/>
      </c>
      <c r="AA2668" s="295"/>
      <c r="AB2668" s="295"/>
      <c r="AC2668" s="295"/>
      <c r="AD2668" s="295"/>
      <c r="AE2668" s="295"/>
      <c r="AF2668"/>
    </row>
    <row r="2669" spans="1:32" ht="12.75" customHeight="1" x14ac:dyDescent="0.25">
      <c r="A2669" s="259" t="str">
        <f>K2661</f>
        <v>K</v>
      </c>
      <c r="B2669" s="236" t="str">
        <f ca="1">IF(AND(OFFSET($AO$1,$L2661-1,8,1,1),$A2662&lt;&gt;"",$J2662&lt;&gt;""),CHOOSE($L2661,$AO$1,$AO$2,$AO$3,$AO$4,$AO$5,$AO$6,$AO$7,$AO$8,$AO$9,$AO$10,$AO$11,$AO$12),"")</f>
        <v/>
      </c>
      <c r="C2669" s="237"/>
      <c r="D2669" s="237"/>
      <c r="E2669" s="237"/>
      <c r="F2669" s="237"/>
      <c r="G2669" s="237"/>
      <c r="H2669" s="233"/>
      <c r="I2669" s="233"/>
      <c r="J2669" s="233"/>
      <c r="K2669" s="233"/>
      <c r="L2669" s="233"/>
      <c r="M2669" s="250" t="s">
        <v>169</v>
      </c>
      <c r="N2669" s="251"/>
      <c r="O2669" s="251"/>
      <c r="P2669" s="252"/>
      <c r="Q2669" s="40" t="str">
        <f>IF($Q2667&lt;&gt;"",IF($Q2667="W","L","W"),"")</f>
        <v/>
      </c>
      <c r="R2669"/>
      <c r="S2669"/>
      <c r="T2669"/>
      <c r="U2669"/>
      <c r="V2669"/>
      <c r="W2669"/>
      <c r="X2669"/>
      <c r="Y2669"/>
      <c r="Z2669"/>
      <c r="AA2669"/>
      <c r="AB2669"/>
      <c r="AC2669"/>
      <c r="AD2669"/>
      <c r="AE2669"/>
      <c r="AF2669"/>
    </row>
    <row r="2670" spans="1:32" ht="12.75" customHeight="1" x14ac:dyDescent="0.25">
      <c r="A2670" s="260"/>
      <c r="B2670" s="238"/>
      <c r="C2670" s="239"/>
      <c r="D2670" s="239"/>
      <c r="E2670" s="239"/>
      <c r="F2670" s="239"/>
      <c r="G2670" s="239"/>
      <c r="H2670" s="234"/>
      <c r="I2670" s="234"/>
      <c r="J2670" s="235"/>
      <c r="K2670" s="235"/>
      <c r="L2670" s="235"/>
      <c r="M2670" s="250"/>
      <c r="N2670" s="251"/>
      <c r="O2670" s="251"/>
      <c r="P2670" s="252"/>
      <c r="Q2670" s="110" t="str">
        <f>IF($Q2669&lt;&gt;"",IF($Q2669="W",IF(SUM(IF($H2669&gt;$H2667,1,0),IF($I2669&gt;$I2667,1,0),IF($J2669&gt;$J2667,1,0),IF($K2669&gt;$K2667,1,0),IF($L2669&gt;$L2667,1,0))&lt;&gt;3,"Error",""),""),"")</f>
        <v/>
      </c>
      <c r="R2670" t="str">
        <f>$A2672</f>
        <v>2nd Singles</v>
      </c>
      <c r="S2670"/>
      <c r="T2670"/>
      <c r="U2670"/>
      <c r="V2670"/>
      <c r="W2670"/>
      <c r="X2670"/>
      <c r="Y2670"/>
      <c r="Z2670"/>
      <c r="AA2670"/>
      <c r="AB2670"/>
      <c r="AC2670"/>
      <c r="AD2670"/>
      <c r="AE2670"/>
      <c r="AF2670"/>
    </row>
    <row r="2671" spans="1:32" ht="12.75" customHeight="1" x14ac:dyDescent="0.25">
      <c r="Q2671" s="6"/>
      <c r="R2671" s="47" t="s">
        <v>160</v>
      </c>
      <c r="S2671" s="304" t="s">
        <v>58</v>
      </c>
      <c r="T2671" s="305"/>
      <c r="U2671" s="305"/>
      <c r="V2671" s="305"/>
      <c r="W2671" s="305"/>
      <c r="X2671" s="306"/>
      <c r="Y2671" s="47">
        <v>1</v>
      </c>
      <c r="Z2671" s="47">
        <v>2</v>
      </c>
      <c r="AA2671" s="47">
        <v>3</v>
      </c>
      <c r="AB2671" s="47">
        <v>4</v>
      </c>
      <c r="AC2671" s="47">
        <v>5</v>
      </c>
      <c r="AD2671" s="286"/>
      <c r="AE2671" s="287"/>
      <c r="AF2671" s="288"/>
    </row>
    <row r="2672" spans="1:32" ht="12.75" customHeight="1" x14ac:dyDescent="0.25">
      <c r="A2672" s="15" t="s">
        <v>166</v>
      </c>
      <c r="H2672" s="110" t="str">
        <f>IF($Q2674&lt;&gt;"",IF(AND(AND($H2674&gt;-1,$H2676&gt;-1),OR($H2674&gt;10,$H2676&gt;10),ABS($H2674-$H2676)&gt;1,IF(OR($H2674&gt;11,$H2676&gt;11),ABS($H2674-$H2676)=2,TRUE),$H2674=INT($H2674),$H2676=INT($H2676)),"","Error"),"")</f>
        <v/>
      </c>
      <c r="I2672" s="110" t="str">
        <f>IF($Q2674&lt;&gt;"",IF(AND(AND($I2674&gt;-1,$I2676&gt;-1),OR($I2674&gt;10,$I2676&gt;10),ABS($I2674-$I2676)&gt;1,IF(OR($I2674&gt;11,$I2676&gt;11),ABS($I2674-$I2676)=2,TRUE),$I2674=INT($I2674),$I2676=INT($I2676)),"","Error"),"")</f>
        <v/>
      </c>
      <c r="J2672" s="110" t="str">
        <f>IF($Q2674&lt;&gt;"",IF(AND(AND($J2674&gt;-1,$J2676&gt;-1),OR($J2674&gt;10,$J2676&gt;10),ABS($J2674-$J2676)&gt;1,IF(OR($J2674&gt;11,$J2676&gt;11),ABS($J2674-$J2676)=2,TRUE),$J2674=INT($J2674),$J2676=INT($J2676)),"","Error"),"")</f>
        <v/>
      </c>
      <c r="K2672" s="110" t="str">
        <f>IF($Q2674&lt;&gt;"",IF(AND($K2674&lt;&gt;"",$K2676&lt;&gt;""), IF(AND(AND($K2674&gt;-1,$K2676&gt;-1),OR($K2674&gt;10,$K2676&gt;10),ABS($K2674-$K2676)&gt;1,IF(OR($K2674&gt;11,$K2676&gt;11),ABS($K2674-$K2676)=2,TRUE),$K2674=INT($K2674),$K2676=INT($K2676)),"","Error"),""),"")</f>
        <v/>
      </c>
      <c r="L2672" s="110" t="str">
        <f>IF($Q2674&lt;&gt;"",IF(AND($L2674&lt;&gt;"",$L2676&lt;&gt;""), IF(AND(AND($L2674&gt;-1,$L2676&gt;-1),OR($L2674&gt;10,$L2676&gt;10),ABS($L2674-$L2676)&gt;1,IF(OR($L2674&gt;11,$L2676&gt;11),ABS($L2674-$L2676)=2,TRUE),$L2674=INT($L2674),$L2676=INT($L2676)),"","Error"),""),"")</f>
        <v/>
      </c>
      <c r="Q2672" s="6"/>
      <c r="R2672" s="259" t="str">
        <f>$B2661</f>
        <v>H</v>
      </c>
      <c r="S2672" s="307" t="str">
        <f ca="1">IF($B2674&lt;&gt;"",$B2674,"")</f>
        <v/>
      </c>
      <c r="T2672" s="308"/>
      <c r="U2672" s="308"/>
      <c r="V2672" s="308"/>
      <c r="W2672" s="308"/>
      <c r="X2672" s="309"/>
      <c r="Y2672" s="284"/>
      <c r="Z2672" s="284"/>
      <c r="AA2672" s="284"/>
      <c r="AB2672" s="284"/>
      <c r="AC2672" s="284"/>
      <c r="AD2672" s="296"/>
      <c r="AE2672" s="290"/>
      <c r="AF2672" s="291"/>
    </row>
    <row r="2673" spans="1:32" ht="12.75" customHeight="1" x14ac:dyDescent="0.25">
      <c r="A2673" s="5" t="s">
        <v>160</v>
      </c>
      <c r="B2673" s="256" t="s">
        <v>58</v>
      </c>
      <c r="C2673" s="257"/>
      <c r="D2673" s="257"/>
      <c r="E2673" s="257"/>
      <c r="F2673" s="257"/>
      <c r="G2673" s="258"/>
      <c r="H2673" s="5">
        <v>1</v>
      </c>
      <c r="I2673" s="5">
        <v>2</v>
      </c>
      <c r="J2673" s="5">
        <v>3</v>
      </c>
      <c r="K2673" s="5">
        <v>4</v>
      </c>
      <c r="L2673" s="5">
        <v>5</v>
      </c>
      <c r="M2673" s="270"/>
      <c r="N2673" s="271"/>
      <c r="O2673" s="271"/>
      <c r="P2673" s="272"/>
      <c r="Q2673" s="6"/>
      <c r="R2673" s="285"/>
      <c r="S2673" s="310"/>
      <c r="T2673" s="311"/>
      <c r="U2673" s="311"/>
      <c r="V2673" s="311"/>
      <c r="W2673" s="311"/>
      <c r="X2673" s="312"/>
      <c r="Y2673" s="285"/>
      <c r="Z2673" s="285"/>
      <c r="AA2673" s="285"/>
      <c r="AB2673" s="285"/>
      <c r="AC2673" s="285"/>
      <c r="AD2673" s="292"/>
      <c r="AE2673" s="293"/>
      <c r="AF2673" s="294"/>
    </row>
    <row r="2674" spans="1:32" ht="12.75" customHeight="1" x14ac:dyDescent="0.25">
      <c r="A2674" s="259" t="str">
        <f>B2661</f>
        <v>H</v>
      </c>
      <c r="B2674" s="236" t="str">
        <f ca="1">IF(AND(OFFSET($AO$1,$C2661-1,8,1,1),$A2662&lt;&gt;"",$J2662&lt;&gt;""),CHOOSE($C2661,$AP$1,$AP$2,$AP$3,$AP$4,$AP$5,$AP$6,$AP$7,$AP$8,$AP$9,$AP$10,$AP$11,$AP$12),"")</f>
        <v/>
      </c>
      <c r="C2674" s="237"/>
      <c r="D2674" s="237"/>
      <c r="E2674" s="237"/>
      <c r="F2674" s="237"/>
      <c r="G2674" s="237"/>
      <c r="H2674" s="233"/>
      <c r="I2674" s="233"/>
      <c r="J2674" s="233"/>
      <c r="K2674" s="233"/>
      <c r="L2674" s="233"/>
      <c r="M2674" s="245" t="str">
        <f ca="1">IF(OR(AND($B2667&lt;&gt;"",$B2674&lt;&gt;"",$C2692&lt;=$B2692),AND($B2669&lt;&gt;"",$B2676&lt;&gt;"",$G2692&lt;=$F2692)),"Invalid Lineup","")</f>
        <v/>
      </c>
      <c r="N2674" s="246"/>
      <c r="O2674" s="246"/>
      <c r="P2674" s="247"/>
      <c r="Q2674" s="40" t="str">
        <f>IF($L2674=$L2676,IF($K2674=$K2676,IF($J2674&lt;&gt;"",IF($J2674&gt;$J2676,"W","L"),""),IF($K2674&gt;$K2676,"W","L")),IF($L2674&gt;$L2676,"W","L"))</f>
        <v/>
      </c>
      <c r="R2674" s="259" t="str">
        <f>$K2661</f>
        <v>K</v>
      </c>
      <c r="S2674" s="307" t="str">
        <f ca="1">IF($B2676&lt;&gt;"",$B2676,"")</f>
        <v/>
      </c>
      <c r="T2674" s="308"/>
      <c r="U2674" s="308"/>
      <c r="V2674" s="308"/>
      <c r="W2674" s="308"/>
      <c r="X2674" s="309"/>
      <c r="Y2674" s="284"/>
      <c r="Z2674" s="284"/>
      <c r="AA2674" s="284"/>
      <c r="AB2674" s="284"/>
      <c r="AC2674" s="297"/>
      <c r="AD2674" s="289" t="s">
        <v>169</v>
      </c>
      <c r="AE2674" s="290"/>
      <c r="AF2674" s="291"/>
    </row>
    <row r="2675" spans="1:32" ht="12.75" customHeight="1" x14ac:dyDescent="0.25">
      <c r="A2675" s="260"/>
      <c r="B2675" s="238"/>
      <c r="C2675" s="239"/>
      <c r="D2675" s="239"/>
      <c r="E2675" s="239"/>
      <c r="F2675" s="239"/>
      <c r="G2675" s="239"/>
      <c r="H2675" s="234"/>
      <c r="I2675" s="234"/>
      <c r="J2675" s="234"/>
      <c r="K2675" s="234"/>
      <c r="L2675" s="234"/>
      <c r="M2675" s="245"/>
      <c r="N2675" s="246"/>
      <c r="O2675" s="246"/>
      <c r="P2675" s="247"/>
      <c r="Q2675" s="110" t="str">
        <f>IF($Q2674&lt;&gt;"",IF($Q2674="W",IF(SUM(IF($H2674&gt;$H2676,1,0),IF($I2674&gt;$I2676,1,0),IF($J2674&gt;$J2676,1,0),IF($K2674&gt;$K2676,1,0),IF($L2674&gt;$L2676,1,0))&lt;&gt;3,"Error",""),""),"")</f>
        <v/>
      </c>
      <c r="R2675" s="285"/>
      <c r="S2675" s="310"/>
      <c r="T2675" s="311"/>
      <c r="U2675" s="311"/>
      <c r="V2675" s="311"/>
      <c r="W2675" s="311"/>
      <c r="X2675" s="312"/>
      <c r="Y2675" s="285"/>
      <c r="Z2675" s="285"/>
      <c r="AA2675" s="285"/>
      <c r="AB2675" s="285"/>
      <c r="AC2675" s="285"/>
      <c r="AD2675" s="292"/>
      <c r="AE2675" s="293"/>
      <c r="AF2675" s="294"/>
    </row>
    <row r="2676" spans="1:32" ht="12.75" customHeight="1" x14ac:dyDescent="0.25">
      <c r="A2676" s="259" t="str">
        <f>K2661</f>
        <v>K</v>
      </c>
      <c r="B2676" s="236" t="str">
        <f ca="1">IF(AND(OFFSET($AO$1,$L2661-1,8,1,1),$A2662&lt;&gt;"",$J2662&lt;&gt;""),CHOOSE($L2661,$AP$1,$AP$2,$AP$3,$AP$4,$AP$5,$AP$6,$AP$7,$AP$8,$AP$9,$AP$10,$AP$11,$AP$12),"")</f>
        <v/>
      </c>
      <c r="C2676" s="237"/>
      <c r="D2676" s="237"/>
      <c r="E2676" s="237"/>
      <c r="F2676" s="237"/>
      <c r="G2676" s="237"/>
      <c r="H2676" s="233"/>
      <c r="I2676" s="233"/>
      <c r="J2676" s="233"/>
      <c r="K2676" s="233"/>
      <c r="L2676" s="233"/>
      <c r="M2676" s="250" t="s">
        <v>169</v>
      </c>
      <c r="N2676" s="251"/>
      <c r="O2676" s="251"/>
      <c r="P2676" s="252"/>
      <c r="Q2676" s="40" t="str">
        <f>IF($Q2674&lt;&gt;"",IF($Q2674="W","L","W"),"")</f>
        <v/>
      </c>
      <c r="R2676" s="14"/>
      <c r="S2676" s="14"/>
      <c r="T2676" s="14"/>
      <c r="U2676" s="14"/>
      <c r="V2676" s="14"/>
      <c r="W2676" s="14"/>
      <c r="X2676" s="7"/>
      <c r="Y2676" s="7"/>
      <c r="Z2676" s="14"/>
      <c r="AA2676" s="14"/>
      <c r="AB2676" s="14"/>
      <c r="AC2676" s="14"/>
      <c r="AD2676" s="14"/>
      <c r="AE2676" s="14"/>
      <c r="AF2676"/>
    </row>
    <row r="2677" spans="1:32" ht="12.75" customHeight="1" x14ac:dyDescent="0.25">
      <c r="A2677" s="260"/>
      <c r="B2677" s="238"/>
      <c r="C2677" s="239"/>
      <c r="D2677" s="239"/>
      <c r="E2677" s="239"/>
      <c r="F2677" s="239"/>
      <c r="G2677" s="239"/>
      <c r="H2677" s="234"/>
      <c r="I2677" s="234"/>
      <c r="J2677" s="235"/>
      <c r="K2677" s="235"/>
      <c r="L2677" s="235"/>
      <c r="M2677" s="250"/>
      <c r="N2677" s="251"/>
      <c r="O2677" s="251"/>
      <c r="P2677" s="252"/>
      <c r="Q2677" s="110" t="str">
        <f>IF($Q2676&lt;&gt;"",IF($Q2676="W",IF(SUM(IF($H2676&gt;$H2674,1,0),IF($I2676&gt;$I2674,1,0),IF($J2676&gt;$J2674,1,0),IF($K2676&gt;$K2674,1,0),IF($L2676&gt;$L2674,1,0))&lt;&gt;3,"Error",""),""),"")</f>
        <v/>
      </c>
      <c r="R2677" s="14"/>
      <c r="S2677" s="14"/>
      <c r="T2677" s="14"/>
      <c r="U2677" s="14"/>
      <c r="V2677" s="14"/>
      <c r="W2677" s="14"/>
      <c r="X2677" s="7"/>
      <c r="Y2677" s="7"/>
      <c r="Z2677" s="14"/>
      <c r="AA2677" s="14"/>
      <c r="AB2677" s="14"/>
      <c r="AC2677" s="14"/>
      <c r="AD2677" s="14"/>
      <c r="AE2677" s="14"/>
      <c r="AF2677"/>
    </row>
    <row r="2678" spans="1:32" ht="12.75" customHeight="1" x14ac:dyDescent="0.25">
      <c r="Q2678" s="6"/>
      <c r="R2678" s="14"/>
      <c r="S2678" s="14"/>
      <c r="T2678" s="14"/>
      <c r="U2678" s="14"/>
      <c r="V2678" s="14"/>
      <c r="W2678" s="14"/>
      <c r="X2678" s="7"/>
      <c r="Y2678" s="7"/>
      <c r="Z2678" s="14"/>
      <c r="AA2678" s="14"/>
      <c r="AB2678" s="14"/>
      <c r="AC2678" s="14"/>
      <c r="AD2678" s="14"/>
      <c r="AE2678" s="14"/>
      <c r="AF2678"/>
    </row>
    <row r="2679" spans="1:32" ht="12.75" customHeight="1" x14ac:dyDescent="0.25">
      <c r="A2679" s="15" t="s">
        <v>167</v>
      </c>
      <c r="H2679" s="110" t="str">
        <f>IF($Q2681&lt;&gt;"",IF(AND(AND($H2681&gt;-1,$H2683&gt;-1),OR($H2681&gt;10,$H2683&gt;10),ABS($H2681-$H2683)&gt;1,IF(OR($H2681&gt;11,$H2683&gt;11),ABS($H2681-$H2683)=2,TRUE),$H2681=INT($H2681),$H2683=INT($H2683)),"","Error"),"")</f>
        <v/>
      </c>
      <c r="I2679" s="110" t="str">
        <f>IF($Q2681&lt;&gt;"",IF(AND(AND($I2681&gt;-1,$I2683&gt;-1),OR($I2681&gt;10,$I2683&gt;10),ABS($I2681-$I2683)&gt;1,IF(OR($I2681&gt;11,$I2683&gt;11),ABS($I2681-$I2683)=2,TRUE),$I2681=INT($I2681),$I2683=INT($I2683)),"","Error"),"")</f>
        <v/>
      </c>
      <c r="J2679" s="110" t="str">
        <f>IF($Q2681&lt;&gt;"",IF(AND(AND($J2681&gt;-1,$J2683&gt;-1),OR($J2681&gt;10,$J2683&gt;10),ABS($J2681-$J2683)&gt;1,IF(OR($J2681&gt;11,$J2683&gt;11),ABS($J2681-$J2683)=2,TRUE),$J2681=INT($J2681),$J2683=INT($J2683)),"","Error"),"")</f>
        <v/>
      </c>
      <c r="K2679" s="110" t="str">
        <f>IF($Q2681&lt;&gt;"",IF(AND($K2681&lt;&gt;"",$K2683&lt;&gt;""), IF(AND(AND($K2681&gt;-1,$K2683&gt;-1),OR($K2681&gt;10,$K2683&gt;10),ABS($K2681-$K2683)&gt;1,IF(OR($K2681&gt;11,$K2683&gt;11),ABS($K2681-$K2683)=2,TRUE),$K2681=INT($K2681),$K2683=INT($K2683)),"","Error"),""),"")</f>
        <v/>
      </c>
      <c r="L2679" s="110" t="str">
        <f>IF($Q2681&lt;&gt;"",IF(AND($L2681&lt;&gt;"",$L2683&lt;&gt;""), IF(AND(AND($L2681&gt;-1,$L2683&gt;-1),OR($L2681&gt;10,$L2683&gt;10),ABS($L2681-$L2683)&gt;1,IF(OR($L2681&gt;11,$L2683&gt;11),ABS($L2681-$L2683)=2,TRUE),$L2681=INT($L2681),$L2683=INT($L2683)),"","Error"),""),"")</f>
        <v/>
      </c>
      <c r="Q2679" s="6"/>
      <c r="R2679" s="14"/>
      <c r="S2679" s="14"/>
      <c r="T2679" s="14"/>
      <c r="U2679" s="14"/>
      <c r="V2679" s="14"/>
      <c r="W2679" s="14"/>
      <c r="X2679" s="7"/>
      <c r="Y2679" s="7"/>
      <c r="Z2679" s="14"/>
      <c r="AA2679" s="14"/>
      <c r="AB2679" s="14"/>
      <c r="AC2679" s="14"/>
      <c r="AD2679" s="14"/>
      <c r="AE2679" s="14"/>
      <c r="AF2679"/>
    </row>
    <row r="2680" spans="1:32" ht="12.75" customHeight="1" x14ac:dyDescent="0.25">
      <c r="A2680" s="5" t="s">
        <v>160</v>
      </c>
      <c r="B2680" s="256" t="s">
        <v>58</v>
      </c>
      <c r="C2680" s="257"/>
      <c r="D2680" s="257"/>
      <c r="E2680" s="257"/>
      <c r="F2680" s="257"/>
      <c r="G2680" s="258"/>
      <c r="H2680" s="5">
        <v>1</v>
      </c>
      <c r="I2680" s="5">
        <v>2</v>
      </c>
      <c r="J2680" s="5">
        <v>3</v>
      </c>
      <c r="K2680" s="5">
        <v>4</v>
      </c>
      <c r="L2680" s="5">
        <v>5</v>
      </c>
      <c r="M2680" s="270"/>
      <c r="N2680" s="271"/>
      <c r="O2680" s="271"/>
      <c r="P2680" s="272"/>
      <c r="Q2680" s="6"/>
      <c r="R2680" s="14"/>
      <c r="S2680" s="14"/>
      <c r="T2680" s="14"/>
      <c r="U2680" s="14"/>
      <c r="V2680" s="14"/>
      <c r="W2680" s="14"/>
      <c r="X2680" s="7"/>
      <c r="Y2680" s="7"/>
      <c r="Z2680" s="14"/>
      <c r="AA2680" s="14"/>
      <c r="AB2680" s="14"/>
      <c r="AC2680" s="14"/>
      <c r="AD2680" s="14"/>
      <c r="AE2680" s="14"/>
      <c r="AF2680"/>
    </row>
    <row r="2681" spans="1:32" ht="12.75" customHeight="1" x14ac:dyDescent="0.25">
      <c r="A2681" s="259" t="str">
        <f>B2661</f>
        <v>H</v>
      </c>
      <c r="B2681" s="236" t="str">
        <f ca="1">IF(AND(OFFSET($AO$1,$C2661-1,8,1,1),$A2662&lt;&gt;"",$J2662&lt;&gt;""),CHOOSE($C2661,$AQ$1,$AQ$2,$AQ$3,$AQ$4,$AQ$5,$AQ$6,$AQ$7,$AQ$8,$AQ$9,$AQ$10,$AQ$11,$AQ$12),"")</f>
        <v/>
      </c>
      <c r="C2681" s="237"/>
      <c r="D2681" s="237"/>
      <c r="E2681" s="237"/>
      <c r="F2681" s="237"/>
      <c r="G2681" s="237"/>
      <c r="H2681" s="233"/>
      <c r="I2681" s="233"/>
      <c r="J2681" s="233"/>
      <c r="K2681" s="233"/>
      <c r="L2681" s="233"/>
      <c r="M2681" s="245" t="str">
        <f ca="1">IF(OR(AND($B2674&lt;&gt;"",$B2681&lt;&gt;"",$D2692&lt;=$C2692),AND($B2676&lt;&gt;"",$B2683&lt;&gt;"",$H2692&lt;=$G2692)),"Invalid Lineup","")</f>
        <v/>
      </c>
      <c r="N2681" s="246"/>
      <c r="O2681" s="246"/>
      <c r="P2681" s="247"/>
      <c r="Q2681" s="40" t="str">
        <f>IF($L2681=$L2683,IF($K2681=$K2683,IF($J2681&lt;&gt;"",IF($J2681&gt;$J2683,"W","L"),""),IF($K2681&gt;$K2683,"W","L")),IF($L2681&gt;$L2683,"W","L"))</f>
        <v/>
      </c>
      <c r="R2681" s="14"/>
      <c r="S2681" s="14"/>
      <c r="T2681" s="14"/>
      <c r="U2681" s="14"/>
      <c r="V2681" s="14"/>
      <c r="W2681" s="14"/>
      <c r="X2681" s="7"/>
      <c r="Y2681" s="7"/>
      <c r="Z2681" s="14"/>
      <c r="AA2681" s="14"/>
      <c r="AB2681" s="14"/>
      <c r="AC2681" s="14"/>
      <c r="AD2681" s="14"/>
      <c r="AE2681" s="14"/>
      <c r="AF2681"/>
    </row>
    <row r="2682" spans="1:32" ht="12.75" customHeight="1" x14ac:dyDescent="0.25">
      <c r="A2682" s="260"/>
      <c r="B2682" s="238"/>
      <c r="C2682" s="239"/>
      <c r="D2682" s="239"/>
      <c r="E2682" s="239"/>
      <c r="F2682" s="239"/>
      <c r="G2682" s="239"/>
      <c r="H2682" s="234"/>
      <c r="I2682" s="234"/>
      <c r="J2682" s="234"/>
      <c r="K2682" s="234"/>
      <c r="L2682" s="234"/>
      <c r="M2682" s="245"/>
      <c r="N2682" s="246"/>
      <c r="O2682" s="246"/>
      <c r="P2682" s="247"/>
      <c r="Q2682" s="110" t="str">
        <f>IF($Q2681&lt;&gt;"",IF($Q2681="W",IF(SUM(IF($H2681&gt;$H2683,1,0),IF($I2681&gt;$I2683,1,0),IF($J2681&gt;$J2683,1,0),IF($K2681&gt;$K2683,1,0),IF($L2681&gt;$L2683,1,0))&lt;&gt;3,"Error",""),""),"")</f>
        <v/>
      </c>
      <c r="R2682" s="295" t="str">
        <f>$A2662</f>
        <v/>
      </c>
      <c r="S2682" s="295"/>
      <c r="T2682" s="295"/>
      <c r="U2682" s="295"/>
      <c r="V2682" s="295"/>
      <c r="W2682" s="295"/>
      <c r="X2682" s="219" t="str">
        <f>CONCATENATE("(",$B2661," vs ",$K2661,")")</f>
        <v>(H vs K)</v>
      </c>
      <c r="Y2682" s="219"/>
      <c r="Z2682" s="295" t="str">
        <f>$J2662</f>
        <v/>
      </c>
      <c r="AA2682" s="295"/>
      <c r="AB2682" s="295"/>
      <c r="AC2682" s="295"/>
      <c r="AD2682" s="295"/>
      <c r="AE2682" s="295"/>
      <c r="AF2682"/>
    </row>
    <row r="2683" spans="1:32" ht="12.75" customHeight="1" x14ac:dyDescent="0.25">
      <c r="A2683" s="259" t="str">
        <f>K2661</f>
        <v>K</v>
      </c>
      <c r="B2683" s="236" t="str">
        <f ca="1">IF(AND(OFFSET($AO$1,$L2661-1,8,1,1),$A2662&lt;&gt;"",$J2662&lt;&gt;""),CHOOSE($L2661,$AQ$1,$AQ$2,$AQ$3,$AQ$4,$AQ$5,$AQ$6,$AQ$7,$AQ$8,$AQ$9,$AQ$10,$AQ$11,$AQ$12),"")</f>
        <v/>
      </c>
      <c r="C2683" s="237"/>
      <c r="D2683" s="237"/>
      <c r="E2683" s="237"/>
      <c r="F2683" s="237"/>
      <c r="G2683" s="237"/>
      <c r="H2683" s="233"/>
      <c r="I2683" s="233"/>
      <c r="J2683" s="233"/>
      <c r="K2683" s="233"/>
      <c r="L2683" s="233"/>
      <c r="M2683" s="250" t="s">
        <v>169</v>
      </c>
      <c r="N2683" s="251"/>
      <c r="O2683" s="251"/>
      <c r="P2683" s="252"/>
      <c r="Q2683" s="40" t="str">
        <f>IF($Q2681&lt;&gt;"",IF($Q2681="W","L","W"),"")</f>
        <v/>
      </c>
      <c r="R2683"/>
      <c r="S2683"/>
      <c r="T2683"/>
      <c r="U2683"/>
      <c r="V2683"/>
      <c r="W2683"/>
      <c r="X2683"/>
      <c r="Y2683"/>
      <c r="Z2683"/>
      <c r="AA2683"/>
      <c r="AB2683"/>
      <c r="AC2683"/>
      <c r="AD2683"/>
      <c r="AE2683"/>
      <c r="AF2683"/>
    </row>
    <row r="2684" spans="1:32" ht="12.75" customHeight="1" x14ac:dyDescent="0.25">
      <c r="A2684" s="260"/>
      <c r="B2684" s="238"/>
      <c r="C2684" s="239"/>
      <c r="D2684" s="239"/>
      <c r="E2684" s="239"/>
      <c r="F2684" s="239"/>
      <c r="G2684" s="239"/>
      <c r="H2684" s="234"/>
      <c r="I2684" s="234"/>
      <c r="J2684" s="235"/>
      <c r="K2684" s="235"/>
      <c r="L2684" s="235"/>
      <c r="M2684" s="250"/>
      <c r="N2684" s="251"/>
      <c r="O2684" s="251"/>
      <c r="P2684" s="252"/>
      <c r="Q2684" s="110" t="str">
        <f>IF($Q2683&lt;&gt;"",IF($Q2683="W",IF(SUM(IF($H2683&gt;$H2681,1,0),IF($I2683&gt;$I2681,1,0),IF($J2683&gt;$J2681,1,0),IF($K2683&gt;$K2681,1,0),IF($L2683&gt;$L2681,1,0))&lt;&gt;3,"Error",""),""),"")</f>
        <v/>
      </c>
      <c r="R2684" t="str">
        <f>$A2679</f>
        <v>3rd Singles</v>
      </c>
      <c r="S2684"/>
      <c r="T2684"/>
      <c r="U2684"/>
      <c r="V2684"/>
      <c r="W2684"/>
      <c r="X2684"/>
      <c r="Y2684"/>
      <c r="Z2684"/>
      <c r="AA2684"/>
      <c r="AB2684"/>
      <c r="AC2684"/>
      <c r="AD2684"/>
      <c r="AE2684"/>
      <c r="AF2684"/>
    </row>
    <row r="2685" spans="1:32" ht="12.75" customHeight="1" x14ac:dyDescent="0.25">
      <c r="Q2685" s="6"/>
      <c r="R2685" s="47" t="s">
        <v>160</v>
      </c>
      <c r="S2685" s="86" t="s">
        <v>58</v>
      </c>
      <c r="T2685" s="87"/>
      <c r="U2685" s="87"/>
      <c r="V2685" s="87"/>
      <c r="W2685" s="87"/>
      <c r="X2685" s="88"/>
      <c r="Y2685" s="47">
        <v>1</v>
      </c>
      <c r="Z2685" s="47">
        <v>2</v>
      </c>
      <c r="AA2685" s="47">
        <v>3</v>
      </c>
      <c r="AB2685" s="47">
        <v>4</v>
      </c>
      <c r="AC2685" s="47">
        <v>5</v>
      </c>
      <c r="AD2685" s="89"/>
      <c r="AE2685" s="90"/>
      <c r="AF2685" s="91"/>
    </row>
    <row r="2686" spans="1:32" ht="12.75" customHeight="1" x14ac:dyDescent="0.25">
      <c r="A2686" s="15" t="s">
        <v>168</v>
      </c>
      <c r="H2686" s="110" t="str">
        <f ca="1">IF($Q2688&lt;&gt;"",IF(AND($B2688&lt;&gt;"Missing Player",$B2690&lt;&gt;"Missing Player"),IF(AND(AND($H2688&gt;-1,$H2690&gt;-1),OR($H2688&gt;10,$H2690&gt;10),ABS($H2688-$H2690)&gt;1,IF(OR($H2688&gt;11,$H2690&gt;11),ABS($H2688-$H2690)=2,TRUE),$H2688=INT($H2688),$H2690=INT($H2690)),"","Error"),""),"")</f>
        <v/>
      </c>
      <c r="I2686" s="110" t="str">
        <f ca="1">IF($Q2688&lt;&gt;"",IF(AND($B2688&lt;&gt;"Missing Player",$B2690&lt;&gt;"Missing Player"),IF(AND(AND($I2688&gt;-1,$I2690&gt;-1),OR($I2688&gt;10,$I2690&gt;10),ABS($I2688-$I2690)&gt;1,IF(OR($I2688&gt;11,$I2690&gt;11),ABS($I2688-$I2690)=2,TRUE),$I2688=INT($I2688),$I2690=INT($I2690)),"","Error"),""),"")</f>
        <v/>
      </c>
      <c r="J2686" s="110" t="str">
        <f ca="1">IF($Q2688&lt;&gt;"",IF(AND($B2688&lt;&gt;"Missing Player",$B2690&lt;&gt;"Missing Player"),IF(AND(AND($J2688&gt;-1,$J2690&gt;-1),OR($J2688&gt;10,$J2690&gt;10),ABS($J2688-$J2690)&gt;1,IF(OR($J2688&gt;11,$J2690&gt;11),ABS($J2688-$J2690)=2,TRUE),$J2688=INT($J2688),$J2690=INT($J2690)),"","Error"),""),"")</f>
        <v/>
      </c>
      <c r="K2686" s="110" t="str">
        <f ca="1">IF($Q2688&lt;&gt;"",IF(AND($K2688&lt;&gt;"",$K2690&lt;&gt;""), IF(AND(AND($K2688&gt;-1,$K2690&gt;-1),OR($K2688&gt;10,$K2690&gt;10),ABS($K2688-$K2690)&gt;1,IF(OR($K2688&gt;11,$K2690&gt;11),ABS($K2688-$K2690)=2,TRUE),$K2688=INT($K2688),$K2690=INT($K2690)),"","Error"),""),"")</f>
        <v/>
      </c>
      <c r="L2686" s="110" t="str">
        <f ca="1">IF($Q2688&lt;&gt;"",IF(AND($L2688&lt;&gt;"",$L2690&lt;&gt;""), IF(AND(AND($L2688&gt;-1,$L2690&gt;-1),OR($L2688&gt;10,$L2690&gt;10),ABS($L2688-$L2690)&gt;1,IF(OR($L2688&gt;11,$L2690&gt;11),ABS($L2688-$L2690)=2,TRUE),$L2688=INT($L2688),$L2690=INT($L2690)),"","Error"),""),"")</f>
        <v/>
      </c>
      <c r="Q2686" s="6"/>
      <c r="R2686" s="259" t="str">
        <f>$B2661</f>
        <v>H</v>
      </c>
      <c r="S2686" s="307" t="str">
        <f ca="1">IF($B2681&lt;&gt;"",$B2681,"")</f>
        <v/>
      </c>
      <c r="T2686" s="308"/>
      <c r="U2686" s="308"/>
      <c r="V2686" s="308"/>
      <c r="W2686" s="308"/>
      <c r="X2686" s="309"/>
      <c r="Y2686" s="284"/>
      <c r="Z2686" s="284"/>
      <c r="AA2686" s="284"/>
      <c r="AB2686" s="284"/>
      <c r="AC2686" s="284"/>
      <c r="AD2686" s="296"/>
      <c r="AE2686" s="290"/>
      <c r="AF2686" s="291"/>
    </row>
    <row r="2687" spans="1:32" ht="12.75" customHeight="1" x14ac:dyDescent="0.25">
      <c r="A2687" s="5" t="s">
        <v>160</v>
      </c>
      <c r="B2687" s="256" t="s">
        <v>58</v>
      </c>
      <c r="C2687" s="257"/>
      <c r="D2687" s="257"/>
      <c r="E2687" s="257"/>
      <c r="F2687" s="257"/>
      <c r="G2687" s="258"/>
      <c r="H2687" s="5">
        <v>1</v>
      </c>
      <c r="I2687" s="5">
        <v>2</v>
      </c>
      <c r="J2687" s="5">
        <v>3</v>
      </c>
      <c r="K2687" s="5">
        <v>4</v>
      </c>
      <c r="L2687" s="5">
        <v>5</v>
      </c>
      <c r="M2687" s="270"/>
      <c r="N2687" s="271"/>
      <c r="O2687" s="271"/>
      <c r="P2687" s="272"/>
      <c r="Q2687" s="6"/>
      <c r="R2687" s="285"/>
      <c r="S2687" s="310"/>
      <c r="T2687" s="311"/>
      <c r="U2687" s="311"/>
      <c r="V2687" s="311"/>
      <c r="W2687" s="311"/>
      <c r="X2687" s="312"/>
      <c r="Y2687" s="285"/>
      <c r="Z2687" s="285"/>
      <c r="AA2687" s="285"/>
      <c r="AB2687" s="285"/>
      <c r="AC2687" s="285"/>
      <c r="AD2687" s="292"/>
      <c r="AE2687" s="293"/>
      <c r="AF2687" s="294"/>
    </row>
    <row r="2688" spans="1:32" ht="12.75" customHeight="1" x14ac:dyDescent="0.25">
      <c r="A2688" s="259" t="str">
        <f>B2661</f>
        <v>H</v>
      </c>
      <c r="B2688" s="236" t="str">
        <f ca="1">IF(AND(OFFSET($AO$1,$C2661-1,8,1,1),$A2662&lt;&gt;"",$J2662&lt;&gt;""),CHOOSE($C2661,$AR$1,$AR$2,$AR$3,$AR$4,$AR$5,$AR$6,$AR$7,$AR$8,$AR$9,$AR$10,$AR$11,$AR$12),"")</f>
        <v/>
      </c>
      <c r="C2688" s="237"/>
      <c r="D2688" s="237"/>
      <c r="E2688" s="237"/>
      <c r="F2688" s="237"/>
      <c r="G2688" s="237"/>
      <c r="H2688" s="233"/>
      <c r="I2688" s="233"/>
      <c r="J2688" s="233"/>
      <c r="K2688" s="233"/>
      <c r="L2688" s="233" t="str">
        <f ca="1">IF(AND($B2688&lt;&gt;"",$Q2667&lt;&gt;""),IF($B2688="Missing Player",0,IF($B2690="Missing Player",11,"")),"")</f>
        <v/>
      </c>
      <c r="M2688" s="245" t="str">
        <f ca="1">IF(OR(AND($B2681&lt;&gt;"",$B2688&lt;&gt;"",$E2692&lt;=$D2692),AND($B2683&lt;&gt;"",$B2690&lt;&gt;"",$I2692&lt;=$H2692)),"Invalid Lineup","")</f>
        <v/>
      </c>
      <c r="N2688" s="246"/>
      <c r="O2688" s="246"/>
      <c r="P2688" s="247"/>
      <c r="Q2688" s="40" t="str">
        <f ca="1">IF($L2688=$L2690,IF($K2688=$K2690,IF($J2688&lt;&gt;"",IF($J2688&gt;$J2690,"W","L"),""),IF($K2688&gt;$K2690,"W","L")),IF($L2688&gt;$L2690,"W","L"))</f>
        <v/>
      </c>
      <c r="R2688" s="259" t="str">
        <f>$K2661</f>
        <v>K</v>
      </c>
      <c r="S2688" s="307" t="str">
        <f ca="1">IF($B2683&lt;&gt;"",$B2683,"")</f>
        <v/>
      </c>
      <c r="T2688" s="308"/>
      <c r="U2688" s="308"/>
      <c r="V2688" s="308"/>
      <c r="W2688" s="308"/>
      <c r="X2688" s="309"/>
      <c r="Y2688" s="284"/>
      <c r="Z2688" s="284"/>
      <c r="AA2688" s="284"/>
      <c r="AB2688" s="284"/>
      <c r="AC2688" s="297"/>
      <c r="AD2688" s="289" t="s">
        <v>169</v>
      </c>
      <c r="AE2688" s="290"/>
      <c r="AF2688" s="291"/>
    </row>
    <row r="2689" spans="1:32" ht="12.75" customHeight="1" x14ac:dyDescent="0.25">
      <c r="A2689" s="260"/>
      <c r="B2689" s="238"/>
      <c r="C2689" s="239"/>
      <c r="D2689" s="239"/>
      <c r="E2689" s="239"/>
      <c r="F2689" s="239"/>
      <c r="G2689" s="239"/>
      <c r="H2689" s="234"/>
      <c r="I2689" s="234"/>
      <c r="J2689" s="234"/>
      <c r="K2689" s="234"/>
      <c r="L2689" s="234"/>
      <c r="M2689" s="245"/>
      <c r="N2689" s="246"/>
      <c r="O2689" s="246"/>
      <c r="P2689" s="247"/>
      <c r="Q2689" s="110" t="str">
        <f ca="1">IF($Q2688&lt;&gt;"",IF($B2690&lt;&gt;"Missing Player",IF($Q2688="W",IF(SUM(IF($H2688&gt;$H2690,1,0),IF($I2688&gt;$I2690,1,0),IF($J2688&gt;$J2690,1,0),IF($K2688&gt;$K2690,1,0),IF($L2688&gt;$L2690,1,0))&lt;&gt;3,"Error",""),""),""),"")</f>
        <v/>
      </c>
      <c r="R2689" s="285"/>
      <c r="S2689" s="310"/>
      <c r="T2689" s="311"/>
      <c r="U2689" s="311"/>
      <c r="V2689" s="311"/>
      <c r="W2689" s="311"/>
      <c r="X2689" s="312"/>
      <c r="Y2689" s="285"/>
      <c r="Z2689" s="285"/>
      <c r="AA2689" s="285"/>
      <c r="AB2689" s="285"/>
      <c r="AC2689" s="285"/>
      <c r="AD2689" s="292"/>
      <c r="AE2689" s="293"/>
      <c r="AF2689" s="294"/>
    </row>
    <row r="2690" spans="1:32" ht="12.75" customHeight="1" x14ac:dyDescent="0.25">
      <c r="A2690" s="259" t="str">
        <f>K2661</f>
        <v>K</v>
      </c>
      <c r="B2690" s="236" t="str">
        <f ca="1">IF(AND(OFFSET($AO$1,$L2661-1,8,1,1),$A2662&lt;&gt;"",$J2662&lt;&gt;""),CHOOSE($L2661,$AR$1,$AR$2,$AR$3,$AR$4,$AR$5,$AR$6,$AR$7,$AR$8,$AR$9,$AR$10,$AR$11,$AR$12),"")</f>
        <v/>
      </c>
      <c r="C2690" s="237"/>
      <c r="D2690" s="237"/>
      <c r="E2690" s="237"/>
      <c r="F2690" s="237"/>
      <c r="G2690" s="237"/>
      <c r="H2690" s="233"/>
      <c r="I2690" s="233"/>
      <c r="J2690" s="233"/>
      <c r="K2690" s="233"/>
      <c r="L2690" s="233" t="str">
        <f ca="1">IF(AND($B2690&lt;&gt;"",$Q2667&lt;&gt;""),IF($B2690="Missing Player",0,IF($B2688="Missing Player",11,"")),"")</f>
        <v/>
      </c>
      <c r="M2690" s="250" t="s">
        <v>169</v>
      </c>
      <c r="N2690" s="251"/>
      <c r="O2690" s="251"/>
      <c r="P2690" s="252"/>
      <c r="Q2690" s="40" t="str">
        <f ca="1">IF($Q2688&lt;&gt;"",IF($Q2688="W","L","W"),"")</f>
        <v/>
      </c>
      <c r="R2690" s="94"/>
      <c r="S2690" s="84"/>
      <c r="T2690" s="84"/>
      <c r="U2690" s="84"/>
      <c r="V2690" s="84"/>
      <c r="W2690" s="84"/>
      <c r="X2690" s="84"/>
      <c r="Y2690" s="93"/>
      <c r="Z2690" s="93"/>
      <c r="AA2690" s="93"/>
      <c r="AB2690" s="93"/>
      <c r="AC2690" s="93"/>
      <c r="AD2690" s="92"/>
      <c r="AE2690" s="93"/>
      <c r="AF2690" s="93"/>
    </row>
    <row r="2691" spans="1:32" ht="12.75" customHeight="1" x14ac:dyDescent="0.25">
      <c r="A2691" s="260"/>
      <c r="B2691" s="238"/>
      <c r="C2691" s="239"/>
      <c r="D2691" s="239"/>
      <c r="E2691" s="239"/>
      <c r="F2691" s="239"/>
      <c r="G2691" s="239"/>
      <c r="H2691" s="234"/>
      <c r="I2691" s="234"/>
      <c r="J2691" s="235"/>
      <c r="K2691" s="235"/>
      <c r="L2691" s="235"/>
      <c r="M2691" s="250"/>
      <c r="N2691" s="251"/>
      <c r="O2691" s="251"/>
      <c r="P2691" s="252"/>
      <c r="Q2691" s="110" t="str">
        <f ca="1">IF($Q2690&lt;&gt;"",IF($B2688&lt;&gt;"Missing Player",IF($Q2690="W",IF(SUM(IF($H2690&gt;$H2688,1,0),IF($I2690&gt;$I2688,1,0),IF($J2690&gt;$J2688,1,0),IF($K2690&gt;$K2688,1,0),IF($L2690&gt;$L2688,1,0))&lt;&gt;3,"Error",""),""),""),"")</f>
        <v/>
      </c>
      <c r="R2691" s="85"/>
      <c r="S2691" s="95"/>
      <c r="T2691" s="95"/>
      <c r="U2691" s="95"/>
      <c r="V2691" s="95"/>
      <c r="W2691" s="95"/>
      <c r="X2691" s="95"/>
      <c r="Y2691" s="85"/>
      <c r="Z2691" s="85"/>
      <c r="AA2691" s="85"/>
      <c r="AB2691" s="85"/>
      <c r="AC2691" s="85"/>
      <c r="AD2691" s="85"/>
      <c r="AE2691" s="85"/>
      <c r="AF2691" s="85"/>
    </row>
    <row r="2692" spans="1:32" ht="12.75" customHeight="1" x14ac:dyDescent="0.25">
      <c r="B2692" s="111" t="str">
        <f ca="1">IF(ISERROR(VLOOKUP($B2667&amp;"("&amp;$B2661&amp;")",Players!$S$4:$T$132,2,FALSE)),"",VLOOKUP($B2667&amp;"("&amp;$B2661&amp;")",Players!$S$4:$T$132,2,FALSE))</f>
        <v>H1</v>
      </c>
      <c r="C2692" s="111" t="str">
        <f ca="1">IF(ISERROR(VLOOKUP($B2674&amp;"("&amp;$B2661&amp;")",Players!$S$4:$T$132,2,FALSE)),"",VLOOKUP($B2674&amp;"("&amp;$B2661&amp;")",Players!$S$4:$T$132,2,FALSE))</f>
        <v>H1</v>
      </c>
      <c r="D2692" s="111" t="str">
        <f ca="1">IF(ISERROR(VLOOKUP($B2681&amp;"("&amp;$B2661&amp;")",Players!$S$4:$T$132,2,FALSE)),"",VLOOKUP($B2681&amp;"("&amp;$B2661&amp;")",Players!$S$4:$T$132,2,FALSE))</f>
        <v>H1</v>
      </c>
      <c r="E2692" s="111" t="str">
        <f ca="1">IF(ISERROR(VLOOKUP($B2688&amp;"("&amp;$B2661&amp;")",Players!$S$4:$T$132,2,FALSE)),"",VLOOKUP($B2688&amp;"("&amp;$B2661&amp;")",Players!$S$4:$T$132,2,FALSE))</f>
        <v>H1</v>
      </c>
      <c r="F2692" s="111" t="str">
        <f ca="1">IF(ISERROR(VLOOKUP($B2669&amp;"("&amp;$K2661&amp;")",Players!$S$4:$T$132,2,FALSE)),"",VLOOKUP($B2669&amp;"("&amp;$K2661&amp;")",Players!$S$4:$T$132,2,FALSE))</f>
        <v>K1</v>
      </c>
      <c r="G2692" s="111" t="str">
        <f ca="1">IF(ISERROR(VLOOKUP($B2676&amp;"("&amp;$K2661&amp;")",Players!$S$4:$T$132,2,FALSE)),"",VLOOKUP($B2676&amp;"("&amp;$K2661&amp;")",Players!$S$4:$T$132,2,FALSE))</f>
        <v>K1</v>
      </c>
      <c r="H2692" s="111" t="str">
        <f ca="1">IF(ISERROR(VLOOKUP($B2683&amp;"("&amp;$K2661&amp;")",Players!$S$4:$T$132,2,FALSE)),"",VLOOKUP($B2683&amp;"("&amp;$K2661&amp;")",Players!$S$4:$T$132,2,FALSE))</f>
        <v>K1</v>
      </c>
      <c r="I2692" s="111" t="str">
        <f ca="1">IF(ISERROR(VLOOKUP($B2690&amp;"("&amp;$K2661&amp;")",Players!$S$4:$T$132,2,FALSE)),"",VLOOKUP($B2690&amp;"("&amp;$K2661&amp;")",Players!$S$4:$T$132,2,FALSE))</f>
        <v>K1</v>
      </c>
      <c r="Q2692" s="6"/>
      <c r="R2692" s="37"/>
      <c r="S2692" s="95"/>
      <c r="T2692" s="95"/>
      <c r="U2692" s="95"/>
      <c r="V2692" s="95"/>
      <c r="W2692" s="95"/>
      <c r="X2692" s="95"/>
      <c r="Y2692" s="85"/>
      <c r="Z2692" s="85"/>
      <c r="AA2692" s="85"/>
      <c r="AB2692" s="85"/>
      <c r="AC2692" s="96"/>
      <c r="AD2692" s="97"/>
      <c r="AE2692" s="85"/>
      <c r="AF2692" s="85"/>
    </row>
    <row r="2693" spans="1:32" ht="12.75" customHeight="1" x14ac:dyDescent="0.25">
      <c r="A2693" s="15" t="s">
        <v>157</v>
      </c>
      <c r="H2693" s="110" t="str">
        <f ca="1">IF($Q2695&lt;&gt;"",IF(AND($B2696&lt;&gt;"Missing Player",$B2698&lt;&gt;"Missing Player"),IF(AND(AND($H2695&gt;-1,$H2697&gt;-1),OR($H2695&gt;10,$H2697&gt;10),ABS($H2695-$H2697)&gt;1,IF(OR($H2695&gt;11,$H2697&gt;11),ABS($H2695-$H2697)=2,TRUE),$H2695=INT($H2695),$H2697=INT($H2697)),"","Error"),""),"")</f>
        <v/>
      </c>
      <c r="I2693" s="110" t="str">
        <f ca="1">IF($Q2695&lt;&gt;"",IF(AND($B2696&lt;&gt;"Missing Player",$B2698&lt;&gt;"Missing Player"),IF(AND(AND($I2695&gt;-1,$I2697&gt;-1),OR($I2695&gt;10,$I2697&gt;10),ABS($I2695-$I2697)&gt;1,IF(OR($I2695&gt;11,$I2697&gt;11),ABS($I2695-$I2697)=2,TRUE),$I2695=INT($I2695),$I2697=INT($I2697)),"","Error"),""),"")</f>
        <v/>
      </c>
      <c r="J2693" s="110" t="str">
        <f ca="1">IF($Q2695&lt;&gt;"",IF(AND($B2696&lt;&gt;"Missing Player",$B2698&lt;&gt;"Missing Player"),IF(AND(AND($J2695&gt;-1,$J2697&gt;-1),OR($J2695&gt;10,$J2697&gt;10),ABS($J2695-$J2697)&gt;1,IF(OR($J2695&gt;11,$J2697&gt;11),ABS($J2695-$J2697)=2,TRUE),$J2695=INT($J2695),$J2697=INT($J2697)),"","Error"),""),"")</f>
        <v/>
      </c>
      <c r="K2693" s="110" t="str">
        <f ca="1">IF($Q2695&lt;&gt;"",IF(AND($K2695&lt;&gt;"",$K2697&lt;&gt;""), IF(AND(AND($K2695&gt;-1,$K2697&gt;-1),OR($K2695&gt;10,$K2697&gt;10),ABS($K2695-$K2697)&gt;1,IF(OR($K2695&gt;11,$K2697&gt;11),ABS($K2695-$K2697)=2,TRUE),$K2695=INT($K2695),$K2697=INT($K2697)),"","Error"),""),"")</f>
        <v/>
      </c>
      <c r="L2693" s="110" t="str">
        <f ca="1">IF($Q2695&lt;&gt;"",IF(AND($L2695&lt;&gt;"",$L2697&lt;&gt;""), IF(AND(AND($L2695&gt;-1,$L2697&gt;-1),OR($L2695&gt;10,$L2697&gt;10),ABS($L2695-$L2697)&gt;1,IF(OR($L2695&gt;11,$L2697&gt;11),ABS($L2695-$L2697)=2,TRUE),$L2695=INT($L2695),$L2697=INT($L2697)),"","Error"),""),"")</f>
        <v/>
      </c>
      <c r="Q2693" s="6"/>
      <c r="R2693" s="85"/>
      <c r="S2693" s="95"/>
      <c r="T2693" s="95"/>
      <c r="U2693" s="95"/>
      <c r="V2693" s="95"/>
      <c r="W2693" s="95"/>
      <c r="X2693" s="95"/>
      <c r="Y2693" s="85"/>
      <c r="Z2693" s="85"/>
      <c r="AA2693" s="85"/>
      <c r="AB2693" s="85"/>
      <c r="AC2693" s="85"/>
      <c r="AD2693" s="85"/>
      <c r="AE2693" s="85"/>
      <c r="AF2693" s="85"/>
    </row>
    <row r="2694" spans="1:32" ht="12.75" customHeight="1" x14ac:dyDescent="0.25">
      <c r="A2694" s="5" t="s">
        <v>160</v>
      </c>
      <c r="B2694" s="256" t="s">
        <v>58</v>
      </c>
      <c r="C2694" s="257"/>
      <c r="D2694" s="257"/>
      <c r="E2694" s="257"/>
      <c r="F2694" s="257"/>
      <c r="G2694" s="258"/>
      <c r="H2694" s="5">
        <v>1</v>
      </c>
      <c r="I2694" s="5">
        <v>2</v>
      </c>
      <c r="J2694" s="5">
        <v>3</v>
      </c>
      <c r="K2694" s="5">
        <v>4</v>
      </c>
      <c r="L2694" s="5">
        <v>5</v>
      </c>
      <c r="M2694" s="270"/>
      <c r="N2694" s="271"/>
      <c r="O2694" s="271"/>
      <c r="P2694" s="272"/>
      <c r="Q2694" s="6"/>
      <c r="T2694" s="7"/>
    </row>
    <row r="2695" spans="1:32" ht="12.75" customHeight="1" x14ac:dyDescent="0.25">
      <c r="A2695" s="259" t="str">
        <f>B2661</f>
        <v>H</v>
      </c>
      <c r="B2695" s="230" t="str">
        <f ca="1">IF($B2667&lt;&gt;"",$B2667,"")</f>
        <v/>
      </c>
      <c r="C2695" s="231"/>
      <c r="D2695" s="231"/>
      <c r="E2695" s="231"/>
      <c r="F2695" s="231"/>
      <c r="G2695" s="232"/>
      <c r="H2695" s="233"/>
      <c r="I2695" s="233"/>
      <c r="J2695" s="233"/>
      <c r="K2695" s="233"/>
      <c r="L2695" s="233" t="str">
        <f ca="1">IF($B2688&lt;&gt;"",IF(AND($B2688="Missing Player",$G2699=2,$J2699=2),0,IF(AND($B2690="Missing Player",$G2699=2,$J2699=2),11,"")),"")</f>
        <v/>
      </c>
      <c r="M2695" s="245" t="str">
        <f ca="1">IF(OR(AND($B2695&lt;&gt;"",$B2696&lt;&gt;"",$B2695=$B2696),AND($B2697&lt;&gt;"",$B2698&lt;&gt;"",$B2697=$B2698)),"Invalid Partner","")</f>
        <v/>
      </c>
      <c r="N2695" s="246"/>
      <c r="O2695" s="246"/>
      <c r="P2695" s="247"/>
      <c r="Q2695" s="37" t="str">
        <f ca="1">IF(L2695=L2697,IF(K2695=K2697,IF(J2695&lt;&gt;"",IF(J2695&gt;J2697,"W","L"),""),IF(K2695&gt;K2697,"W","L")),IF(L2695&gt;L2697,"W","L"))</f>
        <v/>
      </c>
      <c r="T2695" s="7"/>
    </row>
    <row r="2696" spans="1:32" ht="12.75" customHeight="1" x14ac:dyDescent="0.25">
      <c r="A2696" s="260"/>
      <c r="B2696" s="266" t="str">
        <f ca="1">IF($B2688="Missing Player",$B2688,"")</f>
        <v/>
      </c>
      <c r="C2696" s="267"/>
      <c r="D2696" s="267"/>
      <c r="E2696" s="267"/>
      <c r="F2696" s="267"/>
      <c r="G2696" s="268"/>
      <c r="H2696" s="234"/>
      <c r="I2696" s="234"/>
      <c r="J2696" s="234"/>
      <c r="K2696" s="234"/>
      <c r="L2696" s="234"/>
      <c r="M2696" s="245"/>
      <c r="N2696" s="246"/>
      <c r="O2696" s="246"/>
      <c r="P2696" s="247"/>
      <c r="Q2696" s="110" t="str">
        <f ca="1">IF($Q2695&lt;&gt;"",IF($B2698&lt;&gt;"Missing Player",IF($Q2695="W",IF(SUM(IF($H2695&gt;$H2697,1,0),IF($I2695&gt;$I2697,1,0),IF($J2695&gt;$J2697,1,0),IF($K2695&gt;$K2697,1,0),IF($L2695&gt;$L2697,1,0))&lt;&gt;3,"Error",""),""),""),"")</f>
        <v/>
      </c>
      <c r="R2696" s="295" t="str">
        <f>$A2662</f>
        <v/>
      </c>
      <c r="S2696" s="295"/>
      <c r="T2696" s="295"/>
      <c r="U2696" s="295"/>
      <c r="V2696" s="295"/>
      <c r="W2696" s="295"/>
      <c r="X2696" s="219" t="str">
        <f>CONCATENATE("(",$B2661," vs ",$K2661,")")</f>
        <v>(H vs K)</v>
      </c>
      <c r="Y2696" s="219"/>
      <c r="Z2696" s="295" t="str">
        <f>$J2662</f>
        <v/>
      </c>
      <c r="AA2696" s="295"/>
      <c r="AB2696" s="295"/>
      <c r="AC2696" s="295"/>
      <c r="AD2696" s="295"/>
      <c r="AE2696" s="295"/>
      <c r="AF2696"/>
    </row>
    <row r="2697" spans="1:32" ht="12.75" customHeight="1" x14ac:dyDescent="0.25">
      <c r="A2697" s="265" t="str">
        <f>K2661</f>
        <v>K</v>
      </c>
      <c r="B2697" s="230" t="str">
        <f ca="1">IF($B2669&lt;&gt;"",$B2669,"")</f>
        <v/>
      </c>
      <c r="C2697" s="231"/>
      <c r="D2697" s="231"/>
      <c r="E2697" s="231"/>
      <c r="F2697" s="231"/>
      <c r="G2697" s="232"/>
      <c r="H2697" s="233"/>
      <c r="I2697" s="233"/>
      <c r="J2697" s="233"/>
      <c r="K2697" s="233"/>
      <c r="L2697" s="233" t="str">
        <f ca="1">IF($B2690&lt;&gt;"",IF(AND($B2690="Missing Player",$G2699=2,$J2699=2),0,IF(AND($B2688="Missing Player",$G2699=2,$J2699=2),11,"")),"")</f>
        <v/>
      </c>
      <c r="M2697" s="250" t="s">
        <v>169</v>
      </c>
      <c r="N2697" s="251"/>
      <c r="O2697" s="251"/>
      <c r="P2697" s="252"/>
      <c r="Q2697" s="37" t="str">
        <f ca="1">IF(Q2695&lt;&gt;"",IF(Q2695="W","L","W"),"")</f>
        <v/>
      </c>
      <c r="R2697"/>
      <c r="S2697"/>
      <c r="T2697"/>
      <c r="U2697"/>
      <c r="V2697"/>
      <c r="W2697"/>
      <c r="X2697"/>
      <c r="Y2697"/>
      <c r="Z2697"/>
      <c r="AA2697"/>
      <c r="AB2697"/>
      <c r="AC2697"/>
      <c r="AD2697"/>
      <c r="AE2697"/>
      <c r="AF2697"/>
    </row>
    <row r="2698" spans="1:32" ht="12.75" customHeight="1" x14ac:dyDescent="0.25">
      <c r="A2698" s="260"/>
      <c r="B2698" s="266" t="str">
        <f ca="1">IF($B2690="Missing Player",$B2690,"")</f>
        <v/>
      </c>
      <c r="C2698" s="267"/>
      <c r="D2698" s="267"/>
      <c r="E2698" s="267"/>
      <c r="F2698" s="267"/>
      <c r="G2698" s="268"/>
      <c r="H2698" s="234"/>
      <c r="I2698" s="234"/>
      <c r="J2698" s="235"/>
      <c r="K2698" s="235"/>
      <c r="L2698" s="235"/>
      <c r="M2698" s="250"/>
      <c r="N2698" s="251"/>
      <c r="O2698" s="251"/>
      <c r="P2698" s="252"/>
      <c r="Q2698" s="110" t="str">
        <f ca="1">IF($Q2697&lt;&gt;"",IF($B2696&lt;&gt;"Missing Player",IF($Q2697="W",IF(SUM(IF($H2697&gt;$H2695,1,0),IF($I2697&gt;$I2695,1,0),IF($J2697&gt;$J2695,1,0),IF($K2697&gt;$K2695,1,0),IF($L2697&gt;$L2695,1,0))&lt;&gt;3,"Error",""),""),""),"")</f>
        <v/>
      </c>
      <c r="R2698" t="str">
        <f>A2686</f>
        <v>4th Singles</v>
      </c>
      <c r="S2698"/>
      <c r="T2698"/>
      <c r="U2698"/>
      <c r="V2698"/>
      <c r="W2698"/>
      <c r="X2698"/>
      <c r="Y2698"/>
      <c r="Z2698"/>
      <c r="AA2698"/>
      <c r="AB2698"/>
      <c r="AC2698"/>
      <c r="AD2698"/>
      <c r="AE2698"/>
      <c r="AF2698"/>
    </row>
    <row r="2699" spans="1:32" ht="12.75" customHeight="1" x14ac:dyDescent="0.25">
      <c r="G2699" s="53">
        <f ca="1">COUNTIF($Q2667:$Q2667,"W")+COUNTIF($Q2674:$Q2674,"W")+COUNTIF($Q2681:$Q2681,"W")+COUNTIF($Q2688:$Q2688,"W")</f>
        <v>0</v>
      </c>
      <c r="J2699" s="53">
        <f ca="1">COUNTIF($Q2669:$Q2669,"W")+COUNTIF($Q2676:$Q2676,"W")+COUNTIF($Q2683:$Q2683,"W")+COUNTIF($Q2690:$Q2690,"W")</f>
        <v>0</v>
      </c>
      <c r="R2699" s="47" t="s">
        <v>160</v>
      </c>
      <c r="S2699" s="304" t="s">
        <v>58</v>
      </c>
      <c r="T2699" s="305"/>
      <c r="U2699" s="305"/>
      <c r="V2699" s="305"/>
      <c r="W2699" s="305"/>
      <c r="X2699" s="306"/>
      <c r="Y2699" s="47">
        <v>1</v>
      </c>
      <c r="Z2699" s="47">
        <v>2</v>
      </c>
      <c r="AA2699" s="47">
        <v>3</v>
      </c>
      <c r="AB2699" s="47">
        <v>4</v>
      </c>
      <c r="AC2699" s="47">
        <v>5</v>
      </c>
      <c r="AD2699" s="286"/>
      <c r="AE2699" s="287"/>
      <c r="AF2699" s="288"/>
    </row>
    <row r="2700" spans="1:32" ht="12.75" customHeight="1" thickBot="1" x14ac:dyDescent="0.3">
      <c r="F2700" s="212" t="s">
        <v>170</v>
      </c>
      <c r="G2700" s="212"/>
      <c r="H2700" s="212"/>
      <c r="I2700" s="212"/>
      <c r="J2700" s="212"/>
      <c r="K2700" s="212"/>
      <c r="R2700" s="259" t="str">
        <f>B2661</f>
        <v>H</v>
      </c>
      <c r="S2700" s="307" t="str">
        <f ca="1">IF($B2688&lt;&gt;"",$B2688,"")</f>
        <v/>
      </c>
      <c r="T2700" s="308"/>
      <c r="U2700" s="308"/>
      <c r="V2700" s="308"/>
      <c r="W2700" s="308"/>
      <c r="X2700" s="309"/>
      <c r="Y2700" s="284"/>
      <c r="Z2700" s="284"/>
      <c r="AA2700" s="297"/>
      <c r="AB2700" s="297"/>
      <c r="AC2700" s="297"/>
      <c r="AD2700" s="296"/>
      <c r="AE2700" s="298"/>
      <c r="AF2700" s="299"/>
    </row>
    <row r="2701" spans="1:32" ht="12.75" customHeight="1" x14ac:dyDescent="0.25">
      <c r="A2701" s="16"/>
      <c r="B2701" s="16"/>
      <c r="C2701" s="16"/>
      <c r="D2701" s="16"/>
      <c r="E2701" s="16"/>
      <c r="G2701" s="261" t="str">
        <f>B2661</f>
        <v>H</v>
      </c>
      <c r="H2701" s="262"/>
      <c r="I2701" s="263" t="str">
        <f>K2661</f>
        <v>K</v>
      </c>
      <c r="J2701" s="264"/>
      <c r="L2701" s="16"/>
      <c r="M2701" s="16"/>
      <c r="N2701" s="16"/>
      <c r="O2701" s="16"/>
      <c r="P2701" s="16"/>
      <c r="R2701" s="260"/>
      <c r="S2701" s="310"/>
      <c r="T2701" s="311"/>
      <c r="U2701" s="311"/>
      <c r="V2701" s="311"/>
      <c r="W2701" s="311"/>
      <c r="X2701" s="312"/>
      <c r="Y2701" s="285"/>
      <c r="Z2701" s="285"/>
      <c r="AA2701" s="303"/>
      <c r="AB2701" s="303"/>
      <c r="AC2701" s="303"/>
      <c r="AD2701" s="300"/>
      <c r="AE2701" s="301"/>
      <c r="AF2701" s="302"/>
    </row>
    <row r="2702" spans="1:32" ht="12.75" customHeight="1" thickBot="1" x14ac:dyDescent="0.3">
      <c r="A2702" s="2" t="s">
        <v>160</v>
      </c>
      <c r="B2702" s="40" t="str">
        <f>B2661</f>
        <v>H</v>
      </c>
      <c r="C2702" s="3" t="s">
        <v>158</v>
      </c>
      <c r="F2702" s="53" t="str">
        <f>CONCATENATE($B2661,"-",$K2661)</f>
        <v>H-K</v>
      </c>
      <c r="G2702" s="240" t="str">
        <f ca="1">IF(OR(Q2667&lt;&gt;"",Q2674&lt;&gt;"",Q2681&lt;&gt;"",Q2688&lt;&gt;"",Q2695&lt;&gt;""),COUNTIF(Q2667:Q2667,"W")+COUNTIF(Q2674:Q2674,"W")+COUNTIF(Q2681:Q2681,"W")+COUNTIF(Q2688:Q2688,"W")+COUNTIF(Q2695:Q2695,"W"),"")</f>
        <v/>
      </c>
      <c r="H2702" s="241"/>
      <c r="I2702" s="242" t="str">
        <f ca="1">IF(OR(Q2669&lt;&gt;"",Q2676&lt;&gt;"",Q2683&lt;&gt;"",Q2690&lt;&gt;"",Q2697&lt;&gt;""),COUNTIF(Q2669:Q2669,"W")+COUNTIF(Q2676:Q2676,"W")+COUNTIF(Q2683:Q2683,"W")+COUNTIF(Q2690:Q2690,"W")+COUNTIF(Q2697:Q2697,"W"),"")</f>
        <v/>
      </c>
      <c r="J2702" s="243"/>
      <c r="L2702" s="2" t="s">
        <v>160</v>
      </c>
      <c r="M2702" s="40" t="str">
        <f>K2661</f>
        <v>K</v>
      </c>
      <c r="N2702" s="3" t="s">
        <v>158</v>
      </c>
      <c r="R2702" s="259" t="str">
        <f>K2661</f>
        <v>K</v>
      </c>
      <c r="S2702" s="307" t="str">
        <f ca="1">IF($B2690&lt;&gt;"",$B2690,"")</f>
        <v/>
      </c>
      <c r="T2702" s="308"/>
      <c r="U2702" s="308"/>
      <c r="V2702" s="308"/>
      <c r="W2702" s="308"/>
      <c r="X2702" s="309"/>
      <c r="Y2702" s="284"/>
      <c r="Z2702" s="284"/>
      <c r="AA2702" s="297"/>
      <c r="AB2702" s="297"/>
      <c r="AC2702" s="297"/>
      <c r="AD2702" s="289" t="s">
        <v>169</v>
      </c>
      <c r="AE2702" s="290"/>
      <c r="AF2702" s="291"/>
    </row>
    <row r="2703" spans="1:32" ht="12.75" customHeight="1" x14ac:dyDescent="0.35">
      <c r="F2703" s="18" t="s">
        <v>403</v>
      </c>
      <c r="G2703" s="17"/>
      <c r="H2703" s="17"/>
      <c r="I2703" s="17"/>
      <c r="J2703" s="17"/>
      <c r="R2703" s="285"/>
      <c r="S2703" s="310"/>
      <c r="T2703" s="311"/>
      <c r="U2703" s="311"/>
      <c r="V2703" s="311"/>
      <c r="W2703" s="311"/>
      <c r="X2703" s="312"/>
      <c r="Y2703" s="285"/>
      <c r="Z2703" s="285"/>
      <c r="AA2703" s="285"/>
      <c r="AB2703" s="285"/>
      <c r="AC2703" s="285"/>
      <c r="AD2703" s="292"/>
      <c r="AE2703" s="293"/>
      <c r="AF2703" s="294"/>
    </row>
    <row r="2704" spans="1:32" ht="12.75" customHeight="1" x14ac:dyDescent="0.25">
      <c r="R2704" s="1"/>
      <c r="S2704" s="11"/>
      <c r="T2704" s="11"/>
      <c r="U2704" s="11"/>
      <c r="V2704" s="11"/>
      <c r="W2704" s="11"/>
    </row>
    <row r="2705" spans="1:32" ht="12.75" customHeight="1" x14ac:dyDescent="0.25">
      <c r="F2705" s="212"/>
      <c r="G2705" s="212"/>
      <c r="H2705" s="212"/>
      <c r="I2705" s="212"/>
      <c r="R2705" s="1"/>
      <c r="S2705" s="11"/>
      <c r="T2705" s="11"/>
      <c r="U2705" s="11"/>
      <c r="V2705" s="11"/>
      <c r="W2705" s="11"/>
    </row>
    <row r="2706" spans="1:32" ht="12.75" customHeight="1" x14ac:dyDescent="0.25">
      <c r="F2706" s="212"/>
      <c r="G2706" s="212"/>
      <c r="H2706" s="212"/>
      <c r="I2706" s="212"/>
      <c r="R2706" s="1"/>
      <c r="S2706" s="11"/>
      <c r="T2706" s="11"/>
      <c r="U2706" s="11"/>
      <c r="V2706" s="11"/>
      <c r="W2706" s="11"/>
    </row>
    <row r="2707" spans="1:32" ht="12.75" customHeight="1" x14ac:dyDescent="0.25">
      <c r="K2707" s="219" t="s">
        <v>176</v>
      </c>
      <c r="L2707" s="219"/>
      <c r="M2707" s="219"/>
      <c r="N2707" s="219"/>
      <c r="O2707" s="219"/>
      <c r="P2707" s="219"/>
      <c r="R2707" s="1"/>
      <c r="S2707" s="11"/>
      <c r="T2707" s="11"/>
      <c r="U2707" s="11"/>
      <c r="V2707" s="11"/>
      <c r="W2707" s="11"/>
    </row>
    <row r="2708" spans="1:32" ht="12.75" customHeight="1" x14ac:dyDescent="0.25">
      <c r="A2708" s="9" t="s">
        <v>161</v>
      </c>
      <c r="B2708"/>
      <c r="C2708"/>
      <c r="D2708" t="str">
        <f>Draw!$B$1</f>
        <v>Enter Division Name</v>
      </c>
      <c r="E2708"/>
      <c r="F2708" s="6"/>
      <c r="G2708" s="6"/>
      <c r="H2708" s="6"/>
      <c r="I2708"/>
      <c r="J2708"/>
      <c r="K2708"/>
      <c r="L2708"/>
      <c r="M2708" s="219"/>
      <c r="N2708" s="219"/>
      <c r="O2708" s="219"/>
      <c r="P2708" s="219"/>
      <c r="R2708" s="1"/>
      <c r="S2708" s="11"/>
      <c r="T2708" s="11"/>
      <c r="U2708" s="11"/>
      <c r="V2708" s="11"/>
      <c r="W2708" s="11"/>
    </row>
    <row r="2709" spans="1:32" ht="12.75" customHeight="1" x14ac:dyDescent="0.25">
      <c r="A2709" s="2" t="s">
        <v>162</v>
      </c>
      <c r="D2709" t="str">
        <f>Draw!$D$1</f>
        <v>Enter Hosting Location (City, ST)</v>
      </c>
      <c r="J2709" t="str">
        <f ca="1">$J$6</f>
        <v>[NCTTA Teams Template (v3.4).xlsx]</v>
      </c>
      <c r="R2709" s="1"/>
      <c r="S2709" s="11"/>
      <c r="T2709" s="11"/>
      <c r="U2709" s="11"/>
      <c r="V2709" s="11"/>
      <c r="W2709" s="11"/>
    </row>
    <row r="2710" spans="1:32" ht="12.75" customHeight="1" x14ac:dyDescent="0.25">
      <c r="A2710" s="2" t="s">
        <v>163</v>
      </c>
      <c r="D2710" s="275" t="str">
        <f>Draw!$P$1</f>
        <v>Enter Date</v>
      </c>
      <c r="E2710" s="275"/>
      <c r="F2710" s="275"/>
      <c r="G2710" s="275"/>
      <c r="J2710" s="244" t="str">
        <f>CHOOSE(Draw!$T$1,"Round 9, Match 6","","","","","","","","","","Round 11, Match 4")</f>
        <v>Round 9, Match 6</v>
      </c>
      <c r="K2710" s="244"/>
      <c r="L2710" s="244"/>
      <c r="M2710" s="277" t="str">
        <f>IF(AND($J2710&lt;&gt;"",Draw!$AC$10&lt;&gt;"",Draw!$AC$13&lt;&gt;""),Draw!$AC$10+TIME(0,VALUE(MID($J2710,7,FIND(",",$J2710)-FIND(" ",$J2710)-1)-1)*Draw!$AC$13,0),"")</f>
        <v/>
      </c>
      <c r="N2710" s="277"/>
      <c r="O2710" s="125" t="str">
        <f>$F2753</f>
        <v>I-J</v>
      </c>
      <c r="R2710" s="1"/>
      <c r="S2710" s="11"/>
      <c r="T2710" s="11"/>
      <c r="U2710" s="11"/>
      <c r="V2710" s="11"/>
      <c r="W2710" s="11"/>
    </row>
    <row r="2711" spans="1:32" ht="12.75" customHeight="1" x14ac:dyDescent="0.25">
      <c r="A2711" s="6"/>
      <c r="B2711"/>
      <c r="C2711"/>
      <c r="D2711"/>
      <c r="E2711"/>
      <c r="F2711" s="6"/>
      <c r="G2711" s="6"/>
      <c r="H2711" s="11"/>
      <c r="I2711" s="6"/>
      <c r="J2711"/>
      <c r="K2711"/>
      <c r="L2711"/>
      <c r="M2711"/>
      <c r="N2711"/>
      <c r="O2711" s="269" t="str">
        <f>IF(OR(AND(VLOOKUP($B2712,$AM$1:$AX$12,12,FALSE)="C",VLOOKUP($K2712,$AM$1:$AX$12,12,FALSE)="C"),AND(VLOOKUP($B2712,$AM$1:$AX$12,12,FALSE)="W",VLOOKUP($K2712,$AM$1:$AX$12,12,FALSE)="W")),"Official",IF(AND($A2713="",$J2713=""),"","Scrimmage"))</f>
        <v/>
      </c>
      <c r="P2711" s="269"/>
      <c r="R2711" s="1"/>
      <c r="S2711" s="11"/>
      <c r="T2711" s="11"/>
      <c r="U2711" s="11"/>
      <c r="V2711" s="11"/>
      <c r="W2711" s="11"/>
    </row>
    <row r="2712" spans="1:32" ht="12.75" customHeight="1" x14ac:dyDescent="0.25">
      <c r="A2712" s="12" t="s">
        <v>160</v>
      </c>
      <c r="B2712" s="98" t="str">
        <f>CHOOSE(Draw!$T$1,"I","D","E","F","G","G","G","G","F","E","E")</f>
        <v>I</v>
      </c>
      <c r="C2712" s="109">
        <f>VLOOKUP($B2712,$AM$1:$AN$12,2)</f>
        <v>9</v>
      </c>
      <c r="D2712" s="10"/>
      <c r="E2712" s="10"/>
      <c r="F2712" s="8"/>
      <c r="H2712" s="1" t="s">
        <v>164</v>
      </c>
      <c r="J2712" s="12" t="s">
        <v>160</v>
      </c>
      <c r="K2712" s="98" t="str">
        <f>CHOOSE(Draw!$T$1,"J","L","L","I","J","J","J","J","L","K","K")</f>
        <v>J</v>
      </c>
      <c r="L2712" s="109">
        <f>VLOOKUP($K2712,$AM$1:$AN$12,2)</f>
        <v>10</v>
      </c>
      <c r="M2712" s="10"/>
      <c r="N2712" s="10"/>
      <c r="O2712" s="13"/>
      <c r="R2712" s="1"/>
      <c r="S2712" s="11"/>
      <c r="T2712" s="11"/>
      <c r="U2712" s="11"/>
      <c r="V2712" s="11"/>
      <c r="W2712" s="11"/>
    </row>
    <row r="2713" spans="1:32" ht="12.75" customHeight="1" x14ac:dyDescent="0.25">
      <c r="A2713" s="253" t="str">
        <f>IF(VLOOKUP($B2712,Draw!$A$4:$B$27,2)&lt;&gt;0,VLOOKUP($B2712,Draw!$A$4:$B$27,2),"")</f>
        <v/>
      </c>
      <c r="B2713" s="254"/>
      <c r="C2713" s="254"/>
      <c r="D2713" s="254"/>
      <c r="E2713" s="254"/>
      <c r="F2713" s="255"/>
      <c r="G2713" s="273" t="s">
        <v>457</v>
      </c>
      <c r="H2713" s="249"/>
      <c r="I2713" s="274"/>
      <c r="J2713" s="253" t="str">
        <f>IF(VLOOKUP($K2712,Draw!$A$4:$B$27,2)&lt;&gt;0,VLOOKUP($K2712,Draw!$A$4:$B$27,2),"")</f>
        <v/>
      </c>
      <c r="K2713" s="254"/>
      <c r="L2713" s="254"/>
      <c r="M2713" s="254"/>
      <c r="N2713" s="254"/>
      <c r="O2713" s="255"/>
      <c r="P2713"/>
      <c r="R2713" s="1"/>
      <c r="S2713" s="11"/>
      <c r="T2713" s="11"/>
      <c r="U2713" s="11"/>
      <c r="V2713" s="11"/>
      <c r="W2713" s="11"/>
    </row>
    <row r="2714" spans="1:32" ht="12.75" customHeight="1" x14ac:dyDescent="0.25">
      <c r="A2714" s="6"/>
      <c r="B2714"/>
      <c r="C2714"/>
      <c r="D2714"/>
      <c r="E2714"/>
      <c r="F2714" s="6"/>
      <c r="G2714" s="248" t="str">
        <f>"Page "&amp;VALUE(RIGHT($G2713,LEN($G2713)-SEARCH("-",$G2713)))/2</f>
        <v>Page 54</v>
      </c>
      <c r="H2714" s="249"/>
      <c r="I2714" s="249"/>
      <c r="J2714"/>
      <c r="K2714"/>
      <c r="L2714"/>
      <c r="M2714"/>
      <c r="N2714"/>
      <c r="O2714"/>
      <c r="P2714"/>
      <c r="R2714" s="1"/>
      <c r="S2714" s="11"/>
      <c r="T2714" s="11"/>
      <c r="U2714" s="11"/>
      <c r="V2714" s="11"/>
      <c r="W2714" s="11"/>
      <c r="AF2714"/>
    </row>
    <row r="2715" spans="1:32" ht="12.75" customHeight="1" x14ac:dyDescent="0.25">
      <c r="A2715" s="276" t="s">
        <v>177</v>
      </c>
      <c r="B2715" s="276"/>
      <c r="C2715" s="276"/>
      <c r="D2715" s="276"/>
      <c r="E2715" s="276"/>
      <c r="F2715" s="276"/>
      <c r="G2715" s="276"/>
      <c r="H2715" s="276"/>
      <c r="I2715" s="276"/>
      <c r="J2715" s="276"/>
      <c r="K2715" s="276"/>
      <c r="L2715" s="276"/>
      <c r="M2715" s="276"/>
      <c r="N2715" s="276"/>
      <c r="O2715" s="276"/>
      <c r="P2715" s="276"/>
      <c r="Q2715" s="6"/>
      <c r="R2715" s="1"/>
      <c r="S2715" s="11"/>
      <c r="T2715" s="11"/>
      <c r="U2715" s="11"/>
      <c r="V2715" s="11"/>
      <c r="W2715" s="11"/>
      <c r="AF2715" s="14"/>
    </row>
    <row r="2716" spans="1:32" ht="12.75" customHeight="1" x14ac:dyDescent="0.25">
      <c r="A2716" s="15" t="s">
        <v>165</v>
      </c>
      <c r="H2716" s="110" t="str">
        <f>IF($Q2718&lt;&gt;"",IF(AND(AND($H2718&gt;-1,$H2720&gt;-1),OR($H2718&gt;10,$H2720&gt;10),ABS($H2718-$H2720)&gt;1,IF(OR($H2718&gt;11,$H2720&gt;11),ABS($H2718-$H2720)=2,TRUE),$H2718=INT($H2718),$H2720=INT($H2720)),"","Error"),"")</f>
        <v/>
      </c>
      <c r="I2716" s="110" t="str">
        <f>IF($Q2718&lt;&gt;"",IF(AND(AND($I2718&gt;-1,$I2720&gt;-1),OR($I2718&gt;10,$I2720&gt;10),ABS($I2718-$I2720)&gt;1,IF(OR($I2718&gt;11,$I2720&gt;11),ABS($I2718-$I2720)=2,TRUE),$I2718=INT($I2718),$I2720=INT($I2720)),"","Error"),"")</f>
        <v/>
      </c>
      <c r="J2716" s="110" t="str">
        <f>IF($Q2718&lt;&gt;"",IF(AND(AND($J2718&gt;-1,$J2720&gt;-1),OR($J2718&gt;10,$J2720&gt;10),ABS($J2718-$J2720)&gt;1,IF(OR($J2718&gt;11,$J2720&gt;11),ABS($J2718-$J2720)=2,TRUE),$J2718=INT($J2718),$J2720=INT($J2720)),"","Error"),"")</f>
        <v/>
      </c>
      <c r="K2716" s="110" t="str">
        <f>IF($Q2718&lt;&gt;"",IF(AND($K2718&lt;&gt;"",$K2720&lt;&gt;""), IF(AND(AND($K2718&gt;-1,$K2720&gt;-1),OR($K2718&gt;10,$K2720&gt;10),ABS($K2718-$K2720)&gt;1,IF(OR($K2718&gt;11,$K2720&gt;11),ABS($K2718-$K2720)=2,TRUE),$K2718=INT($K2718),$K2720=INT($K2720)),"","Error"),""),"")</f>
        <v/>
      </c>
      <c r="L2716" s="110" t="str">
        <f>IF($Q2718&lt;&gt;"",IF(AND($L2718&lt;&gt;"",$L2720&lt;&gt;""), IF(AND(AND($L2718&gt;-1,$L2720&gt;-1),OR($L2718&gt;10,$L2720&gt;10),ABS($L2718-$L2720)&gt;1,IF(OR($L2718&gt;11,$L2720&gt;11),ABS($L2718-$L2720)=2,TRUE),$L2718=INT($L2718),$L2720=INT($L2720)),"","Error"),""),"")</f>
        <v/>
      </c>
      <c r="R2716" s="1"/>
      <c r="S2716" s="11"/>
      <c r="T2716" s="11"/>
      <c r="U2716" s="11"/>
      <c r="V2716" s="11"/>
      <c r="W2716" s="11"/>
    </row>
    <row r="2717" spans="1:32" ht="12.75" customHeight="1" x14ac:dyDescent="0.25">
      <c r="A2717" s="5" t="s">
        <v>160</v>
      </c>
      <c r="B2717" s="256" t="s">
        <v>58</v>
      </c>
      <c r="C2717" s="257"/>
      <c r="D2717" s="257"/>
      <c r="E2717" s="257"/>
      <c r="F2717" s="257"/>
      <c r="G2717" s="258"/>
      <c r="H2717" s="5">
        <v>1</v>
      </c>
      <c r="I2717" s="5">
        <v>2</v>
      </c>
      <c r="J2717" s="5">
        <v>3</v>
      </c>
      <c r="K2717" s="5">
        <v>4</v>
      </c>
      <c r="L2717" s="5">
        <v>5</v>
      </c>
      <c r="M2717" s="270"/>
      <c r="N2717" s="271"/>
      <c r="O2717" s="271"/>
      <c r="P2717" s="272"/>
      <c r="R2717" s="1"/>
      <c r="S2717" s="11"/>
      <c r="T2717" s="11"/>
      <c r="U2717" s="11"/>
      <c r="V2717" s="11"/>
      <c r="W2717" s="11"/>
    </row>
    <row r="2718" spans="1:32" ht="12.75" customHeight="1" x14ac:dyDescent="0.25">
      <c r="A2718" s="259" t="str">
        <f>B2712</f>
        <v>I</v>
      </c>
      <c r="B2718" s="236" t="str">
        <f ca="1">IF(AND(OFFSET($AO$1,$C2712-1,8,1,1),$A2713&lt;&gt;"",$J2713&lt;&gt;""),CHOOSE($C2712,$AO$1,$AO$2,$AO$3,$AO$4,$AO$5,$AO$6,$AO$7,$AO$8,$AO$9,$AO$10,$AO$11,$AO$12),"")</f>
        <v/>
      </c>
      <c r="C2718" s="237"/>
      <c r="D2718" s="237"/>
      <c r="E2718" s="237"/>
      <c r="F2718" s="237"/>
      <c r="G2718" s="237"/>
      <c r="H2718" s="233"/>
      <c r="I2718" s="233"/>
      <c r="J2718" s="233"/>
      <c r="K2718" s="233"/>
      <c r="L2718" s="233"/>
      <c r="M2718" s="281"/>
      <c r="N2718" s="282"/>
      <c r="O2718" s="282"/>
      <c r="P2718" s="283"/>
      <c r="Q2718" s="40" t="str">
        <f>IF($L2718=$L2720,IF($K2718=$K2720,IF($J2718&lt;&gt;"",IF($J2718&gt;$J2720,"W","L"),""),IF($K2718&gt;$K2720,"W","L")),IF($L2718&gt;$L2720,"W","L"))</f>
        <v/>
      </c>
      <c r="R2718" s="1"/>
      <c r="S2718" s="11"/>
      <c r="T2718" s="11"/>
      <c r="U2718" s="11"/>
      <c r="V2718" s="11"/>
      <c r="W2718" s="11"/>
    </row>
    <row r="2719" spans="1:32" ht="12.75" customHeight="1" x14ac:dyDescent="0.25">
      <c r="A2719" s="260"/>
      <c r="B2719" s="238"/>
      <c r="C2719" s="239"/>
      <c r="D2719" s="239"/>
      <c r="E2719" s="239"/>
      <c r="F2719" s="239"/>
      <c r="G2719" s="239"/>
      <c r="H2719" s="234"/>
      <c r="I2719" s="234"/>
      <c r="J2719" s="234"/>
      <c r="K2719" s="234"/>
      <c r="L2719" s="234"/>
      <c r="M2719" s="281"/>
      <c r="N2719" s="282"/>
      <c r="O2719" s="282"/>
      <c r="P2719" s="283"/>
      <c r="Q2719" s="110" t="str">
        <f>IF($Q2718&lt;&gt;"",IF($Q2718="W",IF(SUM(IF($H2718&gt;$H2720,1,0),IF($I2718&gt;$I2720,1,0),IF($J2718&gt;$J2720,1,0),IF($K2718&gt;$K2720,1,0),IF($L2718&gt;$L2720,1,0))&lt;&gt;3,"Error",""),""),"")</f>
        <v/>
      </c>
      <c r="R2719" s="295" t="str">
        <f>$A2713</f>
        <v/>
      </c>
      <c r="S2719" s="295"/>
      <c r="T2719" s="295"/>
      <c r="U2719" s="295"/>
      <c r="V2719" s="295"/>
      <c r="W2719" s="295"/>
      <c r="X2719" s="219" t="str">
        <f>CONCATENATE("(",$B2712," vs ",$K2712,")")</f>
        <v>(I vs J)</v>
      </c>
      <c r="Y2719" s="219"/>
      <c r="Z2719" s="295" t="str">
        <f>$J2713</f>
        <v/>
      </c>
      <c r="AA2719" s="295"/>
      <c r="AB2719" s="295"/>
      <c r="AC2719" s="295"/>
      <c r="AD2719" s="295"/>
      <c r="AE2719" s="295"/>
      <c r="AF2719"/>
    </row>
    <row r="2720" spans="1:32" ht="12.75" customHeight="1" x14ac:dyDescent="0.25">
      <c r="A2720" s="259" t="str">
        <f>K2712</f>
        <v>J</v>
      </c>
      <c r="B2720" s="236" t="str">
        <f ca="1">IF(AND(OFFSET($AO$1,$L2712-1,8,1,1),$A2713&lt;&gt;"",$J2713&lt;&gt;""),CHOOSE($L2712,$AO$1,$AO$2,$AO$3,$AO$4,$AO$5,$AO$6,$AO$7,$AO$8,$AO$9,$AO$10,$AO$11,$AO$12),"")</f>
        <v/>
      </c>
      <c r="C2720" s="237"/>
      <c r="D2720" s="237"/>
      <c r="E2720" s="237"/>
      <c r="F2720" s="237"/>
      <c r="G2720" s="237"/>
      <c r="H2720" s="233"/>
      <c r="I2720" s="233"/>
      <c r="J2720" s="233"/>
      <c r="K2720" s="233"/>
      <c r="L2720" s="233"/>
      <c r="M2720" s="250" t="s">
        <v>169</v>
      </c>
      <c r="N2720" s="251"/>
      <c r="O2720" s="251"/>
      <c r="P2720" s="252"/>
      <c r="Q2720" s="40" t="str">
        <f>IF($Q2718&lt;&gt;"",IF($Q2718="W","L","W"),"")</f>
        <v/>
      </c>
      <c r="R2720"/>
      <c r="S2720"/>
      <c r="T2720"/>
      <c r="U2720"/>
      <c r="V2720"/>
      <c r="W2720"/>
      <c r="X2720"/>
      <c r="Y2720"/>
      <c r="Z2720"/>
      <c r="AA2720"/>
      <c r="AB2720"/>
      <c r="AC2720"/>
      <c r="AD2720"/>
      <c r="AE2720"/>
      <c r="AF2720"/>
    </row>
    <row r="2721" spans="1:32" ht="12.75" customHeight="1" x14ac:dyDescent="0.25">
      <c r="A2721" s="260"/>
      <c r="B2721" s="238"/>
      <c r="C2721" s="239"/>
      <c r="D2721" s="239"/>
      <c r="E2721" s="239"/>
      <c r="F2721" s="239"/>
      <c r="G2721" s="239"/>
      <c r="H2721" s="234"/>
      <c r="I2721" s="234"/>
      <c r="J2721" s="235"/>
      <c r="K2721" s="235"/>
      <c r="L2721" s="235"/>
      <c r="M2721" s="250"/>
      <c r="N2721" s="251"/>
      <c r="O2721" s="251"/>
      <c r="P2721" s="252"/>
      <c r="Q2721" s="110" t="str">
        <f>IF($Q2720&lt;&gt;"",IF($Q2720="W",IF(SUM(IF($H2720&gt;$H2718,1,0),IF($I2720&gt;$I2718,1,0),IF($J2720&gt;$J2718,1,0),IF($K2720&gt;$K2718,1,0),IF($L2720&gt;$L2718,1,0))&lt;&gt;3,"Error",""),""),"")</f>
        <v/>
      </c>
      <c r="R2721" t="str">
        <f>$A2723</f>
        <v>2nd Singles</v>
      </c>
      <c r="S2721"/>
      <c r="T2721"/>
      <c r="U2721"/>
      <c r="V2721"/>
      <c r="W2721"/>
      <c r="X2721"/>
      <c r="Y2721"/>
      <c r="Z2721"/>
      <c r="AA2721"/>
      <c r="AB2721"/>
      <c r="AC2721"/>
      <c r="AD2721"/>
      <c r="AE2721"/>
      <c r="AF2721"/>
    </row>
    <row r="2722" spans="1:32" ht="12.75" customHeight="1" x14ac:dyDescent="0.25">
      <c r="Q2722" s="6"/>
      <c r="R2722" s="47" t="s">
        <v>160</v>
      </c>
      <c r="S2722" s="304" t="s">
        <v>58</v>
      </c>
      <c r="T2722" s="305"/>
      <c r="U2722" s="305"/>
      <c r="V2722" s="305"/>
      <c r="W2722" s="305"/>
      <c r="X2722" s="306"/>
      <c r="Y2722" s="47">
        <v>1</v>
      </c>
      <c r="Z2722" s="47">
        <v>2</v>
      </c>
      <c r="AA2722" s="47">
        <v>3</v>
      </c>
      <c r="AB2722" s="47">
        <v>4</v>
      </c>
      <c r="AC2722" s="47">
        <v>5</v>
      </c>
      <c r="AD2722" s="286"/>
      <c r="AE2722" s="287"/>
      <c r="AF2722" s="288"/>
    </row>
    <row r="2723" spans="1:32" ht="12.75" customHeight="1" x14ac:dyDescent="0.25">
      <c r="A2723" s="15" t="s">
        <v>166</v>
      </c>
      <c r="H2723" s="110" t="str">
        <f>IF($Q2725&lt;&gt;"",IF(AND(AND($H2725&gt;-1,$H2727&gt;-1),OR($H2725&gt;10,$H2727&gt;10),ABS($H2725-$H2727)&gt;1,IF(OR($H2725&gt;11,$H2727&gt;11),ABS($H2725-$H2727)=2,TRUE),$H2725=INT($H2725),$H2727=INT($H2727)),"","Error"),"")</f>
        <v/>
      </c>
      <c r="I2723" s="110" t="str">
        <f>IF($Q2725&lt;&gt;"",IF(AND(AND($I2725&gt;-1,$I2727&gt;-1),OR($I2725&gt;10,$I2727&gt;10),ABS($I2725-$I2727)&gt;1,IF(OR($I2725&gt;11,$I2727&gt;11),ABS($I2725-$I2727)=2,TRUE),$I2725=INT($I2725),$I2727=INT($I2727)),"","Error"),"")</f>
        <v/>
      </c>
      <c r="J2723" s="110" t="str">
        <f>IF($Q2725&lt;&gt;"",IF(AND(AND($J2725&gt;-1,$J2727&gt;-1),OR($J2725&gt;10,$J2727&gt;10),ABS($J2725-$J2727)&gt;1,IF(OR($J2725&gt;11,$J2727&gt;11),ABS($J2725-$J2727)=2,TRUE),$J2725=INT($J2725),$J2727=INT($J2727)),"","Error"),"")</f>
        <v/>
      </c>
      <c r="K2723" s="110" t="str">
        <f>IF($Q2725&lt;&gt;"",IF(AND($K2725&lt;&gt;"",$K2727&lt;&gt;""), IF(AND(AND($K2725&gt;-1,$K2727&gt;-1),OR($K2725&gt;10,$K2727&gt;10),ABS($K2725-$K2727)&gt;1,IF(OR($K2725&gt;11,$K2727&gt;11),ABS($K2725-$K2727)=2,TRUE),$K2725=INT($K2725),$K2727=INT($K2727)),"","Error"),""),"")</f>
        <v/>
      </c>
      <c r="L2723" s="110" t="str">
        <f>IF($Q2725&lt;&gt;"",IF(AND($L2725&lt;&gt;"",$L2727&lt;&gt;""), IF(AND(AND($L2725&gt;-1,$L2727&gt;-1),OR($L2725&gt;10,$L2727&gt;10),ABS($L2725-$L2727)&gt;1,IF(OR($L2725&gt;11,$L2727&gt;11),ABS($L2725-$L2727)=2,TRUE),$L2725=INT($L2725),$L2727=INT($L2727)),"","Error"),""),"")</f>
        <v/>
      </c>
      <c r="Q2723" s="6"/>
      <c r="R2723" s="259" t="str">
        <f>$B2712</f>
        <v>I</v>
      </c>
      <c r="S2723" s="307" t="str">
        <f ca="1">IF($B2725&lt;&gt;"",$B2725,"")</f>
        <v/>
      </c>
      <c r="T2723" s="308"/>
      <c r="U2723" s="308"/>
      <c r="V2723" s="308"/>
      <c r="W2723" s="308"/>
      <c r="X2723" s="309"/>
      <c r="Y2723" s="284"/>
      <c r="Z2723" s="284"/>
      <c r="AA2723" s="284"/>
      <c r="AB2723" s="284"/>
      <c r="AC2723" s="284"/>
      <c r="AD2723" s="296"/>
      <c r="AE2723" s="290"/>
      <c r="AF2723" s="291"/>
    </row>
    <row r="2724" spans="1:32" ht="12.75" customHeight="1" x14ac:dyDescent="0.25">
      <c r="A2724" s="5" t="s">
        <v>160</v>
      </c>
      <c r="B2724" s="256" t="s">
        <v>58</v>
      </c>
      <c r="C2724" s="257"/>
      <c r="D2724" s="257"/>
      <c r="E2724" s="257"/>
      <c r="F2724" s="257"/>
      <c r="G2724" s="258"/>
      <c r="H2724" s="5">
        <v>1</v>
      </c>
      <c r="I2724" s="5">
        <v>2</v>
      </c>
      <c r="J2724" s="5">
        <v>3</v>
      </c>
      <c r="K2724" s="5">
        <v>4</v>
      </c>
      <c r="L2724" s="5">
        <v>5</v>
      </c>
      <c r="M2724" s="270"/>
      <c r="N2724" s="271"/>
      <c r="O2724" s="271"/>
      <c r="P2724" s="272"/>
      <c r="Q2724" s="6"/>
      <c r="R2724" s="285"/>
      <c r="S2724" s="310"/>
      <c r="T2724" s="311"/>
      <c r="U2724" s="311"/>
      <c r="V2724" s="311"/>
      <c r="W2724" s="311"/>
      <c r="X2724" s="312"/>
      <c r="Y2724" s="285"/>
      <c r="Z2724" s="285"/>
      <c r="AA2724" s="285"/>
      <c r="AB2724" s="285"/>
      <c r="AC2724" s="285"/>
      <c r="AD2724" s="292"/>
      <c r="AE2724" s="293"/>
      <c r="AF2724" s="294"/>
    </row>
    <row r="2725" spans="1:32" ht="12.75" customHeight="1" x14ac:dyDescent="0.25">
      <c r="A2725" s="259" t="str">
        <f>B2712</f>
        <v>I</v>
      </c>
      <c r="B2725" s="236" t="str">
        <f ca="1">IF(AND(OFFSET($AO$1,$C2712-1,8,1,1),$A2713&lt;&gt;"",$J2713&lt;&gt;""),CHOOSE($C2712,$AP$1,$AP$2,$AP$3,$AP$4,$AP$5,$AP$6,$AP$7,$AP$8,$AP$9,$AP$10,$AP$11,$AP$12),"")</f>
        <v/>
      </c>
      <c r="C2725" s="237"/>
      <c r="D2725" s="237"/>
      <c r="E2725" s="237"/>
      <c r="F2725" s="237"/>
      <c r="G2725" s="237"/>
      <c r="H2725" s="233"/>
      <c r="I2725" s="233"/>
      <c r="J2725" s="233"/>
      <c r="K2725" s="233"/>
      <c r="L2725" s="233"/>
      <c r="M2725" s="245" t="str">
        <f ca="1">IF(OR(AND($B2718&lt;&gt;"",$B2725&lt;&gt;"",$C2743&lt;=$B2743),AND($B2720&lt;&gt;"",$B2727&lt;&gt;"",$G2743&lt;=$F2743)),"Invalid Lineup","")</f>
        <v/>
      </c>
      <c r="N2725" s="246"/>
      <c r="O2725" s="246"/>
      <c r="P2725" s="247"/>
      <c r="Q2725" s="40" t="str">
        <f>IF($L2725=$L2727,IF($K2725=$K2727,IF($J2725&lt;&gt;"",IF($J2725&gt;$J2727,"W","L"),""),IF($K2725&gt;$K2727,"W","L")),IF($L2725&gt;$L2727,"W","L"))</f>
        <v/>
      </c>
      <c r="R2725" s="259" t="str">
        <f>$K2712</f>
        <v>J</v>
      </c>
      <c r="S2725" s="307" t="str">
        <f ca="1">IF($B2727&lt;&gt;"",$B2727,"")</f>
        <v/>
      </c>
      <c r="T2725" s="308"/>
      <c r="U2725" s="308"/>
      <c r="V2725" s="308"/>
      <c r="W2725" s="308"/>
      <c r="X2725" s="309"/>
      <c r="Y2725" s="284"/>
      <c r="Z2725" s="284"/>
      <c r="AA2725" s="284"/>
      <c r="AB2725" s="284"/>
      <c r="AC2725" s="297"/>
      <c r="AD2725" s="289" t="s">
        <v>169</v>
      </c>
      <c r="AE2725" s="290"/>
      <c r="AF2725" s="291"/>
    </row>
    <row r="2726" spans="1:32" ht="12.75" customHeight="1" x14ac:dyDescent="0.25">
      <c r="A2726" s="260"/>
      <c r="B2726" s="238"/>
      <c r="C2726" s="239"/>
      <c r="D2726" s="239"/>
      <c r="E2726" s="239"/>
      <c r="F2726" s="239"/>
      <c r="G2726" s="239"/>
      <c r="H2726" s="234"/>
      <c r="I2726" s="234"/>
      <c r="J2726" s="234"/>
      <c r="K2726" s="234"/>
      <c r="L2726" s="234"/>
      <c r="M2726" s="245"/>
      <c r="N2726" s="246"/>
      <c r="O2726" s="246"/>
      <c r="P2726" s="247"/>
      <c r="Q2726" s="110" t="str">
        <f>IF($Q2725&lt;&gt;"",IF($Q2725="W",IF(SUM(IF($H2725&gt;$H2727,1,0),IF($I2725&gt;$I2727,1,0),IF($J2725&gt;$J2727,1,0),IF($K2725&gt;$K2727,1,0),IF($L2725&gt;$L2727,1,0))&lt;&gt;3,"Error",""),""),"")</f>
        <v/>
      </c>
      <c r="R2726" s="285"/>
      <c r="S2726" s="310"/>
      <c r="T2726" s="311"/>
      <c r="U2726" s="311"/>
      <c r="V2726" s="311"/>
      <c r="W2726" s="311"/>
      <c r="X2726" s="312"/>
      <c r="Y2726" s="285"/>
      <c r="Z2726" s="285"/>
      <c r="AA2726" s="285"/>
      <c r="AB2726" s="285"/>
      <c r="AC2726" s="285"/>
      <c r="AD2726" s="292"/>
      <c r="AE2726" s="293"/>
      <c r="AF2726" s="294"/>
    </row>
    <row r="2727" spans="1:32" ht="12.75" customHeight="1" x14ac:dyDescent="0.25">
      <c r="A2727" s="259" t="str">
        <f>K2712</f>
        <v>J</v>
      </c>
      <c r="B2727" s="236" t="str">
        <f ca="1">IF(AND(OFFSET($AO$1,$L2712-1,8,1,1),$A2713&lt;&gt;"",$J2713&lt;&gt;""),CHOOSE($L2712,$AP$1,$AP$2,$AP$3,$AP$4,$AP$5,$AP$6,$AP$7,$AP$8,$AP$9,$AP$10,$AP$11,$AP$12),"")</f>
        <v/>
      </c>
      <c r="C2727" s="237"/>
      <c r="D2727" s="237"/>
      <c r="E2727" s="237"/>
      <c r="F2727" s="237"/>
      <c r="G2727" s="237"/>
      <c r="H2727" s="233"/>
      <c r="I2727" s="233"/>
      <c r="J2727" s="233"/>
      <c r="K2727" s="233"/>
      <c r="L2727" s="233"/>
      <c r="M2727" s="250" t="s">
        <v>169</v>
      </c>
      <c r="N2727" s="251"/>
      <c r="O2727" s="251"/>
      <c r="P2727" s="252"/>
      <c r="Q2727" s="40" t="str">
        <f>IF($Q2725&lt;&gt;"",IF($Q2725="W","L","W"),"")</f>
        <v/>
      </c>
      <c r="R2727" s="14"/>
      <c r="S2727" s="14"/>
      <c r="T2727" s="14"/>
      <c r="U2727" s="14"/>
      <c r="V2727" s="14"/>
      <c r="W2727" s="14"/>
      <c r="X2727" s="7"/>
      <c r="Y2727" s="7"/>
      <c r="Z2727" s="14"/>
      <c r="AA2727" s="14"/>
      <c r="AB2727" s="14"/>
      <c r="AC2727" s="14"/>
      <c r="AD2727" s="14"/>
      <c r="AE2727" s="14"/>
      <c r="AF2727"/>
    </row>
    <row r="2728" spans="1:32" ht="12.75" customHeight="1" x14ac:dyDescent="0.25">
      <c r="A2728" s="260"/>
      <c r="B2728" s="238"/>
      <c r="C2728" s="239"/>
      <c r="D2728" s="239"/>
      <c r="E2728" s="239"/>
      <c r="F2728" s="239"/>
      <c r="G2728" s="239"/>
      <c r="H2728" s="234"/>
      <c r="I2728" s="234"/>
      <c r="J2728" s="235"/>
      <c r="K2728" s="235"/>
      <c r="L2728" s="235"/>
      <c r="M2728" s="250"/>
      <c r="N2728" s="251"/>
      <c r="O2728" s="251"/>
      <c r="P2728" s="252"/>
      <c r="Q2728" s="110" t="str">
        <f>IF($Q2727&lt;&gt;"",IF($Q2727="W",IF(SUM(IF($H2727&gt;$H2725,1,0),IF($I2727&gt;$I2725,1,0),IF($J2727&gt;$J2725,1,0),IF($K2727&gt;$K2725,1,0),IF($L2727&gt;$L2725,1,0))&lt;&gt;3,"Error",""),""),"")</f>
        <v/>
      </c>
      <c r="R2728" s="14"/>
      <c r="S2728" s="14"/>
      <c r="T2728" s="14"/>
      <c r="U2728" s="14"/>
      <c r="V2728" s="14"/>
      <c r="W2728" s="14"/>
      <c r="X2728" s="7"/>
      <c r="Y2728" s="7"/>
      <c r="Z2728" s="14"/>
      <c r="AA2728" s="14"/>
      <c r="AB2728" s="14"/>
      <c r="AC2728" s="14"/>
      <c r="AD2728" s="14"/>
      <c r="AE2728" s="14"/>
      <c r="AF2728"/>
    </row>
    <row r="2729" spans="1:32" ht="12.75" customHeight="1" x14ac:dyDescent="0.25">
      <c r="Q2729" s="6"/>
      <c r="R2729" s="14"/>
      <c r="S2729" s="14"/>
      <c r="T2729" s="14"/>
      <c r="U2729" s="14"/>
      <c r="V2729" s="14"/>
      <c r="W2729" s="14"/>
      <c r="X2729" s="7"/>
      <c r="Y2729" s="7"/>
      <c r="Z2729" s="14"/>
      <c r="AA2729" s="14"/>
      <c r="AB2729" s="14"/>
      <c r="AC2729" s="14"/>
      <c r="AD2729" s="14"/>
      <c r="AE2729" s="14"/>
      <c r="AF2729"/>
    </row>
    <row r="2730" spans="1:32" ht="12.75" customHeight="1" x14ac:dyDescent="0.25">
      <c r="A2730" s="15" t="s">
        <v>167</v>
      </c>
      <c r="H2730" s="110" t="str">
        <f>IF($Q2732&lt;&gt;"",IF(AND(AND($H2732&gt;-1,$H2734&gt;-1),OR($H2732&gt;10,$H2734&gt;10),ABS($H2732-$H2734)&gt;1,IF(OR($H2732&gt;11,$H2734&gt;11),ABS($H2732-$H2734)=2,TRUE),$H2732=INT($H2732),$H2734=INT($H2734)),"","Error"),"")</f>
        <v/>
      </c>
      <c r="I2730" s="110" t="str">
        <f>IF($Q2732&lt;&gt;"",IF(AND(AND($I2732&gt;-1,$I2734&gt;-1),OR($I2732&gt;10,$I2734&gt;10),ABS($I2732-$I2734)&gt;1,IF(OR($I2732&gt;11,$I2734&gt;11),ABS($I2732-$I2734)=2,TRUE),$I2732=INT($I2732),$I2734=INT($I2734)),"","Error"),"")</f>
        <v/>
      </c>
      <c r="J2730" s="110" t="str">
        <f>IF($Q2732&lt;&gt;"",IF(AND(AND($J2732&gt;-1,$J2734&gt;-1),OR($J2732&gt;10,$J2734&gt;10),ABS($J2732-$J2734)&gt;1,IF(OR($J2732&gt;11,$J2734&gt;11),ABS($J2732-$J2734)=2,TRUE),$J2732=INT($J2732),$J2734=INT($J2734)),"","Error"),"")</f>
        <v/>
      </c>
      <c r="K2730" s="110" t="str">
        <f>IF($Q2732&lt;&gt;"",IF(AND($K2732&lt;&gt;"",$K2734&lt;&gt;""), IF(AND(AND($K2732&gt;-1,$K2734&gt;-1),OR($K2732&gt;10,$K2734&gt;10),ABS($K2732-$K2734)&gt;1,IF(OR($K2732&gt;11,$K2734&gt;11),ABS($K2732-$K2734)=2,TRUE),$K2732=INT($K2732),$K2734=INT($K2734)),"","Error"),""),"")</f>
        <v/>
      </c>
      <c r="L2730" s="110" t="str">
        <f>IF($Q2732&lt;&gt;"",IF(AND($L2732&lt;&gt;"",$L2734&lt;&gt;""), IF(AND(AND($L2732&gt;-1,$L2734&gt;-1),OR($L2732&gt;10,$L2734&gt;10),ABS($L2732-$L2734)&gt;1,IF(OR($L2732&gt;11,$L2734&gt;11),ABS($L2732-$L2734)=2,TRUE),$L2732=INT($L2732),$L2734=INT($L2734)),"","Error"),""),"")</f>
        <v/>
      </c>
      <c r="Q2730" s="6"/>
      <c r="R2730" s="14"/>
      <c r="S2730" s="14"/>
      <c r="T2730" s="14"/>
      <c r="U2730" s="14"/>
      <c r="V2730" s="14"/>
      <c r="W2730" s="14"/>
      <c r="X2730" s="7"/>
      <c r="Y2730" s="7"/>
      <c r="Z2730" s="14"/>
      <c r="AA2730" s="14"/>
      <c r="AB2730" s="14"/>
      <c r="AC2730" s="14"/>
      <c r="AD2730" s="14"/>
      <c r="AE2730" s="14"/>
      <c r="AF2730"/>
    </row>
    <row r="2731" spans="1:32" ht="12.75" customHeight="1" x14ac:dyDescent="0.25">
      <c r="A2731" s="5" t="s">
        <v>160</v>
      </c>
      <c r="B2731" s="256" t="s">
        <v>58</v>
      </c>
      <c r="C2731" s="257"/>
      <c r="D2731" s="257"/>
      <c r="E2731" s="257"/>
      <c r="F2731" s="257"/>
      <c r="G2731" s="258"/>
      <c r="H2731" s="5">
        <v>1</v>
      </c>
      <c r="I2731" s="5">
        <v>2</v>
      </c>
      <c r="J2731" s="5">
        <v>3</v>
      </c>
      <c r="K2731" s="5">
        <v>4</v>
      </c>
      <c r="L2731" s="5">
        <v>5</v>
      </c>
      <c r="M2731" s="270"/>
      <c r="N2731" s="271"/>
      <c r="O2731" s="271"/>
      <c r="P2731" s="272"/>
      <c r="Q2731" s="6"/>
      <c r="R2731" s="14"/>
      <c r="S2731" s="14"/>
      <c r="T2731" s="14"/>
      <c r="U2731" s="14"/>
      <c r="V2731" s="14"/>
      <c r="W2731" s="14"/>
      <c r="X2731" s="7"/>
      <c r="Y2731" s="7"/>
      <c r="Z2731" s="14"/>
      <c r="AA2731" s="14"/>
      <c r="AB2731" s="14"/>
      <c r="AC2731" s="14"/>
      <c r="AD2731" s="14"/>
      <c r="AE2731" s="14"/>
      <c r="AF2731"/>
    </row>
    <row r="2732" spans="1:32" ht="12.75" customHeight="1" x14ac:dyDescent="0.25">
      <c r="A2732" s="259" t="str">
        <f>B2712</f>
        <v>I</v>
      </c>
      <c r="B2732" s="236" t="str">
        <f ca="1">IF(AND(OFFSET($AO$1,$C2712-1,8,1,1),$A2713&lt;&gt;"",$J2713&lt;&gt;""),CHOOSE($C2712,$AQ$1,$AQ$2,$AQ$3,$AQ$4,$AQ$5,$AQ$6,$AQ$7,$AQ$8,$AQ$9,$AQ$10,$AQ$11,$AQ$12),"")</f>
        <v/>
      </c>
      <c r="C2732" s="237"/>
      <c r="D2732" s="237"/>
      <c r="E2732" s="237"/>
      <c r="F2732" s="237"/>
      <c r="G2732" s="237"/>
      <c r="H2732" s="233"/>
      <c r="I2732" s="233"/>
      <c r="J2732" s="233"/>
      <c r="K2732" s="233"/>
      <c r="L2732" s="233"/>
      <c r="M2732" s="245" t="str">
        <f ca="1">IF(OR(AND($B2725&lt;&gt;"",$B2732&lt;&gt;"",$D2743&lt;=$C2743),AND($B2727&lt;&gt;"",$B2734&lt;&gt;"",$H2743&lt;=$G2743)),"Invalid Lineup","")</f>
        <v/>
      </c>
      <c r="N2732" s="246"/>
      <c r="O2732" s="246"/>
      <c r="P2732" s="247"/>
      <c r="Q2732" s="40" t="str">
        <f>IF($L2732=$L2734,IF($K2732=$K2734,IF($J2732&lt;&gt;"",IF($J2732&gt;$J2734,"W","L"),""),IF($K2732&gt;$K2734,"W","L")),IF($L2732&gt;$L2734,"W","L"))</f>
        <v/>
      </c>
      <c r="R2732" s="14"/>
      <c r="S2732" s="14"/>
      <c r="T2732" s="14"/>
      <c r="U2732" s="14"/>
      <c r="V2732" s="14"/>
      <c r="W2732" s="14"/>
      <c r="X2732" s="7"/>
      <c r="Y2732" s="7"/>
      <c r="Z2732" s="14"/>
      <c r="AA2732" s="14"/>
      <c r="AB2732" s="14"/>
      <c r="AC2732" s="14"/>
      <c r="AD2732" s="14"/>
      <c r="AE2732" s="14"/>
      <c r="AF2732"/>
    </row>
    <row r="2733" spans="1:32" ht="12.75" customHeight="1" x14ac:dyDescent="0.25">
      <c r="A2733" s="260"/>
      <c r="B2733" s="238"/>
      <c r="C2733" s="239"/>
      <c r="D2733" s="239"/>
      <c r="E2733" s="239"/>
      <c r="F2733" s="239"/>
      <c r="G2733" s="239"/>
      <c r="H2733" s="234"/>
      <c r="I2733" s="234"/>
      <c r="J2733" s="234"/>
      <c r="K2733" s="234"/>
      <c r="L2733" s="234"/>
      <c r="M2733" s="245"/>
      <c r="N2733" s="246"/>
      <c r="O2733" s="246"/>
      <c r="P2733" s="247"/>
      <c r="Q2733" s="110" t="str">
        <f>IF($Q2732&lt;&gt;"",IF($Q2732="W",IF(SUM(IF($H2732&gt;$H2734,1,0),IF($I2732&gt;$I2734,1,0),IF($J2732&gt;$J2734,1,0),IF($K2732&gt;$K2734,1,0),IF($L2732&gt;$L2734,1,0))&lt;&gt;3,"Error",""),""),"")</f>
        <v/>
      </c>
      <c r="R2733" s="295" t="str">
        <f>$A2713</f>
        <v/>
      </c>
      <c r="S2733" s="295"/>
      <c r="T2733" s="295"/>
      <c r="U2733" s="295"/>
      <c r="V2733" s="295"/>
      <c r="W2733" s="295"/>
      <c r="X2733" s="219" t="str">
        <f>CONCATENATE("(",$B2712," vs ",$K2712,")")</f>
        <v>(I vs J)</v>
      </c>
      <c r="Y2733" s="219"/>
      <c r="Z2733" s="295" t="str">
        <f>$J2713</f>
        <v/>
      </c>
      <c r="AA2733" s="295"/>
      <c r="AB2733" s="295"/>
      <c r="AC2733" s="295"/>
      <c r="AD2733" s="295"/>
      <c r="AE2733" s="295"/>
      <c r="AF2733"/>
    </row>
    <row r="2734" spans="1:32" ht="12.75" customHeight="1" x14ac:dyDescent="0.25">
      <c r="A2734" s="259" t="str">
        <f>K2712</f>
        <v>J</v>
      </c>
      <c r="B2734" s="236" t="str">
        <f ca="1">IF(AND(OFFSET($AO$1,$L2712-1,8,1,1),$A2713&lt;&gt;"",$J2713&lt;&gt;""),CHOOSE($L2712,$AQ$1,$AQ$2,$AQ$3,$AQ$4,$AQ$5,$AQ$6,$AQ$7,$AQ$8,$AQ$9,$AQ$10,$AQ$11,$AQ$12),"")</f>
        <v/>
      </c>
      <c r="C2734" s="237"/>
      <c r="D2734" s="237"/>
      <c r="E2734" s="237"/>
      <c r="F2734" s="237"/>
      <c r="G2734" s="237"/>
      <c r="H2734" s="233"/>
      <c r="I2734" s="233"/>
      <c r="J2734" s="233"/>
      <c r="K2734" s="233"/>
      <c r="L2734" s="233"/>
      <c r="M2734" s="250" t="s">
        <v>169</v>
      </c>
      <c r="N2734" s="251"/>
      <c r="O2734" s="251"/>
      <c r="P2734" s="252"/>
      <c r="Q2734" s="40" t="str">
        <f>IF($Q2732&lt;&gt;"",IF($Q2732="W","L","W"),"")</f>
        <v/>
      </c>
      <c r="R2734"/>
      <c r="S2734"/>
      <c r="T2734"/>
      <c r="U2734"/>
      <c r="V2734"/>
      <c r="W2734"/>
      <c r="X2734"/>
      <c r="Y2734"/>
      <c r="Z2734"/>
      <c r="AA2734"/>
      <c r="AB2734"/>
      <c r="AC2734"/>
      <c r="AD2734"/>
      <c r="AE2734"/>
      <c r="AF2734"/>
    </row>
    <row r="2735" spans="1:32" ht="12.75" customHeight="1" x14ac:dyDescent="0.25">
      <c r="A2735" s="260"/>
      <c r="B2735" s="238"/>
      <c r="C2735" s="239"/>
      <c r="D2735" s="239"/>
      <c r="E2735" s="239"/>
      <c r="F2735" s="239"/>
      <c r="G2735" s="239"/>
      <c r="H2735" s="234"/>
      <c r="I2735" s="234"/>
      <c r="J2735" s="235"/>
      <c r="K2735" s="235"/>
      <c r="L2735" s="235"/>
      <c r="M2735" s="250"/>
      <c r="N2735" s="251"/>
      <c r="O2735" s="251"/>
      <c r="P2735" s="252"/>
      <c r="Q2735" s="110" t="str">
        <f>IF($Q2734&lt;&gt;"",IF($Q2734="W",IF(SUM(IF($H2734&gt;$H2732,1,0),IF($I2734&gt;$I2732,1,0),IF($J2734&gt;$J2732,1,0),IF($K2734&gt;$K2732,1,0),IF($L2734&gt;$L2732,1,0))&lt;&gt;3,"Error",""),""),"")</f>
        <v/>
      </c>
      <c r="R2735" t="str">
        <f>$A2730</f>
        <v>3rd Singles</v>
      </c>
      <c r="S2735"/>
      <c r="T2735"/>
      <c r="U2735"/>
      <c r="V2735"/>
      <c r="W2735"/>
      <c r="X2735"/>
      <c r="Y2735"/>
      <c r="Z2735"/>
      <c r="AA2735"/>
      <c r="AB2735"/>
      <c r="AC2735"/>
      <c r="AD2735"/>
      <c r="AE2735"/>
      <c r="AF2735"/>
    </row>
    <row r="2736" spans="1:32" ht="12.75" customHeight="1" x14ac:dyDescent="0.25">
      <c r="Q2736" s="6"/>
      <c r="R2736" s="47" t="s">
        <v>160</v>
      </c>
      <c r="S2736" s="86" t="s">
        <v>58</v>
      </c>
      <c r="T2736" s="87"/>
      <c r="U2736" s="87"/>
      <c r="V2736" s="87"/>
      <c r="W2736" s="87"/>
      <c r="X2736" s="88"/>
      <c r="Y2736" s="47">
        <v>1</v>
      </c>
      <c r="Z2736" s="47">
        <v>2</v>
      </c>
      <c r="AA2736" s="47">
        <v>3</v>
      </c>
      <c r="AB2736" s="47">
        <v>4</v>
      </c>
      <c r="AC2736" s="47">
        <v>5</v>
      </c>
      <c r="AD2736" s="89"/>
      <c r="AE2736" s="90"/>
      <c r="AF2736" s="91"/>
    </row>
    <row r="2737" spans="1:32" ht="12.75" customHeight="1" x14ac:dyDescent="0.25">
      <c r="A2737" s="15" t="s">
        <v>168</v>
      </c>
      <c r="H2737" s="110" t="str">
        <f ca="1">IF($Q2739&lt;&gt;"",IF(AND($B2739&lt;&gt;"Missing Player",$B2741&lt;&gt;"Missing Player"),IF(AND(AND($H2739&gt;-1,$H2741&gt;-1),OR($H2739&gt;10,$H2741&gt;10),ABS($H2739-$H2741)&gt;1,IF(OR($H2739&gt;11,$H2741&gt;11),ABS($H2739-$H2741)=2,TRUE),$H2739=INT($H2739),$H2741=INT($H2741)),"","Error"),""),"")</f>
        <v/>
      </c>
      <c r="I2737" s="110" t="str">
        <f ca="1">IF($Q2739&lt;&gt;"",IF(AND($B2739&lt;&gt;"Missing Player",$B2741&lt;&gt;"Missing Player"),IF(AND(AND($I2739&gt;-1,$I2741&gt;-1),OR($I2739&gt;10,$I2741&gt;10),ABS($I2739-$I2741)&gt;1,IF(OR($I2739&gt;11,$I2741&gt;11),ABS($I2739-$I2741)=2,TRUE),$I2739=INT($I2739),$I2741=INT($I2741)),"","Error"),""),"")</f>
        <v/>
      </c>
      <c r="J2737" s="110" t="str">
        <f ca="1">IF($Q2739&lt;&gt;"",IF(AND($B2739&lt;&gt;"Missing Player",$B2741&lt;&gt;"Missing Player"),IF(AND(AND($J2739&gt;-1,$J2741&gt;-1),OR($J2739&gt;10,$J2741&gt;10),ABS($J2739-$J2741)&gt;1,IF(OR($J2739&gt;11,$J2741&gt;11),ABS($J2739-$J2741)=2,TRUE),$J2739=INT($J2739),$J2741=INT($J2741)),"","Error"),""),"")</f>
        <v/>
      </c>
      <c r="K2737" s="110" t="str">
        <f ca="1">IF($Q2739&lt;&gt;"",IF(AND($K2739&lt;&gt;"",$K2741&lt;&gt;""), IF(AND(AND($K2739&gt;-1,$K2741&gt;-1),OR($K2739&gt;10,$K2741&gt;10),ABS($K2739-$K2741)&gt;1,IF(OR($K2739&gt;11,$K2741&gt;11),ABS($K2739-$K2741)=2,TRUE),$K2739=INT($K2739),$K2741=INT($K2741)),"","Error"),""),"")</f>
        <v/>
      </c>
      <c r="L2737" s="110" t="str">
        <f ca="1">IF($Q2739&lt;&gt;"",IF(AND($L2739&lt;&gt;"",$L2741&lt;&gt;""), IF(AND(AND($L2739&gt;-1,$L2741&gt;-1),OR($L2739&gt;10,$L2741&gt;10),ABS($L2739-$L2741)&gt;1,IF(OR($L2739&gt;11,$L2741&gt;11),ABS($L2739-$L2741)=2,TRUE),$L2739=INT($L2739),$L2741=INT($L2741)),"","Error"),""),"")</f>
        <v/>
      </c>
      <c r="Q2737" s="6"/>
      <c r="R2737" s="259" t="str">
        <f>$B2712</f>
        <v>I</v>
      </c>
      <c r="S2737" s="307" t="str">
        <f ca="1">IF($B2732&lt;&gt;"",$B2732,"")</f>
        <v/>
      </c>
      <c r="T2737" s="308"/>
      <c r="U2737" s="308"/>
      <c r="V2737" s="308"/>
      <c r="W2737" s="308"/>
      <c r="X2737" s="309"/>
      <c r="Y2737" s="284"/>
      <c r="Z2737" s="284"/>
      <c r="AA2737" s="284"/>
      <c r="AB2737" s="284"/>
      <c r="AC2737" s="284"/>
      <c r="AD2737" s="296"/>
      <c r="AE2737" s="290"/>
      <c r="AF2737" s="291"/>
    </row>
    <row r="2738" spans="1:32" ht="12.75" customHeight="1" x14ac:dyDescent="0.25">
      <c r="A2738" s="5" t="s">
        <v>160</v>
      </c>
      <c r="B2738" s="256" t="s">
        <v>58</v>
      </c>
      <c r="C2738" s="257"/>
      <c r="D2738" s="257"/>
      <c r="E2738" s="257"/>
      <c r="F2738" s="257"/>
      <c r="G2738" s="258"/>
      <c r="H2738" s="5">
        <v>1</v>
      </c>
      <c r="I2738" s="5">
        <v>2</v>
      </c>
      <c r="J2738" s="5">
        <v>3</v>
      </c>
      <c r="K2738" s="5">
        <v>4</v>
      </c>
      <c r="L2738" s="5">
        <v>5</v>
      </c>
      <c r="M2738" s="270"/>
      <c r="N2738" s="271"/>
      <c r="O2738" s="271"/>
      <c r="P2738" s="272"/>
      <c r="Q2738" s="6"/>
      <c r="R2738" s="285"/>
      <c r="S2738" s="310"/>
      <c r="T2738" s="311"/>
      <c r="U2738" s="311"/>
      <c r="V2738" s="311"/>
      <c r="W2738" s="311"/>
      <c r="X2738" s="312"/>
      <c r="Y2738" s="285"/>
      <c r="Z2738" s="285"/>
      <c r="AA2738" s="285"/>
      <c r="AB2738" s="285"/>
      <c r="AC2738" s="285"/>
      <c r="AD2738" s="292"/>
      <c r="AE2738" s="293"/>
      <c r="AF2738" s="294"/>
    </row>
    <row r="2739" spans="1:32" ht="12.75" customHeight="1" x14ac:dyDescent="0.25">
      <c r="A2739" s="259" t="str">
        <f>B2712</f>
        <v>I</v>
      </c>
      <c r="B2739" s="236" t="str">
        <f ca="1">IF(AND(OFFSET($AO$1,$C2712-1,8,1,1),$A2713&lt;&gt;"",$J2713&lt;&gt;""),CHOOSE($C2712,$AR$1,$AR$2,$AR$3,$AR$4,$AR$5,$AR$6,$AR$7,$AR$8,$AR$9,$AR$10,$AR$11,$AR$12),"")</f>
        <v/>
      </c>
      <c r="C2739" s="237"/>
      <c r="D2739" s="237"/>
      <c r="E2739" s="237"/>
      <c r="F2739" s="237"/>
      <c r="G2739" s="237"/>
      <c r="H2739" s="233"/>
      <c r="I2739" s="233"/>
      <c r="J2739" s="233"/>
      <c r="K2739" s="233"/>
      <c r="L2739" s="233" t="str">
        <f ca="1">IF(AND($B2739&lt;&gt;"",$Q2718&lt;&gt;""),IF($B2739="Missing Player",0,IF($B2741="Missing Player",11,"")),"")</f>
        <v/>
      </c>
      <c r="M2739" s="245" t="str">
        <f ca="1">IF(OR(AND($B2732&lt;&gt;"",$B2739&lt;&gt;"",$E2743&lt;=$D2743),AND($B2734&lt;&gt;"",$B2741&lt;&gt;"",$I2743&lt;=$H2743)),"Invalid Lineup","")</f>
        <v/>
      </c>
      <c r="N2739" s="246"/>
      <c r="O2739" s="246"/>
      <c r="P2739" s="247"/>
      <c r="Q2739" s="40" t="str">
        <f ca="1">IF($L2739=$L2741,IF($K2739=$K2741,IF($J2739&lt;&gt;"",IF($J2739&gt;$J2741,"W","L"),""),IF($K2739&gt;$K2741,"W","L")),IF($L2739&gt;$L2741,"W","L"))</f>
        <v/>
      </c>
      <c r="R2739" s="259" t="str">
        <f>$K2712</f>
        <v>J</v>
      </c>
      <c r="S2739" s="307" t="str">
        <f ca="1">IF($B2734&lt;&gt;"",$B2734,"")</f>
        <v/>
      </c>
      <c r="T2739" s="308"/>
      <c r="U2739" s="308"/>
      <c r="V2739" s="308"/>
      <c r="W2739" s="308"/>
      <c r="X2739" s="309"/>
      <c r="Y2739" s="284"/>
      <c r="Z2739" s="284"/>
      <c r="AA2739" s="284"/>
      <c r="AB2739" s="284"/>
      <c r="AC2739" s="297"/>
      <c r="AD2739" s="289" t="s">
        <v>169</v>
      </c>
      <c r="AE2739" s="290"/>
      <c r="AF2739" s="291"/>
    </row>
    <row r="2740" spans="1:32" ht="12.75" customHeight="1" x14ac:dyDescent="0.25">
      <c r="A2740" s="260"/>
      <c r="B2740" s="238"/>
      <c r="C2740" s="239"/>
      <c r="D2740" s="239"/>
      <c r="E2740" s="239"/>
      <c r="F2740" s="239"/>
      <c r="G2740" s="239"/>
      <c r="H2740" s="234"/>
      <c r="I2740" s="234"/>
      <c r="J2740" s="234"/>
      <c r="K2740" s="234"/>
      <c r="L2740" s="234"/>
      <c r="M2740" s="245"/>
      <c r="N2740" s="246"/>
      <c r="O2740" s="246"/>
      <c r="P2740" s="247"/>
      <c r="Q2740" s="110" t="str">
        <f ca="1">IF($Q2739&lt;&gt;"",IF($B2741&lt;&gt;"Missing Player",IF($Q2739="W",IF(SUM(IF($H2739&gt;$H2741,1,0),IF($I2739&gt;$I2741,1,0),IF($J2739&gt;$J2741,1,0),IF($K2739&gt;$K2741,1,0),IF($L2739&gt;$L2741,1,0))&lt;&gt;3,"Error",""),""),""),"")</f>
        <v/>
      </c>
      <c r="R2740" s="285"/>
      <c r="S2740" s="310"/>
      <c r="T2740" s="311"/>
      <c r="U2740" s="311"/>
      <c r="V2740" s="311"/>
      <c r="W2740" s="311"/>
      <c r="X2740" s="312"/>
      <c r="Y2740" s="285"/>
      <c r="Z2740" s="285"/>
      <c r="AA2740" s="285"/>
      <c r="AB2740" s="285"/>
      <c r="AC2740" s="285"/>
      <c r="AD2740" s="292"/>
      <c r="AE2740" s="293"/>
      <c r="AF2740" s="294"/>
    </row>
    <row r="2741" spans="1:32" ht="12.75" customHeight="1" x14ac:dyDescent="0.25">
      <c r="A2741" s="259" t="str">
        <f>K2712</f>
        <v>J</v>
      </c>
      <c r="B2741" s="236" t="str">
        <f ca="1">IF(AND(OFFSET($AO$1,$L2712-1,8,1,1),$A2713&lt;&gt;"",$J2713&lt;&gt;""),CHOOSE($L2712,$AR$1,$AR$2,$AR$3,$AR$4,$AR$5,$AR$6,$AR$7,$AR$8,$AR$9,$AR$10,$AR$11,$AR$12),"")</f>
        <v/>
      </c>
      <c r="C2741" s="237"/>
      <c r="D2741" s="237"/>
      <c r="E2741" s="237"/>
      <c r="F2741" s="237"/>
      <c r="G2741" s="237"/>
      <c r="H2741" s="233"/>
      <c r="I2741" s="233"/>
      <c r="J2741" s="233"/>
      <c r="K2741" s="233"/>
      <c r="L2741" s="233" t="str">
        <f ca="1">IF(AND($B2741&lt;&gt;"",$Q2718&lt;&gt;""),IF($B2741="Missing Player",0,IF($B2739="Missing Player",11,"")),"")</f>
        <v/>
      </c>
      <c r="M2741" s="250" t="s">
        <v>169</v>
      </c>
      <c r="N2741" s="251"/>
      <c r="O2741" s="251"/>
      <c r="P2741" s="252"/>
      <c r="Q2741" s="40" t="str">
        <f ca="1">IF($Q2739&lt;&gt;"",IF($Q2739="W","L","W"),"")</f>
        <v/>
      </c>
      <c r="R2741" s="94"/>
      <c r="S2741" s="84"/>
      <c r="T2741" s="84"/>
      <c r="U2741" s="84"/>
      <c r="V2741" s="84"/>
      <c r="W2741" s="84"/>
      <c r="X2741" s="84"/>
      <c r="Y2741" s="93"/>
      <c r="Z2741" s="93"/>
      <c r="AA2741" s="93"/>
      <c r="AB2741" s="93"/>
      <c r="AC2741" s="93"/>
      <c r="AD2741" s="92"/>
      <c r="AE2741" s="93"/>
      <c r="AF2741" s="93"/>
    </row>
    <row r="2742" spans="1:32" ht="12.75" customHeight="1" x14ac:dyDescent="0.25">
      <c r="A2742" s="260"/>
      <c r="B2742" s="238"/>
      <c r="C2742" s="239"/>
      <c r="D2742" s="239"/>
      <c r="E2742" s="239"/>
      <c r="F2742" s="239"/>
      <c r="G2742" s="239"/>
      <c r="H2742" s="234"/>
      <c r="I2742" s="234"/>
      <c r="J2742" s="235"/>
      <c r="K2742" s="235"/>
      <c r="L2742" s="235"/>
      <c r="M2742" s="250"/>
      <c r="N2742" s="251"/>
      <c r="O2742" s="251"/>
      <c r="P2742" s="252"/>
      <c r="Q2742" s="110" t="str">
        <f ca="1">IF($Q2741&lt;&gt;"",IF($B2739&lt;&gt;"Missing Player",IF($Q2741="W",IF(SUM(IF($H2741&gt;$H2739,1,0),IF($I2741&gt;$I2739,1,0),IF($J2741&gt;$J2739,1,0),IF($K2741&gt;$K2739,1,0),IF($L2741&gt;$L2739,1,0))&lt;&gt;3,"Error",""),""),""),"")</f>
        <v/>
      </c>
      <c r="R2742" s="85"/>
      <c r="S2742" s="95"/>
      <c r="T2742" s="95"/>
      <c r="U2742" s="95"/>
      <c r="V2742" s="95"/>
      <c r="W2742" s="95"/>
      <c r="X2742" s="95"/>
      <c r="Y2742" s="85"/>
      <c r="Z2742" s="85"/>
      <c r="AA2742" s="85"/>
      <c r="AB2742" s="85"/>
      <c r="AC2742" s="85"/>
      <c r="AD2742" s="85"/>
      <c r="AE2742" s="85"/>
      <c r="AF2742" s="85"/>
    </row>
    <row r="2743" spans="1:32" ht="12.75" customHeight="1" x14ac:dyDescent="0.25">
      <c r="B2743" s="111" t="str">
        <f ca="1">IF(ISERROR(VLOOKUP($B2718&amp;"("&amp;$B2712&amp;")",Players!$S$4:$T$132,2,FALSE)),"",VLOOKUP($B2718&amp;"("&amp;$B2712&amp;")",Players!$S$4:$T$132,2,FALSE))</f>
        <v>I1</v>
      </c>
      <c r="C2743" s="111" t="str">
        <f ca="1">IF(ISERROR(VLOOKUP($B2725&amp;"("&amp;$B2712&amp;")",Players!$S$4:$T$132,2,FALSE)),"",VLOOKUP($B2725&amp;"("&amp;$B2712&amp;")",Players!$S$4:$T$132,2,FALSE))</f>
        <v>I1</v>
      </c>
      <c r="D2743" s="111" t="str">
        <f ca="1">IF(ISERROR(VLOOKUP($B2732&amp;"("&amp;$B2712&amp;")",Players!$S$4:$T$132,2,FALSE)),"",VLOOKUP($B2732&amp;"("&amp;$B2712&amp;")",Players!$S$4:$T$132,2,FALSE))</f>
        <v>I1</v>
      </c>
      <c r="E2743" s="111" t="str">
        <f ca="1">IF(ISERROR(VLOOKUP($B2739&amp;"("&amp;$B2712&amp;")",Players!$S$4:$T$132,2,FALSE)),"",VLOOKUP($B2739&amp;"("&amp;$B2712&amp;")",Players!$S$4:$T$132,2,FALSE))</f>
        <v>I1</v>
      </c>
      <c r="F2743" s="111" t="str">
        <f ca="1">IF(ISERROR(VLOOKUP($B2720&amp;"("&amp;$K2712&amp;")",Players!$S$4:$T$132,2,FALSE)),"",VLOOKUP($B2720&amp;"("&amp;$K2712&amp;")",Players!$S$4:$T$132,2,FALSE))</f>
        <v>J1</v>
      </c>
      <c r="G2743" s="111" t="str">
        <f ca="1">IF(ISERROR(VLOOKUP($B2727&amp;"("&amp;$K2712&amp;")",Players!$S$4:$T$132,2,FALSE)),"",VLOOKUP($B2727&amp;"("&amp;$K2712&amp;")",Players!$S$4:$T$132,2,FALSE))</f>
        <v>J1</v>
      </c>
      <c r="H2743" s="111" t="str">
        <f ca="1">IF(ISERROR(VLOOKUP($B2734&amp;"("&amp;$K2712&amp;")",Players!$S$4:$T$132,2,FALSE)),"",VLOOKUP($B2734&amp;"("&amp;$K2712&amp;")",Players!$S$4:$T$132,2,FALSE))</f>
        <v>J1</v>
      </c>
      <c r="I2743" s="111" t="str">
        <f ca="1">IF(ISERROR(VLOOKUP($B2741&amp;"("&amp;$K2712&amp;")",Players!$S$4:$T$132,2,FALSE)),"",VLOOKUP($B2741&amp;"("&amp;$K2712&amp;")",Players!$S$4:$T$132,2,FALSE))</f>
        <v>J1</v>
      </c>
      <c r="Q2743" s="6"/>
      <c r="R2743" s="37"/>
      <c r="S2743" s="95"/>
      <c r="T2743" s="95"/>
      <c r="U2743" s="95"/>
      <c r="V2743" s="95"/>
      <c r="W2743" s="95"/>
      <c r="X2743" s="95"/>
      <c r="Y2743" s="85"/>
      <c r="Z2743" s="85"/>
      <c r="AA2743" s="85"/>
      <c r="AB2743" s="85"/>
      <c r="AC2743" s="96"/>
      <c r="AD2743" s="97"/>
      <c r="AE2743" s="85"/>
      <c r="AF2743" s="85"/>
    </row>
    <row r="2744" spans="1:32" ht="12.75" customHeight="1" x14ac:dyDescent="0.25">
      <c r="A2744" s="15" t="s">
        <v>157</v>
      </c>
      <c r="H2744" s="110" t="str">
        <f ca="1">IF($Q2746&lt;&gt;"",IF(AND($B2747&lt;&gt;"Missing Player",$B2749&lt;&gt;"Missing Player"),IF(AND(AND($H2746&gt;-1,$H2748&gt;-1),OR($H2746&gt;10,$H2748&gt;10),ABS($H2746-$H2748)&gt;1,IF(OR($H2746&gt;11,$H2748&gt;11),ABS($H2746-$H2748)=2,TRUE),$H2746=INT($H2746),$H2748=INT($H2748)),"","Error"),""),"")</f>
        <v/>
      </c>
      <c r="I2744" s="110" t="str">
        <f ca="1">IF($Q2746&lt;&gt;"",IF(AND($B2747&lt;&gt;"Missing Player",$B2749&lt;&gt;"Missing Player"),IF(AND(AND($I2746&gt;-1,$I2748&gt;-1),OR($I2746&gt;10,$I2748&gt;10),ABS($I2746-$I2748)&gt;1,IF(OR($I2746&gt;11,$I2748&gt;11),ABS($I2746-$I2748)=2,TRUE),$I2746=INT($I2746),$I2748=INT($I2748)),"","Error"),""),"")</f>
        <v/>
      </c>
      <c r="J2744" s="110" t="str">
        <f ca="1">IF($Q2746&lt;&gt;"",IF(AND($B2747&lt;&gt;"Missing Player",$B2749&lt;&gt;"Missing Player"),IF(AND(AND($J2746&gt;-1,$J2748&gt;-1),OR($J2746&gt;10,$J2748&gt;10),ABS($J2746-$J2748)&gt;1,IF(OR($J2746&gt;11,$J2748&gt;11),ABS($J2746-$J2748)=2,TRUE),$J2746=INT($J2746),$J2748=INT($J2748)),"","Error"),""),"")</f>
        <v/>
      </c>
      <c r="K2744" s="110" t="str">
        <f ca="1">IF($Q2746&lt;&gt;"",IF(AND($K2746&lt;&gt;"",$K2748&lt;&gt;""), IF(AND(AND($K2746&gt;-1,$K2748&gt;-1),OR($K2746&gt;10,$K2748&gt;10),ABS($K2746-$K2748)&gt;1,IF(OR($K2746&gt;11,$K2748&gt;11),ABS($K2746-$K2748)=2,TRUE),$K2746=INT($K2746),$K2748=INT($K2748)),"","Error"),""),"")</f>
        <v/>
      </c>
      <c r="L2744" s="110" t="str">
        <f ca="1">IF($Q2746&lt;&gt;"",IF(AND($L2746&lt;&gt;"",$L2748&lt;&gt;""), IF(AND(AND($L2746&gt;-1,$L2748&gt;-1),OR($L2746&gt;10,$L2748&gt;10),ABS($L2746-$L2748)&gt;1,IF(OR($L2746&gt;11,$L2748&gt;11),ABS($L2746-$L2748)=2,TRUE),$L2746=INT($L2746),$L2748=INT($L2748)),"","Error"),""),"")</f>
        <v/>
      </c>
      <c r="Q2744" s="6"/>
      <c r="R2744" s="85"/>
      <c r="S2744" s="95"/>
      <c r="T2744" s="95"/>
      <c r="U2744" s="95"/>
      <c r="V2744" s="95"/>
      <c r="W2744" s="95"/>
      <c r="X2744" s="95"/>
      <c r="Y2744" s="85"/>
      <c r="Z2744" s="85"/>
      <c r="AA2744" s="85"/>
      <c r="AB2744" s="85"/>
      <c r="AC2744" s="85"/>
      <c r="AD2744" s="85"/>
      <c r="AE2744" s="85"/>
      <c r="AF2744" s="85"/>
    </row>
    <row r="2745" spans="1:32" ht="12.75" customHeight="1" x14ac:dyDescent="0.25">
      <c r="A2745" s="5" t="s">
        <v>160</v>
      </c>
      <c r="B2745" s="256" t="s">
        <v>58</v>
      </c>
      <c r="C2745" s="257"/>
      <c r="D2745" s="257"/>
      <c r="E2745" s="257"/>
      <c r="F2745" s="257"/>
      <c r="G2745" s="258"/>
      <c r="H2745" s="5">
        <v>1</v>
      </c>
      <c r="I2745" s="5">
        <v>2</v>
      </c>
      <c r="J2745" s="5">
        <v>3</v>
      </c>
      <c r="K2745" s="5">
        <v>4</v>
      </c>
      <c r="L2745" s="5">
        <v>5</v>
      </c>
      <c r="M2745" s="270"/>
      <c r="N2745" s="271"/>
      <c r="O2745" s="271"/>
      <c r="P2745" s="272"/>
      <c r="Q2745" s="6"/>
      <c r="T2745" s="7"/>
    </row>
    <row r="2746" spans="1:32" ht="12.75" customHeight="1" x14ac:dyDescent="0.25">
      <c r="A2746" s="259" t="str">
        <f>B2712</f>
        <v>I</v>
      </c>
      <c r="B2746" s="230" t="str">
        <f ca="1">IF($B2718&lt;&gt;"",$B2718,"")</f>
        <v/>
      </c>
      <c r="C2746" s="231"/>
      <c r="D2746" s="231"/>
      <c r="E2746" s="231"/>
      <c r="F2746" s="231"/>
      <c r="G2746" s="232"/>
      <c r="H2746" s="233"/>
      <c r="I2746" s="233"/>
      <c r="J2746" s="233"/>
      <c r="K2746" s="233"/>
      <c r="L2746" s="233" t="str">
        <f ca="1">IF($B2739&lt;&gt;"",IF(AND($B2739="Missing Player",$G2750=2,$J2750=2),0,IF(AND($B2741="Missing Player",$G2750=2,$J2750=2),11,"")),"")</f>
        <v/>
      </c>
      <c r="M2746" s="245" t="str">
        <f ca="1">IF(OR(AND($B2746&lt;&gt;"",$B2747&lt;&gt;"",$B2746=$B2747),AND($B2748&lt;&gt;"",$B2749&lt;&gt;"",$B2748=$B2749)),"Invalid Partner","")</f>
        <v/>
      </c>
      <c r="N2746" s="246"/>
      <c r="O2746" s="246"/>
      <c r="P2746" s="247"/>
      <c r="Q2746" s="37" t="str">
        <f ca="1">IF(L2746=L2748,IF(K2746=K2748,IF(J2746&lt;&gt;"",IF(J2746&gt;J2748,"W","L"),""),IF(K2746&gt;K2748,"W","L")),IF(L2746&gt;L2748,"W","L"))</f>
        <v/>
      </c>
      <c r="T2746" s="7"/>
    </row>
    <row r="2747" spans="1:32" ht="12.75" customHeight="1" x14ac:dyDescent="0.25">
      <c r="A2747" s="260"/>
      <c r="B2747" s="266" t="str">
        <f ca="1">IF($B2739="Missing Player",$B2739,"")</f>
        <v/>
      </c>
      <c r="C2747" s="267"/>
      <c r="D2747" s="267"/>
      <c r="E2747" s="267"/>
      <c r="F2747" s="267"/>
      <c r="G2747" s="268"/>
      <c r="H2747" s="234"/>
      <c r="I2747" s="234"/>
      <c r="J2747" s="234"/>
      <c r="K2747" s="234"/>
      <c r="L2747" s="234"/>
      <c r="M2747" s="245"/>
      <c r="N2747" s="246"/>
      <c r="O2747" s="246"/>
      <c r="P2747" s="247"/>
      <c r="Q2747" s="110" t="str">
        <f ca="1">IF($Q2746&lt;&gt;"",IF($B2749&lt;&gt;"Missing Player",IF($Q2746="W",IF(SUM(IF($H2746&gt;$H2748,1,0),IF($I2746&gt;$I2748,1,0),IF($J2746&gt;$J2748,1,0),IF($K2746&gt;$K2748,1,0),IF($L2746&gt;$L2748,1,0))&lt;&gt;3,"Error",""),""),""),"")</f>
        <v/>
      </c>
      <c r="R2747" s="295" t="str">
        <f>$A2713</f>
        <v/>
      </c>
      <c r="S2747" s="295"/>
      <c r="T2747" s="295"/>
      <c r="U2747" s="295"/>
      <c r="V2747" s="295"/>
      <c r="W2747" s="295"/>
      <c r="X2747" s="219" t="str">
        <f>CONCATENATE("(",$B2712," vs ",$K2712,")")</f>
        <v>(I vs J)</v>
      </c>
      <c r="Y2747" s="219"/>
      <c r="Z2747" s="295" t="str">
        <f>$J2713</f>
        <v/>
      </c>
      <c r="AA2747" s="295"/>
      <c r="AB2747" s="295"/>
      <c r="AC2747" s="295"/>
      <c r="AD2747" s="295"/>
      <c r="AE2747" s="295"/>
      <c r="AF2747"/>
    </row>
    <row r="2748" spans="1:32" ht="12.75" customHeight="1" x14ac:dyDescent="0.25">
      <c r="A2748" s="265" t="str">
        <f>K2712</f>
        <v>J</v>
      </c>
      <c r="B2748" s="230" t="str">
        <f ca="1">IF($B2720&lt;&gt;"",$B2720,"")</f>
        <v/>
      </c>
      <c r="C2748" s="231"/>
      <c r="D2748" s="231"/>
      <c r="E2748" s="231"/>
      <c r="F2748" s="231"/>
      <c r="G2748" s="232"/>
      <c r="H2748" s="233"/>
      <c r="I2748" s="233"/>
      <c r="J2748" s="233"/>
      <c r="K2748" s="233"/>
      <c r="L2748" s="233" t="str">
        <f ca="1">IF($B2741&lt;&gt;"",IF(AND($B2741="Missing Player",$G2750=2,$J2750=2),0,IF(AND($B2739="Missing Player",$G2750=2,$J2750=2),11,"")),"")</f>
        <v/>
      </c>
      <c r="M2748" s="250" t="s">
        <v>169</v>
      </c>
      <c r="N2748" s="251"/>
      <c r="O2748" s="251"/>
      <c r="P2748" s="252"/>
      <c r="Q2748" s="37" t="str">
        <f ca="1">IF(Q2746&lt;&gt;"",IF(Q2746="W","L","W"),"")</f>
        <v/>
      </c>
      <c r="R2748"/>
      <c r="S2748"/>
      <c r="T2748"/>
      <c r="U2748"/>
      <c r="V2748"/>
      <c r="W2748"/>
      <c r="X2748"/>
      <c r="Y2748"/>
      <c r="Z2748"/>
      <c r="AA2748"/>
      <c r="AB2748"/>
      <c r="AC2748"/>
      <c r="AD2748"/>
      <c r="AE2748"/>
      <c r="AF2748"/>
    </row>
    <row r="2749" spans="1:32" ht="12.75" customHeight="1" x14ac:dyDescent="0.25">
      <c r="A2749" s="260"/>
      <c r="B2749" s="266" t="str">
        <f ca="1">IF($B2741="Missing Player",$B2741,"")</f>
        <v/>
      </c>
      <c r="C2749" s="267"/>
      <c r="D2749" s="267"/>
      <c r="E2749" s="267"/>
      <c r="F2749" s="267"/>
      <c r="G2749" s="268"/>
      <c r="H2749" s="234"/>
      <c r="I2749" s="234"/>
      <c r="J2749" s="235"/>
      <c r="K2749" s="235"/>
      <c r="L2749" s="235"/>
      <c r="M2749" s="250"/>
      <c r="N2749" s="251"/>
      <c r="O2749" s="251"/>
      <c r="P2749" s="252"/>
      <c r="Q2749" s="110" t="str">
        <f ca="1">IF($Q2748&lt;&gt;"",IF($B2747&lt;&gt;"Missing Player",IF($Q2748="W",IF(SUM(IF($H2748&gt;$H2746,1,0),IF($I2748&gt;$I2746,1,0),IF($J2748&gt;$J2746,1,0),IF($K2748&gt;$K2746,1,0),IF($L2748&gt;$L2746,1,0))&lt;&gt;3,"Error",""),""),""),"")</f>
        <v/>
      </c>
      <c r="R2749" t="str">
        <f>A2737</f>
        <v>4th Singles</v>
      </c>
      <c r="S2749"/>
      <c r="T2749"/>
      <c r="U2749"/>
      <c r="V2749"/>
      <c r="W2749"/>
      <c r="X2749"/>
      <c r="Y2749"/>
      <c r="Z2749"/>
      <c r="AA2749"/>
      <c r="AB2749"/>
      <c r="AC2749"/>
      <c r="AD2749"/>
      <c r="AE2749"/>
      <c r="AF2749"/>
    </row>
    <row r="2750" spans="1:32" ht="12.75" customHeight="1" x14ac:dyDescent="0.25">
      <c r="G2750" s="53">
        <f ca="1">COUNTIF($Q2718:$Q2718,"W")+COUNTIF($Q2725:$Q2725,"W")+COUNTIF($Q2732:$Q2732,"W")+COUNTIF($Q2739:$Q2739,"W")</f>
        <v>0</v>
      </c>
      <c r="J2750" s="53">
        <f ca="1">COUNTIF($Q2720:$Q2720,"W")+COUNTIF($Q2727:$Q2727,"W")+COUNTIF($Q2734:$Q2734,"W")+COUNTIF($Q2741:$Q2741,"W")</f>
        <v>0</v>
      </c>
      <c r="R2750" s="47" t="s">
        <v>160</v>
      </c>
      <c r="S2750" s="304" t="s">
        <v>58</v>
      </c>
      <c r="T2750" s="305"/>
      <c r="U2750" s="305"/>
      <c r="V2750" s="305"/>
      <c r="W2750" s="305"/>
      <c r="X2750" s="306"/>
      <c r="Y2750" s="47">
        <v>1</v>
      </c>
      <c r="Z2750" s="47">
        <v>2</v>
      </c>
      <c r="AA2750" s="47">
        <v>3</v>
      </c>
      <c r="AB2750" s="47">
        <v>4</v>
      </c>
      <c r="AC2750" s="47">
        <v>5</v>
      </c>
      <c r="AD2750" s="286"/>
      <c r="AE2750" s="287"/>
      <c r="AF2750" s="288"/>
    </row>
    <row r="2751" spans="1:32" ht="12.75" customHeight="1" thickBot="1" x14ac:dyDescent="0.3">
      <c r="F2751" s="212" t="s">
        <v>170</v>
      </c>
      <c r="G2751" s="212"/>
      <c r="H2751" s="212"/>
      <c r="I2751" s="212"/>
      <c r="J2751" s="212"/>
      <c r="K2751" s="212"/>
      <c r="R2751" s="259" t="str">
        <f>B2712</f>
        <v>I</v>
      </c>
      <c r="S2751" s="307" t="str">
        <f ca="1">IF($B2739&lt;&gt;"",$B2739,"")</f>
        <v/>
      </c>
      <c r="T2751" s="308"/>
      <c r="U2751" s="308"/>
      <c r="V2751" s="308"/>
      <c r="W2751" s="308"/>
      <c r="X2751" s="309"/>
      <c r="Y2751" s="284"/>
      <c r="Z2751" s="284"/>
      <c r="AA2751" s="297"/>
      <c r="AB2751" s="297"/>
      <c r="AC2751" s="297"/>
      <c r="AD2751" s="296"/>
      <c r="AE2751" s="298"/>
      <c r="AF2751" s="299"/>
    </row>
    <row r="2752" spans="1:32" ht="12.75" customHeight="1" x14ac:dyDescent="0.25">
      <c r="A2752" s="16"/>
      <c r="B2752" s="16"/>
      <c r="C2752" s="16"/>
      <c r="D2752" s="16"/>
      <c r="E2752" s="16"/>
      <c r="G2752" s="261" t="str">
        <f>B2712</f>
        <v>I</v>
      </c>
      <c r="H2752" s="262"/>
      <c r="I2752" s="263" t="str">
        <f>K2712</f>
        <v>J</v>
      </c>
      <c r="J2752" s="264"/>
      <c r="L2752" s="16"/>
      <c r="M2752" s="16"/>
      <c r="N2752" s="16"/>
      <c r="O2752" s="16"/>
      <c r="P2752" s="16"/>
      <c r="R2752" s="260"/>
      <c r="S2752" s="310"/>
      <c r="T2752" s="311"/>
      <c r="U2752" s="311"/>
      <c r="V2752" s="311"/>
      <c r="W2752" s="311"/>
      <c r="X2752" s="312"/>
      <c r="Y2752" s="285"/>
      <c r="Z2752" s="285"/>
      <c r="AA2752" s="303"/>
      <c r="AB2752" s="303"/>
      <c r="AC2752" s="303"/>
      <c r="AD2752" s="300"/>
      <c r="AE2752" s="301"/>
      <c r="AF2752" s="302"/>
    </row>
    <row r="2753" spans="1:32" ht="12.75" customHeight="1" thickBot="1" x14ac:dyDescent="0.3">
      <c r="A2753" s="2" t="s">
        <v>160</v>
      </c>
      <c r="B2753" s="40" t="str">
        <f>B2712</f>
        <v>I</v>
      </c>
      <c r="C2753" s="3" t="s">
        <v>158</v>
      </c>
      <c r="F2753" s="53" t="str">
        <f>CONCATENATE($B2712,"-",$K2712)</f>
        <v>I-J</v>
      </c>
      <c r="G2753" s="240" t="str">
        <f ca="1">IF(OR(Q2718&lt;&gt;"",Q2725&lt;&gt;"",Q2732&lt;&gt;"",Q2739&lt;&gt;"",Q2746&lt;&gt;""),COUNTIF(Q2718:Q2718,"W")+COUNTIF(Q2725:Q2725,"W")+COUNTIF(Q2732:Q2732,"W")+COUNTIF(Q2739:Q2739,"W")+COUNTIF(Q2746:Q2746,"W"),"")</f>
        <v/>
      </c>
      <c r="H2753" s="241"/>
      <c r="I2753" s="242" t="str">
        <f ca="1">IF(OR(Q2720&lt;&gt;"",Q2727&lt;&gt;"",Q2734&lt;&gt;"",Q2741&lt;&gt;"",Q2748&lt;&gt;""),COUNTIF(Q2720:Q2720,"W")+COUNTIF(Q2727:Q2727,"W")+COUNTIF(Q2734:Q2734,"W")+COUNTIF(Q2741:Q2741,"W")+COUNTIF(Q2748:Q2748,"W"),"")</f>
        <v/>
      </c>
      <c r="J2753" s="243"/>
      <c r="L2753" s="2" t="s">
        <v>160</v>
      </c>
      <c r="M2753" s="40" t="str">
        <f>K2712</f>
        <v>J</v>
      </c>
      <c r="N2753" s="3" t="s">
        <v>158</v>
      </c>
      <c r="R2753" s="259" t="str">
        <f>K2712</f>
        <v>J</v>
      </c>
      <c r="S2753" s="307" t="str">
        <f ca="1">IF($B2741&lt;&gt;"",$B2741,"")</f>
        <v/>
      </c>
      <c r="T2753" s="308"/>
      <c r="U2753" s="308"/>
      <c r="V2753" s="308"/>
      <c r="W2753" s="308"/>
      <c r="X2753" s="309"/>
      <c r="Y2753" s="284"/>
      <c r="Z2753" s="284"/>
      <c r="AA2753" s="297"/>
      <c r="AB2753" s="297"/>
      <c r="AC2753" s="297"/>
      <c r="AD2753" s="289" t="s">
        <v>169</v>
      </c>
      <c r="AE2753" s="290"/>
      <c r="AF2753" s="291"/>
    </row>
    <row r="2754" spans="1:32" ht="12.75" customHeight="1" x14ac:dyDescent="0.35">
      <c r="F2754" s="18" t="s">
        <v>403</v>
      </c>
      <c r="G2754" s="17"/>
      <c r="H2754" s="17"/>
      <c r="I2754" s="17"/>
      <c r="J2754" s="17"/>
      <c r="R2754" s="285"/>
      <c r="S2754" s="310"/>
      <c r="T2754" s="311"/>
      <c r="U2754" s="311"/>
      <c r="V2754" s="311"/>
      <c r="W2754" s="311"/>
      <c r="X2754" s="312"/>
      <c r="Y2754" s="285"/>
      <c r="Z2754" s="285"/>
      <c r="AA2754" s="285"/>
      <c r="AB2754" s="285"/>
      <c r="AC2754" s="285"/>
      <c r="AD2754" s="292"/>
      <c r="AE2754" s="293"/>
      <c r="AF2754" s="294"/>
    </row>
    <row r="2755" spans="1:32" ht="12.75" customHeight="1" x14ac:dyDescent="0.25">
      <c r="R2755" s="1"/>
      <c r="S2755" s="11"/>
      <c r="T2755" s="11"/>
      <c r="U2755" s="11"/>
      <c r="V2755" s="11"/>
      <c r="W2755" s="11"/>
    </row>
    <row r="2756" spans="1:32" ht="12.75" customHeight="1" x14ac:dyDescent="0.25">
      <c r="F2756" s="212"/>
      <c r="G2756" s="212"/>
      <c r="H2756" s="212"/>
      <c r="I2756" s="212"/>
      <c r="R2756" s="1"/>
      <c r="S2756" s="11"/>
      <c r="T2756" s="11"/>
      <c r="U2756" s="11"/>
      <c r="V2756" s="11"/>
      <c r="W2756" s="11"/>
    </row>
    <row r="2757" spans="1:32" ht="12.75" customHeight="1" x14ac:dyDescent="0.25">
      <c r="F2757" s="212"/>
      <c r="G2757" s="212"/>
      <c r="H2757" s="212"/>
      <c r="I2757" s="212"/>
      <c r="R2757" s="1"/>
      <c r="S2757" s="11"/>
      <c r="T2757" s="11"/>
      <c r="U2757" s="11"/>
      <c r="V2757" s="11"/>
      <c r="W2757" s="11"/>
    </row>
    <row r="2758" spans="1:32" ht="12.75" customHeight="1" x14ac:dyDescent="0.25">
      <c r="K2758" s="219" t="s">
        <v>176</v>
      </c>
      <c r="L2758" s="219"/>
      <c r="M2758" s="219"/>
      <c r="N2758" s="219"/>
      <c r="O2758" s="219"/>
      <c r="P2758" s="219"/>
      <c r="R2758" s="1"/>
      <c r="S2758" s="11"/>
      <c r="T2758" s="11"/>
      <c r="U2758" s="11"/>
      <c r="V2758" s="11"/>
      <c r="W2758" s="11"/>
    </row>
    <row r="2759" spans="1:32" ht="12.75" customHeight="1" x14ac:dyDescent="0.25">
      <c r="A2759" s="9" t="s">
        <v>161</v>
      </c>
      <c r="B2759"/>
      <c r="C2759"/>
      <c r="D2759" t="str">
        <f>Draw!$B$1</f>
        <v>Enter Division Name</v>
      </c>
      <c r="E2759"/>
      <c r="F2759" s="6"/>
      <c r="G2759" s="6"/>
      <c r="H2759" s="6"/>
      <c r="I2759"/>
      <c r="J2759"/>
      <c r="K2759"/>
      <c r="L2759"/>
      <c r="M2759" s="219"/>
      <c r="N2759" s="219"/>
      <c r="O2759" s="219"/>
      <c r="P2759" s="219"/>
      <c r="R2759" s="1"/>
      <c r="S2759" s="11"/>
      <c r="T2759" s="11"/>
      <c r="U2759" s="11"/>
      <c r="V2759" s="11"/>
      <c r="W2759" s="11"/>
    </row>
    <row r="2760" spans="1:32" ht="12.75" customHeight="1" x14ac:dyDescent="0.25">
      <c r="A2760" s="2" t="s">
        <v>162</v>
      </c>
      <c r="D2760" t="str">
        <f>Draw!$D$1</f>
        <v>Enter Hosting Location (City, ST)</v>
      </c>
      <c r="J2760" t="str">
        <f ca="1">$J$6</f>
        <v>[NCTTA Teams Template (v3.4).xlsx]</v>
      </c>
      <c r="R2760" s="1"/>
      <c r="S2760" s="11"/>
      <c r="T2760" s="11"/>
      <c r="U2760" s="11"/>
      <c r="V2760" s="11"/>
      <c r="W2760" s="11"/>
    </row>
    <row r="2761" spans="1:32" ht="12.75" customHeight="1" x14ac:dyDescent="0.25">
      <c r="A2761" s="2" t="s">
        <v>163</v>
      </c>
      <c r="D2761" s="275" t="str">
        <f>Draw!$P$1</f>
        <v>Enter Date</v>
      </c>
      <c r="E2761" s="275"/>
      <c r="F2761" s="275"/>
      <c r="G2761" s="275"/>
      <c r="J2761" s="244" t="str">
        <f>CHOOSE(Draw!$T$1,"Round 10, Match 1","","","","","","","","","","Round 11, Match 5")</f>
        <v>Round 10, Match 1</v>
      </c>
      <c r="K2761" s="244"/>
      <c r="L2761" s="244"/>
      <c r="M2761" s="277" t="str">
        <f>IF(AND($J2761&lt;&gt;"",Draw!$AC$10&lt;&gt;"",Draw!$AC$13&lt;&gt;""),Draw!$AC$10+TIME(0,VALUE(MID($J2761,7,FIND(",",$J2761)-FIND(" ",$J2761)-1)-1)*Draw!$AC$13,0),"")</f>
        <v/>
      </c>
      <c r="N2761" s="277"/>
      <c r="O2761" s="125" t="str">
        <f>$F2804</f>
        <v>A-C</v>
      </c>
      <c r="R2761" s="1"/>
      <c r="S2761" s="11"/>
      <c r="T2761" s="11"/>
      <c r="U2761" s="11"/>
      <c r="V2761" s="11"/>
      <c r="W2761" s="11"/>
    </row>
    <row r="2762" spans="1:32" ht="12.75" customHeight="1" x14ac:dyDescent="0.25">
      <c r="A2762" s="6"/>
      <c r="B2762"/>
      <c r="C2762"/>
      <c r="D2762"/>
      <c r="E2762"/>
      <c r="F2762" s="6"/>
      <c r="G2762" s="6"/>
      <c r="H2762" s="11"/>
      <c r="I2762" s="6"/>
      <c r="J2762"/>
      <c r="K2762"/>
      <c r="L2762"/>
      <c r="M2762"/>
      <c r="N2762"/>
      <c r="O2762" s="269" t="str">
        <f>IF(OR(AND(VLOOKUP($B2763,$AM$1:$AX$12,12,FALSE)="C",VLOOKUP($K2763,$AM$1:$AX$12,12,FALSE)="C"),AND(VLOOKUP($B2763,$AM$1:$AX$12,12,FALSE)="W",VLOOKUP($K2763,$AM$1:$AX$12,12,FALSE)="W")),"Official",IF(AND($A2764="",$J2764=""),"","Scrimmage"))</f>
        <v/>
      </c>
      <c r="P2762" s="269"/>
      <c r="R2762" s="1"/>
      <c r="S2762" s="11"/>
      <c r="T2762" s="11"/>
      <c r="U2762" s="11"/>
      <c r="V2762" s="11"/>
      <c r="W2762" s="11"/>
    </row>
    <row r="2763" spans="1:32" ht="12.75" customHeight="1" x14ac:dyDescent="0.25">
      <c r="A2763" s="12" t="s">
        <v>160</v>
      </c>
      <c r="B2763" s="98" t="str">
        <f>CHOOSE(Draw!$T$1,"A","E","F","F","G","G","G","G","G","E","B")</f>
        <v>A</v>
      </c>
      <c r="C2763" s="109">
        <f>VLOOKUP($B2763,$AM$1:$AN$12,2)</f>
        <v>1</v>
      </c>
      <c r="D2763" s="10"/>
      <c r="E2763" s="10"/>
      <c r="F2763" s="8"/>
      <c r="H2763" s="1" t="s">
        <v>164</v>
      </c>
      <c r="J2763" s="12" t="s">
        <v>160</v>
      </c>
      <c r="K2763" s="98" t="str">
        <f>CHOOSE(Draw!$T$1,"C","G","I","J","K","K","K","K","J","L","C")</f>
        <v>C</v>
      </c>
      <c r="L2763" s="109">
        <f>VLOOKUP($K2763,$AM$1:$AN$12,2)</f>
        <v>3</v>
      </c>
      <c r="M2763" s="10"/>
      <c r="N2763" s="10"/>
      <c r="O2763" s="13"/>
      <c r="R2763" s="1"/>
      <c r="S2763" s="11"/>
      <c r="T2763" s="11"/>
      <c r="U2763" s="11"/>
      <c r="V2763" s="11"/>
      <c r="W2763" s="11"/>
    </row>
    <row r="2764" spans="1:32" ht="12.75" customHeight="1" x14ac:dyDescent="0.25">
      <c r="A2764" s="253" t="str">
        <f>IF(VLOOKUP($B2763,Draw!$A$4:$B$27,2)&lt;&gt;0,VLOOKUP($B2763,Draw!$A$4:$B$27,2),"")</f>
        <v/>
      </c>
      <c r="B2764" s="254"/>
      <c r="C2764" s="254"/>
      <c r="D2764" s="254"/>
      <c r="E2764" s="254"/>
      <c r="F2764" s="255"/>
      <c r="G2764" s="273" t="s">
        <v>458</v>
      </c>
      <c r="H2764" s="249"/>
      <c r="I2764" s="274"/>
      <c r="J2764" s="253" t="str">
        <f>IF(VLOOKUP($K2763,Draw!$A$4:$B$27,2)&lt;&gt;0,VLOOKUP($K2763,Draw!$A$4:$B$27,2),"")</f>
        <v/>
      </c>
      <c r="K2764" s="254"/>
      <c r="L2764" s="254"/>
      <c r="M2764" s="254"/>
      <c r="N2764" s="254"/>
      <c r="O2764" s="255"/>
      <c r="P2764"/>
      <c r="R2764" s="1"/>
      <c r="S2764" s="11"/>
      <c r="T2764" s="11"/>
      <c r="U2764" s="11"/>
      <c r="V2764" s="11"/>
      <c r="W2764" s="11"/>
    </row>
    <row r="2765" spans="1:32" ht="12.75" customHeight="1" x14ac:dyDescent="0.25">
      <c r="A2765" s="6"/>
      <c r="B2765"/>
      <c r="C2765"/>
      <c r="D2765"/>
      <c r="E2765"/>
      <c r="F2765" s="6"/>
      <c r="G2765" s="248" t="str">
        <f>"Page "&amp;VALUE(RIGHT($G2764,LEN($G2764)-SEARCH("-",$G2764)))/2</f>
        <v>Page 55</v>
      </c>
      <c r="H2765" s="249"/>
      <c r="I2765" s="249"/>
      <c r="J2765"/>
      <c r="K2765"/>
      <c r="L2765"/>
      <c r="M2765"/>
      <c r="N2765"/>
      <c r="O2765"/>
      <c r="P2765"/>
      <c r="R2765" s="1"/>
      <c r="S2765" s="11"/>
      <c r="T2765" s="11"/>
      <c r="U2765" s="11"/>
      <c r="V2765" s="11"/>
      <c r="W2765" s="11"/>
      <c r="AF2765"/>
    </row>
    <row r="2766" spans="1:32" ht="12.75" customHeight="1" x14ac:dyDescent="0.25">
      <c r="A2766" s="276" t="s">
        <v>177</v>
      </c>
      <c r="B2766" s="276"/>
      <c r="C2766" s="276"/>
      <c r="D2766" s="276"/>
      <c r="E2766" s="276"/>
      <c r="F2766" s="276"/>
      <c r="G2766" s="276"/>
      <c r="H2766" s="276"/>
      <c r="I2766" s="276"/>
      <c r="J2766" s="276"/>
      <c r="K2766" s="276"/>
      <c r="L2766" s="276"/>
      <c r="M2766" s="276"/>
      <c r="N2766" s="276"/>
      <c r="O2766" s="276"/>
      <c r="P2766" s="276"/>
      <c r="Q2766" s="6"/>
      <c r="R2766" s="1"/>
      <c r="S2766" s="11"/>
      <c r="T2766" s="11"/>
      <c r="U2766" s="11"/>
      <c r="V2766" s="11"/>
      <c r="W2766" s="11"/>
      <c r="AF2766" s="14"/>
    </row>
    <row r="2767" spans="1:32" ht="12.75" customHeight="1" x14ac:dyDescent="0.25">
      <c r="A2767" s="15" t="s">
        <v>165</v>
      </c>
      <c r="H2767" s="110" t="str">
        <f>IF($Q2769&lt;&gt;"",IF(AND(AND($H2769&gt;-1,$H2771&gt;-1),OR($H2769&gt;10,$H2771&gt;10),ABS($H2769-$H2771)&gt;1,IF(OR($H2769&gt;11,$H2771&gt;11),ABS($H2769-$H2771)=2,TRUE),$H2769=INT($H2769),$H2771=INT($H2771)),"","Error"),"")</f>
        <v/>
      </c>
      <c r="I2767" s="110" t="str">
        <f>IF($Q2769&lt;&gt;"",IF(AND(AND($I2769&gt;-1,$I2771&gt;-1),OR($I2769&gt;10,$I2771&gt;10),ABS($I2769-$I2771)&gt;1,IF(OR($I2769&gt;11,$I2771&gt;11),ABS($I2769-$I2771)=2,TRUE),$I2769=INT($I2769),$I2771=INT($I2771)),"","Error"),"")</f>
        <v/>
      </c>
      <c r="J2767" s="110" t="str">
        <f>IF($Q2769&lt;&gt;"",IF(AND(AND($J2769&gt;-1,$J2771&gt;-1),OR($J2769&gt;10,$J2771&gt;10),ABS($J2769-$J2771)&gt;1,IF(OR($J2769&gt;11,$J2771&gt;11),ABS($J2769-$J2771)=2,TRUE),$J2769=INT($J2769),$J2771=INT($J2771)),"","Error"),"")</f>
        <v/>
      </c>
      <c r="K2767" s="110" t="str">
        <f>IF($Q2769&lt;&gt;"",IF(AND($K2769&lt;&gt;"",$K2771&lt;&gt;""), IF(AND(AND($K2769&gt;-1,$K2771&gt;-1),OR($K2769&gt;10,$K2771&gt;10),ABS($K2769-$K2771)&gt;1,IF(OR($K2769&gt;11,$K2771&gt;11),ABS($K2769-$K2771)=2,TRUE),$K2769=INT($K2769),$K2771=INT($K2771)),"","Error"),""),"")</f>
        <v/>
      </c>
      <c r="L2767" s="110" t="str">
        <f>IF($Q2769&lt;&gt;"",IF(AND($L2769&lt;&gt;"",$L2771&lt;&gt;""), IF(AND(AND($L2769&gt;-1,$L2771&gt;-1),OR($L2769&gt;10,$L2771&gt;10),ABS($L2769-$L2771)&gt;1,IF(OR($L2769&gt;11,$L2771&gt;11),ABS($L2769-$L2771)=2,TRUE),$L2769=INT($L2769),$L2771=INT($L2771)),"","Error"),""),"")</f>
        <v/>
      </c>
      <c r="R2767" s="1"/>
      <c r="S2767" s="11"/>
      <c r="T2767" s="11"/>
      <c r="U2767" s="11"/>
      <c r="V2767" s="11"/>
      <c r="W2767" s="11"/>
    </row>
    <row r="2768" spans="1:32" ht="12.75" customHeight="1" x14ac:dyDescent="0.25">
      <c r="A2768" s="5" t="s">
        <v>160</v>
      </c>
      <c r="B2768" s="256" t="s">
        <v>58</v>
      </c>
      <c r="C2768" s="257"/>
      <c r="D2768" s="257"/>
      <c r="E2768" s="257"/>
      <c r="F2768" s="257"/>
      <c r="G2768" s="258"/>
      <c r="H2768" s="5">
        <v>1</v>
      </c>
      <c r="I2768" s="5">
        <v>2</v>
      </c>
      <c r="J2768" s="5">
        <v>3</v>
      </c>
      <c r="K2768" s="5">
        <v>4</v>
      </c>
      <c r="L2768" s="5">
        <v>5</v>
      </c>
      <c r="M2768" s="270"/>
      <c r="N2768" s="271"/>
      <c r="O2768" s="271"/>
      <c r="P2768" s="272"/>
      <c r="R2768" s="1"/>
      <c r="S2768" s="11"/>
      <c r="T2768" s="11"/>
      <c r="U2768" s="11"/>
      <c r="V2768" s="11"/>
      <c r="W2768" s="11"/>
    </row>
    <row r="2769" spans="1:32" ht="12.75" customHeight="1" x14ac:dyDescent="0.25">
      <c r="A2769" s="259" t="str">
        <f>B2763</f>
        <v>A</v>
      </c>
      <c r="B2769" s="236" t="str">
        <f ca="1">IF(AND(OFFSET($AO$1,$C2763-1,8,1,1),$A2764&lt;&gt;"",$J2764&lt;&gt;""),CHOOSE($C2763,$AO$1,$AO$2,$AO$3,$AO$4,$AO$5,$AO$6,$AO$7,$AO$8,$AO$9,$AO$10,$AO$11,$AO$12),"")</f>
        <v/>
      </c>
      <c r="C2769" s="237"/>
      <c r="D2769" s="237"/>
      <c r="E2769" s="237"/>
      <c r="F2769" s="237"/>
      <c r="G2769" s="237"/>
      <c r="H2769" s="233"/>
      <c r="I2769" s="233"/>
      <c r="J2769" s="233"/>
      <c r="K2769" s="233"/>
      <c r="L2769" s="233"/>
      <c r="M2769" s="281"/>
      <c r="N2769" s="282"/>
      <c r="O2769" s="282"/>
      <c r="P2769" s="283"/>
      <c r="Q2769" s="40" t="str">
        <f>IF($L2769=$L2771,IF($K2769=$K2771,IF($J2769&lt;&gt;"",IF($J2769&gt;$J2771,"W","L"),""),IF($K2769&gt;$K2771,"W","L")),IF($L2769&gt;$L2771,"W","L"))</f>
        <v/>
      </c>
      <c r="R2769" s="1"/>
      <c r="S2769" s="11"/>
      <c r="T2769" s="11"/>
      <c r="U2769" s="11"/>
      <c r="V2769" s="11"/>
      <c r="W2769" s="11"/>
    </row>
    <row r="2770" spans="1:32" ht="12.75" customHeight="1" x14ac:dyDescent="0.25">
      <c r="A2770" s="260"/>
      <c r="B2770" s="238"/>
      <c r="C2770" s="239"/>
      <c r="D2770" s="239"/>
      <c r="E2770" s="239"/>
      <c r="F2770" s="239"/>
      <c r="G2770" s="239"/>
      <c r="H2770" s="234"/>
      <c r="I2770" s="234"/>
      <c r="J2770" s="234"/>
      <c r="K2770" s="234"/>
      <c r="L2770" s="234"/>
      <c r="M2770" s="281"/>
      <c r="N2770" s="282"/>
      <c r="O2770" s="282"/>
      <c r="P2770" s="283"/>
      <c r="Q2770" s="110" t="str">
        <f>IF($Q2769&lt;&gt;"",IF($Q2769="W",IF(SUM(IF($H2769&gt;$H2771,1,0),IF($I2769&gt;$I2771,1,0),IF($J2769&gt;$J2771,1,0),IF($K2769&gt;$K2771,1,0),IF($L2769&gt;$L2771,1,0))&lt;&gt;3,"Error",""),""),"")</f>
        <v/>
      </c>
      <c r="R2770" s="295" t="str">
        <f>$A2764</f>
        <v/>
      </c>
      <c r="S2770" s="295"/>
      <c r="T2770" s="295"/>
      <c r="U2770" s="295"/>
      <c r="V2770" s="295"/>
      <c r="W2770" s="295"/>
      <c r="X2770" s="219" t="str">
        <f>CONCATENATE("(",$B2763," vs ",$K2763,")")</f>
        <v>(A vs C)</v>
      </c>
      <c r="Y2770" s="219"/>
      <c r="Z2770" s="295" t="str">
        <f>$J2764</f>
        <v/>
      </c>
      <c r="AA2770" s="295"/>
      <c r="AB2770" s="295"/>
      <c r="AC2770" s="295"/>
      <c r="AD2770" s="295"/>
      <c r="AE2770" s="295"/>
      <c r="AF2770"/>
    </row>
    <row r="2771" spans="1:32" ht="12.75" customHeight="1" x14ac:dyDescent="0.25">
      <c r="A2771" s="259" t="str">
        <f>K2763</f>
        <v>C</v>
      </c>
      <c r="B2771" s="236" t="str">
        <f ca="1">IF(AND(OFFSET($AO$1,$L2763-1,8,1,1),$A2764&lt;&gt;"",$J2764&lt;&gt;""),CHOOSE($L2763,$AO$1,$AO$2,$AO$3,$AO$4,$AO$5,$AO$6,$AO$7,$AO$8,$AO$9,$AO$10,$AO$11,$AO$12),"")</f>
        <v/>
      </c>
      <c r="C2771" s="237"/>
      <c r="D2771" s="237"/>
      <c r="E2771" s="237"/>
      <c r="F2771" s="237"/>
      <c r="G2771" s="237"/>
      <c r="H2771" s="233"/>
      <c r="I2771" s="233"/>
      <c r="J2771" s="233"/>
      <c r="K2771" s="233"/>
      <c r="L2771" s="233"/>
      <c r="M2771" s="250" t="s">
        <v>169</v>
      </c>
      <c r="N2771" s="251"/>
      <c r="O2771" s="251"/>
      <c r="P2771" s="252"/>
      <c r="Q2771" s="40" t="str">
        <f>IF($Q2769&lt;&gt;"",IF($Q2769="W","L","W"),"")</f>
        <v/>
      </c>
      <c r="R2771"/>
      <c r="S2771"/>
      <c r="T2771"/>
      <c r="U2771"/>
      <c r="V2771"/>
      <c r="W2771"/>
      <c r="X2771"/>
      <c r="Y2771"/>
      <c r="Z2771"/>
      <c r="AA2771"/>
      <c r="AB2771"/>
      <c r="AC2771"/>
      <c r="AD2771"/>
      <c r="AE2771"/>
      <c r="AF2771"/>
    </row>
    <row r="2772" spans="1:32" ht="12.75" customHeight="1" x14ac:dyDescent="0.25">
      <c r="A2772" s="260"/>
      <c r="B2772" s="238"/>
      <c r="C2772" s="239"/>
      <c r="D2772" s="239"/>
      <c r="E2772" s="239"/>
      <c r="F2772" s="239"/>
      <c r="G2772" s="239"/>
      <c r="H2772" s="234"/>
      <c r="I2772" s="234"/>
      <c r="J2772" s="235"/>
      <c r="K2772" s="235"/>
      <c r="L2772" s="235"/>
      <c r="M2772" s="250"/>
      <c r="N2772" s="251"/>
      <c r="O2772" s="251"/>
      <c r="P2772" s="252"/>
      <c r="Q2772" s="110" t="str">
        <f>IF($Q2771&lt;&gt;"",IF($Q2771="W",IF(SUM(IF($H2771&gt;$H2769,1,0),IF($I2771&gt;$I2769,1,0),IF($J2771&gt;$J2769,1,0),IF($K2771&gt;$K2769,1,0),IF($L2771&gt;$L2769,1,0))&lt;&gt;3,"Error",""),""),"")</f>
        <v/>
      </c>
      <c r="R2772" t="str">
        <f>$A2774</f>
        <v>2nd Singles</v>
      </c>
      <c r="S2772"/>
      <c r="T2772"/>
      <c r="U2772"/>
      <c r="V2772"/>
      <c r="W2772"/>
      <c r="X2772"/>
      <c r="Y2772"/>
      <c r="Z2772"/>
      <c r="AA2772"/>
      <c r="AB2772"/>
      <c r="AC2772"/>
      <c r="AD2772"/>
      <c r="AE2772"/>
      <c r="AF2772"/>
    </row>
    <row r="2773" spans="1:32" ht="12.75" customHeight="1" x14ac:dyDescent="0.25">
      <c r="Q2773" s="6"/>
      <c r="R2773" s="47" t="s">
        <v>160</v>
      </c>
      <c r="S2773" s="304" t="s">
        <v>58</v>
      </c>
      <c r="T2773" s="305"/>
      <c r="U2773" s="305"/>
      <c r="V2773" s="305"/>
      <c r="W2773" s="305"/>
      <c r="X2773" s="306"/>
      <c r="Y2773" s="47">
        <v>1</v>
      </c>
      <c r="Z2773" s="47">
        <v>2</v>
      </c>
      <c r="AA2773" s="47">
        <v>3</v>
      </c>
      <c r="AB2773" s="47">
        <v>4</v>
      </c>
      <c r="AC2773" s="47">
        <v>5</v>
      </c>
      <c r="AD2773" s="286"/>
      <c r="AE2773" s="287"/>
      <c r="AF2773" s="288"/>
    </row>
    <row r="2774" spans="1:32" ht="12.75" customHeight="1" x14ac:dyDescent="0.25">
      <c r="A2774" s="15" t="s">
        <v>166</v>
      </c>
      <c r="H2774" s="110" t="str">
        <f>IF($Q2776&lt;&gt;"",IF(AND(AND($H2776&gt;-1,$H2778&gt;-1),OR($H2776&gt;10,$H2778&gt;10),ABS($H2776-$H2778)&gt;1,IF(OR($H2776&gt;11,$H2778&gt;11),ABS($H2776-$H2778)=2,TRUE),$H2776=INT($H2776),$H2778=INT($H2778)),"","Error"),"")</f>
        <v/>
      </c>
      <c r="I2774" s="110" t="str">
        <f>IF($Q2776&lt;&gt;"",IF(AND(AND($I2776&gt;-1,$I2778&gt;-1),OR($I2776&gt;10,$I2778&gt;10),ABS($I2776-$I2778)&gt;1,IF(OR($I2776&gt;11,$I2778&gt;11),ABS($I2776-$I2778)=2,TRUE),$I2776=INT($I2776),$I2778=INT($I2778)),"","Error"),"")</f>
        <v/>
      </c>
      <c r="J2774" s="110" t="str">
        <f>IF($Q2776&lt;&gt;"",IF(AND(AND($J2776&gt;-1,$J2778&gt;-1),OR($J2776&gt;10,$J2778&gt;10),ABS($J2776-$J2778)&gt;1,IF(OR($J2776&gt;11,$J2778&gt;11),ABS($J2776-$J2778)=2,TRUE),$J2776=INT($J2776),$J2778=INT($J2778)),"","Error"),"")</f>
        <v/>
      </c>
      <c r="K2774" s="110" t="str">
        <f>IF($Q2776&lt;&gt;"",IF(AND($K2776&lt;&gt;"",$K2778&lt;&gt;""), IF(AND(AND($K2776&gt;-1,$K2778&gt;-1),OR($K2776&gt;10,$K2778&gt;10),ABS($K2776-$K2778)&gt;1,IF(OR($K2776&gt;11,$K2778&gt;11),ABS($K2776-$K2778)=2,TRUE),$K2776=INT($K2776),$K2778=INT($K2778)),"","Error"),""),"")</f>
        <v/>
      </c>
      <c r="L2774" s="110" t="str">
        <f>IF($Q2776&lt;&gt;"",IF(AND($L2776&lt;&gt;"",$L2778&lt;&gt;""), IF(AND(AND($L2776&gt;-1,$L2778&gt;-1),OR($L2776&gt;10,$L2778&gt;10),ABS($L2776-$L2778)&gt;1,IF(OR($L2776&gt;11,$L2778&gt;11),ABS($L2776-$L2778)=2,TRUE),$L2776=INT($L2776),$L2778=INT($L2778)),"","Error"),""),"")</f>
        <v/>
      </c>
      <c r="Q2774" s="6"/>
      <c r="R2774" s="259" t="str">
        <f>$B2763</f>
        <v>A</v>
      </c>
      <c r="S2774" s="307" t="str">
        <f ca="1">IF($B2776&lt;&gt;"",$B2776,"")</f>
        <v/>
      </c>
      <c r="T2774" s="308"/>
      <c r="U2774" s="308"/>
      <c r="V2774" s="308"/>
      <c r="W2774" s="308"/>
      <c r="X2774" s="309"/>
      <c r="Y2774" s="284"/>
      <c r="Z2774" s="284"/>
      <c r="AA2774" s="284"/>
      <c r="AB2774" s="284"/>
      <c r="AC2774" s="284"/>
      <c r="AD2774" s="296"/>
      <c r="AE2774" s="290"/>
      <c r="AF2774" s="291"/>
    </row>
    <row r="2775" spans="1:32" ht="12.75" customHeight="1" x14ac:dyDescent="0.25">
      <c r="A2775" s="5" t="s">
        <v>160</v>
      </c>
      <c r="B2775" s="256" t="s">
        <v>58</v>
      </c>
      <c r="C2775" s="257"/>
      <c r="D2775" s="257"/>
      <c r="E2775" s="257"/>
      <c r="F2775" s="257"/>
      <c r="G2775" s="258"/>
      <c r="H2775" s="5">
        <v>1</v>
      </c>
      <c r="I2775" s="5">
        <v>2</v>
      </c>
      <c r="J2775" s="5">
        <v>3</v>
      </c>
      <c r="K2775" s="5">
        <v>4</v>
      </c>
      <c r="L2775" s="5">
        <v>5</v>
      </c>
      <c r="M2775" s="270"/>
      <c r="N2775" s="271"/>
      <c r="O2775" s="271"/>
      <c r="P2775" s="272"/>
      <c r="Q2775" s="6"/>
      <c r="R2775" s="285"/>
      <c r="S2775" s="310"/>
      <c r="T2775" s="311"/>
      <c r="U2775" s="311"/>
      <c r="V2775" s="311"/>
      <c r="W2775" s="311"/>
      <c r="X2775" s="312"/>
      <c r="Y2775" s="285"/>
      <c r="Z2775" s="285"/>
      <c r="AA2775" s="285"/>
      <c r="AB2775" s="285"/>
      <c r="AC2775" s="285"/>
      <c r="AD2775" s="292"/>
      <c r="AE2775" s="293"/>
      <c r="AF2775" s="294"/>
    </row>
    <row r="2776" spans="1:32" ht="12.75" customHeight="1" x14ac:dyDescent="0.25">
      <c r="A2776" s="259" t="str">
        <f>B2763</f>
        <v>A</v>
      </c>
      <c r="B2776" s="236" t="str">
        <f ca="1">IF(AND(OFFSET($AO$1,$C2763-1,8,1,1),$A2764&lt;&gt;"",$J2764&lt;&gt;""),CHOOSE($C2763,$AP$1,$AP$2,$AP$3,$AP$4,$AP$5,$AP$6,$AP$7,$AP$8,$AP$9,$AP$10,$AP$11,$AP$12),"")</f>
        <v/>
      </c>
      <c r="C2776" s="237"/>
      <c r="D2776" s="237"/>
      <c r="E2776" s="237"/>
      <c r="F2776" s="237"/>
      <c r="G2776" s="237"/>
      <c r="H2776" s="233"/>
      <c r="I2776" s="233"/>
      <c r="J2776" s="233"/>
      <c r="K2776" s="233"/>
      <c r="L2776" s="233"/>
      <c r="M2776" s="245" t="str">
        <f ca="1">IF(OR(AND($B2769&lt;&gt;"",$B2776&lt;&gt;"",$C2794&lt;=$B2794),AND($B2771&lt;&gt;"",$B2778&lt;&gt;"",$G2794&lt;=$F2794)),"Invalid Lineup","")</f>
        <v/>
      </c>
      <c r="N2776" s="246"/>
      <c r="O2776" s="246"/>
      <c r="P2776" s="247"/>
      <c r="Q2776" s="40" t="str">
        <f>IF($L2776=$L2778,IF($K2776=$K2778,IF($J2776&lt;&gt;"",IF($J2776&gt;$J2778,"W","L"),""),IF($K2776&gt;$K2778,"W","L")),IF($L2776&gt;$L2778,"W","L"))</f>
        <v/>
      </c>
      <c r="R2776" s="259" t="str">
        <f>$K2763</f>
        <v>C</v>
      </c>
      <c r="S2776" s="307" t="str">
        <f ca="1">IF($B2778&lt;&gt;"",$B2778,"")</f>
        <v/>
      </c>
      <c r="T2776" s="308"/>
      <c r="U2776" s="308"/>
      <c r="V2776" s="308"/>
      <c r="W2776" s="308"/>
      <c r="X2776" s="309"/>
      <c r="Y2776" s="284"/>
      <c r="Z2776" s="284"/>
      <c r="AA2776" s="284"/>
      <c r="AB2776" s="284"/>
      <c r="AC2776" s="297"/>
      <c r="AD2776" s="289" t="s">
        <v>169</v>
      </c>
      <c r="AE2776" s="290"/>
      <c r="AF2776" s="291"/>
    </row>
    <row r="2777" spans="1:32" ht="12.75" customHeight="1" x14ac:dyDescent="0.25">
      <c r="A2777" s="260"/>
      <c r="B2777" s="238"/>
      <c r="C2777" s="239"/>
      <c r="D2777" s="239"/>
      <c r="E2777" s="239"/>
      <c r="F2777" s="239"/>
      <c r="G2777" s="239"/>
      <c r="H2777" s="234"/>
      <c r="I2777" s="234"/>
      <c r="J2777" s="234"/>
      <c r="K2777" s="234"/>
      <c r="L2777" s="234"/>
      <c r="M2777" s="245"/>
      <c r="N2777" s="246"/>
      <c r="O2777" s="246"/>
      <c r="P2777" s="247"/>
      <c r="Q2777" s="110" t="str">
        <f>IF($Q2776&lt;&gt;"",IF($Q2776="W",IF(SUM(IF($H2776&gt;$H2778,1,0),IF($I2776&gt;$I2778,1,0),IF($J2776&gt;$J2778,1,0),IF($K2776&gt;$K2778,1,0),IF($L2776&gt;$L2778,1,0))&lt;&gt;3,"Error",""),""),"")</f>
        <v/>
      </c>
      <c r="R2777" s="285"/>
      <c r="S2777" s="310"/>
      <c r="T2777" s="311"/>
      <c r="U2777" s="311"/>
      <c r="V2777" s="311"/>
      <c r="W2777" s="311"/>
      <c r="X2777" s="312"/>
      <c r="Y2777" s="285"/>
      <c r="Z2777" s="285"/>
      <c r="AA2777" s="285"/>
      <c r="AB2777" s="285"/>
      <c r="AC2777" s="285"/>
      <c r="AD2777" s="292"/>
      <c r="AE2777" s="293"/>
      <c r="AF2777" s="294"/>
    </row>
    <row r="2778" spans="1:32" ht="12.75" customHeight="1" x14ac:dyDescent="0.25">
      <c r="A2778" s="259" t="str">
        <f>K2763</f>
        <v>C</v>
      </c>
      <c r="B2778" s="236" t="str">
        <f ca="1">IF(AND(OFFSET($AO$1,$L2763-1,8,1,1),$A2764&lt;&gt;"",$J2764&lt;&gt;""),CHOOSE($L2763,$AP$1,$AP$2,$AP$3,$AP$4,$AP$5,$AP$6,$AP$7,$AP$8,$AP$9,$AP$10,$AP$11,$AP$12),"")</f>
        <v/>
      </c>
      <c r="C2778" s="237"/>
      <c r="D2778" s="237"/>
      <c r="E2778" s="237"/>
      <c r="F2778" s="237"/>
      <c r="G2778" s="237"/>
      <c r="H2778" s="233"/>
      <c r="I2778" s="233"/>
      <c r="J2778" s="233"/>
      <c r="K2778" s="233"/>
      <c r="L2778" s="233"/>
      <c r="M2778" s="250" t="s">
        <v>169</v>
      </c>
      <c r="N2778" s="251"/>
      <c r="O2778" s="251"/>
      <c r="P2778" s="252"/>
      <c r="Q2778" s="40" t="str">
        <f>IF($Q2776&lt;&gt;"",IF($Q2776="W","L","W"),"")</f>
        <v/>
      </c>
      <c r="R2778" s="14"/>
      <c r="S2778" s="14"/>
      <c r="T2778" s="14"/>
      <c r="U2778" s="14"/>
      <c r="V2778" s="14"/>
      <c r="W2778" s="14"/>
      <c r="X2778" s="7"/>
      <c r="Y2778" s="7"/>
      <c r="Z2778" s="14"/>
      <c r="AA2778" s="14"/>
      <c r="AB2778" s="14"/>
      <c r="AC2778" s="14"/>
      <c r="AD2778" s="14"/>
      <c r="AE2778" s="14"/>
      <c r="AF2778"/>
    </row>
    <row r="2779" spans="1:32" ht="12.75" customHeight="1" x14ac:dyDescent="0.25">
      <c r="A2779" s="260"/>
      <c r="B2779" s="238"/>
      <c r="C2779" s="239"/>
      <c r="D2779" s="239"/>
      <c r="E2779" s="239"/>
      <c r="F2779" s="239"/>
      <c r="G2779" s="239"/>
      <c r="H2779" s="234"/>
      <c r="I2779" s="234"/>
      <c r="J2779" s="235"/>
      <c r="K2779" s="235"/>
      <c r="L2779" s="235"/>
      <c r="M2779" s="250"/>
      <c r="N2779" s="251"/>
      <c r="O2779" s="251"/>
      <c r="P2779" s="252"/>
      <c r="Q2779" s="110" t="str">
        <f>IF($Q2778&lt;&gt;"",IF($Q2778="W",IF(SUM(IF($H2778&gt;$H2776,1,0),IF($I2778&gt;$I2776,1,0),IF($J2778&gt;$J2776,1,0),IF($K2778&gt;$K2776,1,0),IF($L2778&gt;$L2776,1,0))&lt;&gt;3,"Error",""),""),"")</f>
        <v/>
      </c>
      <c r="R2779" s="14"/>
      <c r="S2779" s="14"/>
      <c r="T2779" s="14"/>
      <c r="U2779" s="14"/>
      <c r="V2779" s="14"/>
      <c r="W2779" s="14"/>
      <c r="X2779" s="7"/>
      <c r="Y2779" s="7"/>
      <c r="Z2779" s="14"/>
      <c r="AA2779" s="14"/>
      <c r="AB2779" s="14"/>
      <c r="AC2779" s="14"/>
      <c r="AD2779" s="14"/>
      <c r="AE2779" s="14"/>
      <c r="AF2779"/>
    </row>
    <row r="2780" spans="1:32" ht="12.75" customHeight="1" x14ac:dyDescent="0.25">
      <c r="Q2780" s="6"/>
      <c r="R2780" s="14"/>
      <c r="S2780" s="14"/>
      <c r="T2780" s="14"/>
      <c r="U2780" s="14"/>
      <c r="V2780" s="14"/>
      <c r="W2780" s="14"/>
      <c r="X2780" s="7"/>
      <c r="Y2780" s="7"/>
      <c r="Z2780" s="14"/>
      <c r="AA2780" s="14"/>
      <c r="AB2780" s="14"/>
      <c r="AC2780" s="14"/>
      <c r="AD2780" s="14"/>
      <c r="AE2780" s="14"/>
      <c r="AF2780"/>
    </row>
    <row r="2781" spans="1:32" ht="12.75" customHeight="1" x14ac:dyDescent="0.25">
      <c r="A2781" s="15" t="s">
        <v>167</v>
      </c>
      <c r="H2781" s="110" t="str">
        <f>IF($Q2783&lt;&gt;"",IF(AND(AND($H2783&gt;-1,$H2785&gt;-1),OR($H2783&gt;10,$H2785&gt;10),ABS($H2783-$H2785)&gt;1,IF(OR($H2783&gt;11,$H2785&gt;11),ABS($H2783-$H2785)=2,TRUE),$H2783=INT($H2783),$H2785=INT($H2785)),"","Error"),"")</f>
        <v/>
      </c>
      <c r="I2781" s="110" t="str">
        <f>IF($Q2783&lt;&gt;"",IF(AND(AND($I2783&gt;-1,$I2785&gt;-1),OR($I2783&gt;10,$I2785&gt;10),ABS($I2783-$I2785)&gt;1,IF(OR($I2783&gt;11,$I2785&gt;11),ABS($I2783-$I2785)=2,TRUE),$I2783=INT($I2783),$I2785=INT($I2785)),"","Error"),"")</f>
        <v/>
      </c>
      <c r="J2781" s="110" t="str">
        <f>IF($Q2783&lt;&gt;"",IF(AND(AND($J2783&gt;-1,$J2785&gt;-1),OR($J2783&gt;10,$J2785&gt;10),ABS($J2783-$J2785)&gt;1,IF(OR($J2783&gt;11,$J2785&gt;11),ABS($J2783-$J2785)=2,TRUE),$J2783=INT($J2783),$J2785=INT($J2785)),"","Error"),"")</f>
        <v/>
      </c>
      <c r="K2781" s="110" t="str">
        <f>IF($Q2783&lt;&gt;"",IF(AND($K2783&lt;&gt;"",$K2785&lt;&gt;""), IF(AND(AND($K2783&gt;-1,$K2785&gt;-1),OR($K2783&gt;10,$K2785&gt;10),ABS($K2783-$K2785)&gt;1,IF(OR($K2783&gt;11,$K2785&gt;11),ABS($K2783-$K2785)=2,TRUE),$K2783=INT($K2783),$K2785=INT($K2785)),"","Error"),""),"")</f>
        <v/>
      </c>
      <c r="L2781" s="110" t="str">
        <f>IF($Q2783&lt;&gt;"",IF(AND($L2783&lt;&gt;"",$L2785&lt;&gt;""), IF(AND(AND($L2783&gt;-1,$L2785&gt;-1),OR($L2783&gt;10,$L2785&gt;10),ABS($L2783-$L2785)&gt;1,IF(OR($L2783&gt;11,$L2785&gt;11),ABS($L2783-$L2785)=2,TRUE),$L2783=INT($L2783),$L2785=INT($L2785)),"","Error"),""),"")</f>
        <v/>
      </c>
      <c r="Q2781" s="6"/>
      <c r="R2781" s="14"/>
      <c r="S2781" s="14"/>
      <c r="T2781" s="14"/>
      <c r="U2781" s="14"/>
      <c r="V2781" s="14"/>
      <c r="W2781" s="14"/>
      <c r="X2781" s="7"/>
      <c r="Y2781" s="7"/>
      <c r="Z2781" s="14"/>
      <c r="AA2781" s="14"/>
      <c r="AB2781" s="14"/>
      <c r="AC2781" s="14"/>
      <c r="AD2781" s="14"/>
      <c r="AE2781" s="14"/>
      <c r="AF2781"/>
    </row>
    <row r="2782" spans="1:32" ht="12.75" customHeight="1" x14ac:dyDescent="0.25">
      <c r="A2782" s="5" t="s">
        <v>160</v>
      </c>
      <c r="B2782" s="256" t="s">
        <v>58</v>
      </c>
      <c r="C2782" s="257"/>
      <c r="D2782" s="257"/>
      <c r="E2782" s="257"/>
      <c r="F2782" s="257"/>
      <c r="G2782" s="258"/>
      <c r="H2782" s="5">
        <v>1</v>
      </c>
      <c r="I2782" s="5">
        <v>2</v>
      </c>
      <c r="J2782" s="5">
        <v>3</v>
      </c>
      <c r="K2782" s="5">
        <v>4</v>
      </c>
      <c r="L2782" s="5">
        <v>5</v>
      </c>
      <c r="M2782" s="270"/>
      <c r="N2782" s="271"/>
      <c r="O2782" s="271"/>
      <c r="P2782" s="272"/>
      <c r="Q2782" s="6"/>
      <c r="R2782" s="14"/>
      <c r="S2782" s="14"/>
      <c r="T2782" s="14"/>
      <c r="U2782" s="14"/>
      <c r="V2782" s="14"/>
      <c r="W2782" s="14"/>
      <c r="X2782" s="7"/>
      <c r="Y2782" s="7"/>
      <c r="Z2782" s="14"/>
      <c r="AA2782" s="14"/>
      <c r="AB2782" s="14"/>
      <c r="AC2782" s="14"/>
      <c r="AD2782" s="14"/>
      <c r="AE2782" s="14"/>
      <c r="AF2782"/>
    </row>
    <row r="2783" spans="1:32" ht="12.75" customHeight="1" x14ac:dyDescent="0.25">
      <c r="A2783" s="259" t="str">
        <f>B2763</f>
        <v>A</v>
      </c>
      <c r="B2783" s="236" t="str">
        <f ca="1">IF(AND(OFFSET($AO$1,$C2763-1,8,1,1),$A2764&lt;&gt;"",$J2764&lt;&gt;""),CHOOSE($C2763,$AQ$1,$AQ$2,$AQ$3,$AQ$4,$AQ$5,$AQ$6,$AQ$7,$AQ$8,$AQ$9,$AQ$10,$AQ$11,$AQ$12),"")</f>
        <v/>
      </c>
      <c r="C2783" s="237"/>
      <c r="D2783" s="237"/>
      <c r="E2783" s="237"/>
      <c r="F2783" s="237"/>
      <c r="G2783" s="237"/>
      <c r="H2783" s="233"/>
      <c r="I2783" s="233"/>
      <c r="J2783" s="233"/>
      <c r="K2783" s="233"/>
      <c r="L2783" s="233"/>
      <c r="M2783" s="245" t="str">
        <f ca="1">IF(OR(AND($B2776&lt;&gt;"",$B2783&lt;&gt;"",$D2794&lt;=$C2794),AND($B2778&lt;&gt;"",$B2785&lt;&gt;"",$H2794&lt;=$G2794)),"Invalid Lineup","")</f>
        <v/>
      </c>
      <c r="N2783" s="246"/>
      <c r="O2783" s="246"/>
      <c r="P2783" s="247"/>
      <c r="Q2783" s="40" t="str">
        <f>IF($L2783=$L2785,IF($K2783=$K2785,IF($J2783&lt;&gt;"",IF($J2783&gt;$J2785,"W","L"),""),IF($K2783&gt;$K2785,"W","L")),IF($L2783&gt;$L2785,"W","L"))</f>
        <v/>
      </c>
      <c r="R2783" s="14"/>
      <c r="S2783" s="14"/>
      <c r="T2783" s="14"/>
      <c r="U2783" s="14"/>
      <c r="V2783" s="14"/>
      <c r="W2783" s="14"/>
      <c r="X2783" s="7"/>
      <c r="Y2783" s="7"/>
      <c r="Z2783" s="14"/>
      <c r="AA2783" s="14"/>
      <c r="AB2783" s="14"/>
      <c r="AC2783" s="14"/>
      <c r="AD2783" s="14"/>
      <c r="AE2783" s="14"/>
      <c r="AF2783"/>
    </row>
    <row r="2784" spans="1:32" ht="12.75" customHeight="1" x14ac:dyDescent="0.25">
      <c r="A2784" s="260"/>
      <c r="B2784" s="238"/>
      <c r="C2784" s="239"/>
      <c r="D2784" s="239"/>
      <c r="E2784" s="239"/>
      <c r="F2784" s="239"/>
      <c r="G2784" s="239"/>
      <c r="H2784" s="234"/>
      <c r="I2784" s="234"/>
      <c r="J2784" s="234"/>
      <c r="K2784" s="234"/>
      <c r="L2784" s="234"/>
      <c r="M2784" s="245"/>
      <c r="N2784" s="246"/>
      <c r="O2784" s="246"/>
      <c r="P2784" s="247"/>
      <c r="Q2784" s="110" t="str">
        <f>IF($Q2783&lt;&gt;"",IF($Q2783="W",IF(SUM(IF($H2783&gt;$H2785,1,0),IF($I2783&gt;$I2785,1,0),IF($J2783&gt;$J2785,1,0),IF($K2783&gt;$K2785,1,0),IF($L2783&gt;$L2785,1,0))&lt;&gt;3,"Error",""),""),"")</f>
        <v/>
      </c>
      <c r="R2784" s="295" t="str">
        <f>$A2764</f>
        <v/>
      </c>
      <c r="S2784" s="295"/>
      <c r="T2784" s="295"/>
      <c r="U2784" s="295"/>
      <c r="V2784" s="295"/>
      <c r="W2784" s="295"/>
      <c r="X2784" s="219" t="str">
        <f>CONCATENATE("(",$B2763," vs ",$K2763,")")</f>
        <v>(A vs C)</v>
      </c>
      <c r="Y2784" s="219"/>
      <c r="Z2784" s="295" t="str">
        <f>$J2764</f>
        <v/>
      </c>
      <c r="AA2784" s="295"/>
      <c r="AB2784" s="295"/>
      <c r="AC2784" s="295"/>
      <c r="AD2784" s="295"/>
      <c r="AE2784" s="295"/>
      <c r="AF2784"/>
    </row>
    <row r="2785" spans="1:32" ht="12.75" customHeight="1" x14ac:dyDescent="0.25">
      <c r="A2785" s="259" t="str">
        <f>K2763</f>
        <v>C</v>
      </c>
      <c r="B2785" s="236" t="str">
        <f ca="1">IF(AND(OFFSET($AO$1,$L2763-1,8,1,1),$A2764&lt;&gt;"",$J2764&lt;&gt;""),CHOOSE($L2763,$AQ$1,$AQ$2,$AQ$3,$AQ$4,$AQ$5,$AQ$6,$AQ$7,$AQ$8,$AQ$9,$AQ$10,$AQ$11,$AQ$12),"")</f>
        <v/>
      </c>
      <c r="C2785" s="237"/>
      <c r="D2785" s="237"/>
      <c r="E2785" s="237"/>
      <c r="F2785" s="237"/>
      <c r="G2785" s="237"/>
      <c r="H2785" s="233"/>
      <c r="I2785" s="233"/>
      <c r="J2785" s="233"/>
      <c r="K2785" s="233"/>
      <c r="L2785" s="233"/>
      <c r="M2785" s="250" t="s">
        <v>169</v>
      </c>
      <c r="N2785" s="251"/>
      <c r="O2785" s="251"/>
      <c r="P2785" s="252"/>
      <c r="Q2785" s="40" t="str">
        <f>IF($Q2783&lt;&gt;"",IF($Q2783="W","L","W"),"")</f>
        <v/>
      </c>
      <c r="R2785"/>
      <c r="S2785"/>
      <c r="T2785"/>
      <c r="U2785"/>
      <c r="V2785"/>
      <c r="W2785"/>
      <c r="X2785"/>
      <c r="Y2785"/>
      <c r="Z2785"/>
      <c r="AA2785"/>
      <c r="AB2785"/>
      <c r="AC2785"/>
      <c r="AD2785"/>
      <c r="AE2785"/>
      <c r="AF2785"/>
    </row>
    <row r="2786" spans="1:32" ht="12.75" customHeight="1" x14ac:dyDescent="0.25">
      <c r="A2786" s="260"/>
      <c r="B2786" s="238"/>
      <c r="C2786" s="239"/>
      <c r="D2786" s="239"/>
      <c r="E2786" s="239"/>
      <c r="F2786" s="239"/>
      <c r="G2786" s="239"/>
      <c r="H2786" s="234"/>
      <c r="I2786" s="234"/>
      <c r="J2786" s="235"/>
      <c r="K2786" s="235"/>
      <c r="L2786" s="235"/>
      <c r="M2786" s="250"/>
      <c r="N2786" s="251"/>
      <c r="O2786" s="251"/>
      <c r="P2786" s="252"/>
      <c r="Q2786" s="110" t="str">
        <f>IF($Q2785&lt;&gt;"",IF($Q2785="W",IF(SUM(IF($H2785&gt;$H2783,1,0),IF($I2785&gt;$I2783,1,0),IF($J2785&gt;$J2783,1,0),IF($K2785&gt;$K2783,1,0),IF($L2785&gt;$L2783,1,0))&lt;&gt;3,"Error",""),""),"")</f>
        <v/>
      </c>
      <c r="R2786" t="str">
        <f>$A2781</f>
        <v>3rd Singles</v>
      </c>
      <c r="S2786"/>
      <c r="T2786"/>
      <c r="U2786"/>
      <c r="V2786"/>
      <c r="W2786"/>
      <c r="X2786"/>
      <c r="Y2786"/>
      <c r="Z2786"/>
      <c r="AA2786"/>
      <c r="AB2786"/>
      <c r="AC2786"/>
      <c r="AD2786"/>
      <c r="AE2786"/>
      <c r="AF2786"/>
    </row>
    <row r="2787" spans="1:32" ht="12.75" customHeight="1" x14ac:dyDescent="0.25">
      <c r="Q2787" s="6"/>
      <c r="R2787" s="47" t="s">
        <v>160</v>
      </c>
      <c r="S2787" s="86" t="s">
        <v>58</v>
      </c>
      <c r="T2787" s="87"/>
      <c r="U2787" s="87"/>
      <c r="V2787" s="87"/>
      <c r="W2787" s="87"/>
      <c r="X2787" s="88"/>
      <c r="Y2787" s="47">
        <v>1</v>
      </c>
      <c r="Z2787" s="47">
        <v>2</v>
      </c>
      <c r="AA2787" s="47">
        <v>3</v>
      </c>
      <c r="AB2787" s="47">
        <v>4</v>
      </c>
      <c r="AC2787" s="47">
        <v>5</v>
      </c>
      <c r="AD2787" s="89"/>
      <c r="AE2787" s="90"/>
      <c r="AF2787" s="91"/>
    </row>
    <row r="2788" spans="1:32" ht="12.75" customHeight="1" x14ac:dyDescent="0.25">
      <c r="A2788" s="15" t="s">
        <v>168</v>
      </c>
      <c r="H2788" s="110" t="str">
        <f ca="1">IF($Q2790&lt;&gt;"",IF(AND($B2790&lt;&gt;"Missing Player",$B2792&lt;&gt;"Missing Player"),IF(AND(AND($H2790&gt;-1,$H2792&gt;-1),OR($H2790&gt;10,$H2792&gt;10),ABS($H2790-$H2792)&gt;1,IF(OR($H2790&gt;11,$H2792&gt;11),ABS($H2790-$H2792)=2,TRUE),$H2790=INT($H2790),$H2792=INT($H2792)),"","Error"),""),"")</f>
        <v/>
      </c>
      <c r="I2788" s="110" t="str">
        <f ca="1">IF($Q2790&lt;&gt;"",IF(AND($B2790&lt;&gt;"Missing Player",$B2792&lt;&gt;"Missing Player"),IF(AND(AND($I2790&gt;-1,$I2792&gt;-1),OR($I2790&gt;10,$I2792&gt;10),ABS($I2790-$I2792)&gt;1,IF(OR($I2790&gt;11,$I2792&gt;11),ABS($I2790-$I2792)=2,TRUE),$I2790=INT($I2790),$I2792=INT($I2792)),"","Error"),""),"")</f>
        <v/>
      </c>
      <c r="J2788" s="110" t="str">
        <f ca="1">IF($Q2790&lt;&gt;"",IF(AND($B2790&lt;&gt;"Missing Player",$B2792&lt;&gt;"Missing Player"),IF(AND(AND($J2790&gt;-1,$J2792&gt;-1),OR($J2790&gt;10,$J2792&gt;10),ABS($J2790-$J2792)&gt;1,IF(OR($J2790&gt;11,$J2792&gt;11),ABS($J2790-$J2792)=2,TRUE),$J2790=INT($J2790),$J2792=INT($J2792)),"","Error"),""),"")</f>
        <v/>
      </c>
      <c r="K2788" s="110" t="str">
        <f ca="1">IF($Q2790&lt;&gt;"",IF(AND($K2790&lt;&gt;"",$K2792&lt;&gt;""), IF(AND(AND($K2790&gt;-1,$K2792&gt;-1),OR($K2790&gt;10,$K2792&gt;10),ABS($K2790-$K2792)&gt;1,IF(OR($K2790&gt;11,$K2792&gt;11),ABS($K2790-$K2792)=2,TRUE),$K2790=INT($K2790),$K2792=INT($K2792)),"","Error"),""),"")</f>
        <v/>
      </c>
      <c r="L2788" s="110" t="str">
        <f ca="1">IF($Q2790&lt;&gt;"",IF(AND($L2790&lt;&gt;"",$L2792&lt;&gt;""), IF(AND(AND($L2790&gt;-1,$L2792&gt;-1),OR($L2790&gt;10,$L2792&gt;10),ABS($L2790-$L2792)&gt;1,IF(OR($L2790&gt;11,$L2792&gt;11),ABS($L2790-$L2792)=2,TRUE),$L2790=INT($L2790),$L2792=INT($L2792)),"","Error"),""),"")</f>
        <v/>
      </c>
      <c r="Q2788" s="6"/>
      <c r="R2788" s="259" t="str">
        <f>$B2763</f>
        <v>A</v>
      </c>
      <c r="S2788" s="307" t="str">
        <f ca="1">IF($B2783&lt;&gt;"",$B2783,"")</f>
        <v/>
      </c>
      <c r="T2788" s="308"/>
      <c r="U2788" s="308"/>
      <c r="V2788" s="308"/>
      <c r="W2788" s="308"/>
      <c r="X2788" s="309"/>
      <c r="Y2788" s="284"/>
      <c r="Z2788" s="284"/>
      <c r="AA2788" s="284"/>
      <c r="AB2788" s="284"/>
      <c r="AC2788" s="284"/>
      <c r="AD2788" s="296"/>
      <c r="AE2788" s="290"/>
      <c r="AF2788" s="291"/>
    </row>
    <row r="2789" spans="1:32" ht="12.75" customHeight="1" x14ac:dyDescent="0.25">
      <c r="A2789" s="5" t="s">
        <v>160</v>
      </c>
      <c r="B2789" s="256" t="s">
        <v>58</v>
      </c>
      <c r="C2789" s="257"/>
      <c r="D2789" s="257"/>
      <c r="E2789" s="257"/>
      <c r="F2789" s="257"/>
      <c r="G2789" s="258"/>
      <c r="H2789" s="5">
        <v>1</v>
      </c>
      <c r="I2789" s="5">
        <v>2</v>
      </c>
      <c r="J2789" s="5">
        <v>3</v>
      </c>
      <c r="K2789" s="5">
        <v>4</v>
      </c>
      <c r="L2789" s="5">
        <v>5</v>
      </c>
      <c r="M2789" s="270"/>
      <c r="N2789" s="271"/>
      <c r="O2789" s="271"/>
      <c r="P2789" s="272"/>
      <c r="Q2789" s="6"/>
      <c r="R2789" s="285"/>
      <c r="S2789" s="310"/>
      <c r="T2789" s="311"/>
      <c r="U2789" s="311"/>
      <c r="V2789" s="311"/>
      <c r="W2789" s="311"/>
      <c r="X2789" s="312"/>
      <c r="Y2789" s="285"/>
      <c r="Z2789" s="285"/>
      <c r="AA2789" s="285"/>
      <c r="AB2789" s="285"/>
      <c r="AC2789" s="285"/>
      <c r="AD2789" s="292"/>
      <c r="AE2789" s="293"/>
      <c r="AF2789" s="294"/>
    </row>
    <row r="2790" spans="1:32" ht="12.75" customHeight="1" x14ac:dyDescent="0.25">
      <c r="A2790" s="259" t="str">
        <f>B2763</f>
        <v>A</v>
      </c>
      <c r="B2790" s="236" t="str">
        <f ca="1">IF(AND(OFFSET($AO$1,$C2763-1,8,1,1),$A2764&lt;&gt;"",$J2764&lt;&gt;""),CHOOSE($C2763,$AR$1,$AR$2,$AR$3,$AR$4,$AR$5,$AR$6,$AR$7,$AR$8,$AR$9,$AR$10,$AR$11,$AR$12),"")</f>
        <v/>
      </c>
      <c r="C2790" s="237"/>
      <c r="D2790" s="237"/>
      <c r="E2790" s="237"/>
      <c r="F2790" s="237"/>
      <c r="G2790" s="237"/>
      <c r="H2790" s="233"/>
      <c r="I2790" s="233"/>
      <c r="J2790" s="233"/>
      <c r="K2790" s="233"/>
      <c r="L2790" s="233" t="str">
        <f ca="1">IF(AND($B2790&lt;&gt;"",$Q2769&lt;&gt;""),IF($B2790="Missing Player",0,IF($B2792="Missing Player",11,"")),"")</f>
        <v/>
      </c>
      <c r="M2790" s="245" t="str">
        <f ca="1">IF(OR(AND($B2783&lt;&gt;"",$B2790&lt;&gt;"",$E2794&lt;=$D2794),AND($B2785&lt;&gt;"",$B2792&lt;&gt;"",$I2794&lt;=$H2794)),"Invalid Lineup","")</f>
        <v/>
      </c>
      <c r="N2790" s="246"/>
      <c r="O2790" s="246"/>
      <c r="P2790" s="247"/>
      <c r="Q2790" s="40" t="str">
        <f ca="1">IF($L2790=$L2792,IF($K2790=$K2792,IF($J2790&lt;&gt;"",IF($J2790&gt;$J2792,"W","L"),""),IF($K2790&gt;$K2792,"W","L")),IF($L2790&gt;$L2792,"W","L"))</f>
        <v/>
      </c>
      <c r="R2790" s="259" t="str">
        <f>$K2763</f>
        <v>C</v>
      </c>
      <c r="S2790" s="307" t="str">
        <f ca="1">IF($B2785&lt;&gt;"",$B2785,"")</f>
        <v/>
      </c>
      <c r="T2790" s="308"/>
      <c r="U2790" s="308"/>
      <c r="V2790" s="308"/>
      <c r="W2790" s="308"/>
      <c r="X2790" s="309"/>
      <c r="Y2790" s="284"/>
      <c r="Z2790" s="284"/>
      <c r="AA2790" s="284"/>
      <c r="AB2790" s="284"/>
      <c r="AC2790" s="297"/>
      <c r="AD2790" s="289" t="s">
        <v>169</v>
      </c>
      <c r="AE2790" s="290"/>
      <c r="AF2790" s="291"/>
    </row>
    <row r="2791" spans="1:32" ht="12.75" customHeight="1" x14ac:dyDescent="0.25">
      <c r="A2791" s="260"/>
      <c r="B2791" s="238"/>
      <c r="C2791" s="239"/>
      <c r="D2791" s="239"/>
      <c r="E2791" s="239"/>
      <c r="F2791" s="239"/>
      <c r="G2791" s="239"/>
      <c r="H2791" s="234"/>
      <c r="I2791" s="234"/>
      <c r="J2791" s="234"/>
      <c r="K2791" s="234"/>
      <c r="L2791" s="234"/>
      <c r="M2791" s="245"/>
      <c r="N2791" s="246"/>
      <c r="O2791" s="246"/>
      <c r="P2791" s="247"/>
      <c r="Q2791" s="110" t="str">
        <f ca="1">IF($Q2790&lt;&gt;"",IF($B2792&lt;&gt;"Missing Player",IF($Q2790="W",IF(SUM(IF($H2790&gt;$H2792,1,0),IF($I2790&gt;$I2792,1,0),IF($J2790&gt;$J2792,1,0),IF($K2790&gt;$K2792,1,0),IF($L2790&gt;$L2792,1,0))&lt;&gt;3,"Error",""),""),""),"")</f>
        <v/>
      </c>
      <c r="R2791" s="285"/>
      <c r="S2791" s="310"/>
      <c r="T2791" s="311"/>
      <c r="U2791" s="311"/>
      <c r="V2791" s="311"/>
      <c r="W2791" s="311"/>
      <c r="X2791" s="312"/>
      <c r="Y2791" s="285"/>
      <c r="Z2791" s="285"/>
      <c r="AA2791" s="285"/>
      <c r="AB2791" s="285"/>
      <c r="AC2791" s="285"/>
      <c r="AD2791" s="292"/>
      <c r="AE2791" s="293"/>
      <c r="AF2791" s="294"/>
    </row>
    <row r="2792" spans="1:32" ht="12.75" customHeight="1" x14ac:dyDescent="0.25">
      <c r="A2792" s="259" t="str">
        <f>K2763</f>
        <v>C</v>
      </c>
      <c r="B2792" s="236" t="str">
        <f ca="1">IF(AND(OFFSET($AO$1,$L2763-1,8,1,1),$A2764&lt;&gt;"",$J2764&lt;&gt;""),CHOOSE($L2763,$AR$1,$AR$2,$AR$3,$AR$4,$AR$5,$AR$6,$AR$7,$AR$8,$AR$9,$AR$10,$AR$11,$AR$12),"")</f>
        <v/>
      </c>
      <c r="C2792" s="237"/>
      <c r="D2792" s="237"/>
      <c r="E2792" s="237"/>
      <c r="F2792" s="237"/>
      <c r="G2792" s="237"/>
      <c r="H2792" s="233"/>
      <c r="I2792" s="233"/>
      <c r="J2792" s="233"/>
      <c r="K2792" s="233"/>
      <c r="L2792" s="233" t="str">
        <f ca="1">IF(AND($B2792&lt;&gt;"",$Q2769&lt;&gt;""),IF($B2792="Missing Player",0,IF($B2790="Missing Player",11,"")),"")</f>
        <v/>
      </c>
      <c r="M2792" s="250" t="s">
        <v>169</v>
      </c>
      <c r="N2792" s="251"/>
      <c r="O2792" s="251"/>
      <c r="P2792" s="252"/>
      <c r="Q2792" s="40" t="str">
        <f ca="1">IF($Q2790&lt;&gt;"",IF($Q2790="W","L","W"),"")</f>
        <v/>
      </c>
      <c r="R2792" s="94"/>
      <c r="S2792" s="84"/>
      <c r="T2792" s="84"/>
      <c r="U2792" s="84"/>
      <c r="V2792" s="84"/>
      <c r="W2792" s="84"/>
      <c r="X2792" s="84"/>
      <c r="Y2792" s="93"/>
      <c r="Z2792" s="93"/>
      <c r="AA2792" s="93"/>
      <c r="AB2792" s="93"/>
      <c r="AC2792" s="93"/>
      <c r="AD2792" s="92"/>
      <c r="AE2792" s="93"/>
      <c r="AF2792" s="93"/>
    </row>
    <row r="2793" spans="1:32" ht="12.75" customHeight="1" x14ac:dyDescent="0.25">
      <c r="A2793" s="260"/>
      <c r="B2793" s="238"/>
      <c r="C2793" s="239"/>
      <c r="D2793" s="239"/>
      <c r="E2793" s="239"/>
      <c r="F2793" s="239"/>
      <c r="G2793" s="239"/>
      <c r="H2793" s="234"/>
      <c r="I2793" s="234"/>
      <c r="J2793" s="235"/>
      <c r="K2793" s="235"/>
      <c r="L2793" s="235"/>
      <c r="M2793" s="250"/>
      <c r="N2793" s="251"/>
      <c r="O2793" s="251"/>
      <c r="P2793" s="252"/>
      <c r="Q2793" s="110" t="str">
        <f ca="1">IF($Q2792&lt;&gt;"",IF($B2790&lt;&gt;"Missing Player",IF($Q2792="W",IF(SUM(IF($H2792&gt;$H2790,1,0),IF($I2792&gt;$I2790,1,0),IF($J2792&gt;$J2790,1,0),IF($K2792&gt;$K2790,1,0),IF($L2792&gt;$L2790,1,0))&lt;&gt;3,"Error",""),""),""),"")</f>
        <v/>
      </c>
      <c r="R2793" s="85"/>
      <c r="S2793" s="95"/>
      <c r="T2793" s="95"/>
      <c r="U2793" s="95"/>
      <c r="V2793" s="95"/>
      <c r="W2793" s="95"/>
      <c r="X2793" s="95"/>
      <c r="Y2793" s="85"/>
      <c r="Z2793" s="85"/>
      <c r="AA2793" s="85"/>
      <c r="AB2793" s="85"/>
      <c r="AC2793" s="85"/>
      <c r="AD2793" s="85"/>
      <c r="AE2793" s="85"/>
      <c r="AF2793" s="85"/>
    </row>
    <row r="2794" spans="1:32" ht="12.75" customHeight="1" x14ac:dyDescent="0.25">
      <c r="B2794" s="111" t="str">
        <f ca="1">IF(ISERROR(VLOOKUP($B2769&amp;"("&amp;$B2763&amp;")",Players!$S$4:$T$132,2,FALSE)),"",VLOOKUP($B2769&amp;"("&amp;$B2763&amp;")",Players!$S$4:$T$132,2,FALSE))</f>
        <v>A1</v>
      </c>
      <c r="C2794" s="111" t="str">
        <f ca="1">IF(ISERROR(VLOOKUP($B2776&amp;"("&amp;$B2763&amp;")",Players!$S$4:$T$132,2,FALSE)),"",VLOOKUP($B2776&amp;"("&amp;$B2763&amp;")",Players!$S$4:$T$132,2,FALSE))</f>
        <v>A1</v>
      </c>
      <c r="D2794" s="111" t="str">
        <f ca="1">IF(ISERROR(VLOOKUP($B2783&amp;"("&amp;$B2763&amp;")",Players!$S$4:$T$132,2,FALSE)),"",VLOOKUP($B2783&amp;"("&amp;$B2763&amp;")",Players!$S$4:$T$132,2,FALSE))</f>
        <v>A1</v>
      </c>
      <c r="E2794" s="111" t="str">
        <f ca="1">IF(ISERROR(VLOOKUP($B2790&amp;"("&amp;$B2763&amp;")",Players!$S$4:$T$132,2,FALSE)),"",VLOOKUP($B2790&amp;"("&amp;$B2763&amp;")",Players!$S$4:$T$132,2,FALSE))</f>
        <v>A1</v>
      </c>
      <c r="F2794" s="111" t="str">
        <f ca="1">IF(ISERROR(VLOOKUP($B2771&amp;"("&amp;$K2763&amp;")",Players!$S$4:$T$132,2,FALSE)),"",VLOOKUP($B2771&amp;"("&amp;$K2763&amp;")",Players!$S$4:$T$132,2,FALSE))</f>
        <v>C1</v>
      </c>
      <c r="G2794" s="111" t="str">
        <f ca="1">IF(ISERROR(VLOOKUP($B2778&amp;"("&amp;$K2763&amp;")",Players!$S$4:$T$132,2,FALSE)),"",VLOOKUP($B2778&amp;"("&amp;$K2763&amp;")",Players!$S$4:$T$132,2,FALSE))</f>
        <v>C1</v>
      </c>
      <c r="H2794" s="111" t="str">
        <f ca="1">IF(ISERROR(VLOOKUP($B2785&amp;"("&amp;$K2763&amp;")",Players!$S$4:$T$132,2,FALSE)),"",VLOOKUP($B2785&amp;"("&amp;$K2763&amp;")",Players!$S$4:$T$132,2,FALSE))</f>
        <v>C1</v>
      </c>
      <c r="I2794" s="111" t="str">
        <f ca="1">IF(ISERROR(VLOOKUP($B2792&amp;"("&amp;$K2763&amp;")",Players!$S$4:$T$132,2,FALSE)),"",VLOOKUP($B2792&amp;"("&amp;$K2763&amp;")",Players!$S$4:$T$132,2,FALSE))</f>
        <v>C1</v>
      </c>
      <c r="Q2794" s="6"/>
      <c r="R2794" s="37"/>
      <c r="S2794" s="95"/>
      <c r="T2794" s="95"/>
      <c r="U2794" s="95"/>
      <c r="V2794" s="95"/>
      <c r="W2794" s="95"/>
      <c r="X2794" s="95"/>
      <c r="Y2794" s="85"/>
      <c r="Z2794" s="85"/>
      <c r="AA2794" s="85"/>
      <c r="AB2794" s="85"/>
      <c r="AC2794" s="96"/>
      <c r="AD2794" s="97"/>
      <c r="AE2794" s="85"/>
      <c r="AF2794" s="85"/>
    </row>
    <row r="2795" spans="1:32" ht="12.75" customHeight="1" x14ac:dyDescent="0.25">
      <c r="A2795" s="15" t="s">
        <v>157</v>
      </c>
      <c r="H2795" s="110" t="str">
        <f ca="1">IF($Q2797&lt;&gt;"",IF(AND($B2798&lt;&gt;"Missing Player",$B2800&lt;&gt;"Missing Player"),IF(AND(AND($H2797&gt;-1,$H2799&gt;-1),OR($H2797&gt;10,$H2799&gt;10),ABS($H2797-$H2799)&gt;1,IF(OR($H2797&gt;11,$H2799&gt;11),ABS($H2797-$H2799)=2,TRUE),$H2797=INT($H2797),$H2799=INT($H2799)),"","Error"),""),"")</f>
        <v/>
      </c>
      <c r="I2795" s="110" t="str">
        <f ca="1">IF($Q2797&lt;&gt;"",IF(AND($B2798&lt;&gt;"Missing Player",$B2800&lt;&gt;"Missing Player"),IF(AND(AND($I2797&gt;-1,$I2799&gt;-1),OR($I2797&gt;10,$I2799&gt;10),ABS($I2797-$I2799)&gt;1,IF(OR($I2797&gt;11,$I2799&gt;11),ABS($I2797-$I2799)=2,TRUE),$I2797=INT($I2797),$I2799=INT($I2799)),"","Error"),""),"")</f>
        <v/>
      </c>
      <c r="J2795" s="110" t="str">
        <f ca="1">IF($Q2797&lt;&gt;"",IF(AND($B2798&lt;&gt;"Missing Player",$B2800&lt;&gt;"Missing Player"),IF(AND(AND($J2797&gt;-1,$J2799&gt;-1),OR($J2797&gt;10,$J2799&gt;10),ABS($J2797-$J2799)&gt;1,IF(OR($J2797&gt;11,$J2799&gt;11),ABS($J2797-$J2799)=2,TRUE),$J2797=INT($J2797),$J2799=INT($J2799)),"","Error"),""),"")</f>
        <v/>
      </c>
      <c r="K2795" s="110" t="str">
        <f ca="1">IF($Q2797&lt;&gt;"",IF(AND($K2797&lt;&gt;"",$K2799&lt;&gt;""), IF(AND(AND($K2797&gt;-1,$K2799&gt;-1),OR($K2797&gt;10,$K2799&gt;10),ABS($K2797-$K2799)&gt;1,IF(OR($K2797&gt;11,$K2799&gt;11),ABS($K2797-$K2799)=2,TRUE),$K2797=INT($K2797),$K2799=INT($K2799)),"","Error"),""),"")</f>
        <v/>
      </c>
      <c r="L2795" s="110" t="str">
        <f ca="1">IF($Q2797&lt;&gt;"",IF(AND($L2797&lt;&gt;"",$L2799&lt;&gt;""), IF(AND(AND($L2797&gt;-1,$L2799&gt;-1),OR($L2797&gt;10,$L2799&gt;10),ABS($L2797-$L2799)&gt;1,IF(OR($L2797&gt;11,$L2799&gt;11),ABS($L2797-$L2799)=2,TRUE),$L2797=INT($L2797),$L2799=INT($L2799)),"","Error"),""),"")</f>
        <v/>
      </c>
      <c r="Q2795" s="6"/>
      <c r="R2795" s="85"/>
      <c r="S2795" s="95"/>
      <c r="T2795" s="95"/>
      <c r="U2795" s="95"/>
      <c r="V2795" s="95"/>
      <c r="W2795" s="95"/>
      <c r="X2795" s="95"/>
      <c r="Y2795" s="85"/>
      <c r="Z2795" s="85"/>
      <c r="AA2795" s="85"/>
      <c r="AB2795" s="85"/>
      <c r="AC2795" s="85"/>
      <c r="AD2795" s="85"/>
      <c r="AE2795" s="85"/>
      <c r="AF2795" s="85"/>
    </row>
    <row r="2796" spans="1:32" ht="12.75" customHeight="1" x14ac:dyDescent="0.25">
      <c r="A2796" s="5" t="s">
        <v>160</v>
      </c>
      <c r="B2796" s="256" t="s">
        <v>58</v>
      </c>
      <c r="C2796" s="257"/>
      <c r="D2796" s="257"/>
      <c r="E2796" s="257"/>
      <c r="F2796" s="257"/>
      <c r="G2796" s="258"/>
      <c r="H2796" s="5">
        <v>1</v>
      </c>
      <c r="I2796" s="5">
        <v>2</v>
      </c>
      <c r="J2796" s="5">
        <v>3</v>
      </c>
      <c r="K2796" s="5">
        <v>4</v>
      </c>
      <c r="L2796" s="5">
        <v>5</v>
      </c>
      <c r="M2796" s="270"/>
      <c r="N2796" s="271"/>
      <c r="O2796" s="271"/>
      <c r="P2796" s="272"/>
      <c r="Q2796" s="6"/>
      <c r="T2796" s="7"/>
    </row>
    <row r="2797" spans="1:32" ht="12.75" customHeight="1" x14ac:dyDescent="0.25">
      <c r="A2797" s="259" t="str">
        <f>B2763</f>
        <v>A</v>
      </c>
      <c r="B2797" s="230" t="str">
        <f ca="1">IF($B2769&lt;&gt;"",$B2769,"")</f>
        <v/>
      </c>
      <c r="C2797" s="231"/>
      <c r="D2797" s="231"/>
      <c r="E2797" s="231"/>
      <c r="F2797" s="231"/>
      <c r="G2797" s="232"/>
      <c r="H2797" s="233"/>
      <c r="I2797" s="233"/>
      <c r="J2797" s="233"/>
      <c r="K2797" s="233"/>
      <c r="L2797" s="233" t="str">
        <f ca="1">IF($B2790&lt;&gt;"",IF(AND($B2790="Missing Player",$G2801=2,$J2801=2),0,IF(AND($B2792="Missing Player",$G2801=2,$J2801=2),11,"")),"")</f>
        <v/>
      </c>
      <c r="M2797" s="245" t="str">
        <f ca="1">IF(OR(AND($B2797&lt;&gt;"",$B2798&lt;&gt;"",$B2797=$B2798),AND($B2799&lt;&gt;"",$B2800&lt;&gt;"",$B2799=$B2800)),"Invalid Partner","")</f>
        <v/>
      </c>
      <c r="N2797" s="246"/>
      <c r="O2797" s="246"/>
      <c r="P2797" s="247"/>
      <c r="Q2797" s="37" t="str">
        <f ca="1">IF(L2797=L2799,IF(K2797=K2799,IF(J2797&lt;&gt;"",IF(J2797&gt;J2799,"W","L"),""),IF(K2797&gt;K2799,"W","L")),IF(L2797&gt;L2799,"W","L"))</f>
        <v/>
      </c>
      <c r="T2797" s="7"/>
    </row>
    <row r="2798" spans="1:32" ht="12.75" customHeight="1" x14ac:dyDescent="0.25">
      <c r="A2798" s="260"/>
      <c r="B2798" s="266" t="str">
        <f ca="1">IF($B2790="Missing Player",$B2790,"")</f>
        <v/>
      </c>
      <c r="C2798" s="267"/>
      <c r="D2798" s="267"/>
      <c r="E2798" s="267"/>
      <c r="F2798" s="267"/>
      <c r="G2798" s="268"/>
      <c r="H2798" s="234"/>
      <c r="I2798" s="234"/>
      <c r="J2798" s="234"/>
      <c r="K2798" s="234"/>
      <c r="L2798" s="234"/>
      <c r="M2798" s="245"/>
      <c r="N2798" s="246"/>
      <c r="O2798" s="246"/>
      <c r="P2798" s="247"/>
      <c r="Q2798" s="110" t="str">
        <f ca="1">IF($Q2797&lt;&gt;"",IF($B2800&lt;&gt;"Missing Player",IF($Q2797="W",IF(SUM(IF($H2797&gt;$H2799,1,0),IF($I2797&gt;$I2799,1,0),IF($J2797&gt;$J2799,1,0),IF($K2797&gt;$K2799,1,0),IF($L2797&gt;$L2799,1,0))&lt;&gt;3,"Error",""),""),""),"")</f>
        <v/>
      </c>
      <c r="R2798" s="295" t="str">
        <f>$A2764</f>
        <v/>
      </c>
      <c r="S2798" s="295"/>
      <c r="T2798" s="295"/>
      <c r="U2798" s="295"/>
      <c r="V2798" s="295"/>
      <c r="W2798" s="295"/>
      <c r="X2798" s="219" t="str">
        <f>CONCATENATE("(",$B2763," vs ",$K2763,")")</f>
        <v>(A vs C)</v>
      </c>
      <c r="Y2798" s="219"/>
      <c r="Z2798" s="295" t="str">
        <f>$J2764</f>
        <v/>
      </c>
      <c r="AA2798" s="295"/>
      <c r="AB2798" s="295"/>
      <c r="AC2798" s="295"/>
      <c r="AD2798" s="295"/>
      <c r="AE2798" s="295"/>
      <c r="AF2798"/>
    </row>
    <row r="2799" spans="1:32" ht="12.75" customHeight="1" x14ac:dyDescent="0.25">
      <c r="A2799" s="265" t="str">
        <f>K2763</f>
        <v>C</v>
      </c>
      <c r="B2799" s="230" t="str">
        <f ca="1">IF($B2771&lt;&gt;"",$B2771,"")</f>
        <v/>
      </c>
      <c r="C2799" s="231"/>
      <c r="D2799" s="231"/>
      <c r="E2799" s="231"/>
      <c r="F2799" s="231"/>
      <c r="G2799" s="232"/>
      <c r="H2799" s="233"/>
      <c r="I2799" s="233"/>
      <c r="J2799" s="233"/>
      <c r="K2799" s="233"/>
      <c r="L2799" s="233" t="str">
        <f ca="1">IF($B2792&lt;&gt;"",IF(AND($B2792="Missing Player",$G2801=2,$J2801=2),0,IF(AND($B2790="Missing Player",$G2801=2,$J2801=2),11,"")),"")</f>
        <v/>
      </c>
      <c r="M2799" s="250" t="s">
        <v>169</v>
      </c>
      <c r="N2799" s="251"/>
      <c r="O2799" s="251"/>
      <c r="P2799" s="252"/>
      <c r="Q2799" s="37" t="str">
        <f ca="1">IF(Q2797&lt;&gt;"",IF(Q2797="W","L","W"),"")</f>
        <v/>
      </c>
      <c r="R2799"/>
      <c r="S2799"/>
      <c r="T2799"/>
      <c r="U2799"/>
      <c r="V2799"/>
      <c r="W2799"/>
      <c r="X2799"/>
      <c r="Y2799"/>
      <c r="Z2799"/>
      <c r="AA2799"/>
      <c r="AB2799"/>
      <c r="AC2799"/>
      <c r="AD2799"/>
      <c r="AE2799"/>
      <c r="AF2799"/>
    </row>
    <row r="2800" spans="1:32" ht="12.75" customHeight="1" x14ac:dyDescent="0.25">
      <c r="A2800" s="260"/>
      <c r="B2800" s="266" t="str">
        <f ca="1">IF($B2792="Missing Player",$B2792,"")</f>
        <v/>
      </c>
      <c r="C2800" s="267"/>
      <c r="D2800" s="267"/>
      <c r="E2800" s="267"/>
      <c r="F2800" s="267"/>
      <c r="G2800" s="268"/>
      <c r="H2800" s="234"/>
      <c r="I2800" s="234"/>
      <c r="J2800" s="235"/>
      <c r="K2800" s="235"/>
      <c r="L2800" s="235"/>
      <c r="M2800" s="250"/>
      <c r="N2800" s="251"/>
      <c r="O2800" s="251"/>
      <c r="P2800" s="252"/>
      <c r="Q2800" s="110" t="str">
        <f ca="1">IF($Q2799&lt;&gt;"",IF($B2798&lt;&gt;"Missing Player",IF($Q2799="W",IF(SUM(IF($H2799&gt;$H2797,1,0),IF($I2799&gt;$I2797,1,0),IF($J2799&gt;$J2797,1,0),IF($K2799&gt;$K2797,1,0),IF($L2799&gt;$L2797,1,0))&lt;&gt;3,"Error",""),""),""),"")</f>
        <v/>
      </c>
      <c r="R2800" t="str">
        <f>A2788</f>
        <v>4th Singles</v>
      </c>
      <c r="S2800"/>
      <c r="T2800"/>
      <c r="U2800"/>
      <c r="V2800"/>
      <c r="W2800"/>
      <c r="X2800"/>
      <c r="Y2800"/>
      <c r="Z2800"/>
      <c r="AA2800"/>
      <c r="AB2800"/>
      <c r="AC2800"/>
      <c r="AD2800"/>
      <c r="AE2800"/>
      <c r="AF2800"/>
    </row>
    <row r="2801" spans="1:32" ht="12.75" customHeight="1" x14ac:dyDescent="0.25">
      <c r="G2801" s="53">
        <f ca="1">COUNTIF($Q2769:$Q2769,"W")+COUNTIF($Q2776:$Q2776,"W")+COUNTIF($Q2783:$Q2783,"W")+COUNTIF($Q2790:$Q2790,"W")</f>
        <v>0</v>
      </c>
      <c r="J2801" s="53">
        <f ca="1">COUNTIF($Q2771:$Q2771,"W")+COUNTIF($Q2778:$Q2778,"W")+COUNTIF($Q2785:$Q2785,"W")+COUNTIF($Q2792:$Q2792,"W")</f>
        <v>0</v>
      </c>
      <c r="R2801" s="47" t="s">
        <v>160</v>
      </c>
      <c r="S2801" s="304" t="s">
        <v>58</v>
      </c>
      <c r="T2801" s="305"/>
      <c r="U2801" s="305"/>
      <c r="V2801" s="305"/>
      <c r="W2801" s="305"/>
      <c r="X2801" s="306"/>
      <c r="Y2801" s="47">
        <v>1</v>
      </c>
      <c r="Z2801" s="47">
        <v>2</v>
      </c>
      <c r="AA2801" s="47">
        <v>3</v>
      </c>
      <c r="AB2801" s="47">
        <v>4</v>
      </c>
      <c r="AC2801" s="47">
        <v>5</v>
      </c>
      <c r="AD2801" s="286"/>
      <c r="AE2801" s="287"/>
      <c r="AF2801" s="288"/>
    </row>
    <row r="2802" spans="1:32" ht="12.75" customHeight="1" thickBot="1" x14ac:dyDescent="0.3">
      <c r="F2802" s="212" t="s">
        <v>170</v>
      </c>
      <c r="G2802" s="212"/>
      <c r="H2802" s="212"/>
      <c r="I2802" s="212"/>
      <c r="J2802" s="212"/>
      <c r="K2802" s="212"/>
      <c r="R2802" s="259" t="str">
        <f>B2763</f>
        <v>A</v>
      </c>
      <c r="S2802" s="307" t="str">
        <f ca="1">IF($B2790&lt;&gt;"",$B2790,"")</f>
        <v/>
      </c>
      <c r="T2802" s="308"/>
      <c r="U2802" s="308"/>
      <c r="V2802" s="308"/>
      <c r="W2802" s="308"/>
      <c r="X2802" s="309"/>
      <c r="Y2802" s="284"/>
      <c r="Z2802" s="284"/>
      <c r="AA2802" s="297"/>
      <c r="AB2802" s="297"/>
      <c r="AC2802" s="297"/>
      <c r="AD2802" s="296"/>
      <c r="AE2802" s="298"/>
      <c r="AF2802" s="299"/>
    </row>
    <row r="2803" spans="1:32" ht="12.75" customHeight="1" x14ac:dyDescent="0.25">
      <c r="A2803" s="16"/>
      <c r="B2803" s="16"/>
      <c r="C2803" s="16"/>
      <c r="D2803" s="16"/>
      <c r="E2803" s="16"/>
      <c r="G2803" s="261" t="str">
        <f>B2763</f>
        <v>A</v>
      </c>
      <c r="H2803" s="262"/>
      <c r="I2803" s="263" t="str">
        <f>K2763</f>
        <v>C</v>
      </c>
      <c r="J2803" s="264"/>
      <c r="L2803" s="16"/>
      <c r="M2803" s="16"/>
      <c r="N2803" s="16"/>
      <c r="O2803" s="16"/>
      <c r="P2803" s="16"/>
      <c r="R2803" s="260"/>
      <c r="S2803" s="310"/>
      <c r="T2803" s="311"/>
      <c r="U2803" s="311"/>
      <c r="V2803" s="311"/>
      <c r="W2803" s="311"/>
      <c r="X2803" s="312"/>
      <c r="Y2803" s="285"/>
      <c r="Z2803" s="285"/>
      <c r="AA2803" s="303"/>
      <c r="AB2803" s="303"/>
      <c r="AC2803" s="303"/>
      <c r="AD2803" s="300"/>
      <c r="AE2803" s="301"/>
      <c r="AF2803" s="302"/>
    </row>
    <row r="2804" spans="1:32" ht="12.75" customHeight="1" thickBot="1" x14ac:dyDescent="0.3">
      <c r="A2804" s="2" t="s">
        <v>160</v>
      </c>
      <c r="B2804" s="40" t="str">
        <f>B2763</f>
        <v>A</v>
      </c>
      <c r="C2804" s="3" t="s">
        <v>158</v>
      </c>
      <c r="F2804" s="53" t="str">
        <f>CONCATENATE($B2763,"-",$K2763)</f>
        <v>A-C</v>
      </c>
      <c r="G2804" s="240" t="str">
        <f ca="1">IF(OR(Q2769&lt;&gt;"",Q2776&lt;&gt;"",Q2783&lt;&gt;"",Q2790&lt;&gt;"",Q2797&lt;&gt;""),COUNTIF(Q2769:Q2769,"W")+COUNTIF(Q2776:Q2776,"W")+COUNTIF(Q2783:Q2783,"W")+COUNTIF(Q2790:Q2790,"W")+COUNTIF(Q2797:Q2797,"W"),"")</f>
        <v/>
      </c>
      <c r="H2804" s="241"/>
      <c r="I2804" s="242" t="str">
        <f ca="1">IF(OR(Q2771&lt;&gt;"",Q2778&lt;&gt;"",Q2785&lt;&gt;"",Q2792&lt;&gt;"",Q2799&lt;&gt;""),COUNTIF(Q2771:Q2771,"W")+COUNTIF(Q2778:Q2778,"W")+COUNTIF(Q2785:Q2785,"W")+COUNTIF(Q2792:Q2792,"W")+COUNTIF(Q2799:Q2799,"W"),"")</f>
        <v/>
      </c>
      <c r="J2804" s="243"/>
      <c r="L2804" s="2" t="s">
        <v>160</v>
      </c>
      <c r="M2804" s="40" t="str">
        <f>K2763</f>
        <v>C</v>
      </c>
      <c r="N2804" s="3" t="s">
        <v>158</v>
      </c>
      <c r="R2804" s="259" t="str">
        <f>K2763</f>
        <v>C</v>
      </c>
      <c r="S2804" s="307" t="str">
        <f ca="1">IF($B2792&lt;&gt;"",$B2792,"")</f>
        <v/>
      </c>
      <c r="T2804" s="308"/>
      <c r="U2804" s="308"/>
      <c r="V2804" s="308"/>
      <c r="W2804" s="308"/>
      <c r="X2804" s="309"/>
      <c r="Y2804" s="284"/>
      <c r="Z2804" s="284"/>
      <c r="AA2804" s="297"/>
      <c r="AB2804" s="297"/>
      <c r="AC2804" s="297"/>
      <c r="AD2804" s="289" t="s">
        <v>169</v>
      </c>
      <c r="AE2804" s="290"/>
      <c r="AF2804" s="291"/>
    </row>
    <row r="2805" spans="1:32" ht="12.75" customHeight="1" x14ac:dyDescent="0.35">
      <c r="F2805" s="18" t="s">
        <v>403</v>
      </c>
      <c r="G2805" s="17"/>
      <c r="H2805" s="17"/>
      <c r="I2805" s="17"/>
      <c r="J2805" s="17"/>
      <c r="R2805" s="285"/>
      <c r="S2805" s="310"/>
      <c r="T2805" s="311"/>
      <c r="U2805" s="311"/>
      <c r="V2805" s="311"/>
      <c r="W2805" s="311"/>
      <c r="X2805" s="312"/>
      <c r="Y2805" s="285"/>
      <c r="Z2805" s="285"/>
      <c r="AA2805" s="285"/>
      <c r="AB2805" s="285"/>
      <c r="AC2805" s="285"/>
      <c r="AD2805" s="292"/>
      <c r="AE2805" s="293"/>
      <c r="AF2805" s="294"/>
    </row>
    <row r="2806" spans="1:32" ht="12.75" customHeight="1" x14ac:dyDescent="0.25">
      <c r="R2806" s="1"/>
      <c r="S2806" s="11"/>
      <c r="T2806" s="11"/>
      <c r="U2806" s="11"/>
      <c r="V2806" s="11"/>
      <c r="W2806" s="11"/>
    </row>
    <row r="2807" spans="1:32" ht="12.75" customHeight="1" x14ac:dyDescent="0.25">
      <c r="F2807" s="212"/>
      <c r="G2807" s="212"/>
      <c r="H2807" s="212"/>
      <c r="I2807" s="212"/>
      <c r="R2807" s="1"/>
      <c r="S2807" s="11"/>
      <c r="T2807" s="11"/>
      <c r="U2807" s="11"/>
      <c r="V2807" s="11"/>
      <c r="W2807" s="11"/>
    </row>
    <row r="2808" spans="1:32" ht="12.75" customHeight="1" x14ac:dyDescent="0.25">
      <c r="F2808" s="212"/>
      <c r="G2808" s="212"/>
      <c r="H2808" s="212"/>
      <c r="I2808" s="212"/>
      <c r="R2808" s="1"/>
      <c r="S2808" s="11"/>
      <c r="T2808" s="11"/>
      <c r="U2808" s="11"/>
      <c r="V2808" s="11"/>
      <c r="W2808" s="11"/>
    </row>
    <row r="2809" spans="1:32" ht="12.75" customHeight="1" x14ac:dyDescent="0.25">
      <c r="K2809" s="219" t="s">
        <v>176</v>
      </c>
      <c r="L2809" s="219"/>
      <c r="M2809" s="219"/>
      <c r="N2809" s="219"/>
      <c r="O2809" s="219"/>
      <c r="P2809" s="219"/>
      <c r="R2809" s="1"/>
      <c r="S2809" s="11"/>
      <c r="T2809" s="11"/>
      <c r="U2809" s="11"/>
      <c r="V2809" s="11"/>
      <c r="W2809" s="11"/>
    </row>
    <row r="2810" spans="1:32" ht="12.75" customHeight="1" x14ac:dyDescent="0.25">
      <c r="A2810" s="9" t="s">
        <v>161</v>
      </c>
      <c r="B2810"/>
      <c r="C2810"/>
      <c r="D2810" t="str">
        <f>Draw!$B$1</f>
        <v>Enter Division Name</v>
      </c>
      <c r="E2810"/>
      <c r="F2810" s="6"/>
      <c r="G2810" s="6"/>
      <c r="H2810" s="6"/>
      <c r="I2810"/>
      <c r="J2810"/>
      <c r="K2810"/>
      <c r="L2810"/>
      <c r="M2810" s="219"/>
      <c r="N2810" s="219"/>
      <c r="O2810" s="219"/>
      <c r="P2810" s="219"/>
      <c r="R2810" s="1"/>
      <c r="S2810" s="11"/>
      <c r="T2810" s="11"/>
      <c r="U2810" s="11"/>
      <c r="V2810" s="11"/>
      <c r="W2810" s="11"/>
    </row>
    <row r="2811" spans="1:32" ht="12.75" customHeight="1" x14ac:dyDescent="0.25">
      <c r="A2811" s="2" t="s">
        <v>162</v>
      </c>
      <c r="D2811" t="str">
        <f>Draw!$D$1</f>
        <v>Enter Hosting Location (City, ST)</v>
      </c>
      <c r="J2811" t="str">
        <f ca="1">$J$6</f>
        <v>[NCTTA Teams Template (v3.4).xlsx]</v>
      </c>
      <c r="R2811" s="1"/>
      <c r="S2811" s="11"/>
      <c r="T2811" s="11"/>
      <c r="U2811" s="11"/>
      <c r="V2811" s="11"/>
      <c r="W2811" s="11"/>
    </row>
    <row r="2812" spans="1:32" ht="12.75" customHeight="1" x14ac:dyDescent="0.25">
      <c r="A2812" s="2" t="s">
        <v>163</v>
      </c>
      <c r="D2812" s="275" t="str">
        <f>Draw!$P$1</f>
        <v>Enter Date</v>
      </c>
      <c r="E2812" s="275"/>
      <c r="F2812" s="275"/>
      <c r="G2812" s="275"/>
      <c r="J2812" s="244" t="str">
        <f>CHOOSE(Draw!$T$1,"Round 10, Match 2","","","","","","","","","","")</f>
        <v>Round 10, Match 2</v>
      </c>
      <c r="K2812" s="244"/>
      <c r="L2812" s="244"/>
      <c r="M2812" s="277" t="str">
        <f>IF(AND($J2812&lt;&gt;"",Draw!$AC$10&lt;&gt;"",Draw!$AC$13&lt;&gt;""),Draw!$AC$10+TIME(0,VALUE(MID($J2812,7,FIND(",",$J2812)-FIND(" ",$J2812)-1)-1)*Draw!$AC$13,0),"")</f>
        <v/>
      </c>
      <c r="N2812" s="277"/>
      <c r="O2812" s="125" t="str">
        <f>$F2855</f>
        <v>B-D</v>
      </c>
      <c r="R2812" s="1"/>
      <c r="S2812" s="11"/>
      <c r="T2812" s="11"/>
      <c r="U2812" s="11"/>
      <c r="V2812" s="11"/>
      <c r="W2812" s="11"/>
    </row>
    <row r="2813" spans="1:32" ht="12.75" customHeight="1" x14ac:dyDescent="0.25">
      <c r="A2813" s="6"/>
      <c r="B2813"/>
      <c r="C2813"/>
      <c r="D2813"/>
      <c r="E2813"/>
      <c r="F2813" s="6"/>
      <c r="G2813" s="6"/>
      <c r="H2813" s="11"/>
      <c r="I2813" s="6"/>
      <c r="J2813"/>
      <c r="K2813"/>
      <c r="L2813"/>
      <c r="M2813"/>
      <c r="N2813"/>
      <c r="O2813" s="269" t="str">
        <f>IF(OR(AND(VLOOKUP($B2814,$AM$1:$AX$12,12,FALSE)="C",VLOOKUP($K2814,$AM$1:$AX$12,12,FALSE)="C"),AND(VLOOKUP($B2814,$AM$1:$AX$12,12,FALSE)="W",VLOOKUP($K2814,$AM$1:$AX$12,12,FALSE)="W")),"Official",IF(AND($A2815="",$J2815=""),"","Scrimmage"))</f>
        <v/>
      </c>
      <c r="P2813" s="269"/>
      <c r="R2813" s="1"/>
      <c r="S2813" s="11"/>
      <c r="T2813" s="11"/>
      <c r="U2813" s="11"/>
      <c r="V2813" s="11"/>
      <c r="W2813" s="11"/>
    </row>
    <row r="2814" spans="1:32" ht="12.75" customHeight="1" x14ac:dyDescent="0.25">
      <c r="A2814" s="12" t="s">
        <v>160</v>
      </c>
      <c r="B2814" s="98" t="str">
        <f>CHOOSE(Draw!$T$1,"B","E","F","F","G","G","G","G","G","F","A")</f>
        <v>B</v>
      </c>
      <c r="C2814" s="109">
        <f>VLOOKUP($B2814,$AM$1:$AN$12,2)</f>
        <v>2</v>
      </c>
      <c r="D2814" s="10"/>
      <c r="E2814" s="10"/>
      <c r="F2814" s="8"/>
      <c r="H2814" s="1" t="s">
        <v>164</v>
      </c>
      <c r="J2814" s="12" t="s">
        <v>160</v>
      </c>
      <c r="K2814" s="98" t="str">
        <f>CHOOSE(Draw!$T$1,"D","H","J","K","L","L","L","L","K","K","L")</f>
        <v>D</v>
      </c>
      <c r="L2814" s="109">
        <f>VLOOKUP($K2814,$AM$1:$AN$12,2)</f>
        <v>4</v>
      </c>
      <c r="M2814" s="10"/>
      <c r="N2814" s="10"/>
      <c r="O2814" s="13"/>
      <c r="R2814" s="1"/>
      <c r="S2814" s="11"/>
      <c r="T2814" s="11"/>
      <c r="U2814" s="11"/>
      <c r="V2814" s="11"/>
      <c r="W2814" s="11"/>
    </row>
    <row r="2815" spans="1:32" ht="12.75" customHeight="1" x14ac:dyDescent="0.25">
      <c r="A2815" s="253" t="str">
        <f>IF(VLOOKUP($B2814,Draw!$A$4:$B$27,2)&lt;&gt;0,VLOOKUP($B2814,Draw!$A$4:$B$27,2),"")</f>
        <v/>
      </c>
      <c r="B2815" s="254"/>
      <c r="C2815" s="254"/>
      <c r="D2815" s="254"/>
      <c r="E2815" s="254"/>
      <c r="F2815" s="255"/>
      <c r="G2815" s="273" t="s">
        <v>459</v>
      </c>
      <c r="H2815" s="249"/>
      <c r="I2815" s="274"/>
      <c r="J2815" s="253" t="str">
        <f>IF(VLOOKUP($K2814,Draw!$A$4:$B$27,2)&lt;&gt;0,VLOOKUP($K2814,Draw!$A$4:$B$27,2),"")</f>
        <v/>
      </c>
      <c r="K2815" s="254"/>
      <c r="L2815" s="254"/>
      <c r="M2815" s="254"/>
      <c r="N2815" s="254"/>
      <c r="O2815" s="255"/>
      <c r="P2815"/>
      <c r="R2815" s="1"/>
      <c r="S2815" s="11"/>
      <c r="T2815" s="11"/>
      <c r="U2815" s="11"/>
      <c r="V2815" s="11"/>
      <c r="W2815" s="11"/>
    </row>
    <row r="2816" spans="1:32" ht="12.75" customHeight="1" x14ac:dyDescent="0.25">
      <c r="A2816" s="6"/>
      <c r="B2816"/>
      <c r="C2816"/>
      <c r="D2816"/>
      <c r="E2816"/>
      <c r="F2816" s="6"/>
      <c r="G2816" s="248" t="str">
        <f>"Page "&amp;VALUE(RIGHT($G2815,LEN($G2815)-SEARCH("-",$G2815)))/2</f>
        <v>Page 56</v>
      </c>
      <c r="H2816" s="249"/>
      <c r="I2816" s="249"/>
      <c r="J2816"/>
      <c r="K2816"/>
      <c r="L2816"/>
      <c r="M2816"/>
      <c r="N2816"/>
      <c r="O2816"/>
      <c r="P2816"/>
      <c r="R2816" s="1"/>
      <c r="S2816" s="11"/>
      <c r="T2816" s="11"/>
      <c r="U2816" s="11"/>
      <c r="V2816" s="11"/>
      <c r="W2816" s="11"/>
      <c r="AF2816"/>
    </row>
    <row r="2817" spans="1:32" ht="12.75" customHeight="1" x14ac:dyDescent="0.25">
      <c r="A2817" s="276" t="s">
        <v>177</v>
      </c>
      <c r="B2817" s="276"/>
      <c r="C2817" s="276"/>
      <c r="D2817" s="276"/>
      <c r="E2817" s="276"/>
      <c r="F2817" s="276"/>
      <c r="G2817" s="276"/>
      <c r="H2817" s="276"/>
      <c r="I2817" s="276"/>
      <c r="J2817" s="276"/>
      <c r="K2817" s="276"/>
      <c r="L2817" s="276"/>
      <c r="M2817" s="276"/>
      <c r="N2817" s="276"/>
      <c r="O2817" s="276"/>
      <c r="P2817" s="276"/>
      <c r="Q2817" s="6"/>
      <c r="R2817" s="1"/>
      <c r="S2817" s="11"/>
      <c r="T2817" s="11"/>
      <c r="U2817" s="11"/>
      <c r="V2817" s="11"/>
      <c r="W2817" s="11"/>
      <c r="AF2817" s="14"/>
    </row>
    <row r="2818" spans="1:32" ht="12.75" customHeight="1" x14ac:dyDescent="0.25">
      <c r="A2818" s="15" t="s">
        <v>165</v>
      </c>
      <c r="H2818" s="110" t="str">
        <f>IF($Q2820&lt;&gt;"",IF(AND(AND($H2820&gt;-1,$H2822&gt;-1),OR($H2820&gt;10,$H2822&gt;10),ABS($H2820-$H2822)&gt;1,IF(OR($H2820&gt;11,$H2822&gt;11),ABS($H2820-$H2822)=2,TRUE),$H2820=INT($H2820),$H2822=INT($H2822)),"","Error"),"")</f>
        <v/>
      </c>
      <c r="I2818" s="110" t="str">
        <f>IF($Q2820&lt;&gt;"",IF(AND(AND($I2820&gt;-1,$I2822&gt;-1),OR($I2820&gt;10,$I2822&gt;10),ABS($I2820-$I2822)&gt;1,IF(OR($I2820&gt;11,$I2822&gt;11),ABS($I2820-$I2822)=2,TRUE),$I2820=INT($I2820),$I2822=INT($I2822)),"","Error"),"")</f>
        <v/>
      </c>
      <c r="J2818" s="110" t="str">
        <f>IF($Q2820&lt;&gt;"",IF(AND(AND($J2820&gt;-1,$J2822&gt;-1),OR($J2820&gt;10,$J2822&gt;10),ABS($J2820-$J2822)&gt;1,IF(OR($J2820&gt;11,$J2822&gt;11),ABS($J2820-$J2822)=2,TRUE),$J2820=INT($J2820),$J2822=INT($J2822)),"","Error"),"")</f>
        <v/>
      </c>
      <c r="K2818" s="110" t="str">
        <f>IF($Q2820&lt;&gt;"",IF(AND($K2820&lt;&gt;"",$K2822&lt;&gt;""), IF(AND(AND($K2820&gt;-1,$K2822&gt;-1),OR($K2820&gt;10,$K2822&gt;10),ABS($K2820-$K2822)&gt;1,IF(OR($K2820&gt;11,$K2822&gt;11),ABS($K2820-$K2822)=2,TRUE),$K2820=INT($K2820),$K2822=INT($K2822)),"","Error"),""),"")</f>
        <v/>
      </c>
      <c r="L2818" s="110" t="str">
        <f>IF($Q2820&lt;&gt;"",IF(AND($L2820&lt;&gt;"",$L2822&lt;&gt;""), IF(AND(AND($L2820&gt;-1,$L2822&gt;-1),OR($L2820&gt;10,$L2822&gt;10),ABS($L2820-$L2822)&gt;1,IF(OR($L2820&gt;11,$L2822&gt;11),ABS($L2820-$L2822)=2,TRUE),$L2820=INT($L2820),$L2822=INT($L2822)),"","Error"),""),"")</f>
        <v/>
      </c>
      <c r="R2818" s="1"/>
      <c r="S2818" s="11"/>
      <c r="T2818" s="11"/>
      <c r="U2818" s="11"/>
      <c r="V2818" s="11"/>
      <c r="W2818" s="11"/>
    </row>
    <row r="2819" spans="1:32" ht="12.75" customHeight="1" x14ac:dyDescent="0.25">
      <c r="A2819" s="5" t="s">
        <v>160</v>
      </c>
      <c r="B2819" s="256" t="s">
        <v>58</v>
      </c>
      <c r="C2819" s="257"/>
      <c r="D2819" s="257"/>
      <c r="E2819" s="257"/>
      <c r="F2819" s="257"/>
      <c r="G2819" s="258"/>
      <c r="H2819" s="5">
        <v>1</v>
      </c>
      <c r="I2819" s="5">
        <v>2</v>
      </c>
      <c r="J2819" s="5">
        <v>3</v>
      </c>
      <c r="K2819" s="5">
        <v>4</v>
      </c>
      <c r="L2819" s="5">
        <v>5</v>
      </c>
      <c r="M2819" s="270"/>
      <c r="N2819" s="271"/>
      <c r="O2819" s="271"/>
      <c r="P2819" s="272"/>
      <c r="R2819" s="1"/>
      <c r="S2819" s="11"/>
      <c r="T2819" s="11"/>
      <c r="U2819" s="11"/>
      <c r="V2819" s="11"/>
      <c r="W2819" s="11"/>
    </row>
    <row r="2820" spans="1:32" ht="12.75" customHeight="1" x14ac:dyDescent="0.25">
      <c r="A2820" s="259" t="str">
        <f>B2814</f>
        <v>B</v>
      </c>
      <c r="B2820" s="236" t="str">
        <f ca="1">IF(AND(OFFSET($AO$1,$C2814-1,8,1,1),$A2815&lt;&gt;"",$J2815&lt;&gt;""),CHOOSE($C2814,$AO$1,$AO$2,$AO$3,$AO$4,$AO$5,$AO$6,$AO$7,$AO$8,$AO$9,$AO$10,$AO$11,$AO$12),"")</f>
        <v/>
      </c>
      <c r="C2820" s="237"/>
      <c r="D2820" s="237"/>
      <c r="E2820" s="237"/>
      <c r="F2820" s="237"/>
      <c r="G2820" s="237"/>
      <c r="H2820" s="233"/>
      <c r="I2820" s="233"/>
      <c r="J2820" s="233"/>
      <c r="K2820" s="233"/>
      <c r="L2820" s="233"/>
      <c r="M2820" s="281"/>
      <c r="N2820" s="282"/>
      <c r="O2820" s="282"/>
      <c r="P2820" s="283"/>
      <c r="Q2820" s="40" t="str">
        <f>IF($L2820=$L2822,IF($K2820=$K2822,IF($J2820&lt;&gt;"",IF($J2820&gt;$J2822,"W","L"),""),IF($K2820&gt;$K2822,"W","L")),IF($L2820&gt;$L2822,"W","L"))</f>
        <v/>
      </c>
      <c r="R2820" s="1"/>
      <c r="S2820" s="11"/>
      <c r="T2820" s="11"/>
      <c r="U2820" s="11"/>
      <c r="V2820" s="11"/>
      <c r="W2820" s="11"/>
    </row>
    <row r="2821" spans="1:32" ht="12.75" customHeight="1" x14ac:dyDescent="0.25">
      <c r="A2821" s="260"/>
      <c r="B2821" s="238"/>
      <c r="C2821" s="239"/>
      <c r="D2821" s="239"/>
      <c r="E2821" s="239"/>
      <c r="F2821" s="239"/>
      <c r="G2821" s="239"/>
      <c r="H2821" s="234"/>
      <c r="I2821" s="234"/>
      <c r="J2821" s="234"/>
      <c r="K2821" s="234"/>
      <c r="L2821" s="234"/>
      <c r="M2821" s="281"/>
      <c r="N2821" s="282"/>
      <c r="O2821" s="282"/>
      <c r="P2821" s="283"/>
      <c r="Q2821" s="110" t="str">
        <f>IF($Q2820&lt;&gt;"",IF($Q2820="W",IF(SUM(IF($H2820&gt;$H2822,1,0),IF($I2820&gt;$I2822,1,0),IF($J2820&gt;$J2822,1,0),IF($K2820&gt;$K2822,1,0),IF($L2820&gt;$L2822,1,0))&lt;&gt;3,"Error",""),""),"")</f>
        <v/>
      </c>
      <c r="R2821" s="295" t="str">
        <f>$A2815</f>
        <v/>
      </c>
      <c r="S2821" s="295"/>
      <c r="T2821" s="295"/>
      <c r="U2821" s="295"/>
      <c r="V2821" s="295"/>
      <c r="W2821" s="295"/>
      <c r="X2821" s="219" t="str">
        <f>CONCATENATE("(",$B2814," vs ",$K2814,")")</f>
        <v>(B vs D)</v>
      </c>
      <c r="Y2821" s="219"/>
      <c r="Z2821" s="295" t="str">
        <f>$J2815</f>
        <v/>
      </c>
      <c r="AA2821" s="295"/>
      <c r="AB2821" s="295"/>
      <c r="AC2821" s="295"/>
      <c r="AD2821" s="295"/>
      <c r="AE2821" s="295"/>
      <c r="AF2821"/>
    </row>
    <row r="2822" spans="1:32" ht="12.75" customHeight="1" x14ac:dyDescent="0.25">
      <c r="A2822" s="259" t="str">
        <f>K2814</f>
        <v>D</v>
      </c>
      <c r="B2822" s="236" t="str">
        <f ca="1">IF(AND(OFFSET($AO$1,$L2814-1,8,1,1),$A2815&lt;&gt;"",$J2815&lt;&gt;""),CHOOSE($L2814,$AO$1,$AO$2,$AO$3,$AO$4,$AO$5,$AO$6,$AO$7,$AO$8,$AO$9,$AO$10,$AO$11,$AO$12),"")</f>
        <v/>
      </c>
      <c r="C2822" s="237"/>
      <c r="D2822" s="237"/>
      <c r="E2822" s="237"/>
      <c r="F2822" s="237"/>
      <c r="G2822" s="237"/>
      <c r="H2822" s="233"/>
      <c r="I2822" s="233"/>
      <c r="J2822" s="233"/>
      <c r="K2822" s="233"/>
      <c r="L2822" s="233"/>
      <c r="M2822" s="250" t="s">
        <v>169</v>
      </c>
      <c r="N2822" s="251"/>
      <c r="O2822" s="251"/>
      <c r="P2822" s="252"/>
      <c r="Q2822" s="40" t="str">
        <f>IF($Q2820&lt;&gt;"",IF($Q2820="W","L","W"),"")</f>
        <v/>
      </c>
      <c r="R2822"/>
      <c r="S2822"/>
      <c r="T2822"/>
      <c r="U2822"/>
      <c r="V2822"/>
      <c r="W2822"/>
      <c r="X2822"/>
      <c r="Y2822"/>
      <c r="Z2822"/>
      <c r="AA2822"/>
      <c r="AB2822"/>
      <c r="AC2822"/>
      <c r="AD2822"/>
      <c r="AE2822"/>
      <c r="AF2822"/>
    </row>
    <row r="2823" spans="1:32" ht="12.75" customHeight="1" x14ac:dyDescent="0.25">
      <c r="A2823" s="260"/>
      <c r="B2823" s="238"/>
      <c r="C2823" s="239"/>
      <c r="D2823" s="239"/>
      <c r="E2823" s="239"/>
      <c r="F2823" s="239"/>
      <c r="G2823" s="239"/>
      <c r="H2823" s="234"/>
      <c r="I2823" s="234"/>
      <c r="J2823" s="235"/>
      <c r="K2823" s="235"/>
      <c r="L2823" s="235"/>
      <c r="M2823" s="250"/>
      <c r="N2823" s="251"/>
      <c r="O2823" s="251"/>
      <c r="P2823" s="252"/>
      <c r="Q2823" s="110" t="str">
        <f>IF($Q2822&lt;&gt;"",IF($Q2822="W",IF(SUM(IF($H2822&gt;$H2820,1,0),IF($I2822&gt;$I2820,1,0),IF($J2822&gt;$J2820,1,0),IF($K2822&gt;$K2820,1,0),IF($L2822&gt;$L2820,1,0))&lt;&gt;3,"Error",""),""),"")</f>
        <v/>
      </c>
      <c r="R2823" t="str">
        <f>$A2825</f>
        <v>2nd Singles</v>
      </c>
      <c r="S2823"/>
      <c r="T2823"/>
      <c r="U2823"/>
      <c r="V2823"/>
      <c r="W2823"/>
      <c r="X2823"/>
      <c r="Y2823"/>
      <c r="Z2823"/>
      <c r="AA2823"/>
      <c r="AB2823"/>
      <c r="AC2823"/>
      <c r="AD2823"/>
      <c r="AE2823"/>
      <c r="AF2823"/>
    </row>
    <row r="2824" spans="1:32" ht="12.75" customHeight="1" x14ac:dyDescent="0.25">
      <c r="Q2824" s="6"/>
      <c r="R2824" s="47" t="s">
        <v>160</v>
      </c>
      <c r="S2824" s="304" t="s">
        <v>58</v>
      </c>
      <c r="T2824" s="305"/>
      <c r="U2824" s="305"/>
      <c r="V2824" s="305"/>
      <c r="W2824" s="305"/>
      <c r="X2824" s="306"/>
      <c r="Y2824" s="47">
        <v>1</v>
      </c>
      <c r="Z2824" s="47">
        <v>2</v>
      </c>
      <c r="AA2824" s="47">
        <v>3</v>
      </c>
      <c r="AB2824" s="47">
        <v>4</v>
      </c>
      <c r="AC2824" s="47">
        <v>5</v>
      </c>
      <c r="AD2824" s="286"/>
      <c r="AE2824" s="287"/>
      <c r="AF2824" s="288"/>
    </row>
    <row r="2825" spans="1:32" ht="12.75" customHeight="1" x14ac:dyDescent="0.25">
      <c r="A2825" s="15" t="s">
        <v>166</v>
      </c>
      <c r="H2825" s="110" t="str">
        <f>IF($Q2827&lt;&gt;"",IF(AND(AND($H2827&gt;-1,$H2829&gt;-1),OR($H2827&gt;10,$H2829&gt;10),ABS($H2827-$H2829)&gt;1,IF(OR($H2827&gt;11,$H2829&gt;11),ABS($H2827-$H2829)=2,TRUE),$H2827=INT($H2827),$H2829=INT($H2829)),"","Error"),"")</f>
        <v/>
      </c>
      <c r="I2825" s="110" t="str">
        <f>IF($Q2827&lt;&gt;"",IF(AND(AND($I2827&gt;-1,$I2829&gt;-1),OR($I2827&gt;10,$I2829&gt;10),ABS($I2827-$I2829)&gt;1,IF(OR($I2827&gt;11,$I2829&gt;11),ABS($I2827-$I2829)=2,TRUE),$I2827=INT($I2827),$I2829=INT($I2829)),"","Error"),"")</f>
        <v/>
      </c>
      <c r="J2825" s="110" t="str">
        <f>IF($Q2827&lt;&gt;"",IF(AND(AND($J2827&gt;-1,$J2829&gt;-1),OR($J2827&gt;10,$J2829&gt;10),ABS($J2827-$J2829)&gt;1,IF(OR($J2827&gt;11,$J2829&gt;11),ABS($J2827-$J2829)=2,TRUE),$J2827=INT($J2827),$J2829=INT($J2829)),"","Error"),"")</f>
        <v/>
      </c>
      <c r="K2825" s="110" t="str">
        <f>IF($Q2827&lt;&gt;"",IF(AND($K2827&lt;&gt;"",$K2829&lt;&gt;""), IF(AND(AND($K2827&gt;-1,$K2829&gt;-1),OR($K2827&gt;10,$K2829&gt;10),ABS($K2827-$K2829)&gt;1,IF(OR($K2827&gt;11,$K2829&gt;11),ABS($K2827-$K2829)=2,TRUE),$K2827=INT($K2827),$K2829=INT($K2829)),"","Error"),""),"")</f>
        <v/>
      </c>
      <c r="L2825" s="110" t="str">
        <f>IF($Q2827&lt;&gt;"",IF(AND($L2827&lt;&gt;"",$L2829&lt;&gt;""), IF(AND(AND($L2827&gt;-1,$L2829&gt;-1),OR($L2827&gt;10,$L2829&gt;10),ABS($L2827-$L2829)&gt;1,IF(OR($L2827&gt;11,$L2829&gt;11),ABS($L2827-$L2829)=2,TRUE),$L2827=INT($L2827),$L2829=INT($L2829)),"","Error"),""),"")</f>
        <v/>
      </c>
      <c r="Q2825" s="6"/>
      <c r="R2825" s="259" t="str">
        <f>$B2814</f>
        <v>B</v>
      </c>
      <c r="S2825" s="307" t="str">
        <f ca="1">IF($B2827&lt;&gt;"",$B2827,"")</f>
        <v/>
      </c>
      <c r="T2825" s="308"/>
      <c r="U2825" s="308"/>
      <c r="V2825" s="308"/>
      <c r="W2825" s="308"/>
      <c r="X2825" s="309"/>
      <c r="Y2825" s="284"/>
      <c r="Z2825" s="284"/>
      <c r="AA2825" s="284"/>
      <c r="AB2825" s="284"/>
      <c r="AC2825" s="284"/>
      <c r="AD2825" s="296"/>
      <c r="AE2825" s="290"/>
      <c r="AF2825" s="291"/>
    </row>
    <row r="2826" spans="1:32" ht="12.75" customHeight="1" x14ac:dyDescent="0.25">
      <c r="A2826" s="5" t="s">
        <v>160</v>
      </c>
      <c r="B2826" s="256" t="s">
        <v>58</v>
      </c>
      <c r="C2826" s="257"/>
      <c r="D2826" s="257"/>
      <c r="E2826" s="257"/>
      <c r="F2826" s="257"/>
      <c r="G2826" s="258"/>
      <c r="H2826" s="5">
        <v>1</v>
      </c>
      <c r="I2826" s="5">
        <v>2</v>
      </c>
      <c r="J2826" s="5">
        <v>3</v>
      </c>
      <c r="K2826" s="5">
        <v>4</v>
      </c>
      <c r="L2826" s="5">
        <v>5</v>
      </c>
      <c r="M2826" s="270"/>
      <c r="N2826" s="271"/>
      <c r="O2826" s="271"/>
      <c r="P2826" s="272"/>
      <c r="Q2826" s="6"/>
      <c r="R2826" s="285"/>
      <c r="S2826" s="310"/>
      <c r="T2826" s="311"/>
      <c r="U2826" s="311"/>
      <c r="V2826" s="311"/>
      <c r="W2826" s="311"/>
      <c r="X2826" s="312"/>
      <c r="Y2826" s="285"/>
      <c r="Z2826" s="285"/>
      <c r="AA2826" s="285"/>
      <c r="AB2826" s="285"/>
      <c r="AC2826" s="285"/>
      <c r="AD2826" s="292"/>
      <c r="AE2826" s="293"/>
      <c r="AF2826" s="294"/>
    </row>
    <row r="2827" spans="1:32" ht="12.75" customHeight="1" x14ac:dyDescent="0.25">
      <c r="A2827" s="259" t="str">
        <f>B2814</f>
        <v>B</v>
      </c>
      <c r="B2827" s="236" t="str">
        <f ca="1">IF(AND(OFFSET($AO$1,$C2814-1,8,1,1),$A2815&lt;&gt;"",$J2815&lt;&gt;""),CHOOSE($C2814,$AP$1,$AP$2,$AP$3,$AP$4,$AP$5,$AP$6,$AP$7,$AP$8,$AP$9,$AP$10,$AP$11,$AP$12),"")</f>
        <v/>
      </c>
      <c r="C2827" s="237"/>
      <c r="D2827" s="237"/>
      <c r="E2827" s="237"/>
      <c r="F2827" s="237"/>
      <c r="G2827" s="237"/>
      <c r="H2827" s="233"/>
      <c r="I2827" s="233"/>
      <c r="J2827" s="233"/>
      <c r="K2827" s="233"/>
      <c r="L2827" s="233"/>
      <c r="M2827" s="245" t="str">
        <f ca="1">IF(OR(AND($B2820&lt;&gt;"",$B2827&lt;&gt;"",$C2845&lt;=$B2845),AND($B2822&lt;&gt;"",$B2829&lt;&gt;"",$G2845&lt;=$F2845)),"Invalid Lineup","")</f>
        <v/>
      </c>
      <c r="N2827" s="246"/>
      <c r="O2827" s="246"/>
      <c r="P2827" s="247"/>
      <c r="Q2827" s="40" t="str">
        <f>IF($L2827=$L2829,IF($K2827=$K2829,IF($J2827&lt;&gt;"",IF($J2827&gt;$J2829,"W","L"),""),IF($K2827&gt;$K2829,"W","L")),IF($L2827&gt;$L2829,"W","L"))</f>
        <v/>
      </c>
      <c r="R2827" s="259" t="str">
        <f>$K2814</f>
        <v>D</v>
      </c>
      <c r="S2827" s="307" t="str">
        <f ca="1">IF($B2829&lt;&gt;"",$B2829,"")</f>
        <v/>
      </c>
      <c r="T2827" s="308"/>
      <c r="U2827" s="308"/>
      <c r="V2827" s="308"/>
      <c r="W2827" s="308"/>
      <c r="X2827" s="309"/>
      <c r="Y2827" s="284"/>
      <c r="Z2827" s="284"/>
      <c r="AA2827" s="284"/>
      <c r="AB2827" s="284"/>
      <c r="AC2827" s="297"/>
      <c r="AD2827" s="289" t="s">
        <v>169</v>
      </c>
      <c r="AE2827" s="290"/>
      <c r="AF2827" s="291"/>
    </row>
    <row r="2828" spans="1:32" ht="12.75" customHeight="1" x14ac:dyDescent="0.25">
      <c r="A2828" s="260"/>
      <c r="B2828" s="238"/>
      <c r="C2828" s="239"/>
      <c r="D2828" s="239"/>
      <c r="E2828" s="239"/>
      <c r="F2828" s="239"/>
      <c r="G2828" s="239"/>
      <c r="H2828" s="234"/>
      <c r="I2828" s="234"/>
      <c r="J2828" s="234"/>
      <c r="K2828" s="234"/>
      <c r="L2828" s="234"/>
      <c r="M2828" s="245"/>
      <c r="N2828" s="246"/>
      <c r="O2828" s="246"/>
      <c r="P2828" s="247"/>
      <c r="Q2828" s="110" t="str">
        <f>IF($Q2827&lt;&gt;"",IF($Q2827="W",IF(SUM(IF($H2827&gt;$H2829,1,0),IF($I2827&gt;$I2829,1,0),IF($J2827&gt;$J2829,1,0),IF($K2827&gt;$K2829,1,0),IF($L2827&gt;$L2829,1,0))&lt;&gt;3,"Error",""),""),"")</f>
        <v/>
      </c>
      <c r="R2828" s="285"/>
      <c r="S2828" s="310"/>
      <c r="T2828" s="311"/>
      <c r="U2828" s="311"/>
      <c r="V2828" s="311"/>
      <c r="W2828" s="311"/>
      <c r="X2828" s="312"/>
      <c r="Y2828" s="285"/>
      <c r="Z2828" s="285"/>
      <c r="AA2828" s="285"/>
      <c r="AB2828" s="285"/>
      <c r="AC2828" s="285"/>
      <c r="AD2828" s="292"/>
      <c r="AE2828" s="293"/>
      <c r="AF2828" s="294"/>
    </row>
    <row r="2829" spans="1:32" ht="12.75" customHeight="1" x14ac:dyDescent="0.25">
      <c r="A2829" s="259" t="str">
        <f>K2814</f>
        <v>D</v>
      </c>
      <c r="B2829" s="236" t="str">
        <f ca="1">IF(AND(OFFSET($AO$1,$L2814-1,8,1,1),$A2815&lt;&gt;"",$J2815&lt;&gt;""),CHOOSE($L2814,$AP$1,$AP$2,$AP$3,$AP$4,$AP$5,$AP$6,$AP$7,$AP$8,$AP$9,$AP$10,$AP$11,$AP$12),"")</f>
        <v/>
      </c>
      <c r="C2829" s="237"/>
      <c r="D2829" s="237"/>
      <c r="E2829" s="237"/>
      <c r="F2829" s="237"/>
      <c r="G2829" s="237"/>
      <c r="H2829" s="233"/>
      <c r="I2829" s="233"/>
      <c r="J2829" s="233"/>
      <c r="K2829" s="233"/>
      <c r="L2829" s="233"/>
      <c r="M2829" s="250" t="s">
        <v>169</v>
      </c>
      <c r="N2829" s="251"/>
      <c r="O2829" s="251"/>
      <c r="P2829" s="252"/>
      <c r="Q2829" s="40" t="str">
        <f>IF($Q2827&lt;&gt;"",IF($Q2827="W","L","W"),"")</f>
        <v/>
      </c>
      <c r="R2829" s="14"/>
      <c r="S2829" s="14"/>
      <c r="T2829" s="14"/>
      <c r="U2829" s="14"/>
      <c r="V2829" s="14"/>
      <c r="W2829" s="14"/>
      <c r="X2829" s="7"/>
      <c r="Y2829" s="7"/>
      <c r="Z2829" s="14"/>
      <c r="AA2829" s="14"/>
      <c r="AB2829" s="14"/>
      <c r="AC2829" s="14"/>
      <c r="AD2829" s="14"/>
      <c r="AE2829" s="14"/>
      <c r="AF2829"/>
    </row>
    <row r="2830" spans="1:32" ht="12.75" customHeight="1" x14ac:dyDescent="0.25">
      <c r="A2830" s="260"/>
      <c r="B2830" s="238"/>
      <c r="C2830" s="239"/>
      <c r="D2830" s="239"/>
      <c r="E2830" s="239"/>
      <c r="F2830" s="239"/>
      <c r="G2830" s="239"/>
      <c r="H2830" s="234"/>
      <c r="I2830" s="234"/>
      <c r="J2830" s="235"/>
      <c r="K2830" s="235"/>
      <c r="L2830" s="235"/>
      <c r="M2830" s="250"/>
      <c r="N2830" s="251"/>
      <c r="O2830" s="251"/>
      <c r="P2830" s="252"/>
      <c r="Q2830" s="110" t="str">
        <f>IF($Q2829&lt;&gt;"",IF($Q2829="W",IF(SUM(IF($H2829&gt;$H2827,1,0),IF($I2829&gt;$I2827,1,0),IF($J2829&gt;$J2827,1,0),IF($K2829&gt;$K2827,1,0),IF($L2829&gt;$L2827,1,0))&lt;&gt;3,"Error",""),""),"")</f>
        <v/>
      </c>
      <c r="R2830" s="14"/>
      <c r="S2830" s="14"/>
      <c r="T2830" s="14"/>
      <c r="U2830" s="14"/>
      <c r="V2830" s="14"/>
      <c r="W2830" s="14"/>
      <c r="X2830" s="7"/>
      <c r="Y2830" s="7"/>
      <c r="Z2830" s="14"/>
      <c r="AA2830" s="14"/>
      <c r="AB2830" s="14"/>
      <c r="AC2830" s="14"/>
      <c r="AD2830" s="14"/>
      <c r="AE2830" s="14"/>
      <c r="AF2830"/>
    </row>
    <row r="2831" spans="1:32" ht="12.75" customHeight="1" x14ac:dyDescent="0.25">
      <c r="Q2831" s="6"/>
      <c r="R2831" s="14"/>
      <c r="S2831" s="14"/>
      <c r="T2831" s="14"/>
      <c r="U2831" s="14"/>
      <c r="V2831" s="14"/>
      <c r="W2831" s="14"/>
      <c r="X2831" s="7"/>
      <c r="Y2831" s="7"/>
      <c r="Z2831" s="14"/>
      <c r="AA2831" s="14"/>
      <c r="AB2831" s="14"/>
      <c r="AC2831" s="14"/>
      <c r="AD2831" s="14"/>
      <c r="AE2831" s="14"/>
      <c r="AF2831"/>
    </row>
    <row r="2832" spans="1:32" ht="12.75" customHeight="1" x14ac:dyDescent="0.25">
      <c r="A2832" s="15" t="s">
        <v>167</v>
      </c>
      <c r="H2832" s="110" t="str">
        <f>IF($Q2834&lt;&gt;"",IF(AND(AND($H2834&gt;-1,$H2836&gt;-1),OR($H2834&gt;10,$H2836&gt;10),ABS($H2834-$H2836)&gt;1,IF(OR($H2834&gt;11,$H2836&gt;11),ABS($H2834-$H2836)=2,TRUE),$H2834=INT($H2834),$H2836=INT($H2836)),"","Error"),"")</f>
        <v/>
      </c>
      <c r="I2832" s="110" t="str">
        <f>IF($Q2834&lt;&gt;"",IF(AND(AND($I2834&gt;-1,$I2836&gt;-1),OR($I2834&gt;10,$I2836&gt;10),ABS($I2834-$I2836)&gt;1,IF(OR($I2834&gt;11,$I2836&gt;11),ABS($I2834-$I2836)=2,TRUE),$I2834=INT($I2834),$I2836=INT($I2836)),"","Error"),"")</f>
        <v/>
      </c>
      <c r="J2832" s="110" t="str">
        <f>IF($Q2834&lt;&gt;"",IF(AND(AND($J2834&gt;-1,$J2836&gt;-1),OR($J2834&gt;10,$J2836&gt;10),ABS($J2834-$J2836)&gt;1,IF(OR($J2834&gt;11,$J2836&gt;11),ABS($J2834-$J2836)=2,TRUE),$J2834=INT($J2834),$J2836=INT($J2836)),"","Error"),"")</f>
        <v/>
      </c>
      <c r="K2832" s="110" t="str">
        <f>IF($Q2834&lt;&gt;"",IF(AND($K2834&lt;&gt;"",$K2836&lt;&gt;""), IF(AND(AND($K2834&gt;-1,$K2836&gt;-1),OR($K2834&gt;10,$K2836&gt;10),ABS($K2834-$K2836)&gt;1,IF(OR($K2834&gt;11,$K2836&gt;11),ABS($K2834-$K2836)=2,TRUE),$K2834=INT($K2834),$K2836=INT($K2836)),"","Error"),""),"")</f>
        <v/>
      </c>
      <c r="L2832" s="110" t="str">
        <f>IF($Q2834&lt;&gt;"",IF(AND($L2834&lt;&gt;"",$L2836&lt;&gt;""), IF(AND(AND($L2834&gt;-1,$L2836&gt;-1),OR($L2834&gt;10,$L2836&gt;10),ABS($L2834-$L2836)&gt;1,IF(OR($L2834&gt;11,$L2836&gt;11),ABS($L2834-$L2836)=2,TRUE),$L2834=INT($L2834),$L2836=INT($L2836)),"","Error"),""),"")</f>
        <v/>
      </c>
      <c r="Q2832" s="6"/>
      <c r="R2832" s="14"/>
      <c r="S2832" s="14"/>
      <c r="T2832" s="14"/>
      <c r="U2832" s="14"/>
      <c r="V2832" s="14"/>
      <c r="W2832" s="14"/>
      <c r="X2832" s="7"/>
      <c r="Y2832" s="7"/>
      <c r="Z2832" s="14"/>
      <c r="AA2832" s="14"/>
      <c r="AB2832" s="14"/>
      <c r="AC2832" s="14"/>
      <c r="AD2832" s="14"/>
      <c r="AE2832" s="14"/>
      <c r="AF2832"/>
    </row>
    <row r="2833" spans="1:32" ht="12.75" customHeight="1" x14ac:dyDescent="0.25">
      <c r="A2833" s="5" t="s">
        <v>160</v>
      </c>
      <c r="B2833" s="256" t="s">
        <v>58</v>
      </c>
      <c r="C2833" s="257"/>
      <c r="D2833" s="257"/>
      <c r="E2833" s="257"/>
      <c r="F2833" s="257"/>
      <c r="G2833" s="258"/>
      <c r="H2833" s="5">
        <v>1</v>
      </c>
      <c r="I2833" s="5">
        <v>2</v>
      </c>
      <c r="J2833" s="5">
        <v>3</v>
      </c>
      <c r="K2833" s="5">
        <v>4</v>
      </c>
      <c r="L2833" s="5">
        <v>5</v>
      </c>
      <c r="M2833" s="270"/>
      <c r="N2833" s="271"/>
      <c r="O2833" s="271"/>
      <c r="P2833" s="272"/>
      <c r="Q2833" s="6"/>
      <c r="R2833" s="14"/>
      <c r="S2833" s="14"/>
      <c r="T2833" s="14"/>
      <c r="U2833" s="14"/>
      <c r="V2833" s="14"/>
      <c r="W2833" s="14"/>
      <c r="X2833" s="7"/>
      <c r="Y2833" s="7"/>
      <c r="Z2833" s="14"/>
      <c r="AA2833" s="14"/>
      <c r="AB2833" s="14"/>
      <c r="AC2833" s="14"/>
      <c r="AD2833" s="14"/>
      <c r="AE2833" s="14"/>
      <c r="AF2833"/>
    </row>
    <row r="2834" spans="1:32" ht="12.75" customHeight="1" x14ac:dyDescent="0.25">
      <c r="A2834" s="259" t="str">
        <f>B2814</f>
        <v>B</v>
      </c>
      <c r="B2834" s="236" t="str">
        <f ca="1">IF(AND(OFFSET($AO$1,$C2814-1,8,1,1),$A2815&lt;&gt;"",$J2815&lt;&gt;""),CHOOSE($C2814,$AQ$1,$AQ$2,$AQ$3,$AQ$4,$AQ$5,$AQ$6,$AQ$7,$AQ$8,$AQ$9,$AQ$10,$AQ$11,$AQ$12),"")</f>
        <v/>
      </c>
      <c r="C2834" s="237"/>
      <c r="D2834" s="237"/>
      <c r="E2834" s="237"/>
      <c r="F2834" s="237"/>
      <c r="G2834" s="237"/>
      <c r="H2834" s="233"/>
      <c r="I2834" s="233"/>
      <c r="J2834" s="233"/>
      <c r="K2834" s="233"/>
      <c r="L2834" s="233"/>
      <c r="M2834" s="245" t="str">
        <f ca="1">IF(OR(AND($B2827&lt;&gt;"",$B2834&lt;&gt;"",$D2845&lt;=$C2845),AND($B2829&lt;&gt;"",$B2836&lt;&gt;"",$H2845&lt;=$G2845)),"Invalid Lineup","")</f>
        <v/>
      </c>
      <c r="N2834" s="246"/>
      <c r="O2834" s="246"/>
      <c r="P2834" s="247"/>
      <c r="Q2834" s="40" t="str">
        <f>IF($L2834=$L2836,IF($K2834=$K2836,IF($J2834&lt;&gt;"",IF($J2834&gt;$J2836,"W","L"),""),IF($K2834&gt;$K2836,"W","L")),IF($L2834&gt;$L2836,"W","L"))</f>
        <v/>
      </c>
      <c r="R2834" s="14"/>
      <c r="S2834" s="14"/>
      <c r="T2834" s="14"/>
      <c r="U2834" s="14"/>
      <c r="V2834" s="14"/>
      <c r="W2834" s="14"/>
      <c r="X2834" s="7"/>
      <c r="Y2834" s="7"/>
      <c r="Z2834" s="14"/>
      <c r="AA2834" s="14"/>
      <c r="AB2834" s="14"/>
      <c r="AC2834" s="14"/>
      <c r="AD2834" s="14"/>
      <c r="AE2834" s="14"/>
      <c r="AF2834"/>
    </row>
    <row r="2835" spans="1:32" ht="12.75" customHeight="1" x14ac:dyDescent="0.25">
      <c r="A2835" s="260"/>
      <c r="B2835" s="238"/>
      <c r="C2835" s="239"/>
      <c r="D2835" s="239"/>
      <c r="E2835" s="239"/>
      <c r="F2835" s="239"/>
      <c r="G2835" s="239"/>
      <c r="H2835" s="234"/>
      <c r="I2835" s="234"/>
      <c r="J2835" s="234"/>
      <c r="K2835" s="234"/>
      <c r="L2835" s="234"/>
      <c r="M2835" s="245"/>
      <c r="N2835" s="246"/>
      <c r="O2835" s="246"/>
      <c r="P2835" s="247"/>
      <c r="Q2835" s="110" t="str">
        <f>IF($Q2834&lt;&gt;"",IF($Q2834="W",IF(SUM(IF($H2834&gt;$H2836,1,0),IF($I2834&gt;$I2836,1,0),IF($J2834&gt;$J2836,1,0),IF($K2834&gt;$K2836,1,0),IF($L2834&gt;$L2836,1,0))&lt;&gt;3,"Error",""),""),"")</f>
        <v/>
      </c>
      <c r="R2835" s="295" t="str">
        <f>$A2815</f>
        <v/>
      </c>
      <c r="S2835" s="295"/>
      <c r="T2835" s="295"/>
      <c r="U2835" s="295"/>
      <c r="V2835" s="295"/>
      <c r="W2835" s="295"/>
      <c r="X2835" s="219" t="str">
        <f>CONCATENATE("(",$B2814," vs ",$K2814,")")</f>
        <v>(B vs D)</v>
      </c>
      <c r="Y2835" s="219"/>
      <c r="Z2835" s="295" t="str">
        <f>$J2815</f>
        <v/>
      </c>
      <c r="AA2835" s="295"/>
      <c r="AB2835" s="295"/>
      <c r="AC2835" s="295"/>
      <c r="AD2835" s="295"/>
      <c r="AE2835" s="295"/>
      <c r="AF2835"/>
    </row>
    <row r="2836" spans="1:32" ht="12.75" customHeight="1" x14ac:dyDescent="0.25">
      <c r="A2836" s="259" t="str">
        <f>K2814</f>
        <v>D</v>
      </c>
      <c r="B2836" s="236" t="str">
        <f ca="1">IF(AND(OFFSET($AO$1,$L2814-1,8,1,1),$A2815&lt;&gt;"",$J2815&lt;&gt;""),CHOOSE($L2814,$AQ$1,$AQ$2,$AQ$3,$AQ$4,$AQ$5,$AQ$6,$AQ$7,$AQ$8,$AQ$9,$AQ$10,$AQ$11,$AQ$12),"")</f>
        <v/>
      </c>
      <c r="C2836" s="237"/>
      <c r="D2836" s="237"/>
      <c r="E2836" s="237"/>
      <c r="F2836" s="237"/>
      <c r="G2836" s="237"/>
      <c r="H2836" s="233"/>
      <c r="I2836" s="233"/>
      <c r="J2836" s="233"/>
      <c r="K2836" s="233"/>
      <c r="L2836" s="233"/>
      <c r="M2836" s="250" t="s">
        <v>169</v>
      </c>
      <c r="N2836" s="251"/>
      <c r="O2836" s="251"/>
      <c r="P2836" s="252"/>
      <c r="Q2836" s="40" t="str">
        <f>IF($Q2834&lt;&gt;"",IF($Q2834="W","L","W"),"")</f>
        <v/>
      </c>
      <c r="R2836"/>
      <c r="S2836"/>
      <c r="T2836"/>
      <c r="U2836"/>
      <c r="V2836"/>
      <c r="W2836"/>
      <c r="X2836"/>
      <c r="Y2836"/>
      <c r="Z2836"/>
      <c r="AA2836"/>
      <c r="AB2836"/>
      <c r="AC2836"/>
      <c r="AD2836"/>
      <c r="AE2836"/>
      <c r="AF2836"/>
    </row>
    <row r="2837" spans="1:32" ht="12.75" customHeight="1" x14ac:dyDescent="0.25">
      <c r="A2837" s="260"/>
      <c r="B2837" s="238"/>
      <c r="C2837" s="239"/>
      <c r="D2837" s="239"/>
      <c r="E2837" s="239"/>
      <c r="F2837" s="239"/>
      <c r="G2837" s="239"/>
      <c r="H2837" s="234"/>
      <c r="I2837" s="234"/>
      <c r="J2837" s="235"/>
      <c r="K2837" s="235"/>
      <c r="L2837" s="235"/>
      <c r="M2837" s="250"/>
      <c r="N2837" s="251"/>
      <c r="O2837" s="251"/>
      <c r="P2837" s="252"/>
      <c r="Q2837" s="110" t="str">
        <f>IF($Q2836&lt;&gt;"",IF($Q2836="W",IF(SUM(IF($H2836&gt;$H2834,1,0),IF($I2836&gt;$I2834,1,0),IF($J2836&gt;$J2834,1,0),IF($K2836&gt;$K2834,1,0),IF($L2836&gt;$L2834,1,0))&lt;&gt;3,"Error",""),""),"")</f>
        <v/>
      </c>
      <c r="R2837" t="str">
        <f>$A2832</f>
        <v>3rd Singles</v>
      </c>
      <c r="S2837"/>
      <c r="T2837"/>
      <c r="U2837"/>
      <c r="V2837"/>
      <c r="W2837"/>
      <c r="X2837"/>
      <c r="Y2837"/>
      <c r="Z2837"/>
      <c r="AA2837"/>
      <c r="AB2837"/>
      <c r="AC2837"/>
      <c r="AD2837"/>
      <c r="AE2837"/>
      <c r="AF2837"/>
    </row>
    <row r="2838" spans="1:32" ht="12.75" customHeight="1" x14ac:dyDescent="0.25">
      <c r="Q2838" s="6"/>
      <c r="R2838" s="47" t="s">
        <v>160</v>
      </c>
      <c r="S2838" s="86" t="s">
        <v>58</v>
      </c>
      <c r="T2838" s="87"/>
      <c r="U2838" s="87"/>
      <c r="V2838" s="87"/>
      <c r="W2838" s="87"/>
      <c r="X2838" s="88"/>
      <c r="Y2838" s="47">
        <v>1</v>
      </c>
      <c r="Z2838" s="47">
        <v>2</v>
      </c>
      <c r="AA2838" s="47">
        <v>3</v>
      </c>
      <c r="AB2838" s="47">
        <v>4</v>
      </c>
      <c r="AC2838" s="47">
        <v>5</v>
      </c>
      <c r="AD2838" s="89"/>
      <c r="AE2838" s="90"/>
      <c r="AF2838" s="91"/>
    </row>
    <row r="2839" spans="1:32" ht="12.75" customHeight="1" x14ac:dyDescent="0.25">
      <c r="A2839" s="15" t="s">
        <v>168</v>
      </c>
      <c r="H2839" s="110" t="str">
        <f ca="1">IF($Q2841&lt;&gt;"",IF(AND($B2841&lt;&gt;"Missing Player",$B2843&lt;&gt;"Missing Player"),IF(AND(AND($H2841&gt;-1,$H2843&gt;-1),OR($H2841&gt;10,$H2843&gt;10),ABS($H2841-$H2843)&gt;1,IF(OR($H2841&gt;11,$H2843&gt;11),ABS($H2841-$H2843)=2,TRUE),$H2841=INT($H2841),$H2843=INT($H2843)),"","Error"),""),"")</f>
        <v/>
      </c>
      <c r="I2839" s="110" t="str">
        <f ca="1">IF($Q2841&lt;&gt;"",IF(AND($B2841&lt;&gt;"Missing Player",$B2843&lt;&gt;"Missing Player"),IF(AND(AND($I2841&gt;-1,$I2843&gt;-1),OR($I2841&gt;10,$I2843&gt;10),ABS($I2841-$I2843)&gt;1,IF(OR($I2841&gt;11,$I2843&gt;11),ABS($I2841-$I2843)=2,TRUE),$I2841=INT($I2841),$I2843=INT($I2843)),"","Error"),""),"")</f>
        <v/>
      </c>
      <c r="J2839" s="110" t="str">
        <f ca="1">IF($Q2841&lt;&gt;"",IF(AND($B2841&lt;&gt;"Missing Player",$B2843&lt;&gt;"Missing Player"),IF(AND(AND($J2841&gt;-1,$J2843&gt;-1),OR($J2841&gt;10,$J2843&gt;10),ABS($J2841-$J2843)&gt;1,IF(OR($J2841&gt;11,$J2843&gt;11),ABS($J2841-$J2843)=2,TRUE),$J2841=INT($J2841),$J2843=INT($J2843)),"","Error"),""),"")</f>
        <v/>
      </c>
      <c r="K2839" s="110" t="str">
        <f ca="1">IF($Q2841&lt;&gt;"",IF(AND($K2841&lt;&gt;"",$K2843&lt;&gt;""), IF(AND(AND($K2841&gt;-1,$K2843&gt;-1),OR($K2841&gt;10,$K2843&gt;10),ABS($K2841-$K2843)&gt;1,IF(OR($K2841&gt;11,$K2843&gt;11),ABS($K2841-$K2843)=2,TRUE),$K2841=INT($K2841),$K2843=INT($K2843)),"","Error"),""),"")</f>
        <v/>
      </c>
      <c r="L2839" s="110" t="str">
        <f ca="1">IF($Q2841&lt;&gt;"",IF(AND($L2841&lt;&gt;"",$L2843&lt;&gt;""), IF(AND(AND($L2841&gt;-1,$L2843&gt;-1),OR($L2841&gt;10,$L2843&gt;10),ABS($L2841-$L2843)&gt;1,IF(OR($L2841&gt;11,$L2843&gt;11),ABS($L2841-$L2843)=2,TRUE),$L2841=INT($L2841),$L2843=INT($L2843)),"","Error"),""),"")</f>
        <v/>
      </c>
      <c r="Q2839" s="6"/>
      <c r="R2839" s="259" t="str">
        <f>$B2814</f>
        <v>B</v>
      </c>
      <c r="S2839" s="307" t="str">
        <f ca="1">IF($B2834&lt;&gt;"",$B2834,"")</f>
        <v/>
      </c>
      <c r="T2839" s="308"/>
      <c r="U2839" s="308"/>
      <c r="V2839" s="308"/>
      <c r="W2839" s="308"/>
      <c r="X2839" s="309"/>
      <c r="Y2839" s="284"/>
      <c r="Z2839" s="284"/>
      <c r="AA2839" s="284"/>
      <c r="AB2839" s="284"/>
      <c r="AC2839" s="284"/>
      <c r="AD2839" s="296"/>
      <c r="AE2839" s="290"/>
      <c r="AF2839" s="291"/>
    </row>
    <row r="2840" spans="1:32" ht="12.75" customHeight="1" x14ac:dyDescent="0.25">
      <c r="A2840" s="5" t="s">
        <v>160</v>
      </c>
      <c r="B2840" s="256" t="s">
        <v>58</v>
      </c>
      <c r="C2840" s="257"/>
      <c r="D2840" s="257"/>
      <c r="E2840" s="257"/>
      <c r="F2840" s="257"/>
      <c r="G2840" s="258"/>
      <c r="H2840" s="5">
        <v>1</v>
      </c>
      <c r="I2840" s="5">
        <v>2</v>
      </c>
      <c r="J2840" s="5">
        <v>3</v>
      </c>
      <c r="K2840" s="5">
        <v>4</v>
      </c>
      <c r="L2840" s="5">
        <v>5</v>
      </c>
      <c r="M2840" s="270"/>
      <c r="N2840" s="271"/>
      <c r="O2840" s="271"/>
      <c r="P2840" s="272"/>
      <c r="Q2840" s="6"/>
      <c r="R2840" s="285"/>
      <c r="S2840" s="310"/>
      <c r="T2840" s="311"/>
      <c r="U2840" s="311"/>
      <c r="V2840" s="311"/>
      <c r="W2840" s="311"/>
      <c r="X2840" s="312"/>
      <c r="Y2840" s="285"/>
      <c r="Z2840" s="285"/>
      <c r="AA2840" s="285"/>
      <c r="AB2840" s="285"/>
      <c r="AC2840" s="285"/>
      <c r="AD2840" s="292"/>
      <c r="AE2840" s="293"/>
      <c r="AF2840" s="294"/>
    </row>
    <row r="2841" spans="1:32" ht="12.75" customHeight="1" x14ac:dyDescent="0.25">
      <c r="A2841" s="259" t="str">
        <f>B2814</f>
        <v>B</v>
      </c>
      <c r="B2841" s="236" t="str">
        <f ca="1">IF(AND(OFFSET($AO$1,$C2814-1,8,1,1),$A2815&lt;&gt;"",$J2815&lt;&gt;""),CHOOSE($C2814,$AR$1,$AR$2,$AR$3,$AR$4,$AR$5,$AR$6,$AR$7,$AR$8,$AR$9,$AR$10,$AR$11,$AR$12),"")</f>
        <v/>
      </c>
      <c r="C2841" s="237"/>
      <c r="D2841" s="237"/>
      <c r="E2841" s="237"/>
      <c r="F2841" s="237"/>
      <c r="G2841" s="237"/>
      <c r="H2841" s="233"/>
      <c r="I2841" s="233"/>
      <c r="J2841" s="233"/>
      <c r="K2841" s="233"/>
      <c r="L2841" s="233" t="str">
        <f ca="1">IF(AND($B2841&lt;&gt;"",$Q2820&lt;&gt;""),IF($B2841="Missing Player",0,IF($B2843="Missing Player",11,"")),"")</f>
        <v/>
      </c>
      <c r="M2841" s="245" t="str">
        <f ca="1">IF(OR(AND($B2834&lt;&gt;"",$B2841&lt;&gt;"",$E2845&lt;=$D2845),AND($B2836&lt;&gt;"",$B2843&lt;&gt;"",$I2845&lt;=$H2845)),"Invalid Lineup","")</f>
        <v/>
      </c>
      <c r="N2841" s="246"/>
      <c r="O2841" s="246"/>
      <c r="P2841" s="247"/>
      <c r="Q2841" s="40" t="str">
        <f ca="1">IF($L2841=$L2843,IF($K2841=$K2843,IF($J2841&lt;&gt;"",IF($J2841&gt;$J2843,"W","L"),""),IF($K2841&gt;$K2843,"W","L")),IF($L2841&gt;$L2843,"W","L"))</f>
        <v/>
      </c>
      <c r="R2841" s="259" t="str">
        <f>$K2814</f>
        <v>D</v>
      </c>
      <c r="S2841" s="307" t="str">
        <f ca="1">IF($B2836&lt;&gt;"",$B2836,"")</f>
        <v/>
      </c>
      <c r="T2841" s="308"/>
      <c r="U2841" s="308"/>
      <c r="V2841" s="308"/>
      <c r="W2841" s="308"/>
      <c r="X2841" s="309"/>
      <c r="Y2841" s="284"/>
      <c r="Z2841" s="284"/>
      <c r="AA2841" s="284"/>
      <c r="AB2841" s="284"/>
      <c r="AC2841" s="297"/>
      <c r="AD2841" s="289" t="s">
        <v>169</v>
      </c>
      <c r="AE2841" s="290"/>
      <c r="AF2841" s="291"/>
    </row>
    <row r="2842" spans="1:32" ht="12.75" customHeight="1" x14ac:dyDescent="0.25">
      <c r="A2842" s="260"/>
      <c r="B2842" s="238"/>
      <c r="C2842" s="239"/>
      <c r="D2842" s="239"/>
      <c r="E2842" s="239"/>
      <c r="F2842" s="239"/>
      <c r="G2842" s="239"/>
      <c r="H2842" s="234"/>
      <c r="I2842" s="234"/>
      <c r="J2842" s="234"/>
      <c r="K2842" s="234"/>
      <c r="L2842" s="234"/>
      <c r="M2842" s="245"/>
      <c r="N2842" s="246"/>
      <c r="O2842" s="246"/>
      <c r="P2842" s="247"/>
      <c r="Q2842" s="110" t="str">
        <f ca="1">IF($Q2841&lt;&gt;"",IF($B2843&lt;&gt;"Missing Player",IF($Q2841="W",IF(SUM(IF($H2841&gt;$H2843,1,0),IF($I2841&gt;$I2843,1,0),IF($J2841&gt;$J2843,1,0),IF($K2841&gt;$K2843,1,0),IF($L2841&gt;$L2843,1,0))&lt;&gt;3,"Error",""),""),""),"")</f>
        <v/>
      </c>
      <c r="R2842" s="285"/>
      <c r="S2842" s="310"/>
      <c r="T2842" s="311"/>
      <c r="U2842" s="311"/>
      <c r="V2842" s="311"/>
      <c r="W2842" s="311"/>
      <c r="X2842" s="312"/>
      <c r="Y2842" s="285"/>
      <c r="Z2842" s="285"/>
      <c r="AA2842" s="285"/>
      <c r="AB2842" s="285"/>
      <c r="AC2842" s="285"/>
      <c r="AD2842" s="292"/>
      <c r="AE2842" s="293"/>
      <c r="AF2842" s="294"/>
    </row>
    <row r="2843" spans="1:32" ht="12.75" customHeight="1" x14ac:dyDescent="0.25">
      <c r="A2843" s="259" t="str">
        <f>K2814</f>
        <v>D</v>
      </c>
      <c r="B2843" s="236" t="str">
        <f ca="1">IF(AND(OFFSET($AO$1,$L2814-1,8,1,1),$A2815&lt;&gt;"",$J2815&lt;&gt;""),CHOOSE($L2814,$AR$1,$AR$2,$AR$3,$AR$4,$AR$5,$AR$6,$AR$7,$AR$8,$AR$9,$AR$10,$AR$11,$AR$12),"")</f>
        <v/>
      </c>
      <c r="C2843" s="237"/>
      <c r="D2843" s="237"/>
      <c r="E2843" s="237"/>
      <c r="F2843" s="237"/>
      <c r="G2843" s="237"/>
      <c r="H2843" s="233"/>
      <c r="I2843" s="233"/>
      <c r="J2843" s="233"/>
      <c r="K2843" s="233"/>
      <c r="L2843" s="233" t="str">
        <f ca="1">IF(AND($B2843&lt;&gt;"",$Q2820&lt;&gt;""),IF($B2843="Missing Player",0,IF($B2841="Missing Player",11,"")),"")</f>
        <v/>
      </c>
      <c r="M2843" s="250" t="s">
        <v>169</v>
      </c>
      <c r="N2843" s="251"/>
      <c r="O2843" s="251"/>
      <c r="P2843" s="252"/>
      <c r="Q2843" s="40" t="str">
        <f ca="1">IF($Q2841&lt;&gt;"",IF($Q2841="W","L","W"),"")</f>
        <v/>
      </c>
      <c r="R2843" s="94"/>
      <c r="S2843" s="84"/>
      <c r="T2843" s="84"/>
      <c r="U2843" s="84"/>
      <c r="V2843" s="84"/>
      <c r="W2843" s="84"/>
      <c r="X2843" s="84"/>
      <c r="Y2843" s="93"/>
      <c r="Z2843" s="93"/>
      <c r="AA2843" s="93"/>
      <c r="AB2843" s="93"/>
      <c r="AC2843" s="93"/>
      <c r="AD2843" s="92"/>
      <c r="AE2843" s="93"/>
      <c r="AF2843" s="93"/>
    </row>
    <row r="2844" spans="1:32" ht="12.75" customHeight="1" x14ac:dyDescent="0.25">
      <c r="A2844" s="260"/>
      <c r="B2844" s="238"/>
      <c r="C2844" s="239"/>
      <c r="D2844" s="239"/>
      <c r="E2844" s="239"/>
      <c r="F2844" s="239"/>
      <c r="G2844" s="239"/>
      <c r="H2844" s="234"/>
      <c r="I2844" s="234"/>
      <c r="J2844" s="235"/>
      <c r="K2844" s="235"/>
      <c r="L2844" s="235"/>
      <c r="M2844" s="250"/>
      <c r="N2844" s="251"/>
      <c r="O2844" s="251"/>
      <c r="P2844" s="252"/>
      <c r="Q2844" s="110" t="str">
        <f ca="1">IF($Q2843&lt;&gt;"",IF($B2841&lt;&gt;"Missing Player",IF($Q2843="W",IF(SUM(IF($H2843&gt;$H2841,1,0),IF($I2843&gt;$I2841,1,0),IF($J2843&gt;$J2841,1,0),IF($K2843&gt;$K2841,1,0),IF($L2843&gt;$L2841,1,0))&lt;&gt;3,"Error",""),""),""),"")</f>
        <v/>
      </c>
      <c r="R2844" s="85"/>
      <c r="S2844" s="95"/>
      <c r="T2844" s="95"/>
      <c r="U2844" s="95"/>
      <c r="V2844" s="95"/>
      <c r="W2844" s="95"/>
      <c r="X2844" s="95"/>
      <c r="Y2844" s="85"/>
      <c r="Z2844" s="85"/>
      <c r="AA2844" s="85"/>
      <c r="AB2844" s="85"/>
      <c r="AC2844" s="85"/>
      <c r="AD2844" s="85"/>
      <c r="AE2844" s="85"/>
      <c r="AF2844" s="85"/>
    </row>
    <row r="2845" spans="1:32" ht="12.75" customHeight="1" x14ac:dyDescent="0.25">
      <c r="B2845" s="111" t="str">
        <f ca="1">IF(ISERROR(VLOOKUP($B2820&amp;"("&amp;$B2814&amp;")",Players!$S$4:$T$132,2,FALSE)),"",VLOOKUP($B2820&amp;"("&amp;$B2814&amp;")",Players!$S$4:$T$132,2,FALSE))</f>
        <v>B1</v>
      </c>
      <c r="C2845" s="111" t="str">
        <f ca="1">IF(ISERROR(VLOOKUP($B2827&amp;"("&amp;$B2814&amp;")",Players!$S$4:$T$132,2,FALSE)),"",VLOOKUP($B2827&amp;"("&amp;$B2814&amp;")",Players!$S$4:$T$132,2,FALSE))</f>
        <v>B1</v>
      </c>
      <c r="D2845" s="111" t="str">
        <f ca="1">IF(ISERROR(VLOOKUP($B2834&amp;"("&amp;$B2814&amp;")",Players!$S$4:$T$132,2,FALSE)),"",VLOOKUP($B2834&amp;"("&amp;$B2814&amp;")",Players!$S$4:$T$132,2,FALSE))</f>
        <v>B1</v>
      </c>
      <c r="E2845" s="111" t="str">
        <f ca="1">IF(ISERROR(VLOOKUP($B2841&amp;"("&amp;$B2814&amp;")",Players!$S$4:$T$132,2,FALSE)),"",VLOOKUP($B2841&amp;"("&amp;$B2814&amp;")",Players!$S$4:$T$132,2,FALSE))</f>
        <v>B1</v>
      </c>
      <c r="F2845" s="111" t="str">
        <f ca="1">IF(ISERROR(VLOOKUP($B2822&amp;"("&amp;$K2814&amp;")",Players!$S$4:$T$132,2,FALSE)),"",VLOOKUP($B2822&amp;"("&amp;$K2814&amp;")",Players!$S$4:$T$132,2,FALSE))</f>
        <v>D1</v>
      </c>
      <c r="G2845" s="111" t="str">
        <f ca="1">IF(ISERROR(VLOOKUP($B2829&amp;"("&amp;$K2814&amp;")",Players!$S$4:$T$132,2,FALSE)),"",VLOOKUP($B2829&amp;"("&amp;$K2814&amp;")",Players!$S$4:$T$132,2,FALSE))</f>
        <v>D1</v>
      </c>
      <c r="H2845" s="111" t="str">
        <f ca="1">IF(ISERROR(VLOOKUP($B2836&amp;"("&amp;$K2814&amp;")",Players!$S$4:$T$132,2,FALSE)),"",VLOOKUP($B2836&amp;"("&amp;$K2814&amp;")",Players!$S$4:$T$132,2,FALSE))</f>
        <v>D1</v>
      </c>
      <c r="I2845" s="111" t="str">
        <f ca="1">IF(ISERROR(VLOOKUP($B2843&amp;"("&amp;$K2814&amp;")",Players!$S$4:$T$132,2,FALSE)),"",VLOOKUP($B2843&amp;"("&amp;$K2814&amp;")",Players!$S$4:$T$132,2,FALSE))</f>
        <v>D1</v>
      </c>
      <c r="Q2845" s="6"/>
      <c r="R2845" s="37"/>
      <c r="S2845" s="95"/>
      <c r="T2845" s="95"/>
      <c r="U2845" s="95"/>
      <c r="V2845" s="95"/>
      <c r="W2845" s="95"/>
      <c r="X2845" s="95"/>
      <c r="Y2845" s="85"/>
      <c r="Z2845" s="85"/>
      <c r="AA2845" s="85"/>
      <c r="AB2845" s="85"/>
      <c r="AC2845" s="96"/>
      <c r="AD2845" s="97"/>
      <c r="AE2845" s="85"/>
      <c r="AF2845" s="85"/>
    </row>
    <row r="2846" spans="1:32" ht="12.75" customHeight="1" x14ac:dyDescent="0.25">
      <c r="A2846" s="15" t="s">
        <v>157</v>
      </c>
      <c r="H2846" s="110" t="str">
        <f ca="1">IF($Q2848&lt;&gt;"",IF(AND($B2849&lt;&gt;"Missing Player",$B2851&lt;&gt;"Missing Player"),IF(AND(AND($H2848&gt;-1,$H2850&gt;-1),OR($H2848&gt;10,$H2850&gt;10),ABS($H2848-$H2850)&gt;1,IF(OR($H2848&gt;11,$H2850&gt;11),ABS($H2848-$H2850)=2,TRUE),$H2848=INT($H2848),$H2850=INT($H2850)),"","Error"),""),"")</f>
        <v/>
      </c>
      <c r="I2846" s="110" t="str">
        <f ca="1">IF($Q2848&lt;&gt;"",IF(AND($B2849&lt;&gt;"Missing Player",$B2851&lt;&gt;"Missing Player"),IF(AND(AND($I2848&gt;-1,$I2850&gt;-1),OR($I2848&gt;10,$I2850&gt;10),ABS($I2848-$I2850)&gt;1,IF(OR($I2848&gt;11,$I2850&gt;11),ABS($I2848-$I2850)=2,TRUE),$I2848=INT($I2848),$I2850=INT($I2850)),"","Error"),""),"")</f>
        <v/>
      </c>
      <c r="J2846" s="110" t="str">
        <f ca="1">IF($Q2848&lt;&gt;"",IF(AND($B2849&lt;&gt;"Missing Player",$B2851&lt;&gt;"Missing Player"),IF(AND(AND($J2848&gt;-1,$J2850&gt;-1),OR($J2848&gt;10,$J2850&gt;10),ABS($J2848-$J2850)&gt;1,IF(OR($J2848&gt;11,$J2850&gt;11),ABS($J2848-$J2850)=2,TRUE),$J2848=INT($J2848),$J2850=INT($J2850)),"","Error"),""),"")</f>
        <v/>
      </c>
      <c r="K2846" s="110" t="str">
        <f ca="1">IF($Q2848&lt;&gt;"",IF(AND($K2848&lt;&gt;"",$K2850&lt;&gt;""), IF(AND(AND($K2848&gt;-1,$K2850&gt;-1),OR($K2848&gt;10,$K2850&gt;10),ABS($K2848-$K2850)&gt;1,IF(OR($K2848&gt;11,$K2850&gt;11),ABS($K2848-$K2850)=2,TRUE),$K2848=INT($K2848),$K2850=INT($K2850)),"","Error"),""),"")</f>
        <v/>
      </c>
      <c r="L2846" s="110" t="str">
        <f ca="1">IF($Q2848&lt;&gt;"",IF(AND($L2848&lt;&gt;"",$L2850&lt;&gt;""), IF(AND(AND($L2848&gt;-1,$L2850&gt;-1),OR($L2848&gt;10,$L2850&gt;10),ABS($L2848-$L2850)&gt;1,IF(OR($L2848&gt;11,$L2850&gt;11),ABS($L2848-$L2850)=2,TRUE),$L2848=INT($L2848),$L2850=INT($L2850)),"","Error"),""),"")</f>
        <v/>
      </c>
      <c r="Q2846" s="6"/>
      <c r="R2846" s="85"/>
      <c r="S2846" s="95"/>
      <c r="T2846" s="95"/>
      <c r="U2846" s="95"/>
      <c r="V2846" s="95"/>
      <c r="W2846" s="95"/>
      <c r="X2846" s="95"/>
      <c r="Y2846" s="85"/>
      <c r="Z2846" s="85"/>
      <c r="AA2846" s="85"/>
      <c r="AB2846" s="85"/>
      <c r="AC2846" s="85"/>
      <c r="AD2846" s="85"/>
      <c r="AE2846" s="85"/>
      <c r="AF2846" s="85"/>
    </row>
    <row r="2847" spans="1:32" ht="12.75" customHeight="1" x14ac:dyDescent="0.25">
      <c r="A2847" s="5" t="s">
        <v>160</v>
      </c>
      <c r="B2847" s="256" t="s">
        <v>58</v>
      </c>
      <c r="C2847" s="257"/>
      <c r="D2847" s="257"/>
      <c r="E2847" s="257"/>
      <c r="F2847" s="257"/>
      <c r="G2847" s="258"/>
      <c r="H2847" s="5">
        <v>1</v>
      </c>
      <c r="I2847" s="5">
        <v>2</v>
      </c>
      <c r="J2847" s="5">
        <v>3</v>
      </c>
      <c r="K2847" s="5">
        <v>4</v>
      </c>
      <c r="L2847" s="5">
        <v>5</v>
      </c>
      <c r="M2847" s="270"/>
      <c r="N2847" s="271"/>
      <c r="O2847" s="271"/>
      <c r="P2847" s="272"/>
      <c r="Q2847" s="6"/>
      <c r="T2847" s="7"/>
    </row>
    <row r="2848" spans="1:32" ht="12.75" customHeight="1" x14ac:dyDescent="0.25">
      <c r="A2848" s="259" t="str">
        <f>B2814</f>
        <v>B</v>
      </c>
      <c r="B2848" s="230" t="str">
        <f ca="1">IF($B2820&lt;&gt;"",$B2820,"")</f>
        <v/>
      </c>
      <c r="C2848" s="231"/>
      <c r="D2848" s="231"/>
      <c r="E2848" s="231"/>
      <c r="F2848" s="231"/>
      <c r="G2848" s="232"/>
      <c r="H2848" s="233"/>
      <c r="I2848" s="233"/>
      <c r="J2848" s="233"/>
      <c r="K2848" s="233"/>
      <c r="L2848" s="233" t="str">
        <f ca="1">IF($B2841&lt;&gt;"",IF(AND($B2841="Missing Player",$G2852=2,$J2852=2),0,IF(AND($B2843="Missing Player",$G2852=2,$J2852=2),11,"")),"")</f>
        <v/>
      </c>
      <c r="M2848" s="245" t="str">
        <f ca="1">IF(OR(AND($B2848&lt;&gt;"",$B2849&lt;&gt;"",$B2848=$B2849),AND($B2850&lt;&gt;"",$B2851&lt;&gt;"",$B2850=$B2851)),"Invalid Partner","")</f>
        <v/>
      </c>
      <c r="N2848" s="246"/>
      <c r="O2848" s="246"/>
      <c r="P2848" s="247"/>
      <c r="Q2848" s="37" t="str">
        <f ca="1">IF(L2848=L2850,IF(K2848=K2850,IF(J2848&lt;&gt;"",IF(J2848&gt;J2850,"W","L"),""),IF(K2848&gt;K2850,"W","L")),IF(L2848&gt;L2850,"W","L"))</f>
        <v/>
      </c>
      <c r="T2848" s="7"/>
    </row>
    <row r="2849" spans="1:32" ht="12.75" customHeight="1" x14ac:dyDescent="0.25">
      <c r="A2849" s="260"/>
      <c r="B2849" s="266" t="str">
        <f ca="1">IF($B2841="Missing Player",$B2841,"")</f>
        <v/>
      </c>
      <c r="C2849" s="267"/>
      <c r="D2849" s="267"/>
      <c r="E2849" s="267"/>
      <c r="F2849" s="267"/>
      <c r="G2849" s="268"/>
      <c r="H2849" s="234"/>
      <c r="I2849" s="234"/>
      <c r="J2849" s="234"/>
      <c r="K2849" s="234"/>
      <c r="L2849" s="234"/>
      <c r="M2849" s="245"/>
      <c r="N2849" s="246"/>
      <c r="O2849" s="246"/>
      <c r="P2849" s="247"/>
      <c r="Q2849" s="110" t="str">
        <f ca="1">IF($Q2848&lt;&gt;"",IF($B2851&lt;&gt;"Missing Player",IF($Q2848="W",IF(SUM(IF($H2848&gt;$H2850,1,0),IF($I2848&gt;$I2850,1,0),IF($J2848&gt;$J2850,1,0),IF($K2848&gt;$K2850,1,0),IF($L2848&gt;$L2850,1,0))&lt;&gt;3,"Error",""),""),""),"")</f>
        <v/>
      </c>
      <c r="R2849" s="295" t="str">
        <f>$A2815</f>
        <v/>
      </c>
      <c r="S2849" s="295"/>
      <c r="T2849" s="295"/>
      <c r="U2849" s="295"/>
      <c r="V2849" s="295"/>
      <c r="W2849" s="295"/>
      <c r="X2849" s="219" t="str">
        <f>CONCATENATE("(",$B2814," vs ",$K2814,")")</f>
        <v>(B vs D)</v>
      </c>
      <c r="Y2849" s="219"/>
      <c r="Z2849" s="295" t="str">
        <f>$J2815</f>
        <v/>
      </c>
      <c r="AA2849" s="295"/>
      <c r="AB2849" s="295"/>
      <c r="AC2849" s="295"/>
      <c r="AD2849" s="295"/>
      <c r="AE2849" s="295"/>
      <c r="AF2849"/>
    </row>
    <row r="2850" spans="1:32" ht="12.75" customHeight="1" x14ac:dyDescent="0.25">
      <c r="A2850" s="265" t="str">
        <f>K2814</f>
        <v>D</v>
      </c>
      <c r="B2850" s="230" t="str">
        <f ca="1">IF($B2822&lt;&gt;"",$B2822,"")</f>
        <v/>
      </c>
      <c r="C2850" s="231"/>
      <c r="D2850" s="231"/>
      <c r="E2850" s="231"/>
      <c r="F2850" s="231"/>
      <c r="G2850" s="232"/>
      <c r="H2850" s="233"/>
      <c r="I2850" s="233"/>
      <c r="J2850" s="233"/>
      <c r="K2850" s="233"/>
      <c r="L2850" s="233" t="str">
        <f ca="1">IF($B2843&lt;&gt;"",IF(AND($B2843="Missing Player",$G2852=2,$J2852=2),0,IF(AND($B2841="Missing Player",$G2852=2,$J2852=2),11,"")),"")</f>
        <v/>
      </c>
      <c r="M2850" s="250" t="s">
        <v>169</v>
      </c>
      <c r="N2850" s="251"/>
      <c r="O2850" s="251"/>
      <c r="P2850" s="252"/>
      <c r="Q2850" s="37" t="str">
        <f ca="1">IF(Q2848&lt;&gt;"",IF(Q2848="W","L","W"),"")</f>
        <v/>
      </c>
      <c r="R2850"/>
      <c r="S2850"/>
      <c r="T2850"/>
      <c r="U2850"/>
      <c r="V2850"/>
      <c r="W2850"/>
      <c r="X2850"/>
      <c r="Y2850"/>
      <c r="Z2850"/>
      <c r="AA2850"/>
      <c r="AB2850"/>
      <c r="AC2850"/>
      <c r="AD2850"/>
      <c r="AE2850"/>
      <c r="AF2850"/>
    </row>
    <row r="2851" spans="1:32" ht="12.75" customHeight="1" x14ac:dyDescent="0.25">
      <c r="A2851" s="260"/>
      <c r="B2851" s="266" t="str">
        <f ca="1">IF($B2843="Missing Player",$B2843,"")</f>
        <v/>
      </c>
      <c r="C2851" s="267"/>
      <c r="D2851" s="267"/>
      <c r="E2851" s="267"/>
      <c r="F2851" s="267"/>
      <c r="G2851" s="268"/>
      <c r="H2851" s="234"/>
      <c r="I2851" s="234"/>
      <c r="J2851" s="235"/>
      <c r="K2851" s="235"/>
      <c r="L2851" s="235"/>
      <c r="M2851" s="250"/>
      <c r="N2851" s="251"/>
      <c r="O2851" s="251"/>
      <c r="P2851" s="252"/>
      <c r="Q2851" s="110" t="str">
        <f ca="1">IF($Q2850&lt;&gt;"",IF($B2849&lt;&gt;"Missing Player",IF($Q2850="W",IF(SUM(IF($H2850&gt;$H2848,1,0),IF($I2850&gt;$I2848,1,0),IF($J2850&gt;$J2848,1,0),IF($K2850&gt;$K2848,1,0),IF($L2850&gt;$L2848,1,0))&lt;&gt;3,"Error",""),""),""),"")</f>
        <v/>
      </c>
      <c r="R2851" t="str">
        <f>A2839</f>
        <v>4th Singles</v>
      </c>
      <c r="S2851"/>
      <c r="T2851"/>
      <c r="U2851"/>
      <c r="V2851"/>
      <c r="W2851"/>
      <c r="X2851"/>
      <c r="Y2851"/>
      <c r="Z2851"/>
      <c r="AA2851"/>
      <c r="AB2851"/>
      <c r="AC2851"/>
      <c r="AD2851"/>
      <c r="AE2851"/>
      <c r="AF2851"/>
    </row>
    <row r="2852" spans="1:32" ht="12.75" customHeight="1" x14ac:dyDescent="0.25">
      <c r="G2852" s="53">
        <f ca="1">COUNTIF($Q2820:$Q2820,"W")+COUNTIF($Q2827:$Q2827,"W")+COUNTIF($Q2834:$Q2834,"W")+COUNTIF($Q2841:$Q2841,"W")</f>
        <v>0</v>
      </c>
      <c r="J2852" s="53">
        <f ca="1">COUNTIF($Q2822:$Q2822,"W")+COUNTIF($Q2829:$Q2829,"W")+COUNTIF($Q2836:$Q2836,"W")+COUNTIF($Q2843:$Q2843,"W")</f>
        <v>0</v>
      </c>
      <c r="R2852" s="47" t="s">
        <v>160</v>
      </c>
      <c r="S2852" s="304" t="s">
        <v>58</v>
      </c>
      <c r="T2852" s="305"/>
      <c r="U2852" s="305"/>
      <c r="V2852" s="305"/>
      <c r="W2852" s="305"/>
      <c r="X2852" s="306"/>
      <c r="Y2852" s="47">
        <v>1</v>
      </c>
      <c r="Z2852" s="47">
        <v>2</v>
      </c>
      <c r="AA2852" s="47">
        <v>3</v>
      </c>
      <c r="AB2852" s="47">
        <v>4</v>
      </c>
      <c r="AC2852" s="47">
        <v>5</v>
      </c>
      <c r="AD2852" s="286"/>
      <c r="AE2852" s="287"/>
      <c r="AF2852" s="288"/>
    </row>
    <row r="2853" spans="1:32" ht="12.75" customHeight="1" thickBot="1" x14ac:dyDescent="0.3">
      <c r="F2853" s="212" t="s">
        <v>170</v>
      </c>
      <c r="G2853" s="212"/>
      <c r="H2853" s="212"/>
      <c r="I2853" s="212"/>
      <c r="J2853" s="212"/>
      <c r="K2853" s="212"/>
      <c r="R2853" s="259" t="str">
        <f>B2814</f>
        <v>B</v>
      </c>
      <c r="S2853" s="307" t="str">
        <f ca="1">IF($B2841&lt;&gt;"",$B2841,"")</f>
        <v/>
      </c>
      <c r="T2853" s="308"/>
      <c r="U2853" s="308"/>
      <c r="V2853" s="308"/>
      <c r="W2853" s="308"/>
      <c r="X2853" s="309"/>
      <c r="Y2853" s="284"/>
      <c r="Z2853" s="284"/>
      <c r="AA2853" s="297"/>
      <c r="AB2853" s="297"/>
      <c r="AC2853" s="297"/>
      <c r="AD2853" s="296"/>
      <c r="AE2853" s="298"/>
      <c r="AF2853" s="299"/>
    </row>
    <row r="2854" spans="1:32" ht="12.75" customHeight="1" x14ac:dyDescent="0.25">
      <c r="A2854" s="16"/>
      <c r="B2854" s="16"/>
      <c r="C2854" s="16"/>
      <c r="D2854" s="16"/>
      <c r="E2854" s="16"/>
      <c r="G2854" s="261" t="str">
        <f>B2814</f>
        <v>B</v>
      </c>
      <c r="H2854" s="262"/>
      <c r="I2854" s="263" t="str">
        <f>K2814</f>
        <v>D</v>
      </c>
      <c r="J2854" s="264"/>
      <c r="L2854" s="16"/>
      <c r="M2854" s="16"/>
      <c r="N2854" s="16"/>
      <c r="O2854" s="16"/>
      <c r="P2854" s="16"/>
      <c r="R2854" s="260"/>
      <c r="S2854" s="310"/>
      <c r="T2854" s="311"/>
      <c r="U2854" s="311"/>
      <c r="V2854" s="311"/>
      <c r="W2854" s="311"/>
      <c r="X2854" s="312"/>
      <c r="Y2854" s="285"/>
      <c r="Z2854" s="285"/>
      <c r="AA2854" s="303"/>
      <c r="AB2854" s="303"/>
      <c r="AC2854" s="303"/>
      <c r="AD2854" s="300"/>
      <c r="AE2854" s="301"/>
      <c r="AF2854" s="302"/>
    </row>
    <row r="2855" spans="1:32" ht="12.75" customHeight="1" thickBot="1" x14ac:dyDescent="0.3">
      <c r="A2855" s="2" t="s">
        <v>160</v>
      </c>
      <c r="B2855" s="40" t="str">
        <f>B2814</f>
        <v>B</v>
      </c>
      <c r="C2855" s="3" t="s">
        <v>158</v>
      </c>
      <c r="F2855" s="53" t="str">
        <f>CONCATENATE($B2814,"-",$K2814)</f>
        <v>B-D</v>
      </c>
      <c r="G2855" s="240" t="str">
        <f ca="1">IF(OR(Q2820&lt;&gt;"",Q2827&lt;&gt;"",Q2834&lt;&gt;"",Q2841&lt;&gt;"",Q2848&lt;&gt;""),COUNTIF(Q2820:Q2820,"W")+COUNTIF(Q2827:Q2827,"W")+COUNTIF(Q2834:Q2834,"W")+COUNTIF(Q2841:Q2841,"W")+COUNTIF(Q2848:Q2848,"W"),"")</f>
        <v/>
      </c>
      <c r="H2855" s="241"/>
      <c r="I2855" s="242" t="str">
        <f ca="1">IF(OR(Q2822&lt;&gt;"",Q2829&lt;&gt;"",Q2836&lt;&gt;"",Q2843&lt;&gt;"",Q2850&lt;&gt;""),COUNTIF(Q2822:Q2822,"W")+COUNTIF(Q2829:Q2829,"W")+COUNTIF(Q2836:Q2836,"W")+COUNTIF(Q2843:Q2843,"W")+COUNTIF(Q2850:Q2850,"W"),"")</f>
        <v/>
      </c>
      <c r="J2855" s="243"/>
      <c r="L2855" s="2" t="s">
        <v>160</v>
      </c>
      <c r="M2855" s="40" t="str">
        <f>K2814</f>
        <v>D</v>
      </c>
      <c r="N2855" s="3" t="s">
        <v>158</v>
      </c>
      <c r="R2855" s="259" t="str">
        <f>K2814</f>
        <v>D</v>
      </c>
      <c r="S2855" s="307" t="str">
        <f ca="1">IF($B2843&lt;&gt;"",$B2843,"")</f>
        <v/>
      </c>
      <c r="T2855" s="308"/>
      <c r="U2855" s="308"/>
      <c r="V2855" s="308"/>
      <c r="W2855" s="308"/>
      <c r="X2855" s="309"/>
      <c r="Y2855" s="284"/>
      <c r="Z2855" s="284"/>
      <c r="AA2855" s="297"/>
      <c r="AB2855" s="297"/>
      <c r="AC2855" s="297"/>
      <c r="AD2855" s="289" t="s">
        <v>169</v>
      </c>
      <c r="AE2855" s="290"/>
      <c r="AF2855" s="291"/>
    </row>
    <row r="2856" spans="1:32" ht="12.75" customHeight="1" x14ac:dyDescent="0.35">
      <c r="F2856" s="18" t="s">
        <v>403</v>
      </c>
      <c r="G2856" s="17"/>
      <c r="H2856" s="17"/>
      <c r="I2856" s="17"/>
      <c r="J2856" s="17"/>
      <c r="R2856" s="285"/>
      <c r="S2856" s="310"/>
      <c r="T2856" s="311"/>
      <c r="U2856" s="311"/>
      <c r="V2856" s="311"/>
      <c r="W2856" s="311"/>
      <c r="X2856" s="312"/>
      <c r="Y2856" s="285"/>
      <c r="Z2856" s="285"/>
      <c r="AA2856" s="285"/>
      <c r="AB2856" s="285"/>
      <c r="AC2856" s="285"/>
      <c r="AD2856" s="292"/>
      <c r="AE2856" s="293"/>
      <c r="AF2856" s="294"/>
    </row>
    <row r="2857" spans="1:32" ht="12.75" customHeight="1" x14ac:dyDescent="0.25">
      <c r="R2857" s="1"/>
      <c r="S2857" s="11"/>
      <c r="T2857" s="11"/>
      <c r="U2857" s="11"/>
      <c r="V2857" s="11"/>
      <c r="W2857" s="11"/>
    </row>
    <row r="2858" spans="1:32" ht="12.75" customHeight="1" x14ac:dyDescent="0.25">
      <c r="F2858" s="212"/>
      <c r="G2858" s="212"/>
      <c r="H2858" s="212"/>
      <c r="I2858" s="212"/>
      <c r="R2858" s="1"/>
      <c r="S2858" s="11"/>
      <c r="T2858" s="11"/>
      <c r="U2858" s="11"/>
      <c r="V2858" s="11"/>
      <c r="W2858" s="11"/>
    </row>
    <row r="2859" spans="1:32" ht="12.75" customHeight="1" x14ac:dyDescent="0.25">
      <c r="F2859" s="212"/>
      <c r="G2859" s="212"/>
      <c r="H2859" s="212"/>
      <c r="I2859" s="212"/>
      <c r="R2859" s="1"/>
      <c r="S2859" s="11"/>
      <c r="T2859" s="11"/>
      <c r="U2859" s="11"/>
      <c r="V2859" s="11"/>
      <c r="W2859" s="11"/>
    </row>
    <row r="2860" spans="1:32" ht="12.75" customHeight="1" x14ac:dyDescent="0.25">
      <c r="K2860" s="219" t="s">
        <v>176</v>
      </c>
      <c r="L2860" s="219"/>
      <c r="M2860" s="219"/>
      <c r="N2860" s="219"/>
      <c r="O2860" s="219"/>
      <c r="P2860" s="219"/>
      <c r="R2860" s="1"/>
      <c r="S2860" s="11"/>
      <c r="T2860" s="11"/>
      <c r="U2860" s="11"/>
      <c r="V2860" s="11"/>
      <c r="W2860" s="11"/>
    </row>
    <row r="2861" spans="1:32" ht="12.75" customHeight="1" x14ac:dyDescent="0.25">
      <c r="A2861" s="9" t="s">
        <v>161</v>
      </c>
      <c r="B2861"/>
      <c r="C2861"/>
      <c r="D2861" t="str">
        <f>Draw!$B$1</f>
        <v>Enter Division Name</v>
      </c>
      <c r="E2861"/>
      <c r="F2861" s="6"/>
      <c r="G2861" s="6"/>
      <c r="H2861" s="6"/>
      <c r="I2861"/>
      <c r="J2861"/>
      <c r="K2861"/>
      <c r="L2861"/>
      <c r="M2861" s="219"/>
      <c r="N2861" s="219"/>
      <c r="O2861" s="219"/>
      <c r="P2861" s="219"/>
      <c r="R2861" s="1"/>
      <c r="S2861" s="11"/>
      <c r="T2861" s="11"/>
      <c r="U2861" s="11"/>
      <c r="V2861" s="11"/>
      <c r="W2861" s="11"/>
    </row>
    <row r="2862" spans="1:32" ht="12.75" customHeight="1" x14ac:dyDescent="0.25">
      <c r="A2862" s="2" t="s">
        <v>162</v>
      </c>
      <c r="D2862" t="str">
        <f>Draw!$D$1</f>
        <v>Enter Hosting Location (City, ST)</v>
      </c>
      <c r="J2862" t="str">
        <f ca="1">$J$6</f>
        <v>[NCTTA Teams Template (v3.4).xlsx]</v>
      </c>
      <c r="R2862" s="1"/>
      <c r="S2862" s="11"/>
      <c r="T2862" s="11"/>
      <c r="U2862" s="11"/>
      <c r="V2862" s="11"/>
      <c r="W2862" s="11"/>
    </row>
    <row r="2863" spans="1:32" ht="12.75" customHeight="1" x14ac:dyDescent="0.25">
      <c r="A2863" s="2" t="s">
        <v>163</v>
      </c>
      <c r="D2863" s="275" t="str">
        <f>Draw!$P$1</f>
        <v>Enter Date</v>
      </c>
      <c r="E2863" s="275"/>
      <c r="F2863" s="275"/>
      <c r="G2863" s="275"/>
      <c r="J2863" s="244" t="str">
        <f>CHOOSE(Draw!$T$1,"Round 10, Match 3","","","","","","","","","","")</f>
        <v>Round 10, Match 3</v>
      </c>
      <c r="K2863" s="244"/>
      <c r="L2863" s="244"/>
      <c r="M2863" s="277" t="str">
        <f>IF(AND($J2863&lt;&gt;"",Draw!$AC$10&lt;&gt;"",Draw!$AC$13&lt;&gt;""),Draw!$AC$10+TIME(0,VALUE(MID($J2863,7,FIND(",",$J2863)-FIND(" ",$J2863)-1)-1)*Draw!$AC$13,0),"")</f>
        <v/>
      </c>
      <c r="N2863" s="277"/>
      <c r="O2863" s="125" t="str">
        <f>$F2906</f>
        <v>E-L</v>
      </c>
      <c r="R2863" s="1"/>
      <c r="S2863" s="11"/>
      <c r="T2863" s="11"/>
      <c r="U2863" s="11"/>
      <c r="V2863" s="11"/>
      <c r="W2863" s="11"/>
    </row>
    <row r="2864" spans="1:32" ht="12.75" customHeight="1" x14ac:dyDescent="0.25">
      <c r="A2864" s="6"/>
      <c r="B2864"/>
      <c r="C2864"/>
      <c r="D2864"/>
      <c r="E2864"/>
      <c r="F2864" s="6"/>
      <c r="G2864" s="6"/>
      <c r="H2864" s="11"/>
      <c r="I2864" s="6"/>
      <c r="J2864"/>
      <c r="K2864"/>
      <c r="L2864"/>
      <c r="M2864"/>
      <c r="N2864"/>
      <c r="O2864" s="269" t="str">
        <f>IF(OR(AND(VLOOKUP($B2865,$AM$1:$AX$12,12,FALSE)="C",VLOOKUP($K2865,$AM$1:$AX$12,12,FALSE)="C"),AND(VLOOKUP($B2865,$AM$1:$AX$12,12,FALSE)="W",VLOOKUP($K2865,$AM$1:$AX$12,12,FALSE)="W")),"Official",IF(AND($A2866="",$J2866=""),"","Scrimmage"))</f>
        <v/>
      </c>
      <c r="P2864" s="269"/>
      <c r="R2864" s="1"/>
      <c r="S2864" s="11"/>
      <c r="T2864" s="11"/>
      <c r="U2864" s="11"/>
      <c r="V2864" s="11"/>
      <c r="W2864" s="11"/>
    </row>
    <row r="2865" spans="1:32" ht="12.75" customHeight="1" x14ac:dyDescent="0.25">
      <c r="A2865" s="12" t="s">
        <v>160</v>
      </c>
      <c r="B2865" s="98" t="str">
        <f>CHOOSE(Draw!$T$1,"E","E","F","F","H","H","H","H","G","F","B")</f>
        <v>E</v>
      </c>
      <c r="C2865" s="109">
        <f>VLOOKUP($B2865,$AM$1:$AN$12,2)</f>
        <v>5</v>
      </c>
      <c r="D2865" s="10"/>
      <c r="E2865" s="10"/>
      <c r="F2865" s="8"/>
      <c r="H2865" s="1" t="s">
        <v>164</v>
      </c>
      <c r="J2865" s="12" t="s">
        <v>160</v>
      </c>
      <c r="K2865" s="98" t="str">
        <f>CHOOSE(Draw!$T$1,"L","I","K","L","I","I","I","I","L","L","L")</f>
        <v>L</v>
      </c>
      <c r="L2865" s="109">
        <f>VLOOKUP($K2865,$AM$1:$AN$12,2)</f>
        <v>12</v>
      </c>
      <c r="M2865" s="10"/>
      <c r="N2865" s="10"/>
      <c r="O2865" s="13"/>
      <c r="R2865" s="1"/>
      <c r="S2865" s="11"/>
      <c r="T2865" s="11"/>
      <c r="U2865" s="11"/>
      <c r="V2865" s="11"/>
      <c r="W2865" s="11"/>
    </row>
    <row r="2866" spans="1:32" ht="12.75" customHeight="1" x14ac:dyDescent="0.25">
      <c r="A2866" s="253" t="str">
        <f>IF(VLOOKUP($B2865,Draw!$A$4:$B$27,2)&lt;&gt;0,VLOOKUP($B2865,Draw!$A$4:$B$27,2),"")</f>
        <v/>
      </c>
      <c r="B2866" s="254"/>
      <c r="C2866" s="254"/>
      <c r="D2866" s="254"/>
      <c r="E2866" s="254"/>
      <c r="F2866" s="255"/>
      <c r="G2866" s="273" t="s">
        <v>460</v>
      </c>
      <c r="H2866" s="249"/>
      <c r="I2866" s="274"/>
      <c r="J2866" s="253" t="str">
        <f>IF(VLOOKUP($K2865,Draw!$A$4:$B$27,2)&lt;&gt;0,VLOOKUP($K2865,Draw!$A$4:$B$27,2),"")</f>
        <v/>
      </c>
      <c r="K2866" s="254"/>
      <c r="L2866" s="254"/>
      <c r="M2866" s="254"/>
      <c r="N2866" s="254"/>
      <c r="O2866" s="255"/>
      <c r="P2866"/>
      <c r="R2866" s="1"/>
      <c r="S2866" s="11"/>
      <c r="T2866" s="11"/>
      <c r="U2866" s="11"/>
      <c r="V2866" s="11"/>
      <c r="W2866" s="11"/>
    </row>
    <row r="2867" spans="1:32" ht="12.75" customHeight="1" x14ac:dyDescent="0.25">
      <c r="A2867" s="6"/>
      <c r="B2867"/>
      <c r="C2867"/>
      <c r="D2867"/>
      <c r="E2867"/>
      <c r="F2867" s="6"/>
      <c r="G2867" s="248" t="str">
        <f>"Page "&amp;VALUE(RIGHT($G2866,LEN($G2866)-SEARCH("-",$G2866)))/2</f>
        <v>Page 57</v>
      </c>
      <c r="H2867" s="249"/>
      <c r="I2867" s="249"/>
      <c r="J2867"/>
      <c r="K2867"/>
      <c r="L2867"/>
      <c r="M2867"/>
      <c r="N2867"/>
      <c r="O2867"/>
      <c r="P2867"/>
      <c r="R2867" s="1"/>
      <c r="S2867" s="11"/>
      <c r="T2867" s="11"/>
      <c r="U2867" s="11"/>
      <c r="V2867" s="11"/>
      <c r="W2867" s="11"/>
      <c r="AF2867"/>
    </row>
    <row r="2868" spans="1:32" ht="12.75" customHeight="1" x14ac:dyDescent="0.25">
      <c r="A2868" s="276" t="s">
        <v>177</v>
      </c>
      <c r="B2868" s="276"/>
      <c r="C2868" s="276"/>
      <c r="D2868" s="276"/>
      <c r="E2868" s="276"/>
      <c r="F2868" s="276"/>
      <c r="G2868" s="276"/>
      <c r="H2868" s="276"/>
      <c r="I2868" s="276"/>
      <c r="J2868" s="276"/>
      <c r="K2868" s="276"/>
      <c r="L2868" s="276"/>
      <c r="M2868" s="276"/>
      <c r="N2868" s="276"/>
      <c r="O2868" s="276"/>
      <c r="P2868" s="276"/>
      <c r="Q2868" s="6"/>
      <c r="R2868" s="1"/>
      <c r="S2868" s="11"/>
      <c r="T2868" s="11"/>
      <c r="U2868" s="11"/>
      <c r="V2868" s="11"/>
      <c r="W2868" s="11"/>
      <c r="AF2868" s="14"/>
    </row>
    <row r="2869" spans="1:32" ht="12.75" customHeight="1" x14ac:dyDescent="0.25">
      <c r="A2869" s="15" t="s">
        <v>165</v>
      </c>
      <c r="H2869" s="110" t="str">
        <f>IF($Q2871&lt;&gt;"",IF(AND(AND($H2871&gt;-1,$H2873&gt;-1),OR($H2871&gt;10,$H2873&gt;10),ABS($H2871-$H2873)&gt;1,IF(OR($H2871&gt;11,$H2873&gt;11),ABS($H2871-$H2873)=2,TRUE),$H2871=INT($H2871),$H2873=INT($H2873)),"","Error"),"")</f>
        <v/>
      </c>
      <c r="I2869" s="110" t="str">
        <f>IF($Q2871&lt;&gt;"",IF(AND(AND($I2871&gt;-1,$I2873&gt;-1),OR($I2871&gt;10,$I2873&gt;10),ABS($I2871-$I2873)&gt;1,IF(OR($I2871&gt;11,$I2873&gt;11),ABS($I2871-$I2873)=2,TRUE),$I2871=INT($I2871),$I2873=INT($I2873)),"","Error"),"")</f>
        <v/>
      </c>
      <c r="J2869" s="110" t="str">
        <f>IF($Q2871&lt;&gt;"",IF(AND(AND($J2871&gt;-1,$J2873&gt;-1),OR($J2871&gt;10,$J2873&gt;10),ABS($J2871-$J2873)&gt;1,IF(OR($J2871&gt;11,$J2873&gt;11),ABS($J2871-$J2873)=2,TRUE),$J2871=INT($J2871),$J2873=INT($J2873)),"","Error"),"")</f>
        <v/>
      </c>
      <c r="K2869" s="110" t="str">
        <f>IF($Q2871&lt;&gt;"",IF(AND($K2871&lt;&gt;"",$K2873&lt;&gt;""), IF(AND(AND($K2871&gt;-1,$K2873&gt;-1),OR($K2871&gt;10,$K2873&gt;10),ABS($K2871-$K2873)&gt;1,IF(OR($K2871&gt;11,$K2873&gt;11),ABS($K2871-$K2873)=2,TRUE),$K2871=INT($K2871),$K2873=INT($K2873)),"","Error"),""),"")</f>
        <v/>
      </c>
      <c r="L2869" s="110" t="str">
        <f>IF($Q2871&lt;&gt;"",IF(AND($L2871&lt;&gt;"",$L2873&lt;&gt;""), IF(AND(AND($L2871&gt;-1,$L2873&gt;-1),OR($L2871&gt;10,$L2873&gt;10),ABS($L2871-$L2873)&gt;1,IF(OR($L2871&gt;11,$L2873&gt;11),ABS($L2871-$L2873)=2,TRUE),$L2871=INT($L2871),$L2873=INT($L2873)),"","Error"),""),"")</f>
        <v/>
      </c>
      <c r="R2869" s="1"/>
      <c r="S2869" s="11"/>
      <c r="T2869" s="11"/>
      <c r="U2869" s="11"/>
      <c r="V2869" s="11"/>
      <c r="W2869" s="11"/>
    </row>
    <row r="2870" spans="1:32" ht="12.75" customHeight="1" x14ac:dyDescent="0.25">
      <c r="A2870" s="5" t="s">
        <v>160</v>
      </c>
      <c r="B2870" s="256" t="s">
        <v>58</v>
      </c>
      <c r="C2870" s="257"/>
      <c r="D2870" s="257"/>
      <c r="E2870" s="257"/>
      <c r="F2870" s="257"/>
      <c r="G2870" s="258"/>
      <c r="H2870" s="5">
        <v>1</v>
      </c>
      <c r="I2870" s="5">
        <v>2</v>
      </c>
      <c r="J2870" s="5">
        <v>3</v>
      </c>
      <c r="K2870" s="5">
        <v>4</v>
      </c>
      <c r="L2870" s="5">
        <v>5</v>
      </c>
      <c r="M2870" s="270"/>
      <c r="N2870" s="271"/>
      <c r="O2870" s="271"/>
      <c r="P2870" s="272"/>
      <c r="R2870" s="1"/>
      <c r="S2870" s="11"/>
      <c r="T2870" s="11"/>
      <c r="U2870" s="11"/>
      <c r="V2870" s="11"/>
      <c r="W2870" s="11"/>
    </row>
    <row r="2871" spans="1:32" ht="12.75" customHeight="1" x14ac:dyDescent="0.25">
      <c r="A2871" s="259" t="str">
        <f>B2865</f>
        <v>E</v>
      </c>
      <c r="B2871" s="236" t="str">
        <f ca="1">IF(AND(OFFSET($AO$1,$C2865-1,8,1,1),$A2866&lt;&gt;"",$J2866&lt;&gt;""),CHOOSE($C2865,$AO$1,$AO$2,$AO$3,$AO$4,$AO$5,$AO$6,$AO$7,$AO$8,$AO$9,$AO$10,$AO$11,$AO$12),"")</f>
        <v/>
      </c>
      <c r="C2871" s="237"/>
      <c r="D2871" s="237"/>
      <c r="E2871" s="237"/>
      <c r="F2871" s="237"/>
      <c r="G2871" s="237"/>
      <c r="H2871" s="233"/>
      <c r="I2871" s="233"/>
      <c r="J2871" s="233"/>
      <c r="K2871" s="233"/>
      <c r="L2871" s="233"/>
      <c r="M2871" s="281"/>
      <c r="N2871" s="282"/>
      <c r="O2871" s="282"/>
      <c r="P2871" s="283"/>
      <c r="Q2871" s="40" t="str">
        <f>IF($L2871=$L2873,IF($K2871=$K2873,IF($J2871&lt;&gt;"",IF($J2871&gt;$J2873,"W","L"),""),IF($K2871&gt;$K2873,"W","L")),IF($L2871&gt;$L2873,"W","L"))</f>
        <v/>
      </c>
      <c r="R2871" s="1"/>
      <c r="S2871" s="11"/>
      <c r="T2871" s="11"/>
      <c r="U2871" s="11"/>
      <c r="V2871" s="11"/>
      <c r="W2871" s="11"/>
    </row>
    <row r="2872" spans="1:32" ht="12.75" customHeight="1" x14ac:dyDescent="0.25">
      <c r="A2872" s="260"/>
      <c r="B2872" s="238"/>
      <c r="C2872" s="239"/>
      <c r="D2872" s="239"/>
      <c r="E2872" s="239"/>
      <c r="F2872" s="239"/>
      <c r="G2872" s="239"/>
      <c r="H2872" s="234"/>
      <c r="I2872" s="234"/>
      <c r="J2872" s="234"/>
      <c r="K2872" s="234"/>
      <c r="L2872" s="234"/>
      <c r="M2872" s="281"/>
      <c r="N2872" s="282"/>
      <c r="O2872" s="282"/>
      <c r="P2872" s="283"/>
      <c r="Q2872" s="110" t="str">
        <f>IF($Q2871&lt;&gt;"",IF($Q2871="W",IF(SUM(IF($H2871&gt;$H2873,1,0),IF($I2871&gt;$I2873,1,0),IF($J2871&gt;$J2873,1,0),IF($K2871&gt;$K2873,1,0),IF($L2871&gt;$L2873,1,0))&lt;&gt;3,"Error",""),""),"")</f>
        <v/>
      </c>
      <c r="R2872" s="295" t="str">
        <f>$A2866</f>
        <v/>
      </c>
      <c r="S2872" s="295"/>
      <c r="T2872" s="295"/>
      <c r="U2872" s="295"/>
      <c r="V2872" s="295"/>
      <c r="W2872" s="295"/>
      <c r="X2872" s="219" t="str">
        <f>CONCATENATE("(",$B2865," vs ",$K2865,")")</f>
        <v>(E vs L)</v>
      </c>
      <c r="Y2872" s="219"/>
      <c r="Z2872" s="295" t="str">
        <f>$J2866</f>
        <v/>
      </c>
      <c r="AA2872" s="295"/>
      <c r="AB2872" s="295"/>
      <c r="AC2872" s="295"/>
      <c r="AD2872" s="295"/>
      <c r="AE2872" s="295"/>
      <c r="AF2872"/>
    </row>
    <row r="2873" spans="1:32" ht="12.75" customHeight="1" x14ac:dyDescent="0.25">
      <c r="A2873" s="259" t="str">
        <f>K2865</f>
        <v>L</v>
      </c>
      <c r="B2873" s="236" t="str">
        <f ca="1">IF(AND(OFFSET($AO$1,$L2865-1,8,1,1),$A2866&lt;&gt;"",$J2866&lt;&gt;""),CHOOSE($L2865,$AO$1,$AO$2,$AO$3,$AO$4,$AO$5,$AO$6,$AO$7,$AO$8,$AO$9,$AO$10,$AO$11,$AO$12),"")</f>
        <v/>
      </c>
      <c r="C2873" s="237"/>
      <c r="D2873" s="237"/>
      <c r="E2873" s="237"/>
      <c r="F2873" s="237"/>
      <c r="G2873" s="237"/>
      <c r="H2873" s="233"/>
      <c r="I2873" s="233"/>
      <c r="J2873" s="233"/>
      <c r="K2873" s="233"/>
      <c r="L2873" s="233"/>
      <c r="M2873" s="250" t="s">
        <v>169</v>
      </c>
      <c r="N2873" s="251"/>
      <c r="O2873" s="251"/>
      <c r="P2873" s="252"/>
      <c r="Q2873" s="40" t="str">
        <f>IF($Q2871&lt;&gt;"",IF($Q2871="W","L","W"),"")</f>
        <v/>
      </c>
      <c r="R2873"/>
      <c r="S2873"/>
      <c r="T2873"/>
      <c r="U2873"/>
      <c r="V2873"/>
      <c r="W2873"/>
      <c r="X2873"/>
      <c r="Y2873"/>
      <c r="Z2873"/>
      <c r="AA2873"/>
      <c r="AB2873"/>
      <c r="AC2873"/>
      <c r="AD2873"/>
      <c r="AE2873"/>
      <c r="AF2873"/>
    </row>
    <row r="2874" spans="1:32" ht="12.75" customHeight="1" x14ac:dyDescent="0.25">
      <c r="A2874" s="260"/>
      <c r="B2874" s="238"/>
      <c r="C2874" s="239"/>
      <c r="D2874" s="239"/>
      <c r="E2874" s="239"/>
      <c r="F2874" s="239"/>
      <c r="G2874" s="239"/>
      <c r="H2874" s="234"/>
      <c r="I2874" s="234"/>
      <c r="J2874" s="235"/>
      <c r="K2874" s="235"/>
      <c r="L2874" s="235"/>
      <c r="M2874" s="250"/>
      <c r="N2874" s="251"/>
      <c r="O2874" s="251"/>
      <c r="P2874" s="252"/>
      <c r="Q2874" s="110" t="str">
        <f>IF($Q2873&lt;&gt;"",IF($Q2873="W",IF(SUM(IF($H2873&gt;$H2871,1,0),IF($I2873&gt;$I2871,1,0),IF($J2873&gt;$J2871,1,0),IF($K2873&gt;$K2871,1,0),IF($L2873&gt;$L2871,1,0))&lt;&gt;3,"Error",""),""),"")</f>
        <v/>
      </c>
      <c r="R2874" t="str">
        <f>$A2876</f>
        <v>2nd Singles</v>
      </c>
      <c r="S2874"/>
      <c r="T2874"/>
      <c r="U2874"/>
      <c r="V2874"/>
      <c r="W2874"/>
      <c r="X2874"/>
      <c r="Y2874"/>
      <c r="Z2874"/>
      <c r="AA2874"/>
      <c r="AB2874"/>
      <c r="AC2874"/>
      <c r="AD2874"/>
      <c r="AE2874"/>
      <c r="AF2874"/>
    </row>
    <row r="2875" spans="1:32" ht="12.75" customHeight="1" x14ac:dyDescent="0.25">
      <c r="Q2875" s="6"/>
      <c r="R2875" s="47" t="s">
        <v>160</v>
      </c>
      <c r="S2875" s="304" t="s">
        <v>58</v>
      </c>
      <c r="T2875" s="305"/>
      <c r="U2875" s="305"/>
      <c r="V2875" s="305"/>
      <c r="W2875" s="305"/>
      <c r="X2875" s="306"/>
      <c r="Y2875" s="47">
        <v>1</v>
      </c>
      <c r="Z2875" s="47">
        <v>2</v>
      </c>
      <c r="AA2875" s="47">
        <v>3</v>
      </c>
      <c r="AB2875" s="47">
        <v>4</v>
      </c>
      <c r="AC2875" s="47">
        <v>5</v>
      </c>
      <c r="AD2875" s="286"/>
      <c r="AE2875" s="287"/>
      <c r="AF2875" s="288"/>
    </row>
    <row r="2876" spans="1:32" ht="12.75" customHeight="1" x14ac:dyDescent="0.25">
      <c r="A2876" s="15" t="s">
        <v>166</v>
      </c>
      <c r="H2876" s="110" t="str">
        <f>IF($Q2878&lt;&gt;"",IF(AND(AND($H2878&gt;-1,$H2880&gt;-1),OR($H2878&gt;10,$H2880&gt;10),ABS($H2878-$H2880)&gt;1,IF(OR($H2878&gt;11,$H2880&gt;11),ABS($H2878-$H2880)=2,TRUE),$H2878=INT($H2878),$H2880=INT($H2880)),"","Error"),"")</f>
        <v/>
      </c>
      <c r="I2876" s="110" t="str">
        <f>IF($Q2878&lt;&gt;"",IF(AND(AND($I2878&gt;-1,$I2880&gt;-1),OR($I2878&gt;10,$I2880&gt;10),ABS($I2878-$I2880)&gt;1,IF(OR($I2878&gt;11,$I2880&gt;11),ABS($I2878-$I2880)=2,TRUE),$I2878=INT($I2878),$I2880=INT($I2880)),"","Error"),"")</f>
        <v/>
      </c>
      <c r="J2876" s="110" t="str">
        <f>IF($Q2878&lt;&gt;"",IF(AND(AND($J2878&gt;-1,$J2880&gt;-1),OR($J2878&gt;10,$J2880&gt;10),ABS($J2878-$J2880)&gt;1,IF(OR($J2878&gt;11,$J2880&gt;11),ABS($J2878-$J2880)=2,TRUE),$J2878=INT($J2878),$J2880=INT($J2880)),"","Error"),"")</f>
        <v/>
      </c>
      <c r="K2876" s="110" t="str">
        <f>IF($Q2878&lt;&gt;"",IF(AND($K2878&lt;&gt;"",$K2880&lt;&gt;""), IF(AND(AND($K2878&gt;-1,$K2880&gt;-1),OR($K2878&gt;10,$K2880&gt;10),ABS($K2878-$K2880)&gt;1,IF(OR($K2878&gt;11,$K2880&gt;11),ABS($K2878-$K2880)=2,TRUE),$K2878=INT($K2878),$K2880=INT($K2880)),"","Error"),""),"")</f>
        <v/>
      </c>
      <c r="L2876" s="110" t="str">
        <f>IF($Q2878&lt;&gt;"",IF(AND($L2878&lt;&gt;"",$L2880&lt;&gt;""), IF(AND(AND($L2878&gt;-1,$L2880&gt;-1),OR($L2878&gt;10,$L2880&gt;10),ABS($L2878-$L2880)&gt;1,IF(OR($L2878&gt;11,$L2880&gt;11),ABS($L2878-$L2880)=2,TRUE),$L2878=INT($L2878),$L2880=INT($L2880)),"","Error"),""),"")</f>
        <v/>
      </c>
      <c r="Q2876" s="6"/>
      <c r="R2876" s="259" t="str">
        <f>$B2865</f>
        <v>E</v>
      </c>
      <c r="S2876" s="307" t="str">
        <f ca="1">IF($B2878&lt;&gt;"",$B2878,"")</f>
        <v/>
      </c>
      <c r="T2876" s="308"/>
      <c r="U2876" s="308"/>
      <c r="V2876" s="308"/>
      <c r="W2876" s="308"/>
      <c r="X2876" s="309"/>
      <c r="Y2876" s="284"/>
      <c r="Z2876" s="284"/>
      <c r="AA2876" s="284"/>
      <c r="AB2876" s="284"/>
      <c r="AC2876" s="284"/>
      <c r="AD2876" s="296"/>
      <c r="AE2876" s="290"/>
      <c r="AF2876" s="291"/>
    </row>
    <row r="2877" spans="1:32" ht="12.75" customHeight="1" x14ac:dyDescent="0.25">
      <c r="A2877" s="5" t="s">
        <v>160</v>
      </c>
      <c r="B2877" s="256" t="s">
        <v>58</v>
      </c>
      <c r="C2877" s="257"/>
      <c r="D2877" s="257"/>
      <c r="E2877" s="257"/>
      <c r="F2877" s="257"/>
      <c r="G2877" s="258"/>
      <c r="H2877" s="5">
        <v>1</v>
      </c>
      <c r="I2877" s="5">
        <v>2</v>
      </c>
      <c r="J2877" s="5">
        <v>3</v>
      </c>
      <c r="K2877" s="5">
        <v>4</v>
      </c>
      <c r="L2877" s="5">
        <v>5</v>
      </c>
      <c r="M2877" s="270"/>
      <c r="N2877" s="271"/>
      <c r="O2877" s="271"/>
      <c r="P2877" s="272"/>
      <c r="Q2877" s="6"/>
      <c r="R2877" s="285"/>
      <c r="S2877" s="310"/>
      <c r="T2877" s="311"/>
      <c r="U2877" s="311"/>
      <c r="V2877" s="311"/>
      <c r="W2877" s="311"/>
      <c r="X2877" s="312"/>
      <c r="Y2877" s="285"/>
      <c r="Z2877" s="285"/>
      <c r="AA2877" s="285"/>
      <c r="AB2877" s="285"/>
      <c r="AC2877" s="285"/>
      <c r="AD2877" s="292"/>
      <c r="AE2877" s="293"/>
      <c r="AF2877" s="294"/>
    </row>
    <row r="2878" spans="1:32" ht="12.75" customHeight="1" x14ac:dyDescent="0.25">
      <c r="A2878" s="259" t="str">
        <f>B2865</f>
        <v>E</v>
      </c>
      <c r="B2878" s="236" t="str">
        <f ca="1">IF(AND(OFFSET($AO$1,$C2865-1,8,1,1),$A2866&lt;&gt;"",$J2866&lt;&gt;""),CHOOSE($C2865,$AP$1,$AP$2,$AP$3,$AP$4,$AP$5,$AP$6,$AP$7,$AP$8,$AP$9,$AP$10,$AP$11,$AP$12),"")</f>
        <v/>
      </c>
      <c r="C2878" s="237"/>
      <c r="D2878" s="237"/>
      <c r="E2878" s="237"/>
      <c r="F2878" s="237"/>
      <c r="G2878" s="237"/>
      <c r="H2878" s="233"/>
      <c r="I2878" s="233"/>
      <c r="J2878" s="233"/>
      <c r="K2878" s="233"/>
      <c r="L2878" s="233"/>
      <c r="M2878" s="245" t="str">
        <f ca="1">IF(OR(AND($B2871&lt;&gt;"",$B2878&lt;&gt;"",$C2896&lt;=$B2896),AND($B2873&lt;&gt;"",$B2880&lt;&gt;"",$G2896&lt;=$F2896)),"Invalid Lineup","")</f>
        <v/>
      </c>
      <c r="N2878" s="246"/>
      <c r="O2878" s="246"/>
      <c r="P2878" s="247"/>
      <c r="Q2878" s="40" t="str">
        <f>IF($L2878=$L2880,IF($K2878=$K2880,IF($J2878&lt;&gt;"",IF($J2878&gt;$J2880,"W","L"),""),IF($K2878&gt;$K2880,"W","L")),IF($L2878&gt;$L2880,"W","L"))</f>
        <v/>
      </c>
      <c r="R2878" s="259" t="str">
        <f>$K2865</f>
        <v>L</v>
      </c>
      <c r="S2878" s="307" t="str">
        <f ca="1">IF($B2880&lt;&gt;"",$B2880,"")</f>
        <v/>
      </c>
      <c r="T2878" s="308"/>
      <c r="U2878" s="308"/>
      <c r="V2878" s="308"/>
      <c r="W2878" s="308"/>
      <c r="X2878" s="309"/>
      <c r="Y2878" s="284"/>
      <c r="Z2878" s="284"/>
      <c r="AA2878" s="284"/>
      <c r="AB2878" s="284"/>
      <c r="AC2878" s="297"/>
      <c r="AD2878" s="289" t="s">
        <v>169</v>
      </c>
      <c r="AE2878" s="290"/>
      <c r="AF2878" s="291"/>
    </row>
    <row r="2879" spans="1:32" ht="12.75" customHeight="1" x14ac:dyDescent="0.25">
      <c r="A2879" s="260"/>
      <c r="B2879" s="238"/>
      <c r="C2879" s="239"/>
      <c r="D2879" s="239"/>
      <c r="E2879" s="239"/>
      <c r="F2879" s="239"/>
      <c r="G2879" s="239"/>
      <c r="H2879" s="234"/>
      <c r="I2879" s="234"/>
      <c r="J2879" s="234"/>
      <c r="K2879" s="234"/>
      <c r="L2879" s="234"/>
      <c r="M2879" s="245"/>
      <c r="N2879" s="246"/>
      <c r="O2879" s="246"/>
      <c r="P2879" s="247"/>
      <c r="Q2879" s="110" t="str">
        <f>IF($Q2878&lt;&gt;"",IF($Q2878="W",IF(SUM(IF($H2878&gt;$H2880,1,0),IF($I2878&gt;$I2880,1,0),IF($J2878&gt;$J2880,1,0),IF($K2878&gt;$K2880,1,0),IF($L2878&gt;$L2880,1,0))&lt;&gt;3,"Error",""),""),"")</f>
        <v/>
      </c>
      <c r="R2879" s="285"/>
      <c r="S2879" s="310"/>
      <c r="T2879" s="311"/>
      <c r="U2879" s="311"/>
      <c r="V2879" s="311"/>
      <c r="W2879" s="311"/>
      <c r="X2879" s="312"/>
      <c r="Y2879" s="285"/>
      <c r="Z2879" s="285"/>
      <c r="AA2879" s="285"/>
      <c r="AB2879" s="285"/>
      <c r="AC2879" s="285"/>
      <c r="AD2879" s="292"/>
      <c r="AE2879" s="293"/>
      <c r="AF2879" s="294"/>
    </row>
    <row r="2880" spans="1:32" ht="12.75" customHeight="1" x14ac:dyDescent="0.25">
      <c r="A2880" s="259" t="str">
        <f>K2865</f>
        <v>L</v>
      </c>
      <c r="B2880" s="236" t="str">
        <f ca="1">IF(AND(OFFSET($AO$1,$L2865-1,8,1,1),$A2866&lt;&gt;"",$J2866&lt;&gt;""),CHOOSE($L2865,$AP$1,$AP$2,$AP$3,$AP$4,$AP$5,$AP$6,$AP$7,$AP$8,$AP$9,$AP$10,$AP$11,$AP$12),"")</f>
        <v/>
      </c>
      <c r="C2880" s="237"/>
      <c r="D2880" s="237"/>
      <c r="E2880" s="237"/>
      <c r="F2880" s="237"/>
      <c r="G2880" s="237"/>
      <c r="H2880" s="233"/>
      <c r="I2880" s="233"/>
      <c r="J2880" s="233"/>
      <c r="K2880" s="233"/>
      <c r="L2880" s="233"/>
      <c r="M2880" s="250" t="s">
        <v>169</v>
      </c>
      <c r="N2880" s="251"/>
      <c r="O2880" s="251"/>
      <c r="P2880" s="252"/>
      <c r="Q2880" s="40" t="str">
        <f>IF($Q2878&lt;&gt;"",IF($Q2878="W","L","W"),"")</f>
        <v/>
      </c>
      <c r="R2880" s="14"/>
      <c r="S2880" s="14"/>
      <c r="T2880" s="14"/>
      <c r="U2880" s="14"/>
      <c r="V2880" s="14"/>
      <c r="W2880" s="14"/>
      <c r="X2880" s="7"/>
      <c r="Y2880" s="7"/>
      <c r="Z2880" s="14"/>
      <c r="AA2880" s="14"/>
      <c r="AB2880" s="14"/>
      <c r="AC2880" s="14"/>
      <c r="AD2880" s="14"/>
      <c r="AE2880" s="14"/>
      <c r="AF2880"/>
    </row>
    <row r="2881" spans="1:32" ht="12.75" customHeight="1" x14ac:dyDescent="0.25">
      <c r="A2881" s="260"/>
      <c r="B2881" s="238"/>
      <c r="C2881" s="239"/>
      <c r="D2881" s="239"/>
      <c r="E2881" s="239"/>
      <c r="F2881" s="239"/>
      <c r="G2881" s="239"/>
      <c r="H2881" s="234"/>
      <c r="I2881" s="234"/>
      <c r="J2881" s="235"/>
      <c r="K2881" s="235"/>
      <c r="L2881" s="235"/>
      <c r="M2881" s="250"/>
      <c r="N2881" s="251"/>
      <c r="O2881" s="251"/>
      <c r="P2881" s="252"/>
      <c r="Q2881" s="110" t="str">
        <f>IF($Q2880&lt;&gt;"",IF($Q2880="W",IF(SUM(IF($H2880&gt;$H2878,1,0),IF($I2880&gt;$I2878,1,0),IF($J2880&gt;$J2878,1,0),IF($K2880&gt;$K2878,1,0),IF($L2880&gt;$L2878,1,0))&lt;&gt;3,"Error",""),""),"")</f>
        <v/>
      </c>
      <c r="R2881" s="14"/>
      <c r="S2881" s="14"/>
      <c r="T2881" s="14"/>
      <c r="U2881" s="14"/>
      <c r="V2881" s="14"/>
      <c r="W2881" s="14"/>
      <c r="X2881" s="7"/>
      <c r="Y2881" s="7"/>
      <c r="Z2881" s="14"/>
      <c r="AA2881" s="14"/>
      <c r="AB2881" s="14"/>
      <c r="AC2881" s="14"/>
      <c r="AD2881" s="14"/>
      <c r="AE2881" s="14"/>
      <c r="AF2881"/>
    </row>
    <row r="2882" spans="1:32" ht="12.75" customHeight="1" x14ac:dyDescent="0.25">
      <c r="Q2882" s="6"/>
      <c r="R2882" s="14"/>
      <c r="S2882" s="14"/>
      <c r="T2882" s="14"/>
      <c r="U2882" s="14"/>
      <c r="V2882" s="14"/>
      <c r="W2882" s="14"/>
      <c r="X2882" s="7"/>
      <c r="Y2882" s="7"/>
      <c r="Z2882" s="14"/>
      <c r="AA2882" s="14"/>
      <c r="AB2882" s="14"/>
      <c r="AC2882" s="14"/>
      <c r="AD2882" s="14"/>
      <c r="AE2882" s="14"/>
      <c r="AF2882"/>
    </row>
    <row r="2883" spans="1:32" ht="12.75" customHeight="1" x14ac:dyDescent="0.25">
      <c r="A2883" s="15" t="s">
        <v>167</v>
      </c>
      <c r="H2883" s="110" t="str">
        <f>IF($Q2885&lt;&gt;"",IF(AND(AND($H2885&gt;-1,$H2887&gt;-1),OR($H2885&gt;10,$H2887&gt;10),ABS($H2885-$H2887)&gt;1,IF(OR($H2885&gt;11,$H2887&gt;11),ABS($H2885-$H2887)=2,TRUE),$H2885=INT($H2885),$H2887=INT($H2887)),"","Error"),"")</f>
        <v/>
      </c>
      <c r="I2883" s="110" t="str">
        <f>IF($Q2885&lt;&gt;"",IF(AND(AND($I2885&gt;-1,$I2887&gt;-1),OR($I2885&gt;10,$I2887&gt;10),ABS($I2885-$I2887)&gt;1,IF(OR($I2885&gt;11,$I2887&gt;11),ABS($I2885-$I2887)=2,TRUE),$I2885=INT($I2885),$I2887=INT($I2887)),"","Error"),"")</f>
        <v/>
      </c>
      <c r="J2883" s="110" t="str">
        <f>IF($Q2885&lt;&gt;"",IF(AND(AND($J2885&gt;-1,$J2887&gt;-1),OR($J2885&gt;10,$J2887&gt;10),ABS($J2885-$J2887)&gt;1,IF(OR($J2885&gt;11,$J2887&gt;11),ABS($J2885-$J2887)=2,TRUE),$J2885=INT($J2885),$J2887=INT($J2887)),"","Error"),"")</f>
        <v/>
      </c>
      <c r="K2883" s="110" t="str">
        <f>IF($Q2885&lt;&gt;"",IF(AND($K2885&lt;&gt;"",$K2887&lt;&gt;""), IF(AND(AND($K2885&gt;-1,$K2887&gt;-1),OR($K2885&gt;10,$K2887&gt;10),ABS($K2885-$K2887)&gt;1,IF(OR($K2885&gt;11,$K2887&gt;11),ABS($K2885-$K2887)=2,TRUE),$K2885=INT($K2885),$K2887=INT($K2887)),"","Error"),""),"")</f>
        <v/>
      </c>
      <c r="L2883" s="110" t="str">
        <f>IF($Q2885&lt;&gt;"",IF(AND($L2885&lt;&gt;"",$L2887&lt;&gt;""), IF(AND(AND($L2885&gt;-1,$L2887&gt;-1),OR($L2885&gt;10,$L2887&gt;10),ABS($L2885-$L2887)&gt;1,IF(OR($L2885&gt;11,$L2887&gt;11),ABS($L2885-$L2887)=2,TRUE),$L2885=INT($L2885),$L2887=INT($L2887)),"","Error"),""),"")</f>
        <v/>
      </c>
      <c r="Q2883" s="6"/>
      <c r="R2883" s="14"/>
      <c r="S2883" s="14"/>
      <c r="T2883" s="14"/>
      <c r="U2883" s="14"/>
      <c r="V2883" s="14"/>
      <c r="W2883" s="14"/>
      <c r="X2883" s="7"/>
      <c r="Y2883" s="7"/>
      <c r="Z2883" s="14"/>
      <c r="AA2883" s="14"/>
      <c r="AB2883" s="14"/>
      <c r="AC2883" s="14"/>
      <c r="AD2883" s="14"/>
      <c r="AE2883" s="14"/>
      <c r="AF2883"/>
    </row>
    <row r="2884" spans="1:32" ht="12.75" customHeight="1" x14ac:dyDescent="0.25">
      <c r="A2884" s="5" t="s">
        <v>160</v>
      </c>
      <c r="B2884" s="256" t="s">
        <v>58</v>
      </c>
      <c r="C2884" s="257"/>
      <c r="D2884" s="257"/>
      <c r="E2884" s="257"/>
      <c r="F2884" s="257"/>
      <c r="G2884" s="258"/>
      <c r="H2884" s="5">
        <v>1</v>
      </c>
      <c r="I2884" s="5">
        <v>2</v>
      </c>
      <c r="J2884" s="5">
        <v>3</v>
      </c>
      <c r="K2884" s="5">
        <v>4</v>
      </c>
      <c r="L2884" s="5">
        <v>5</v>
      </c>
      <c r="M2884" s="270"/>
      <c r="N2884" s="271"/>
      <c r="O2884" s="271"/>
      <c r="P2884" s="272"/>
      <c r="Q2884" s="6"/>
      <c r="R2884" s="14"/>
      <c r="S2884" s="14"/>
      <c r="T2884" s="14"/>
      <c r="U2884" s="14"/>
      <c r="V2884" s="14"/>
      <c r="W2884" s="14"/>
      <c r="X2884" s="7"/>
      <c r="Y2884" s="7"/>
      <c r="Z2884" s="14"/>
      <c r="AA2884" s="14"/>
      <c r="AB2884" s="14"/>
      <c r="AC2884" s="14"/>
      <c r="AD2884" s="14"/>
      <c r="AE2884" s="14"/>
      <c r="AF2884"/>
    </row>
    <row r="2885" spans="1:32" ht="12.75" customHeight="1" x14ac:dyDescent="0.25">
      <c r="A2885" s="259" t="str">
        <f>B2865</f>
        <v>E</v>
      </c>
      <c r="B2885" s="236" t="str">
        <f ca="1">IF(AND(OFFSET($AO$1,$C2865-1,8,1,1),$A2866&lt;&gt;"",$J2866&lt;&gt;""),CHOOSE($C2865,$AQ$1,$AQ$2,$AQ$3,$AQ$4,$AQ$5,$AQ$6,$AQ$7,$AQ$8,$AQ$9,$AQ$10,$AQ$11,$AQ$12),"")</f>
        <v/>
      </c>
      <c r="C2885" s="237"/>
      <c r="D2885" s="237"/>
      <c r="E2885" s="237"/>
      <c r="F2885" s="237"/>
      <c r="G2885" s="237"/>
      <c r="H2885" s="233"/>
      <c r="I2885" s="233"/>
      <c r="J2885" s="233"/>
      <c r="K2885" s="233"/>
      <c r="L2885" s="233"/>
      <c r="M2885" s="245" t="str">
        <f ca="1">IF(OR(AND($B2878&lt;&gt;"",$B2885&lt;&gt;"",$D2896&lt;=$C2896),AND($B2880&lt;&gt;"",$B2887&lt;&gt;"",$H2896&lt;=$G2896)),"Invalid Lineup","")</f>
        <v/>
      </c>
      <c r="N2885" s="246"/>
      <c r="O2885" s="246"/>
      <c r="P2885" s="247"/>
      <c r="Q2885" s="40" t="str">
        <f>IF($L2885=$L2887,IF($K2885=$K2887,IF($J2885&lt;&gt;"",IF($J2885&gt;$J2887,"W","L"),""),IF($K2885&gt;$K2887,"W","L")),IF($L2885&gt;$L2887,"W","L"))</f>
        <v/>
      </c>
      <c r="R2885" s="14"/>
      <c r="S2885" s="14"/>
      <c r="T2885" s="14"/>
      <c r="U2885" s="14"/>
      <c r="V2885" s="14"/>
      <c r="W2885" s="14"/>
      <c r="X2885" s="7"/>
      <c r="Y2885" s="7"/>
      <c r="Z2885" s="14"/>
      <c r="AA2885" s="14"/>
      <c r="AB2885" s="14"/>
      <c r="AC2885" s="14"/>
      <c r="AD2885" s="14"/>
      <c r="AE2885" s="14"/>
      <c r="AF2885"/>
    </row>
    <row r="2886" spans="1:32" ht="12.75" customHeight="1" x14ac:dyDescent="0.25">
      <c r="A2886" s="260"/>
      <c r="B2886" s="238"/>
      <c r="C2886" s="239"/>
      <c r="D2886" s="239"/>
      <c r="E2886" s="239"/>
      <c r="F2886" s="239"/>
      <c r="G2886" s="239"/>
      <c r="H2886" s="234"/>
      <c r="I2886" s="234"/>
      <c r="J2886" s="234"/>
      <c r="K2886" s="234"/>
      <c r="L2886" s="234"/>
      <c r="M2886" s="245"/>
      <c r="N2886" s="246"/>
      <c r="O2886" s="246"/>
      <c r="P2886" s="247"/>
      <c r="Q2886" s="110" t="str">
        <f>IF($Q2885&lt;&gt;"",IF($Q2885="W",IF(SUM(IF($H2885&gt;$H2887,1,0),IF($I2885&gt;$I2887,1,0),IF($J2885&gt;$J2887,1,0),IF($K2885&gt;$K2887,1,0),IF($L2885&gt;$L2887,1,0))&lt;&gt;3,"Error",""),""),"")</f>
        <v/>
      </c>
      <c r="R2886" s="295" t="str">
        <f>$A2866</f>
        <v/>
      </c>
      <c r="S2886" s="295"/>
      <c r="T2886" s="295"/>
      <c r="U2886" s="295"/>
      <c r="V2886" s="295"/>
      <c r="W2886" s="295"/>
      <c r="X2886" s="219" t="str">
        <f>CONCATENATE("(",$B2865," vs ",$K2865,")")</f>
        <v>(E vs L)</v>
      </c>
      <c r="Y2886" s="219"/>
      <c r="Z2886" s="295" t="str">
        <f>$J2866</f>
        <v/>
      </c>
      <c r="AA2886" s="295"/>
      <c r="AB2886" s="295"/>
      <c r="AC2886" s="295"/>
      <c r="AD2886" s="295"/>
      <c r="AE2886" s="295"/>
      <c r="AF2886"/>
    </row>
    <row r="2887" spans="1:32" ht="12.75" customHeight="1" x14ac:dyDescent="0.25">
      <c r="A2887" s="259" t="str">
        <f>K2865</f>
        <v>L</v>
      </c>
      <c r="B2887" s="236" t="str">
        <f ca="1">IF(AND(OFFSET($AO$1,$L2865-1,8,1,1),$A2866&lt;&gt;"",$J2866&lt;&gt;""),CHOOSE($L2865,$AQ$1,$AQ$2,$AQ$3,$AQ$4,$AQ$5,$AQ$6,$AQ$7,$AQ$8,$AQ$9,$AQ$10,$AQ$11,$AQ$12),"")</f>
        <v/>
      </c>
      <c r="C2887" s="237"/>
      <c r="D2887" s="237"/>
      <c r="E2887" s="237"/>
      <c r="F2887" s="237"/>
      <c r="G2887" s="237"/>
      <c r="H2887" s="233"/>
      <c r="I2887" s="233"/>
      <c r="J2887" s="233"/>
      <c r="K2887" s="233"/>
      <c r="L2887" s="233"/>
      <c r="M2887" s="250" t="s">
        <v>169</v>
      </c>
      <c r="N2887" s="251"/>
      <c r="O2887" s="251"/>
      <c r="P2887" s="252"/>
      <c r="Q2887" s="40" t="str">
        <f>IF($Q2885&lt;&gt;"",IF($Q2885="W","L","W"),"")</f>
        <v/>
      </c>
      <c r="R2887"/>
      <c r="S2887"/>
      <c r="T2887"/>
      <c r="U2887"/>
      <c r="V2887"/>
      <c r="W2887"/>
      <c r="X2887"/>
      <c r="Y2887"/>
      <c r="Z2887"/>
      <c r="AA2887"/>
      <c r="AB2887"/>
      <c r="AC2887"/>
      <c r="AD2887"/>
      <c r="AE2887"/>
      <c r="AF2887"/>
    </row>
    <row r="2888" spans="1:32" ht="12.75" customHeight="1" x14ac:dyDescent="0.25">
      <c r="A2888" s="260"/>
      <c r="B2888" s="238"/>
      <c r="C2888" s="239"/>
      <c r="D2888" s="239"/>
      <c r="E2888" s="239"/>
      <c r="F2888" s="239"/>
      <c r="G2888" s="239"/>
      <c r="H2888" s="234"/>
      <c r="I2888" s="234"/>
      <c r="J2888" s="235"/>
      <c r="K2888" s="235"/>
      <c r="L2888" s="235"/>
      <c r="M2888" s="250"/>
      <c r="N2888" s="251"/>
      <c r="O2888" s="251"/>
      <c r="P2888" s="252"/>
      <c r="Q2888" s="110" t="str">
        <f>IF($Q2887&lt;&gt;"",IF($Q2887="W",IF(SUM(IF($H2887&gt;$H2885,1,0),IF($I2887&gt;$I2885,1,0),IF($J2887&gt;$J2885,1,0),IF($K2887&gt;$K2885,1,0),IF($L2887&gt;$L2885,1,0))&lt;&gt;3,"Error",""),""),"")</f>
        <v/>
      </c>
      <c r="R2888" t="str">
        <f>$A2883</f>
        <v>3rd Singles</v>
      </c>
      <c r="S2888"/>
      <c r="T2888"/>
      <c r="U2888"/>
      <c r="V2888"/>
      <c r="W2888"/>
      <c r="X2888"/>
      <c r="Y2888"/>
      <c r="Z2888"/>
      <c r="AA2888"/>
      <c r="AB2888"/>
      <c r="AC2888"/>
      <c r="AD2888"/>
      <c r="AE2888"/>
      <c r="AF2888"/>
    </row>
    <row r="2889" spans="1:32" ht="12.75" customHeight="1" x14ac:dyDescent="0.25">
      <c r="Q2889" s="6"/>
      <c r="R2889" s="47" t="s">
        <v>160</v>
      </c>
      <c r="S2889" s="86" t="s">
        <v>58</v>
      </c>
      <c r="T2889" s="87"/>
      <c r="U2889" s="87"/>
      <c r="V2889" s="87"/>
      <c r="W2889" s="87"/>
      <c r="X2889" s="88"/>
      <c r="Y2889" s="47">
        <v>1</v>
      </c>
      <c r="Z2889" s="47">
        <v>2</v>
      </c>
      <c r="AA2889" s="47">
        <v>3</v>
      </c>
      <c r="AB2889" s="47">
        <v>4</v>
      </c>
      <c r="AC2889" s="47">
        <v>5</v>
      </c>
      <c r="AD2889" s="89"/>
      <c r="AE2889" s="90"/>
      <c r="AF2889" s="91"/>
    </row>
    <row r="2890" spans="1:32" ht="12.75" customHeight="1" x14ac:dyDescent="0.25">
      <c r="A2890" s="15" t="s">
        <v>168</v>
      </c>
      <c r="H2890" s="110" t="str">
        <f ca="1">IF($Q2892&lt;&gt;"",IF(AND($B2892&lt;&gt;"Missing Player",$B2894&lt;&gt;"Missing Player"),IF(AND(AND($H2892&gt;-1,$H2894&gt;-1),OR($H2892&gt;10,$H2894&gt;10),ABS($H2892-$H2894)&gt;1,IF(OR($H2892&gt;11,$H2894&gt;11),ABS($H2892-$H2894)=2,TRUE),$H2892=INT($H2892),$H2894=INT($H2894)),"","Error"),""),"")</f>
        <v/>
      </c>
      <c r="I2890" s="110" t="str">
        <f ca="1">IF($Q2892&lt;&gt;"",IF(AND($B2892&lt;&gt;"Missing Player",$B2894&lt;&gt;"Missing Player"),IF(AND(AND($I2892&gt;-1,$I2894&gt;-1),OR($I2892&gt;10,$I2894&gt;10),ABS($I2892-$I2894)&gt;1,IF(OR($I2892&gt;11,$I2894&gt;11),ABS($I2892-$I2894)=2,TRUE),$I2892=INT($I2892),$I2894=INT($I2894)),"","Error"),""),"")</f>
        <v/>
      </c>
      <c r="J2890" s="110" t="str">
        <f ca="1">IF($Q2892&lt;&gt;"",IF(AND($B2892&lt;&gt;"Missing Player",$B2894&lt;&gt;"Missing Player"),IF(AND(AND($J2892&gt;-1,$J2894&gt;-1),OR($J2892&gt;10,$J2894&gt;10),ABS($J2892-$J2894)&gt;1,IF(OR($J2892&gt;11,$J2894&gt;11),ABS($J2892-$J2894)=2,TRUE),$J2892=INT($J2892),$J2894=INT($J2894)),"","Error"),""),"")</f>
        <v/>
      </c>
      <c r="K2890" s="110" t="str">
        <f ca="1">IF($Q2892&lt;&gt;"",IF(AND($K2892&lt;&gt;"",$K2894&lt;&gt;""), IF(AND(AND($K2892&gt;-1,$K2894&gt;-1),OR($K2892&gt;10,$K2894&gt;10),ABS($K2892-$K2894)&gt;1,IF(OR($K2892&gt;11,$K2894&gt;11),ABS($K2892-$K2894)=2,TRUE),$K2892=INT($K2892),$K2894=INT($K2894)),"","Error"),""),"")</f>
        <v/>
      </c>
      <c r="L2890" s="110" t="str">
        <f ca="1">IF($Q2892&lt;&gt;"",IF(AND($L2892&lt;&gt;"",$L2894&lt;&gt;""), IF(AND(AND($L2892&gt;-1,$L2894&gt;-1),OR($L2892&gt;10,$L2894&gt;10),ABS($L2892-$L2894)&gt;1,IF(OR($L2892&gt;11,$L2894&gt;11),ABS($L2892-$L2894)=2,TRUE),$L2892=INT($L2892),$L2894=INT($L2894)),"","Error"),""),"")</f>
        <v/>
      </c>
      <c r="Q2890" s="6"/>
      <c r="R2890" s="259" t="str">
        <f>$B2865</f>
        <v>E</v>
      </c>
      <c r="S2890" s="307" t="str">
        <f ca="1">IF($B2885&lt;&gt;"",$B2885,"")</f>
        <v/>
      </c>
      <c r="T2890" s="308"/>
      <c r="U2890" s="308"/>
      <c r="V2890" s="308"/>
      <c r="W2890" s="308"/>
      <c r="X2890" s="309"/>
      <c r="Y2890" s="284"/>
      <c r="Z2890" s="284"/>
      <c r="AA2890" s="284"/>
      <c r="AB2890" s="284"/>
      <c r="AC2890" s="284"/>
      <c r="AD2890" s="296"/>
      <c r="AE2890" s="290"/>
      <c r="AF2890" s="291"/>
    </row>
    <row r="2891" spans="1:32" ht="12.75" customHeight="1" x14ac:dyDescent="0.25">
      <c r="A2891" s="5" t="s">
        <v>160</v>
      </c>
      <c r="B2891" s="256" t="s">
        <v>58</v>
      </c>
      <c r="C2891" s="257"/>
      <c r="D2891" s="257"/>
      <c r="E2891" s="257"/>
      <c r="F2891" s="257"/>
      <c r="G2891" s="258"/>
      <c r="H2891" s="5">
        <v>1</v>
      </c>
      <c r="I2891" s="5">
        <v>2</v>
      </c>
      <c r="J2891" s="5">
        <v>3</v>
      </c>
      <c r="K2891" s="5">
        <v>4</v>
      </c>
      <c r="L2891" s="5">
        <v>5</v>
      </c>
      <c r="M2891" s="270"/>
      <c r="N2891" s="271"/>
      <c r="O2891" s="271"/>
      <c r="P2891" s="272"/>
      <c r="Q2891" s="6"/>
      <c r="R2891" s="285"/>
      <c r="S2891" s="310"/>
      <c r="T2891" s="311"/>
      <c r="U2891" s="311"/>
      <c r="V2891" s="311"/>
      <c r="W2891" s="311"/>
      <c r="X2891" s="312"/>
      <c r="Y2891" s="285"/>
      <c r="Z2891" s="285"/>
      <c r="AA2891" s="285"/>
      <c r="AB2891" s="285"/>
      <c r="AC2891" s="285"/>
      <c r="AD2891" s="292"/>
      <c r="AE2891" s="293"/>
      <c r="AF2891" s="294"/>
    </row>
    <row r="2892" spans="1:32" ht="12.75" customHeight="1" x14ac:dyDescent="0.25">
      <c r="A2892" s="259" t="str">
        <f>B2865</f>
        <v>E</v>
      </c>
      <c r="B2892" s="236" t="str">
        <f ca="1">IF(AND(OFFSET($AO$1,$C2865-1,8,1,1),$A2866&lt;&gt;"",$J2866&lt;&gt;""),CHOOSE($C2865,$AR$1,$AR$2,$AR$3,$AR$4,$AR$5,$AR$6,$AR$7,$AR$8,$AR$9,$AR$10,$AR$11,$AR$12),"")</f>
        <v/>
      </c>
      <c r="C2892" s="237"/>
      <c r="D2892" s="237"/>
      <c r="E2892" s="237"/>
      <c r="F2892" s="237"/>
      <c r="G2892" s="237"/>
      <c r="H2892" s="233"/>
      <c r="I2892" s="233"/>
      <c r="J2892" s="233"/>
      <c r="K2892" s="233"/>
      <c r="L2892" s="233" t="str">
        <f ca="1">IF(AND($B2892&lt;&gt;"",$Q2871&lt;&gt;""),IF($B2892="Missing Player",0,IF($B2894="Missing Player",11,"")),"")</f>
        <v/>
      </c>
      <c r="M2892" s="245" t="str">
        <f ca="1">IF(OR(AND($B2885&lt;&gt;"",$B2892&lt;&gt;"",$E2896&lt;=$D2896),AND($B2887&lt;&gt;"",$B2894&lt;&gt;"",$I2896&lt;=$H2896)),"Invalid Lineup","")</f>
        <v/>
      </c>
      <c r="N2892" s="246"/>
      <c r="O2892" s="246"/>
      <c r="P2892" s="247"/>
      <c r="Q2892" s="40" t="str">
        <f ca="1">IF($L2892=$L2894,IF($K2892=$K2894,IF($J2892&lt;&gt;"",IF($J2892&gt;$J2894,"W","L"),""),IF($K2892&gt;$K2894,"W","L")),IF($L2892&gt;$L2894,"W","L"))</f>
        <v/>
      </c>
      <c r="R2892" s="259" t="str">
        <f>$K2865</f>
        <v>L</v>
      </c>
      <c r="S2892" s="307" t="str">
        <f ca="1">IF($B2887&lt;&gt;"",$B2887,"")</f>
        <v/>
      </c>
      <c r="T2892" s="308"/>
      <c r="U2892" s="308"/>
      <c r="V2892" s="308"/>
      <c r="W2892" s="308"/>
      <c r="X2892" s="309"/>
      <c r="Y2892" s="284"/>
      <c r="Z2892" s="284"/>
      <c r="AA2892" s="284"/>
      <c r="AB2892" s="284"/>
      <c r="AC2892" s="297"/>
      <c r="AD2892" s="289" t="s">
        <v>169</v>
      </c>
      <c r="AE2892" s="290"/>
      <c r="AF2892" s="291"/>
    </row>
    <row r="2893" spans="1:32" ht="12.75" customHeight="1" x14ac:dyDescent="0.25">
      <c r="A2893" s="260"/>
      <c r="B2893" s="238"/>
      <c r="C2893" s="239"/>
      <c r="D2893" s="239"/>
      <c r="E2893" s="239"/>
      <c r="F2893" s="239"/>
      <c r="G2893" s="239"/>
      <c r="H2893" s="234"/>
      <c r="I2893" s="234"/>
      <c r="J2893" s="234"/>
      <c r="K2893" s="234"/>
      <c r="L2893" s="234"/>
      <c r="M2893" s="245"/>
      <c r="N2893" s="246"/>
      <c r="O2893" s="246"/>
      <c r="P2893" s="247"/>
      <c r="Q2893" s="110" t="str">
        <f ca="1">IF($Q2892&lt;&gt;"",IF($B2894&lt;&gt;"Missing Player",IF($Q2892="W",IF(SUM(IF($H2892&gt;$H2894,1,0),IF($I2892&gt;$I2894,1,0),IF($J2892&gt;$J2894,1,0),IF($K2892&gt;$K2894,1,0),IF($L2892&gt;$L2894,1,0))&lt;&gt;3,"Error",""),""),""),"")</f>
        <v/>
      </c>
      <c r="R2893" s="285"/>
      <c r="S2893" s="310"/>
      <c r="T2893" s="311"/>
      <c r="U2893" s="311"/>
      <c r="V2893" s="311"/>
      <c r="W2893" s="311"/>
      <c r="X2893" s="312"/>
      <c r="Y2893" s="285"/>
      <c r="Z2893" s="285"/>
      <c r="AA2893" s="285"/>
      <c r="AB2893" s="285"/>
      <c r="AC2893" s="285"/>
      <c r="AD2893" s="292"/>
      <c r="AE2893" s="293"/>
      <c r="AF2893" s="294"/>
    </row>
    <row r="2894" spans="1:32" ht="12.75" customHeight="1" x14ac:dyDescent="0.25">
      <c r="A2894" s="259" t="str">
        <f>K2865</f>
        <v>L</v>
      </c>
      <c r="B2894" s="236" t="str">
        <f ca="1">IF(AND(OFFSET($AO$1,$L2865-1,8,1,1),$A2866&lt;&gt;"",$J2866&lt;&gt;""),CHOOSE($L2865,$AR$1,$AR$2,$AR$3,$AR$4,$AR$5,$AR$6,$AR$7,$AR$8,$AR$9,$AR$10,$AR$11,$AR$12),"")</f>
        <v/>
      </c>
      <c r="C2894" s="237"/>
      <c r="D2894" s="237"/>
      <c r="E2894" s="237"/>
      <c r="F2894" s="237"/>
      <c r="G2894" s="237"/>
      <c r="H2894" s="233"/>
      <c r="I2894" s="233"/>
      <c r="J2894" s="233"/>
      <c r="K2894" s="233"/>
      <c r="L2894" s="233" t="str">
        <f ca="1">IF(AND($B2894&lt;&gt;"",$Q2871&lt;&gt;""),IF($B2894="Missing Player",0,IF($B2892="Missing Player",11,"")),"")</f>
        <v/>
      </c>
      <c r="M2894" s="250" t="s">
        <v>169</v>
      </c>
      <c r="N2894" s="251"/>
      <c r="O2894" s="251"/>
      <c r="P2894" s="252"/>
      <c r="Q2894" s="40" t="str">
        <f ca="1">IF($Q2892&lt;&gt;"",IF($Q2892="W","L","W"),"")</f>
        <v/>
      </c>
      <c r="R2894" s="94"/>
      <c r="S2894" s="84"/>
      <c r="T2894" s="84"/>
      <c r="U2894" s="84"/>
      <c r="V2894" s="84"/>
      <c r="W2894" s="84"/>
      <c r="X2894" s="84"/>
      <c r="Y2894" s="93"/>
      <c r="Z2894" s="93"/>
      <c r="AA2894" s="93"/>
      <c r="AB2894" s="93"/>
      <c r="AC2894" s="93"/>
      <c r="AD2894" s="92"/>
      <c r="AE2894" s="93"/>
      <c r="AF2894" s="93"/>
    </row>
    <row r="2895" spans="1:32" ht="12.75" customHeight="1" x14ac:dyDescent="0.25">
      <c r="A2895" s="260"/>
      <c r="B2895" s="238"/>
      <c r="C2895" s="239"/>
      <c r="D2895" s="239"/>
      <c r="E2895" s="239"/>
      <c r="F2895" s="239"/>
      <c r="G2895" s="239"/>
      <c r="H2895" s="234"/>
      <c r="I2895" s="234"/>
      <c r="J2895" s="235"/>
      <c r="K2895" s="235"/>
      <c r="L2895" s="235"/>
      <c r="M2895" s="250"/>
      <c r="N2895" s="251"/>
      <c r="O2895" s="251"/>
      <c r="P2895" s="252"/>
      <c r="Q2895" s="110" t="str">
        <f ca="1">IF($Q2894&lt;&gt;"",IF($B2892&lt;&gt;"Missing Player",IF($Q2894="W",IF(SUM(IF($H2894&gt;$H2892,1,0),IF($I2894&gt;$I2892,1,0),IF($J2894&gt;$J2892,1,0),IF($K2894&gt;$K2892,1,0),IF($L2894&gt;$L2892,1,0))&lt;&gt;3,"Error",""),""),""),"")</f>
        <v/>
      </c>
      <c r="R2895" s="85"/>
      <c r="S2895" s="95"/>
      <c r="T2895" s="95"/>
      <c r="U2895" s="95"/>
      <c r="V2895" s="95"/>
      <c r="W2895" s="95"/>
      <c r="X2895" s="95"/>
      <c r="Y2895" s="85"/>
      <c r="Z2895" s="85"/>
      <c r="AA2895" s="85"/>
      <c r="AB2895" s="85"/>
      <c r="AC2895" s="85"/>
      <c r="AD2895" s="85"/>
      <c r="AE2895" s="85"/>
      <c r="AF2895" s="85"/>
    </row>
    <row r="2896" spans="1:32" ht="12.75" customHeight="1" x14ac:dyDescent="0.25">
      <c r="B2896" s="111" t="str">
        <f ca="1">IF(ISERROR(VLOOKUP($B2871&amp;"("&amp;$B2865&amp;")",Players!$S$4:$T$132,2,FALSE)),"",VLOOKUP($B2871&amp;"("&amp;$B2865&amp;")",Players!$S$4:$T$132,2,FALSE))</f>
        <v>E1</v>
      </c>
      <c r="C2896" s="111" t="str">
        <f ca="1">IF(ISERROR(VLOOKUP($B2878&amp;"("&amp;$B2865&amp;")",Players!$S$4:$T$132,2,FALSE)),"",VLOOKUP($B2878&amp;"("&amp;$B2865&amp;")",Players!$S$4:$T$132,2,FALSE))</f>
        <v>E1</v>
      </c>
      <c r="D2896" s="111" t="str">
        <f ca="1">IF(ISERROR(VLOOKUP($B2885&amp;"("&amp;$B2865&amp;")",Players!$S$4:$T$132,2,FALSE)),"",VLOOKUP($B2885&amp;"("&amp;$B2865&amp;")",Players!$S$4:$T$132,2,FALSE))</f>
        <v>E1</v>
      </c>
      <c r="E2896" s="111" t="str">
        <f ca="1">IF(ISERROR(VLOOKUP($B2892&amp;"("&amp;$B2865&amp;")",Players!$S$4:$T$132,2,FALSE)),"",VLOOKUP($B2892&amp;"("&amp;$B2865&amp;")",Players!$S$4:$T$132,2,FALSE))</f>
        <v>E1</v>
      </c>
      <c r="F2896" s="111" t="str">
        <f ca="1">IF(ISERROR(VLOOKUP($B2873&amp;"("&amp;$K2865&amp;")",Players!$S$4:$T$132,2,FALSE)),"",VLOOKUP($B2873&amp;"("&amp;$K2865&amp;")",Players!$S$4:$T$132,2,FALSE))</f>
        <v>L1</v>
      </c>
      <c r="G2896" s="111" t="str">
        <f ca="1">IF(ISERROR(VLOOKUP($B2880&amp;"("&amp;$K2865&amp;")",Players!$S$4:$T$132,2,FALSE)),"",VLOOKUP($B2880&amp;"("&amp;$K2865&amp;")",Players!$S$4:$T$132,2,FALSE))</f>
        <v>L1</v>
      </c>
      <c r="H2896" s="111" t="str">
        <f ca="1">IF(ISERROR(VLOOKUP($B2887&amp;"("&amp;$K2865&amp;")",Players!$S$4:$T$132,2,FALSE)),"",VLOOKUP($B2887&amp;"("&amp;$K2865&amp;")",Players!$S$4:$T$132,2,FALSE))</f>
        <v>L1</v>
      </c>
      <c r="I2896" s="111" t="str">
        <f ca="1">IF(ISERROR(VLOOKUP($B2894&amp;"("&amp;$K2865&amp;")",Players!$S$4:$T$132,2,FALSE)),"",VLOOKUP($B2894&amp;"("&amp;$K2865&amp;")",Players!$S$4:$T$132,2,FALSE))</f>
        <v>L1</v>
      </c>
      <c r="Q2896" s="6"/>
      <c r="R2896" s="37"/>
      <c r="S2896" s="95"/>
      <c r="T2896" s="95"/>
      <c r="U2896" s="95"/>
      <c r="V2896" s="95"/>
      <c r="W2896" s="95"/>
      <c r="X2896" s="95"/>
      <c r="Y2896" s="85"/>
      <c r="Z2896" s="85"/>
      <c r="AA2896" s="85"/>
      <c r="AB2896" s="85"/>
      <c r="AC2896" s="96"/>
      <c r="AD2896" s="97"/>
      <c r="AE2896" s="85"/>
      <c r="AF2896" s="85"/>
    </row>
    <row r="2897" spans="1:32" ht="12.75" customHeight="1" x14ac:dyDescent="0.25">
      <c r="A2897" s="15" t="s">
        <v>157</v>
      </c>
      <c r="H2897" s="110" t="str">
        <f ca="1">IF($Q2899&lt;&gt;"",IF(AND($B2900&lt;&gt;"Missing Player",$B2902&lt;&gt;"Missing Player"),IF(AND(AND($H2899&gt;-1,$H2901&gt;-1),OR($H2899&gt;10,$H2901&gt;10),ABS($H2899-$H2901)&gt;1,IF(OR($H2899&gt;11,$H2901&gt;11),ABS($H2899-$H2901)=2,TRUE),$H2899=INT($H2899),$H2901=INT($H2901)),"","Error"),""),"")</f>
        <v/>
      </c>
      <c r="I2897" s="110" t="str">
        <f ca="1">IF($Q2899&lt;&gt;"",IF(AND($B2900&lt;&gt;"Missing Player",$B2902&lt;&gt;"Missing Player"),IF(AND(AND($I2899&gt;-1,$I2901&gt;-1),OR($I2899&gt;10,$I2901&gt;10),ABS($I2899-$I2901)&gt;1,IF(OR($I2899&gt;11,$I2901&gt;11),ABS($I2899-$I2901)=2,TRUE),$I2899=INT($I2899),$I2901=INT($I2901)),"","Error"),""),"")</f>
        <v/>
      </c>
      <c r="J2897" s="110" t="str">
        <f ca="1">IF($Q2899&lt;&gt;"",IF(AND($B2900&lt;&gt;"Missing Player",$B2902&lt;&gt;"Missing Player"),IF(AND(AND($J2899&gt;-1,$J2901&gt;-1),OR($J2899&gt;10,$J2901&gt;10),ABS($J2899-$J2901)&gt;1,IF(OR($J2899&gt;11,$J2901&gt;11),ABS($J2899-$J2901)=2,TRUE),$J2899=INT($J2899),$J2901=INT($J2901)),"","Error"),""),"")</f>
        <v/>
      </c>
      <c r="K2897" s="110" t="str">
        <f ca="1">IF($Q2899&lt;&gt;"",IF(AND($K2899&lt;&gt;"",$K2901&lt;&gt;""), IF(AND(AND($K2899&gt;-1,$K2901&gt;-1),OR($K2899&gt;10,$K2901&gt;10),ABS($K2899-$K2901)&gt;1,IF(OR($K2899&gt;11,$K2901&gt;11),ABS($K2899-$K2901)=2,TRUE),$K2899=INT($K2899),$K2901=INT($K2901)),"","Error"),""),"")</f>
        <v/>
      </c>
      <c r="L2897" s="110" t="str">
        <f ca="1">IF($Q2899&lt;&gt;"",IF(AND($L2899&lt;&gt;"",$L2901&lt;&gt;""), IF(AND(AND($L2899&gt;-1,$L2901&gt;-1),OR($L2899&gt;10,$L2901&gt;10),ABS($L2899-$L2901)&gt;1,IF(OR($L2899&gt;11,$L2901&gt;11),ABS($L2899-$L2901)=2,TRUE),$L2899=INT($L2899),$L2901=INT($L2901)),"","Error"),""),"")</f>
        <v/>
      </c>
      <c r="Q2897" s="6"/>
      <c r="R2897" s="85"/>
      <c r="S2897" s="95"/>
      <c r="T2897" s="95"/>
      <c r="U2897" s="95"/>
      <c r="V2897" s="95"/>
      <c r="W2897" s="95"/>
      <c r="X2897" s="95"/>
      <c r="Y2897" s="85"/>
      <c r="Z2897" s="85"/>
      <c r="AA2897" s="85"/>
      <c r="AB2897" s="85"/>
      <c r="AC2897" s="85"/>
      <c r="AD2897" s="85"/>
      <c r="AE2897" s="85"/>
      <c r="AF2897" s="85"/>
    </row>
    <row r="2898" spans="1:32" ht="12.75" customHeight="1" x14ac:dyDescent="0.25">
      <c r="A2898" s="5" t="s">
        <v>160</v>
      </c>
      <c r="B2898" s="256" t="s">
        <v>58</v>
      </c>
      <c r="C2898" s="257"/>
      <c r="D2898" s="257"/>
      <c r="E2898" s="257"/>
      <c r="F2898" s="257"/>
      <c r="G2898" s="258"/>
      <c r="H2898" s="5">
        <v>1</v>
      </c>
      <c r="I2898" s="5">
        <v>2</v>
      </c>
      <c r="J2898" s="5">
        <v>3</v>
      </c>
      <c r="K2898" s="5">
        <v>4</v>
      </c>
      <c r="L2898" s="5">
        <v>5</v>
      </c>
      <c r="M2898" s="270"/>
      <c r="N2898" s="271"/>
      <c r="O2898" s="271"/>
      <c r="P2898" s="272"/>
      <c r="Q2898" s="6"/>
      <c r="T2898" s="7"/>
    </row>
    <row r="2899" spans="1:32" ht="12.75" customHeight="1" x14ac:dyDescent="0.25">
      <c r="A2899" s="259" t="str">
        <f>B2865</f>
        <v>E</v>
      </c>
      <c r="B2899" s="230" t="str">
        <f ca="1">IF($B2871&lt;&gt;"",$B2871,"")</f>
        <v/>
      </c>
      <c r="C2899" s="231"/>
      <c r="D2899" s="231"/>
      <c r="E2899" s="231"/>
      <c r="F2899" s="231"/>
      <c r="G2899" s="232"/>
      <c r="H2899" s="233"/>
      <c r="I2899" s="233"/>
      <c r="J2899" s="233"/>
      <c r="K2899" s="233"/>
      <c r="L2899" s="233" t="str">
        <f ca="1">IF($B2892&lt;&gt;"",IF(AND($B2892="Missing Player",$G2903=2,$J2903=2),0,IF(AND($B2894="Missing Player",$G2903=2,$J2903=2),11,"")),"")</f>
        <v/>
      </c>
      <c r="M2899" s="245" t="str">
        <f ca="1">IF(OR(AND($B2899&lt;&gt;"",$B2900&lt;&gt;"",$B2899=$B2900),AND($B2901&lt;&gt;"",$B2902&lt;&gt;"",$B2901=$B2902)),"Invalid Partner","")</f>
        <v/>
      </c>
      <c r="N2899" s="246"/>
      <c r="O2899" s="246"/>
      <c r="P2899" s="247"/>
      <c r="Q2899" s="37" t="str">
        <f ca="1">IF(L2899=L2901,IF(K2899=K2901,IF(J2899&lt;&gt;"",IF(J2899&gt;J2901,"W","L"),""),IF(K2899&gt;K2901,"W","L")),IF(L2899&gt;L2901,"W","L"))</f>
        <v/>
      </c>
      <c r="T2899" s="7"/>
    </row>
    <row r="2900" spans="1:32" ht="12.75" customHeight="1" x14ac:dyDescent="0.25">
      <c r="A2900" s="260"/>
      <c r="B2900" s="266" t="str">
        <f ca="1">IF($B2892="Missing Player",$B2892,"")</f>
        <v/>
      </c>
      <c r="C2900" s="267"/>
      <c r="D2900" s="267"/>
      <c r="E2900" s="267"/>
      <c r="F2900" s="267"/>
      <c r="G2900" s="268"/>
      <c r="H2900" s="234"/>
      <c r="I2900" s="234"/>
      <c r="J2900" s="234"/>
      <c r="K2900" s="234"/>
      <c r="L2900" s="234"/>
      <c r="M2900" s="245"/>
      <c r="N2900" s="246"/>
      <c r="O2900" s="246"/>
      <c r="P2900" s="247"/>
      <c r="Q2900" s="110" t="str">
        <f ca="1">IF($Q2899&lt;&gt;"",IF($B2902&lt;&gt;"Missing Player",IF($Q2899="W",IF(SUM(IF($H2899&gt;$H2901,1,0),IF($I2899&gt;$I2901,1,0),IF($J2899&gt;$J2901,1,0),IF($K2899&gt;$K2901,1,0),IF($L2899&gt;$L2901,1,0))&lt;&gt;3,"Error",""),""),""),"")</f>
        <v/>
      </c>
      <c r="R2900" s="295" t="str">
        <f>$A2866</f>
        <v/>
      </c>
      <c r="S2900" s="295"/>
      <c r="T2900" s="295"/>
      <c r="U2900" s="295"/>
      <c r="V2900" s="295"/>
      <c r="W2900" s="295"/>
      <c r="X2900" s="219" t="str">
        <f>CONCATENATE("(",$B2865," vs ",$K2865,")")</f>
        <v>(E vs L)</v>
      </c>
      <c r="Y2900" s="219"/>
      <c r="Z2900" s="295" t="str">
        <f>$J2866</f>
        <v/>
      </c>
      <c r="AA2900" s="295"/>
      <c r="AB2900" s="295"/>
      <c r="AC2900" s="295"/>
      <c r="AD2900" s="295"/>
      <c r="AE2900" s="295"/>
      <c r="AF2900"/>
    </row>
    <row r="2901" spans="1:32" ht="12.75" customHeight="1" x14ac:dyDescent="0.25">
      <c r="A2901" s="265" t="str">
        <f>K2865</f>
        <v>L</v>
      </c>
      <c r="B2901" s="230" t="str">
        <f ca="1">IF($B2873&lt;&gt;"",$B2873,"")</f>
        <v/>
      </c>
      <c r="C2901" s="231"/>
      <c r="D2901" s="231"/>
      <c r="E2901" s="231"/>
      <c r="F2901" s="231"/>
      <c r="G2901" s="232"/>
      <c r="H2901" s="233"/>
      <c r="I2901" s="233"/>
      <c r="J2901" s="233"/>
      <c r="K2901" s="233"/>
      <c r="L2901" s="233" t="str">
        <f ca="1">IF($B2894&lt;&gt;"",IF(AND($B2894="Missing Player",$G2903=2,$J2903=2),0,IF(AND($B2892="Missing Player",$G2903=2,$J2903=2),11,"")),"")</f>
        <v/>
      </c>
      <c r="M2901" s="250" t="s">
        <v>169</v>
      </c>
      <c r="N2901" s="251"/>
      <c r="O2901" s="251"/>
      <c r="P2901" s="252"/>
      <c r="Q2901" s="37" t="str">
        <f ca="1">IF(Q2899&lt;&gt;"",IF(Q2899="W","L","W"),"")</f>
        <v/>
      </c>
      <c r="R2901"/>
      <c r="S2901"/>
      <c r="T2901"/>
      <c r="U2901"/>
      <c r="V2901"/>
      <c r="W2901"/>
      <c r="X2901"/>
      <c r="Y2901"/>
      <c r="Z2901"/>
      <c r="AA2901"/>
      <c r="AB2901"/>
      <c r="AC2901"/>
      <c r="AD2901"/>
      <c r="AE2901"/>
      <c r="AF2901"/>
    </row>
    <row r="2902" spans="1:32" ht="12.75" customHeight="1" x14ac:dyDescent="0.25">
      <c r="A2902" s="260"/>
      <c r="B2902" s="266" t="str">
        <f ca="1">IF($B2894="Missing Player",$B2894,"")</f>
        <v/>
      </c>
      <c r="C2902" s="267"/>
      <c r="D2902" s="267"/>
      <c r="E2902" s="267"/>
      <c r="F2902" s="267"/>
      <c r="G2902" s="268"/>
      <c r="H2902" s="234"/>
      <c r="I2902" s="234"/>
      <c r="J2902" s="235"/>
      <c r="K2902" s="235"/>
      <c r="L2902" s="235"/>
      <c r="M2902" s="250"/>
      <c r="N2902" s="251"/>
      <c r="O2902" s="251"/>
      <c r="P2902" s="252"/>
      <c r="Q2902" s="110" t="str">
        <f ca="1">IF($Q2901&lt;&gt;"",IF($B2900&lt;&gt;"Missing Player",IF($Q2901="W",IF(SUM(IF($H2901&gt;$H2899,1,0),IF($I2901&gt;$I2899,1,0),IF($J2901&gt;$J2899,1,0),IF($K2901&gt;$K2899,1,0),IF($L2901&gt;$L2899,1,0))&lt;&gt;3,"Error",""),""),""),"")</f>
        <v/>
      </c>
      <c r="R2902" t="str">
        <f>A2890</f>
        <v>4th Singles</v>
      </c>
      <c r="S2902"/>
      <c r="T2902"/>
      <c r="U2902"/>
      <c r="V2902"/>
      <c r="W2902"/>
      <c r="X2902"/>
      <c r="Y2902"/>
      <c r="Z2902"/>
      <c r="AA2902"/>
      <c r="AB2902"/>
      <c r="AC2902"/>
      <c r="AD2902"/>
      <c r="AE2902"/>
      <c r="AF2902"/>
    </row>
    <row r="2903" spans="1:32" ht="12.75" customHeight="1" x14ac:dyDescent="0.25">
      <c r="G2903" s="53">
        <f ca="1">COUNTIF($Q2871:$Q2871,"W")+COUNTIF($Q2878:$Q2878,"W")+COUNTIF($Q2885:$Q2885,"W")+COUNTIF($Q2892:$Q2892,"W")</f>
        <v>0</v>
      </c>
      <c r="J2903" s="53">
        <f ca="1">COUNTIF($Q2873:$Q2873,"W")+COUNTIF($Q2880:$Q2880,"W")+COUNTIF($Q2887:$Q2887,"W")+COUNTIF($Q2894:$Q2894,"W")</f>
        <v>0</v>
      </c>
      <c r="R2903" s="47" t="s">
        <v>160</v>
      </c>
      <c r="S2903" s="304" t="s">
        <v>58</v>
      </c>
      <c r="T2903" s="305"/>
      <c r="U2903" s="305"/>
      <c r="V2903" s="305"/>
      <c r="W2903" s="305"/>
      <c r="X2903" s="306"/>
      <c r="Y2903" s="47">
        <v>1</v>
      </c>
      <c r="Z2903" s="47">
        <v>2</v>
      </c>
      <c r="AA2903" s="47">
        <v>3</v>
      </c>
      <c r="AB2903" s="47">
        <v>4</v>
      </c>
      <c r="AC2903" s="47">
        <v>5</v>
      </c>
      <c r="AD2903" s="286"/>
      <c r="AE2903" s="287"/>
      <c r="AF2903" s="288"/>
    </row>
    <row r="2904" spans="1:32" ht="12.75" customHeight="1" thickBot="1" x14ac:dyDescent="0.3">
      <c r="F2904" s="212" t="s">
        <v>170</v>
      </c>
      <c r="G2904" s="212"/>
      <c r="H2904" s="212"/>
      <c r="I2904" s="212"/>
      <c r="J2904" s="212"/>
      <c r="K2904" s="212"/>
      <c r="R2904" s="259" t="str">
        <f>B2865</f>
        <v>E</v>
      </c>
      <c r="S2904" s="307" t="str">
        <f ca="1">IF($B2892&lt;&gt;"",$B2892,"")</f>
        <v/>
      </c>
      <c r="T2904" s="308"/>
      <c r="U2904" s="308"/>
      <c r="V2904" s="308"/>
      <c r="W2904" s="308"/>
      <c r="X2904" s="309"/>
      <c r="Y2904" s="284"/>
      <c r="Z2904" s="284"/>
      <c r="AA2904" s="297"/>
      <c r="AB2904" s="297"/>
      <c r="AC2904" s="297"/>
      <c r="AD2904" s="296"/>
      <c r="AE2904" s="298"/>
      <c r="AF2904" s="299"/>
    </row>
    <row r="2905" spans="1:32" ht="12.75" customHeight="1" x14ac:dyDescent="0.25">
      <c r="A2905" s="16"/>
      <c r="B2905" s="16"/>
      <c r="C2905" s="16"/>
      <c r="D2905" s="16"/>
      <c r="E2905" s="16"/>
      <c r="G2905" s="261" t="str">
        <f>B2865</f>
        <v>E</v>
      </c>
      <c r="H2905" s="262"/>
      <c r="I2905" s="263" t="str">
        <f>K2865</f>
        <v>L</v>
      </c>
      <c r="J2905" s="264"/>
      <c r="L2905" s="16"/>
      <c r="M2905" s="16"/>
      <c r="N2905" s="16"/>
      <c r="O2905" s="16"/>
      <c r="P2905" s="16"/>
      <c r="R2905" s="260"/>
      <c r="S2905" s="310"/>
      <c r="T2905" s="311"/>
      <c r="U2905" s="311"/>
      <c r="V2905" s="311"/>
      <c r="W2905" s="311"/>
      <c r="X2905" s="312"/>
      <c r="Y2905" s="285"/>
      <c r="Z2905" s="285"/>
      <c r="AA2905" s="303"/>
      <c r="AB2905" s="303"/>
      <c r="AC2905" s="303"/>
      <c r="AD2905" s="300"/>
      <c r="AE2905" s="301"/>
      <c r="AF2905" s="302"/>
    </row>
    <row r="2906" spans="1:32" ht="12.75" customHeight="1" thickBot="1" x14ac:dyDescent="0.3">
      <c r="A2906" s="2" t="s">
        <v>160</v>
      </c>
      <c r="B2906" s="40" t="str">
        <f>B2865</f>
        <v>E</v>
      </c>
      <c r="C2906" s="3" t="s">
        <v>158</v>
      </c>
      <c r="F2906" s="53" t="str">
        <f>CONCATENATE($B2865,"-",$K2865)</f>
        <v>E-L</v>
      </c>
      <c r="G2906" s="240" t="str">
        <f ca="1">IF(OR(Q2871&lt;&gt;"",Q2878&lt;&gt;"",Q2885&lt;&gt;"",Q2892&lt;&gt;"",Q2899&lt;&gt;""),COUNTIF(Q2871:Q2871,"W")+COUNTIF(Q2878:Q2878,"W")+COUNTIF(Q2885:Q2885,"W")+COUNTIF(Q2892:Q2892,"W")+COUNTIF(Q2899:Q2899,"W"),"")</f>
        <v/>
      </c>
      <c r="H2906" s="241"/>
      <c r="I2906" s="242" t="str">
        <f ca="1">IF(OR(Q2873&lt;&gt;"",Q2880&lt;&gt;"",Q2887&lt;&gt;"",Q2894&lt;&gt;"",Q2901&lt;&gt;""),COUNTIF(Q2873:Q2873,"W")+COUNTIF(Q2880:Q2880,"W")+COUNTIF(Q2887:Q2887,"W")+COUNTIF(Q2894:Q2894,"W")+COUNTIF(Q2901:Q2901,"W"),"")</f>
        <v/>
      </c>
      <c r="J2906" s="243"/>
      <c r="L2906" s="2" t="s">
        <v>160</v>
      </c>
      <c r="M2906" s="40" t="str">
        <f>K2865</f>
        <v>L</v>
      </c>
      <c r="N2906" s="3" t="s">
        <v>158</v>
      </c>
      <c r="R2906" s="259" t="str">
        <f>K2865</f>
        <v>L</v>
      </c>
      <c r="S2906" s="307" t="str">
        <f ca="1">IF($B2894&lt;&gt;"",$B2894,"")</f>
        <v/>
      </c>
      <c r="T2906" s="308"/>
      <c r="U2906" s="308"/>
      <c r="V2906" s="308"/>
      <c r="W2906" s="308"/>
      <c r="X2906" s="309"/>
      <c r="Y2906" s="284"/>
      <c r="Z2906" s="284"/>
      <c r="AA2906" s="297"/>
      <c r="AB2906" s="297"/>
      <c r="AC2906" s="297"/>
      <c r="AD2906" s="289" t="s">
        <v>169</v>
      </c>
      <c r="AE2906" s="290"/>
      <c r="AF2906" s="291"/>
    </row>
    <row r="2907" spans="1:32" ht="12.75" customHeight="1" x14ac:dyDescent="0.35">
      <c r="F2907" s="18" t="s">
        <v>403</v>
      </c>
      <c r="G2907" s="17"/>
      <c r="H2907" s="17"/>
      <c r="I2907" s="17"/>
      <c r="J2907" s="17"/>
      <c r="R2907" s="285"/>
      <c r="S2907" s="310"/>
      <c r="T2907" s="311"/>
      <c r="U2907" s="311"/>
      <c r="V2907" s="311"/>
      <c r="W2907" s="311"/>
      <c r="X2907" s="312"/>
      <c r="Y2907" s="285"/>
      <c r="Z2907" s="285"/>
      <c r="AA2907" s="285"/>
      <c r="AB2907" s="285"/>
      <c r="AC2907" s="285"/>
      <c r="AD2907" s="292"/>
      <c r="AE2907" s="293"/>
      <c r="AF2907" s="294"/>
    </row>
    <row r="2908" spans="1:32" ht="12.75" customHeight="1" x14ac:dyDescent="0.25">
      <c r="R2908" s="1"/>
      <c r="S2908" s="11"/>
      <c r="T2908" s="11"/>
      <c r="U2908" s="11"/>
      <c r="V2908" s="11"/>
      <c r="W2908" s="11"/>
    </row>
    <row r="2909" spans="1:32" ht="12.75" customHeight="1" x14ac:dyDescent="0.25">
      <c r="F2909" s="212"/>
      <c r="G2909" s="212"/>
      <c r="H2909" s="212"/>
      <c r="I2909" s="212"/>
      <c r="R2909" s="1"/>
      <c r="S2909" s="11"/>
      <c r="T2909" s="11"/>
      <c r="U2909" s="11"/>
      <c r="V2909" s="11"/>
      <c r="W2909" s="11"/>
    </row>
    <row r="2910" spans="1:32" ht="12.75" customHeight="1" x14ac:dyDescent="0.25">
      <c r="F2910" s="212"/>
      <c r="G2910" s="212"/>
      <c r="H2910" s="212"/>
      <c r="I2910" s="212"/>
      <c r="R2910" s="1"/>
      <c r="S2910" s="11"/>
      <c r="T2910" s="11"/>
      <c r="U2910" s="11"/>
      <c r="V2910" s="11"/>
      <c r="W2910" s="11"/>
    </row>
    <row r="2911" spans="1:32" ht="12.75" customHeight="1" x14ac:dyDescent="0.25">
      <c r="K2911" s="219" t="s">
        <v>176</v>
      </c>
      <c r="L2911" s="219"/>
      <c r="M2911" s="219"/>
      <c r="N2911" s="219"/>
      <c r="O2911" s="219"/>
      <c r="P2911" s="219"/>
      <c r="R2911" s="1"/>
      <c r="S2911" s="11"/>
      <c r="T2911" s="11"/>
      <c r="U2911" s="11"/>
      <c r="V2911" s="11"/>
      <c r="W2911" s="11"/>
    </row>
    <row r="2912" spans="1:32" ht="12.75" customHeight="1" x14ac:dyDescent="0.25">
      <c r="A2912" s="9" t="s">
        <v>161</v>
      </c>
      <c r="B2912"/>
      <c r="C2912"/>
      <c r="D2912" t="str">
        <f>Draw!$B$1</f>
        <v>Enter Division Name</v>
      </c>
      <c r="E2912"/>
      <c r="F2912" s="6"/>
      <c r="G2912" s="6"/>
      <c r="H2912" s="6"/>
      <c r="I2912"/>
      <c r="J2912"/>
      <c r="K2912"/>
      <c r="L2912"/>
      <c r="M2912" s="219"/>
      <c r="N2912" s="219"/>
      <c r="O2912" s="219"/>
      <c r="P2912" s="219"/>
      <c r="R2912" s="1"/>
      <c r="S2912" s="11"/>
      <c r="T2912" s="11"/>
      <c r="U2912" s="11"/>
      <c r="V2912" s="11"/>
      <c r="W2912" s="11"/>
    </row>
    <row r="2913" spans="1:32" ht="12.75" customHeight="1" x14ac:dyDescent="0.25">
      <c r="A2913" s="2" t="s">
        <v>162</v>
      </c>
      <c r="D2913" t="str">
        <f>Draw!$D$1</f>
        <v>Enter Hosting Location (City, ST)</v>
      </c>
      <c r="J2913" t="str">
        <f ca="1">$J$6</f>
        <v>[NCTTA Teams Template (v3.4).xlsx]</v>
      </c>
      <c r="R2913" s="1"/>
      <c r="S2913" s="11"/>
      <c r="T2913" s="11"/>
      <c r="U2913" s="11"/>
      <c r="V2913" s="11"/>
      <c r="W2913" s="11"/>
    </row>
    <row r="2914" spans="1:32" ht="12.75" customHeight="1" x14ac:dyDescent="0.25">
      <c r="A2914" s="2" t="s">
        <v>163</v>
      </c>
      <c r="D2914" s="275" t="str">
        <f>Draw!$P$1</f>
        <v>Enter Date</v>
      </c>
      <c r="E2914" s="275"/>
      <c r="F2914" s="275"/>
      <c r="G2914" s="275"/>
      <c r="J2914" s="244" t="str">
        <f>CHOOSE(Draw!$T$1,"Round 10, Match 4","","","","","","","","","","")</f>
        <v>Round 10, Match 4</v>
      </c>
      <c r="K2914" s="244"/>
      <c r="L2914" s="244"/>
      <c r="M2914" s="277" t="str">
        <f>IF(AND($J2914&lt;&gt;"",Draw!$AC$10&lt;&gt;"",Draw!$AC$13&lt;&gt;""),Draw!$AC$10+TIME(0,VALUE(MID($J2914,7,FIND(",",$J2914)-FIND(" ",$J2914)-1)-1)*Draw!$AC$13,0),"")</f>
        <v/>
      </c>
      <c r="N2914" s="277"/>
      <c r="O2914" s="125" t="str">
        <f>$F2957</f>
        <v>F-K</v>
      </c>
      <c r="R2914" s="1"/>
      <c r="S2914" s="11"/>
      <c r="T2914" s="11"/>
      <c r="U2914" s="11"/>
      <c r="V2914" s="11"/>
      <c r="W2914" s="11"/>
    </row>
    <row r="2915" spans="1:32" ht="12.75" customHeight="1" x14ac:dyDescent="0.25">
      <c r="A2915" s="6"/>
      <c r="B2915"/>
      <c r="C2915"/>
      <c r="D2915"/>
      <c r="E2915"/>
      <c r="F2915" s="6"/>
      <c r="G2915" s="6"/>
      <c r="H2915" s="11"/>
      <c r="I2915" s="6"/>
      <c r="J2915"/>
      <c r="K2915"/>
      <c r="L2915"/>
      <c r="M2915"/>
      <c r="N2915"/>
      <c r="O2915" s="269" t="str">
        <f>IF(OR(AND(VLOOKUP($B2916,$AM$1:$AX$12,12,FALSE)="C",VLOOKUP($K2916,$AM$1:$AX$12,12,FALSE)="C"),AND(VLOOKUP($B2916,$AM$1:$AX$12,12,FALSE)="W",VLOOKUP($K2916,$AM$1:$AX$12,12,FALSE)="W")),"Official",IF(AND($A2917="",$J2917=""),"","Scrimmage"))</f>
        <v/>
      </c>
      <c r="P2915" s="269"/>
      <c r="R2915" s="1"/>
      <c r="S2915" s="11"/>
      <c r="T2915" s="11"/>
      <c r="U2915" s="11"/>
      <c r="V2915" s="11"/>
      <c r="W2915" s="11"/>
    </row>
    <row r="2916" spans="1:32" ht="12.75" customHeight="1" x14ac:dyDescent="0.25">
      <c r="A2916" s="12" t="s">
        <v>160</v>
      </c>
      <c r="B2916" s="98" t="str">
        <f>CHOOSE(Draw!$T$1,"F","E","F","G","H","H","H","H","H","G","C")</f>
        <v>F</v>
      </c>
      <c r="C2916" s="109">
        <f>VLOOKUP($B2916,$AM$1:$AN$12,2)</f>
        <v>6</v>
      </c>
      <c r="D2916" s="10"/>
      <c r="E2916" s="10"/>
      <c r="F2916" s="8"/>
      <c r="H2916" s="1" t="s">
        <v>164</v>
      </c>
      <c r="J2916" s="12" t="s">
        <v>160</v>
      </c>
      <c r="K2916" s="98" t="str">
        <f>CHOOSE(Draw!$T$1,"K","J","L","J","J","J","J","J","J","K","L")</f>
        <v>K</v>
      </c>
      <c r="L2916" s="109">
        <f>VLOOKUP($K2916,$AM$1:$AN$12,2)</f>
        <v>11</v>
      </c>
      <c r="M2916" s="10"/>
      <c r="N2916" s="10"/>
      <c r="O2916" s="13"/>
      <c r="R2916" s="1"/>
      <c r="S2916" s="11"/>
      <c r="T2916" s="11"/>
      <c r="U2916" s="11"/>
      <c r="V2916" s="11"/>
      <c r="W2916" s="11"/>
    </row>
    <row r="2917" spans="1:32" ht="12.75" customHeight="1" x14ac:dyDescent="0.25">
      <c r="A2917" s="253" t="str">
        <f>IF(VLOOKUP($B2916,Draw!$A$4:$B$27,2)&lt;&gt;0,VLOOKUP($B2916,Draw!$A$4:$B$27,2),"")</f>
        <v/>
      </c>
      <c r="B2917" s="254"/>
      <c r="C2917" s="254"/>
      <c r="D2917" s="254"/>
      <c r="E2917" s="254"/>
      <c r="F2917" s="255"/>
      <c r="G2917" s="273" t="s">
        <v>461</v>
      </c>
      <c r="H2917" s="249"/>
      <c r="I2917" s="274"/>
      <c r="J2917" s="253" t="str">
        <f>IF(VLOOKUP($K2916,Draw!$A$4:$B$27,2)&lt;&gt;0,VLOOKUP($K2916,Draw!$A$4:$B$27,2),"")</f>
        <v/>
      </c>
      <c r="K2917" s="254"/>
      <c r="L2917" s="254"/>
      <c r="M2917" s="254"/>
      <c r="N2917" s="254"/>
      <c r="O2917" s="255"/>
      <c r="P2917"/>
      <c r="R2917" s="1"/>
      <c r="S2917" s="11"/>
      <c r="T2917" s="11"/>
      <c r="U2917" s="11"/>
      <c r="V2917" s="11"/>
      <c r="W2917" s="11"/>
    </row>
    <row r="2918" spans="1:32" ht="12.75" customHeight="1" x14ac:dyDescent="0.25">
      <c r="A2918" s="6"/>
      <c r="B2918"/>
      <c r="C2918"/>
      <c r="D2918"/>
      <c r="E2918"/>
      <c r="F2918" s="6"/>
      <c r="G2918" s="248" t="str">
        <f>"Page "&amp;VALUE(RIGHT($G2917,LEN($G2917)-SEARCH("-",$G2917)))/2</f>
        <v>Page 58</v>
      </c>
      <c r="H2918" s="249"/>
      <c r="I2918" s="249"/>
      <c r="J2918"/>
      <c r="K2918"/>
      <c r="L2918"/>
      <c r="M2918"/>
      <c r="N2918"/>
      <c r="O2918"/>
      <c r="P2918"/>
      <c r="R2918" s="1"/>
      <c r="S2918" s="11"/>
      <c r="T2918" s="11"/>
      <c r="U2918" s="11"/>
      <c r="V2918" s="11"/>
      <c r="W2918" s="11"/>
      <c r="AF2918"/>
    </row>
    <row r="2919" spans="1:32" ht="12.75" customHeight="1" x14ac:dyDescent="0.25">
      <c r="A2919" s="276" t="s">
        <v>177</v>
      </c>
      <c r="B2919" s="276"/>
      <c r="C2919" s="276"/>
      <c r="D2919" s="276"/>
      <c r="E2919" s="276"/>
      <c r="F2919" s="276"/>
      <c r="G2919" s="276"/>
      <c r="H2919" s="276"/>
      <c r="I2919" s="276"/>
      <c r="J2919" s="276"/>
      <c r="K2919" s="276"/>
      <c r="L2919" s="276"/>
      <c r="M2919" s="276"/>
      <c r="N2919" s="276"/>
      <c r="O2919" s="276"/>
      <c r="P2919" s="276"/>
      <c r="Q2919" s="6"/>
      <c r="R2919" s="1"/>
      <c r="S2919" s="11"/>
      <c r="T2919" s="11"/>
      <c r="U2919" s="11"/>
      <c r="V2919" s="11"/>
      <c r="W2919" s="11"/>
      <c r="AF2919" s="14"/>
    </row>
    <row r="2920" spans="1:32" ht="12.75" customHeight="1" x14ac:dyDescent="0.25">
      <c r="A2920" s="15" t="s">
        <v>165</v>
      </c>
      <c r="H2920" s="110" t="str">
        <f>IF($Q2922&lt;&gt;"",IF(AND(AND($H2922&gt;-1,$H2924&gt;-1),OR($H2922&gt;10,$H2924&gt;10),ABS($H2922-$H2924)&gt;1,IF(OR($H2922&gt;11,$H2924&gt;11),ABS($H2922-$H2924)=2,TRUE),$H2922=INT($H2922),$H2924=INT($H2924)),"","Error"),"")</f>
        <v/>
      </c>
      <c r="I2920" s="110" t="str">
        <f>IF($Q2922&lt;&gt;"",IF(AND(AND($I2922&gt;-1,$I2924&gt;-1),OR($I2922&gt;10,$I2924&gt;10),ABS($I2922-$I2924)&gt;1,IF(OR($I2922&gt;11,$I2924&gt;11),ABS($I2922-$I2924)=2,TRUE),$I2922=INT($I2922),$I2924=INT($I2924)),"","Error"),"")</f>
        <v/>
      </c>
      <c r="J2920" s="110" t="str">
        <f>IF($Q2922&lt;&gt;"",IF(AND(AND($J2922&gt;-1,$J2924&gt;-1),OR($J2922&gt;10,$J2924&gt;10),ABS($J2922-$J2924)&gt;1,IF(OR($J2922&gt;11,$J2924&gt;11),ABS($J2922-$J2924)=2,TRUE),$J2922=INT($J2922),$J2924=INT($J2924)),"","Error"),"")</f>
        <v/>
      </c>
      <c r="K2920" s="110" t="str">
        <f>IF($Q2922&lt;&gt;"",IF(AND($K2922&lt;&gt;"",$K2924&lt;&gt;""), IF(AND(AND($K2922&gt;-1,$K2924&gt;-1),OR($K2922&gt;10,$K2924&gt;10),ABS($K2922-$K2924)&gt;1,IF(OR($K2922&gt;11,$K2924&gt;11),ABS($K2922-$K2924)=2,TRUE),$K2922=INT($K2922),$K2924=INT($K2924)),"","Error"),""),"")</f>
        <v/>
      </c>
      <c r="L2920" s="110" t="str">
        <f>IF($Q2922&lt;&gt;"",IF(AND($L2922&lt;&gt;"",$L2924&lt;&gt;""), IF(AND(AND($L2922&gt;-1,$L2924&gt;-1),OR($L2922&gt;10,$L2924&gt;10),ABS($L2922-$L2924)&gt;1,IF(OR($L2922&gt;11,$L2924&gt;11),ABS($L2922-$L2924)=2,TRUE),$L2922=INT($L2922),$L2924=INT($L2924)),"","Error"),""),"")</f>
        <v/>
      </c>
      <c r="R2920" s="1"/>
      <c r="S2920" s="11"/>
      <c r="T2920" s="11"/>
      <c r="U2920" s="11"/>
      <c r="V2920" s="11"/>
      <c r="W2920" s="11"/>
    </row>
    <row r="2921" spans="1:32" ht="12.75" customHeight="1" x14ac:dyDescent="0.25">
      <c r="A2921" s="5" t="s">
        <v>160</v>
      </c>
      <c r="B2921" s="256" t="s">
        <v>58</v>
      </c>
      <c r="C2921" s="257"/>
      <c r="D2921" s="257"/>
      <c r="E2921" s="257"/>
      <c r="F2921" s="257"/>
      <c r="G2921" s="258"/>
      <c r="H2921" s="5">
        <v>1</v>
      </c>
      <c r="I2921" s="5">
        <v>2</v>
      </c>
      <c r="J2921" s="5">
        <v>3</v>
      </c>
      <c r="K2921" s="5">
        <v>4</v>
      </c>
      <c r="L2921" s="5">
        <v>5</v>
      </c>
      <c r="M2921" s="270"/>
      <c r="N2921" s="271"/>
      <c r="O2921" s="271"/>
      <c r="P2921" s="272"/>
      <c r="R2921" s="1"/>
      <c r="S2921" s="11"/>
      <c r="T2921" s="11"/>
      <c r="U2921" s="11"/>
      <c r="V2921" s="11"/>
      <c r="W2921" s="11"/>
    </row>
    <row r="2922" spans="1:32" ht="12.75" customHeight="1" x14ac:dyDescent="0.25">
      <c r="A2922" s="259" t="str">
        <f>B2916</f>
        <v>F</v>
      </c>
      <c r="B2922" s="236" t="str">
        <f ca="1">IF(AND(OFFSET($AO$1,$C2916-1,8,1,1),$A2917&lt;&gt;"",$J2917&lt;&gt;""),CHOOSE($C2916,$AO$1,$AO$2,$AO$3,$AO$4,$AO$5,$AO$6,$AO$7,$AO$8,$AO$9,$AO$10,$AO$11,$AO$12),"")</f>
        <v/>
      </c>
      <c r="C2922" s="237"/>
      <c r="D2922" s="237"/>
      <c r="E2922" s="237"/>
      <c r="F2922" s="237"/>
      <c r="G2922" s="237"/>
      <c r="H2922" s="233"/>
      <c r="I2922" s="233"/>
      <c r="J2922" s="233"/>
      <c r="K2922" s="233"/>
      <c r="L2922" s="233"/>
      <c r="M2922" s="281"/>
      <c r="N2922" s="282"/>
      <c r="O2922" s="282"/>
      <c r="P2922" s="283"/>
      <c r="Q2922" s="40" t="str">
        <f>IF($L2922=$L2924,IF($K2922=$K2924,IF($J2922&lt;&gt;"",IF($J2922&gt;$J2924,"W","L"),""),IF($K2922&gt;$K2924,"W","L")),IF($L2922&gt;$L2924,"W","L"))</f>
        <v/>
      </c>
      <c r="R2922" s="1"/>
      <c r="S2922" s="11"/>
      <c r="T2922" s="11"/>
      <c r="U2922" s="11"/>
      <c r="V2922" s="11"/>
      <c r="W2922" s="11"/>
    </row>
    <row r="2923" spans="1:32" ht="12.75" customHeight="1" x14ac:dyDescent="0.25">
      <c r="A2923" s="260"/>
      <c r="B2923" s="238"/>
      <c r="C2923" s="239"/>
      <c r="D2923" s="239"/>
      <c r="E2923" s="239"/>
      <c r="F2923" s="239"/>
      <c r="G2923" s="239"/>
      <c r="H2923" s="234"/>
      <c r="I2923" s="234"/>
      <c r="J2923" s="234"/>
      <c r="K2923" s="234"/>
      <c r="L2923" s="234"/>
      <c r="M2923" s="281"/>
      <c r="N2923" s="282"/>
      <c r="O2923" s="282"/>
      <c r="P2923" s="283"/>
      <c r="Q2923" s="110" t="str">
        <f>IF($Q2922&lt;&gt;"",IF($Q2922="W",IF(SUM(IF($H2922&gt;$H2924,1,0),IF($I2922&gt;$I2924,1,0),IF($J2922&gt;$J2924,1,0),IF($K2922&gt;$K2924,1,0),IF($L2922&gt;$L2924,1,0))&lt;&gt;3,"Error",""),""),"")</f>
        <v/>
      </c>
      <c r="R2923" s="295" t="str">
        <f>$A2917</f>
        <v/>
      </c>
      <c r="S2923" s="295"/>
      <c r="T2923" s="295"/>
      <c r="U2923" s="295"/>
      <c r="V2923" s="295"/>
      <c r="W2923" s="295"/>
      <c r="X2923" s="219" t="str">
        <f>CONCATENATE("(",$B2916," vs ",$K2916,")")</f>
        <v>(F vs K)</v>
      </c>
      <c r="Y2923" s="219"/>
      <c r="Z2923" s="295" t="str">
        <f>$J2917</f>
        <v/>
      </c>
      <c r="AA2923" s="295"/>
      <c r="AB2923" s="295"/>
      <c r="AC2923" s="295"/>
      <c r="AD2923" s="295"/>
      <c r="AE2923" s="295"/>
      <c r="AF2923"/>
    </row>
    <row r="2924" spans="1:32" ht="12.75" customHeight="1" x14ac:dyDescent="0.25">
      <c r="A2924" s="259" t="str">
        <f>K2916</f>
        <v>K</v>
      </c>
      <c r="B2924" s="236" t="str">
        <f ca="1">IF(AND(OFFSET($AO$1,$L2916-1,8,1,1),$A2917&lt;&gt;"",$J2917&lt;&gt;""),CHOOSE($L2916,$AO$1,$AO$2,$AO$3,$AO$4,$AO$5,$AO$6,$AO$7,$AO$8,$AO$9,$AO$10,$AO$11,$AO$12),"")</f>
        <v/>
      </c>
      <c r="C2924" s="237"/>
      <c r="D2924" s="237"/>
      <c r="E2924" s="237"/>
      <c r="F2924" s="237"/>
      <c r="G2924" s="237"/>
      <c r="H2924" s="233"/>
      <c r="I2924" s="233"/>
      <c r="J2924" s="233"/>
      <c r="K2924" s="233"/>
      <c r="L2924" s="233"/>
      <c r="M2924" s="250" t="s">
        <v>169</v>
      </c>
      <c r="N2924" s="251"/>
      <c r="O2924" s="251"/>
      <c r="P2924" s="252"/>
      <c r="Q2924" s="40" t="str">
        <f>IF($Q2922&lt;&gt;"",IF($Q2922="W","L","W"),"")</f>
        <v/>
      </c>
      <c r="R2924"/>
      <c r="S2924"/>
      <c r="T2924"/>
      <c r="U2924"/>
      <c r="V2924"/>
      <c r="W2924"/>
      <c r="X2924"/>
      <c r="Y2924"/>
      <c r="Z2924"/>
      <c r="AA2924"/>
      <c r="AB2924"/>
      <c r="AC2924"/>
      <c r="AD2924"/>
      <c r="AE2924"/>
      <c r="AF2924"/>
    </row>
    <row r="2925" spans="1:32" ht="12.75" customHeight="1" x14ac:dyDescent="0.25">
      <c r="A2925" s="260"/>
      <c r="B2925" s="238"/>
      <c r="C2925" s="239"/>
      <c r="D2925" s="239"/>
      <c r="E2925" s="239"/>
      <c r="F2925" s="239"/>
      <c r="G2925" s="239"/>
      <c r="H2925" s="234"/>
      <c r="I2925" s="234"/>
      <c r="J2925" s="235"/>
      <c r="K2925" s="235"/>
      <c r="L2925" s="235"/>
      <c r="M2925" s="250"/>
      <c r="N2925" s="251"/>
      <c r="O2925" s="251"/>
      <c r="P2925" s="252"/>
      <c r="Q2925" s="110" t="str">
        <f>IF($Q2924&lt;&gt;"",IF($Q2924="W",IF(SUM(IF($H2924&gt;$H2922,1,0),IF($I2924&gt;$I2922,1,0),IF($J2924&gt;$J2922,1,0),IF($K2924&gt;$K2922,1,0),IF($L2924&gt;$L2922,1,0))&lt;&gt;3,"Error",""),""),"")</f>
        <v/>
      </c>
      <c r="R2925" t="str">
        <f>$A2927</f>
        <v>2nd Singles</v>
      </c>
      <c r="S2925"/>
      <c r="T2925"/>
      <c r="U2925"/>
      <c r="V2925"/>
      <c r="W2925"/>
      <c r="X2925"/>
      <c r="Y2925"/>
      <c r="Z2925"/>
      <c r="AA2925"/>
      <c r="AB2925"/>
      <c r="AC2925"/>
      <c r="AD2925"/>
      <c r="AE2925"/>
      <c r="AF2925"/>
    </row>
    <row r="2926" spans="1:32" ht="12.75" customHeight="1" x14ac:dyDescent="0.25">
      <c r="Q2926" s="6"/>
      <c r="R2926" s="47" t="s">
        <v>160</v>
      </c>
      <c r="S2926" s="304" t="s">
        <v>58</v>
      </c>
      <c r="T2926" s="305"/>
      <c r="U2926" s="305"/>
      <c r="V2926" s="305"/>
      <c r="W2926" s="305"/>
      <c r="X2926" s="306"/>
      <c r="Y2926" s="47">
        <v>1</v>
      </c>
      <c r="Z2926" s="47">
        <v>2</v>
      </c>
      <c r="AA2926" s="47">
        <v>3</v>
      </c>
      <c r="AB2926" s="47">
        <v>4</v>
      </c>
      <c r="AC2926" s="47">
        <v>5</v>
      </c>
      <c r="AD2926" s="286"/>
      <c r="AE2926" s="287"/>
      <c r="AF2926" s="288"/>
    </row>
    <row r="2927" spans="1:32" ht="12.75" customHeight="1" x14ac:dyDescent="0.25">
      <c r="A2927" s="15" t="s">
        <v>166</v>
      </c>
      <c r="H2927" s="110" t="str">
        <f>IF($Q2929&lt;&gt;"",IF(AND(AND($H2929&gt;-1,$H2931&gt;-1),OR($H2929&gt;10,$H2931&gt;10),ABS($H2929-$H2931)&gt;1,IF(OR($H2929&gt;11,$H2931&gt;11),ABS($H2929-$H2931)=2,TRUE),$H2929=INT($H2929),$H2931=INT($H2931)),"","Error"),"")</f>
        <v/>
      </c>
      <c r="I2927" s="110" t="str">
        <f>IF($Q2929&lt;&gt;"",IF(AND(AND($I2929&gt;-1,$I2931&gt;-1),OR($I2929&gt;10,$I2931&gt;10),ABS($I2929-$I2931)&gt;1,IF(OR($I2929&gt;11,$I2931&gt;11),ABS($I2929-$I2931)=2,TRUE),$I2929=INT($I2929),$I2931=INT($I2931)),"","Error"),"")</f>
        <v/>
      </c>
      <c r="J2927" s="110" t="str">
        <f>IF($Q2929&lt;&gt;"",IF(AND(AND($J2929&gt;-1,$J2931&gt;-1),OR($J2929&gt;10,$J2931&gt;10),ABS($J2929-$J2931)&gt;1,IF(OR($J2929&gt;11,$J2931&gt;11),ABS($J2929-$J2931)=2,TRUE),$J2929=INT($J2929),$J2931=INT($J2931)),"","Error"),"")</f>
        <v/>
      </c>
      <c r="K2927" s="110" t="str">
        <f>IF($Q2929&lt;&gt;"",IF(AND($K2929&lt;&gt;"",$K2931&lt;&gt;""), IF(AND(AND($K2929&gt;-1,$K2931&gt;-1),OR($K2929&gt;10,$K2931&gt;10),ABS($K2929-$K2931)&gt;1,IF(OR($K2929&gt;11,$K2931&gt;11),ABS($K2929-$K2931)=2,TRUE),$K2929=INT($K2929),$K2931=INT($K2931)),"","Error"),""),"")</f>
        <v/>
      </c>
      <c r="L2927" s="110" t="str">
        <f>IF($Q2929&lt;&gt;"",IF(AND($L2929&lt;&gt;"",$L2931&lt;&gt;""), IF(AND(AND($L2929&gt;-1,$L2931&gt;-1),OR($L2929&gt;10,$L2931&gt;10),ABS($L2929-$L2931)&gt;1,IF(OR($L2929&gt;11,$L2931&gt;11),ABS($L2929-$L2931)=2,TRUE),$L2929=INT($L2929),$L2931=INT($L2931)),"","Error"),""),"")</f>
        <v/>
      </c>
      <c r="Q2927" s="6"/>
      <c r="R2927" s="259" t="str">
        <f>$B2916</f>
        <v>F</v>
      </c>
      <c r="S2927" s="307" t="str">
        <f ca="1">IF($B2929&lt;&gt;"",$B2929,"")</f>
        <v/>
      </c>
      <c r="T2927" s="308"/>
      <c r="U2927" s="308"/>
      <c r="V2927" s="308"/>
      <c r="W2927" s="308"/>
      <c r="X2927" s="309"/>
      <c r="Y2927" s="284"/>
      <c r="Z2927" s="284"/>
      <c r="AA2927" s="284"/>
      <c r="AB2927" s="284"/>
      <c r="AC2927" s="284"/>
      <c r="AD2927" s="296"/>
      <c r="AE2927" s="290"/>
      <c r="AF2927" s="291"/>
    </row>
    <row r="2928" spans="1:32" ht="12.75" customHeight="1" x14ac:dyDescent="0.25">
      <c r="A2928" s="5" t="s">
        <v>160</v>
      </c>
      <c r="B2928" s="256" t="s">
        <v>58</v>
      </c>
      <c r="C2928" s="257"/>
      <c r="D2928" s="257"/>
      <c r="E2928" s="257"/>
      <c r="F2928" s="257"/>
      <c r="G2928" s="258"/>
      <c r="H2928" s="5">
        <v>1</v>
      </c>
      <c r="I2928" s="5">
        <v>2</v>
      </c>
      <c r="J2928" s="5">
        <v>3</v>
      </c>
      <c r="K2928" s="5">
        <v>4</v>
      </c>
      <c r="L2928" s="5">
        <v>5</v>
      </c>
      <c r="M2928" s="270"/>
      <c r="N2928" s="271"/>
      <c r="O2928" s="271"/>
      <c r="P2928" s="272"/>
      <c r="Q2928" s="6"/>
      <c r="R2928" s="285"/>
      <c r="S2928" s="310"/>
      <c r="T2928" s="311"/>
      <c r="U2928" s="311"/>
      <c r="V2928" s="311"/>
      <c r="W2928" s="311"/>
      <c r="X2928" s="312"/>
      <c r="Y2928" s="285"/>
      <c r="Z2928" s="285"/>
      <c r="AA2928" s="285"/>
      <c r="AB2928" s="285"/>
      <c r="AC2928" s="285"/>
      <c r="AD2928" s="292"/>
      <c r="AE2928" s="293"/>
      <c r="AF2928" s="294"/>
    </row>
    <row r="2929" spans="1:32" ht="12.75" customHeight="1" x14ac:dyDescent="0.25">
      <c r="A2929" s="259" t="str">
        <f>B2916</f>
        <v>F</v>
      </c>
      <c r="B2929" s="236" t="str">
        <f ca="1">IF(AND(OFFSET($AO$1,$C2916-1,8,1,1),$A2917&lt;&gt;"",$J2917&lt;&gt;""),CHOOSE($C2916,$AP$1,$AP$2,$AP$3,$AP$4,$AP$5,$AP$6,$AP$7,$AP$8,$AP$9,$AP$10,$AP$11,$AP$12),"")</f>
        <v/>
      </c>
      <c r="C2929" s="237"/>
      <c r="D2929" s="237"/>
      <c r="E2929" s="237"/>
      <c r="F2929" s="237"/>
      <c r="G2929" s="237"/>
      <c r="H2929" s="233"/>
      <c r="I2929" s="233"/>
      <c r="J2929" s="233"/>
      <c r="K2929" s="233"/>
      <c r="L2929" s="233"/>
      <c r="M2929" s="245" t="str">
        <f ca="1">IF(OR(AND($B2922&lt;&gt;"",$B2929&lt;&gt;"",$C2947&lt;=$B2947),AND($B2924&lt;&gt;"",$B2931&lt;&gt;"",$G2947&lt;=$F2947)),"Invalid Lineup","")</f>
        <v/>
      </c>
      <c r="N2929" s="246"/>
      <c r="O2929" s="246"/>
      <c r="P2929" s="247"/>
      <c r="Q2929" s="40" t="str">
        <f>IF($L2929=$L2931,IF($K2929=$K2931,IF($J2929&lt;&gt;"",IF($J2929&gt;$J2931,"W","L"),""),IF($K2929&gt;$K2931,"W","L")),IF($L2929&gt;$L2931,"W","L"))</f>
        <v/>
      </c>
      <c r="R2929" s="259" t="str">
        <f>$K2916</f>
        <v>K</v>
      </c>
      <c r="S2929" s="307" t="str">
        <f ca="1">IF($B2931&lt;&gt;"",$B2931,"")</f>
        <v/>
      </c>
      <c r="T2929" s="308"/>
      <c r="U2929" s="308"/>
      <c r="V2929" s="308"/>
      <c r="W2929" s="308"/>
      <c r="X2929" s="309"/>
      <c r="Y2929" s="284"/>
      <c r="Z2929" s="284"/>
      <c r="AA2929" s="284"/>
      <c r="AB2929" s="284"/>
      <c r="AC2929" s="297"/>
      <c r="AD2929" s="289" t="s">
        <v>169</v>
      </c>
      <c r="AE2929" s="290"/>
      <c r="AF2929" s="291"/>
    </row>
    <row r="2930" spans="1:32" ht="12.75" customHeight="1" x14ac:dyDescent="0.25">
      <c r="A2930" s="260"/>
      <c r="B2930" s="238"/>
      <c r="C2930" s="239"/>
      <c r="D2930" s="239"/>
      <c r="E2930" s="239"/>
      <c r="F2930" s="239"/>
      <c r="G2930" s="239"/>
      <c r="H2930" s="234"/>
      <c r="I2930" s="234"/>
      <c r="J2930" s="234"/>
      <c r="K2930" s="234"/>
      <c r="L2930" s="234"/>
      <c r="M2930" s="245"/>
      <c r="N2930" s="246"/>
      <c r="O2930" s="246"/>
      <c r="P2930" s="247"/>
      <c r="Q2930" s="110" t="str">
        <f>IF($Q2929&lt;&gt;"",IF($Q2929="W",IF(SUM(IF($H2929&gt;$H2931,1,0),IF($I2929&gt;$I2931,1,0),IF($J2929&gt;$J2931,1,0),IF($K2929&gt;$K2931,1,0),IF($L2929&gt;$L2931,1,0))&lt;&gt;3,"Error",""),""),"")</f>
        <v/>
      </c>
      <c r="R2930" s="285"/>
      <c r="S2930" s="310"/>
      <c r="T2930" s="311"/>
      <c r="U2930" s="311"/>
      <c r="V2930" s="311"/>
      <c r="W2930" s="311"/>
      <c r="X2930" s="312"/>
      <c r="Y2930" s="285"/>
      <c r="Z2930" s="285"/>
      <c r="AA2930" s="285"/>
      <c r="AB2930" s="285"/>
      <c r="AC2930" s="285"/>
      <c r="AD2930" s="292"/>
      <c r="AE2930" s="293"/>
      <c r="AF2930" s="294"/>
    </row>
    <row r="2931" spans="1:32" ht="12.75" customHeight="1" x14ac:dyDescent="0.25">
      <c r="A2931" s="259" t="str">
        <f>K2916</f>
        <v>K</v>
      </c>
      <c r="B2931" s="236" t="str">
        <f ca="1">IF(AND(OFFSET($AO$1,$L2916-1,8,1,1),$A2917&lt;&gt;"",$J2917&lt;&gt;""),CHOOSE($L2916,$AP$1,$AP$2,$AP$3,$AP$4,$AP$5,$AP$6,$AP$7,$AP$8,$AP$9,$AP$10,$AP$11,$AP$12),"")</f>
        <v/>
      </c>
      <c r="C2931" s="237"/>
      <c r="D2931" s="237"/>
      <c r="E2931" s="237"/>
      <c r="F2931" s="237"/>
      <c r="G2931" s="237"/>
      <c r="H2931" s="233"/>
      <c r="I2931" s="233"/>
      <c r="J2931" s="233"/>
      <c r="K2931" s="233"/>
      <c r="L2931" s="233"/>
      <c r="M2931" s="250" t="s">
        <v>169</v>
      </c>
      <c r="N2931" s="251"/>
      <c r="O2931" s="251"/>
      <c r="P2931" s="252"/>
      <c r="Q2931" s="40" t="str">
        <f>IF($Q2929&lt;&gt;"",IF($Q2929="W","L","W"),"")</f>
        <v/>
      </c>
      <c r="R2931" s="14"/>
      <c r="S2931" s="14"/>
      <c r="T2931" s="14"/>
      <c r="U2931" s="14"/>
      <c r="V2931" s="14"/>
      <c r="W2931" s="14"/>
      <c r="X2931" s="7"/>
      <c r="Y2931" s="7"/>
      <c r="Z2931" s="14"/>
      <c r="AA2931" s="14"/>
      <c r="AB2931" s="14"/>
      <c r="AC2931" s="14"/>
      <c r="AD2931" s="14"/>
      <c r="AE2931" s="14"/>
      <c r="AF2931"/>
    </row>
    <row r="2932" spans="1:32" ht="12.75" customHeight="1" x14ac:dyDescent="0.25">
      <c r="A2932" s="260"/>
      <c r="B2932" s="238"/>
      <c r="C2932" s="239"/>
      <c r="D2932" s="239"/>
      <c r="E2932" s="239"/>
      <c r="F2932" s="239"/>
      <c r="G2932" s="239"/>
      <c r="H2932" s="234"/>
      <c r="I2932" s="234"/>
      <c r="J2932" s="235"/>
      <c r="K2932" s="235"/>
      <c r="L2932" s="235"/>
      <c r="M2932" s="250"/>
      <c r="N2932" s="251"/>
      <c r="O2932" s="251"/>
      <c r="P2932" s="252"/>
      <c r="Q2932" s="110" t="str">
        <f>IF($Q2931&lt;&gt;"",IF($Q2931="W",IF(SUM(IF($H2931&gt;$H2929,1,0),IF($I2931&gt;$I2929,1,0),IF($J2931&gt;$J2929,1,0),IF($K2931&gt;$K2929,1,0),IF($L2931&gt;$L2929,1,0))&lt;&gt;3,"Error",""),""),"")</f>
        <v/>
      </c>
      <c r="R2932" s="14"/>
      <c r="S2932" s="14"/>
      <c r="T2932" s="14"/>
      <c r="U2932" s="14"/>
      <c r="V2932" s="14"/>
      <c r="W2932" s="14"/>
      <c r="X2932" s="7"/>
      <c r="Y2932" s="7"/>
      <c r="Z2932" s="14"/>
      <c r="AA2932" s="14"/>
      <c r="AB2932" s="14"/>
      <c r="AC2932" s="14"/>
      <c r="AD2932" s="14"/>
      <c r="AE2932" s="14"/>
      <c r="AF2932"/>
    </row>
    <row r="2933" spans="1:32" ht="12.75" customHeight="1" x14ac:dyDescent="0.25">
      <c r="Q2933" s="6"/>
      <c r="R2933" s="14"/>
      <c r="S2933" s="14"/>
      <c r="T2933" s="14"/>
      <c r="U2933" s="14"/>
      <c r="V2933" s="14"/>
      <c r="W2933" s="14"/>
      <c r="X2933" s="7"/>
      <c r="Y2933" s="7"/>
      <c r="Z2933" s="14"/>
      <c r="AA2933" s="14"/>
      <c r="AB2933" s="14"/>
      <c r="AC2933" s="14"/>
      <c r="AD2933" s="14"/>
      <c r="AE2933" s="14"/>
      <c r="AF2933"/>
    </row>
    <row r="2934" spans="1:32" ht="12.75" customHeight="1" x14ac:dyDescent="0.25">
      <c r="A2934" s="15" t="s">
        <v>167</v>
      </c>
      <c r="H2934" s="110" t="str">
        <f>IF($Q2936&lt;&gt;"",IF(AND(AND($H2936&gt;-1,$H2938&gt;-1),OR($H2936&gt;10,$H2938&gt;10),ABS($H2936-$H2938)&gt;1,IF(OR($H2936&gt;11,$H2938&gt;11),ABS($H2936-$H2938)=2,TRUE),$H2936=INT($H2936),$H2938=INT($H2938)),"","Error"),"")</f>
        <v/>
      </c>
      <c r="I2934" s="110" t="str">
        <f>IF($Q2936&lt;&gt;"",IF(AND(AND($I2936&gt;-1,$I2938&gt;-1),OR($I2936&gt;10,$I2938&gt;10),ABS($I2936-$I2938)&gt;1,IF(OR($I2936&gt;11,$I2938&gt;11),ABS($I2936-$I2938)=2,TRUE),$I2936=INT($I2936),$I2938=INT($I2938)),"","Error"),"")</f>
        <v/>
      </c>
      <c r="J2934" s="110" t="str">
        <f>IF($Q2936&lt;&gt;"",IF(AND(AND($J2936&gt;-1,$J2938&gt;-1),OR($J2936&gt;10,$J2938&gt;10),ABS($J2936-$J2938)&gt;1,IF(OR($J2936&gt;11,$J2938&gt;11),ABS($J2936-$J2938)=2,TRUE),$J2936=INT($J2936),$J2938=INT($J2938)),"","Error"),"")</f>
        <v/>
      </c>
      <c r="K2934" s="110" t="str">
        <f>IF($Q2936&lt;&gt;"",IF(AND($K2936&lt;&gt;"",$K2938&lt;&gt;""), IF(AND(AND($K2936&gt;-1,$K2938&gt;-1),OR($K2936&gt;10,$K2938&gt;10),ABS($K2936-$K2938)&gt;1,IF(OR($K2936&gt;11,$K2938&gt;11),ABS($K2936-$K2938)=2,TRUE),$K2936=INT($K2936),$K2938=INT($K2938)),"","Error"),""),"")</f>
        <v/>
      </c>
      <c r="L2934" s="110" t="str">
        <f>IF($Q2936&lt;&gt;"",IF(AND($L2936&lt;&gt;"",$L2938&lt;&gt;""), IF(AND(AND($L2936&gt;-1,$L2938&gt;-1),OR($L2936&gt;10,$L2938&gt;10),ABS($L2936-$L2938)&gt;1,IF(OR($L2936&gt;11,$L2938&gt;11),ABS($L2936-$L2938)=2,TRUE),$L2936=INT($L2936),$L2938=INT($L2938)),"","Error"),""),"")</f>
        <v/>
      </c>
      <c r="Q2934" s="6"/>
      <c r="R2934" s="14"/>
      <c r="S2934" s="14"/>
      <c r="T2934" s="14"/>
      <c r="U2934" s="14"/>
      <c r="V2934" s="14"/>
      <c r="W2934" s="14"/>
      <c r="X2934" s="7"/>
      <c r="Y2934" s="7"/>
      <c r="Z2934" s="14"/>
      <c r="AA2934" s="14"/>
      <c r="AB2934" s="14"/>
      <c r="AC2934" s="14"/>
      <c r="AD2934" s="14"/>
      <c r="AE2934" s="14"/>
      <c r="AF2934"/>
    </row>
    <row r="2935" spans="1:32" ht="12.75" customHeight="1" x14ac:dyDescent="0.25">
      <c r="A2935" s="5" t="s">
        <v>160</v>
      </c>
      <c r="B2935" s="256" t="s">
        <v>58</v>
      </c>
      <c r="C2935" s="257"/>
      <c r="D2935" s="257"/>
      <c r="E2935" s="257"/>
      <c r="F2935" s="257"/>
      <c r="G2935" s="258"/>
      <c r="H2935" s="5">
        <v>1</v>
      </c>
      <c r="I2935" s="5">
        <v>2</v>
      </c>
      <c r="J2935" s="5">
        <v>3</v>
      </c>
      <c r="K2935" s="5">
        <v>4</v>
      </c>
      <c r="L2935" s="5">
        <v>5</v>
      </c>
      <c r="M2935" s="270"/>
      <c r="N2935" s="271"/>
      <c r="O2935" s="271"/>
      <c r="P2935" s="272"/>
      <c r="Q2935" s="6"/>
      <c r="R2935" s="14"/>
      <c r="S2935" s="14"/>
      <c r="T2935" s="14"/>
      <c r="U2935" s="14"/>
      <c r="V2935" s="14"/>
      <c r="W2935" s="14"/>
      <c r="X2935" s="7"/>
      <c r="Y2935" s="7"/>
      <c r="Z2935" s="14"/>
      <c r="AA2935" s="14"/>
      <c r="AB2935" s="14"/>
      <c r="AC2935" s="14"/>
      <c r="AD2935" s="14"/>
      <c r="AE2935" s="14"/>
      <c r="AF2935"/>
    </row>
    <row r="2936" spans="1:32" ht="12.75" customHeight="1" x14ac:dyDescent="0.25">
      <c r="A2936" s="259" t="str">
        <f>B2916</f>
        <v>F</v>
      </c>
      <c r="B2936" s="236" t="str">
        <f ca="1">IF(AND(OFFSET($AO$1,$C2916-1,8,1,1),$A2917&lt;&gt;"",$J2917&lt;&gt;""),CHOOSE($C2916,$AQ$1,$AQ$2,$AQ$3,$AQ$4,$AQ$5,$AQ$6,$AQ$7,$AQ$8,$AQ$9,$AQ$10,$AQ$11,$AQ$12),"")</f>
        <v/>
      </c>
      <c r="C2936" s="237"/>
      <c r="D2936" s="237"/>
      <c r="E2936" s="237"/>
      <c r="F2936" s="237"/>
      <c r="G2936" s="237"/>
      <c r="H2936" s="233"/>
      <c r="I2936" s="233"/>
      <c r="J2936" s="233"/>
      <c r="K2936" s="233"/>
      <c r="L2936" s="233"/>
      <c r="M2936" s="245" t="str">
        <f ca="1">IF(OR(AND($B2929&lt;&gt;"",$B2936&lt;&gt;"",$D2947&lt;=$C2947),AND($B2931&lt;&gt;"",$B2938&lt;&gt;"",$H2947&lt;=$G2947)),"Invalid Lineup","")</f>
        <v/>
      </c>
      <c r="N2936" s="246"/>
      <c r="O2936" s="246"/>
      <c r="P2936" s="247"/>
      <c r="Q2936" s="40" t="str">
        <f>IF($L2936=$L2938,IF($K2936=$K2938,IF($J2936&lt;&gt;"",IF($J2936&gt;$J2938,"W","L"),""),IF($K2936&gt;$K2938,"W","L")),IF($L2936&gt;$L2938,"W","L"))</f>
        <v/>
      </c>
      <c r="R2936" s="14"/>
      <c r="S2936" s="14"/>
      <c r="T2936" s="14"/>
      <c r="U2936" s="14"/>
      <c r="V2936" s="14"/>
      <c r="W2936" s="14"/>
      <c r="X2936" s="7"/>
      <c r="Y2936" s="7"/>
      <c r="Z2936" s="14"/>
      <c r="AA2936" s="14"/>
      <c r="AB2936" s="14"/>
      <c r="AC2936" s="14"/>
      <c r="AD2936" s="14"/>
      <c r="AE2936" s="14"/>
      <c r="AF2936"/>
    </row>
    <row r="2937" spans="1:32" ht="12.75" customHeight="1" x14ac:dyDescent="0.25">
      <c r="A2937" s="260"/>
      <c r="B2937" s="238"/>
      <c r="C2937" s="239"/>
      <c r="D2937" s="239"/>
      <c r="E2937" s="239"/>
      <c r="F2937" s="239"/>
      <c r="G2937" s="239"/>
      <c r="H2937" s="234"/>
      <c r="I2937" s="234"/>
      <c r="J2937" s="234"/>
      <c r="K2937" s="234"/>
      <c r="L2937" s="234"/>
      <c r="M2937" s="245"/>
      <c r="N2937" s="246"/>
      <c r="O2937" s="246"/>
      <c r="P2937" s="247"/>
      <c r="Q2937" s="110" t="str">
        <f>IF($Q2936&lt;&gt;"",IF($Q2936="W",IF(SUM(IF($H2936&gt;$H2938,1,0),IF($I2936&gt;$I2938,1,0),IF($J2936&gt;$J2938,1,0),IF($K2936&gt;$K2938,1,0),IF($L2936&gt;$L2938,1,0))&lt;&gt;3,"Error",""),""),"")</f>
        <v/>
      </c>
      <c r="R2937" s="295" t="str">
        <f>$A2917</f>
        <v/>
      </c>
      <c r="S2937" s="295"/>
      <c r="T2937" s="295"/>
      <c r="U2937" s="295"/>
      <c r="V2937" s="295"/>
      <c r="W2937" s="295"/>
      <c r="X2937" s="219" t="str">
        <f>CONCATENATE("(",$B2916," vs ",$K2916,")")</f>
        <v>(F vs K)</v>
      </c>
      <c r="Y2937" s="219"/>
      <c r="Z2937" s="295" t="str">
        <f>$J2917</f>
        <v/>
      </c>
      <c r="AA2937" s="295"/>
      <c r="AB2937" s="295"/>
      <c r="AC2937" s="295"/>
      <c r="AD2937" s="295"/>
      <c r="AE2937" s="295"/>
      <c r="AF2937"/>
    </row>
    <row r="2938" spans="1:32" ht="12.75" customHeight="1" x14ac:dyDescent="0.25">
      <c r="A2938" s="259" t="str">
        <f>K2916</f>
        <v>K</v>
      </c>
      <c r="B2938" s="236" t="str">
        <f ca="1">IF(AND(OFFSET($AO$1,$L2916-1,8,1,1),$A2917&lt;&gt;"",$J2917&lt;&gt;""),CHOOSE($L2916,$AQ$1,$AQ$2,$AQ$3,$AQ$4,$AQ$5,$AQ$6,$AQ$7,$AQ$8,$AQ$9,$AQ$10,$AQ$11,$AQ$12),"")</f>
        <v/>
      </c>
      <c r="C2938" s="237"/>
      <c r="D2938" s="237"/>
      <c r="E2938" s="237"/>
      <c r="F2938" s="237"/>
      <c r="G2938" s="237"/>
      <c r="H2938" s="233"/>
      <c r="I2938" s="233"/>
      <c r="J2938" s="233"/>
      <c r="K2938" s="233"/>
      <c r="L2938" s="233"/>
      <c r="M2938" s="250" t="s">
        <v>169</v>
      </c>
      <c r="N2938" s="251"/>
      <c r="O2938" s="251"/>
      <c r="P2938" s="252"/>
      <c r="Q2938" s="40" t="str">
        <f>IF($Q2936&lt;&gt;"",IF($Q2936="W","L","W"),"")</f>
        <v/>
      </c>
      <c r="R2938"/>
      <c r="S2938"/>
      <c r="T2938"/>
      <c r="U2938"/>
      <c r="V2938"/>
      <c r="W2938"/>
      <c r="X2938"/>
      <c r="Y2938"/>
      <c r="Z2938"/>
      <c r="AA2938"/>
      <c r="AB2938"/>
      <c r="AC2938"/>
      <c r="AD2938"/>
      <c r="AE2938"/>
      <c r="AF2938"/>
    </row>
    <row r="2939" spans="1:32" ht="12.75" customHeight="1" x14ac:dyDescent="0.25">
      <c r="A2939" s="260"/>
      <c r="B2939" s="238"/>
      <c r="C2939" s="239"/>
      <c r="D2939" s="239"/>
      <c r="E2939" s="239"/>
      <c r="F2939" s="239"/>
      <c r="G2939" s="239"/>
      <c r="H2939" s="234"/>
      <c r="I2939" s="234"/>
      <c r="J2939" s="235"/>
      <c r="K2939" s="235"/>
      <c r="L2939" s="235"/>
      <c r="M2939" s="250"/>
      <c r="N2939" s="251"/>
      <c r="O2939" s="251"/>
      <c r="P2939" s="252"/>
      <c r="Q2939" s="110" t="str">
        <f>IF($Q2938&lt;&gt;"",IF($Q2938="W",IF(SUM(IF($H2938&gt;$H2936,1,0),IF($I2938&gt;$I2936,1,0),IF($J2938&gt;$J2936,1,0),IF($K2938&gt;$K2936,1,0),IF($L2938&gt;$L2936,1,0))&lt;&gt;3,"Error",""),""),"")</f>
        <v/>
      </c>
      <c r="R2939" t="str">
        <f>$A2934</f>
        <v>3rd Singles</v>
      </c>
      <c r="S2939"/>
      <c r="T2939"/>
      <c r="U2939"/>
      <c r="V2939"/>
      <c r="W2939"/>
      <c r="X2939"/>
      <c r="Y2939"/>
      <c r="Z2939"/>
      <c r="AA2939"/>
      <c r="AB2939"/>
      <c r="AC2939"/>
      <c r="AD2939"/>
      <c r="AE2939"/>
      <c r="AF2939"/>
    </row>
    <row r="2940" spans="1:32" ht="12.75" customHeight="1" x14ac:dyDescent="0.25">
      <c r="Q2940" s="6"/>
      <c r="R2940" s="47" t="s">
        <v>160</v>
      </c>
      <c r="S2940" s="86" t="s">
        <v>58</v>
      </c>
      <c r="T2940" s="87"/>
      <c r="U2940" s="87"/>
      <c r="V2940" s="87"/>
      <c r="W2940" s="87"/>
      <c r="X2940" s="88"/>
      <c r="Y2940" s="47">
        <v>1</v>
      </c>
      <c r="Z2940" s="47">
        <v>2</v>
      </c>
      <c r="AA2940" s="47">
        <v>3</v>
      </c>
      <c r="AB2940" s="47">
        <v>4</v>
      </c>
      <c r="AC2940" s="47">
        <v>5</v>
      </c>
      <c r="AD2940" s="89"/>
      <c r="AE2940" s="90"/>
      <c r="AF2940" s="91"/>
    </row>
    <row r="2941" spans="1:32" ht="12.75" customHeight="1" x14ac:dyDescent="0.25">
      <c r="A2941" s="15" t="s">
        <v>168</v>
      </c>
      <c r="H2941" s="110" t="str">
        <f ca="1">IF($Q2943&lt;&gt;"",IF(AND($B2943&lt;&gt;"Missing Player",$B2945&lt;&gt;"Missing Player"),IF(AND(AND($H2943&gt;-1,$H2945&gt;-1),OR($H2943&gt;10,$H2945&gt;10),ABS($H2943-$H2945)&gt;1,IF(OR($H2943&gt;11,$H2945&gt;11),ABS($H2943-$H2945)=2,TRUE),$H2943=INT($H2943),$H2945=INT($H2945)),"","Error"),""),"")</f>
        <v/>
      </c>
      <c r="I2941" s="110" t="str">
        <f ca="1">IF($Q2943&lt;&gt;"",IF(AND($B2943&lt;&gt;"Missing Player",$B2945&lt;&gt;"Missing Player"),IF(AND(AND($I2943&gt;-1,$I2945&gt;-1),OR($I2943&gt;10,$I2945&gt;10),ABS($I2943-$I2945)&gt;1,IF(OR($I2943&gt;11,$I2945&gt;11),ABS($I2943-$I2945)=2,TRUE),$I2943=INT($I2943),$I2945=INT($I2945)),"","Error"),""),"")</f>
        <v/>
      </c>
      <c r="J2941" s="110" t="str">
        <f ca="1">IF($Q2943&lt;&gt;"",IF(AND($B2943&lt;&gt;"Missing Player",$B2945&lt;&gt;"Missing Player"),IF(AND(AND($J2943&gt;-1,$J2945&gt;-1),OR($J2943&gt;10,$J2945&gt;10),ABS($J2943-$J2945)&gt;1,IF(OR($J2943&gt;11,$J2945&gt;11),ABS($J2943-$J2945)=2,TRUE),$J2943=INT($J2943),$J2945=INT($J2945)),"","Error"),""),"")</f>
        <v/>
      </c>
      <c r="K2941" s="110" t="str">
        <f ca="1">IF($Q2943&lt;&gt;"",IF(AND($K2943&lt;&gt;"",$K2945&lt;&gt;""), IF(AND(AND($K2943&gt;-1,$K2945&gt;-1),OR($K2943&gt;10,$K2945&gt;10),ABS($K2943-$K2945)&gt;1,IF(OR($K2943&gt;11,$K2945&gt;11),ABS($K2943-$K2945)=2,TRUE),$K2943=INT($K2943),$K2945=INT($K2945)),"","Error"),""),"")</f>
        <v/>
      </c>
      <c r="L2941" s="110" t="str">
        <f ca="1">IF($Q2943&lt;&gt;"",IF(AND($L2943&lt;&gt;"",$L2945&lt;&gt;""), IF(AND(AND($L2943&gt;-1,$L2945&gt;-1),OR($L2943&gt;10,$L2945&gt;10),ABS($L2943-$L2945)&gt;1,IF(OR($L2943&gt;11,$L2945&gt;11),ABS($L2943-$L2945)=2,TRUE),$L2943=INT($L2943),$L2945=INT($L2945)),"","Error"),""),"")</f>
        <v/>
      </c>
      <c r="Q2941" s="6"/>
      <c r="R2941" s="259" t="str">
        <f>$B2916</f>
        <v>F</v>
      </c>
      <c r="S2941" s="307" t="str">
        <f ca="1">IF($B2936&lt;&gt;"",$B2936,"")</f>
        <v/>
      </c>
      <c r="T2941" s="308"/>
      <c r="U2941" s="308"/>
      <c r="V2941" s="308"/>
      <c r="W2941" s="308"/>
      <c r="X2941" s="309"/>
      <c r="Y2941" s="284"/>
      <c r="Z2941" s="284"/>
      <c r="AA2941" s="284"/>
      <c r="AB2941" s="284"/>
      <c r="AC2941" s="284"/>
      <c r="AD2941" s="296"/>
      <c r="AE2941" s="290"/>
      <c r="AF2941" s="291"/>
    </row>
    <row r="2942" spans="1:32" ht="12.75" customHeight="1" x14ac:dyDescent="0.25">
      <c r="A2942" s="5" t="s">
        <v>160</v>
      </c>
      <c r="B2942" s="256" t="s">
        <v>58</v>
      </c>
      <c r="C2942" s="257"/>
      <c r="D2942" s="257"/>
      <c r="E2942" s="257"/>
      <c r="F2942" s="257"/>
      <c r="G2942" s="258"/>
      <c r="H2942" s="5">
        <v>1</v>
      </c>
      <c r="I2942" s="5">
        <v>2</v>
      </c>
      <c r="J2942" s="5">
        <v>3</v>
      </c>
      <c r="K2942" s="5">
        <v>4</v>
      </c>
      <c r="L2942" s="5">
        <v>5</v>
      </c>
      <c r="M2942" s="270"/>
      <c r="N2942" s="271"/>
      <c r="O2942" s="271"/>
      <c r="P2942" s="272"/>
      <c r="Q2942" s="6"/>
      <c r="R2942" s="285"/>
      <c r="S2942" s="310"/>
      <c r="T2942" s="311"/>
      <c r="U2942" s="311"/>
      <c r="V2942" s="311"/>
      <c r="W2942" s="311"/>
      <c r="X2942" s="312"/>
      <c r="Y2942" s="285"/>
      <c r="Z2942" s="285"/>
      <c r="AA2942" s="285"/>
      <c r="AB2942" s="285"/>
      <c r="AC2942" s="285"/>
      <c r="AD2942" s="292"/>
      <c r="AE2942" s="293"/>
      <c r="AF2942" s="294"/>
    </row>
    <row r="2943" spans="1:32" ht="12.75" customHeight="1" x14ac:dyDescent="0.25">
      <c r="A2943" s="259" t="str">
        <f>B2916</f>
        <v>F</v>
      </c>
      <c r="B2943" s="236" t="str">
        <f ca="1">IF(AND(OFFSET($AO$1,$C2916-1,8,1,1),$A2917&lt;&gt;"",$J2917&lt;&gt;""),CHOOSE($C2916,$AR$1,$AR$2,$AR$3,$AR$4,$AR$5,$AR$6,$AR$7,$AR$8,$AR$9,$AR$10,$AR$11,$AR$12),"")</f>
        <v/>
      </c>
      <c r="C2943" s="237"/>
      <c r="D2943" s="237"/>
      <c r="E2943" s="237"/>
      <c r="F2943" s="237"/>
      <c r="G2943" s="237"/>
      <c r="H2943" s="233"/>
      <c r="I2943" s="233"/>
      <c r="J2943" s="233"/>
      <c r="K2943" s="233"/>
      <c r="L2943" s="233" t="str">
        <f ca="1">IF(AND($B2943&lt;&gt;"",$Q2922&lt;&gt;""),IF($B2943="Missing Player",0,IF($B2945="Missing Player",11,"")),"")</f>
        <v/>
      </c>
      <c r="M2943" s="245" t="str">
        <f ca="1">IF(OR(AND($B2936&lt;&gt;"",$B2943&lt;&gt;"",$E2947&lt;=$D2947),AND($B2938&lt;&gt;"",$B2945&lt;&gt;"",$I2947&lt;=$H2947)),"Invalid Lineup","")</f>
        <v/>
      </c>
      <c r="N2943" s="246"/>
      <c r="O2943" s="246"/>
      <c r="P2943" s="247"/>
      <c r="Q2943" s="40" t="str">
        <f ca="1">IF($L2943=$L2945,IF($K2943=$K2945,IF($J2943&lt;&gt;"",IF($J2943&gt;$J2945,"W","L"),""),IF($K2943&gt;$K2945,"W","L")),IF($L2943&gt;$L2945,"W","L"))</f>
        <v/>
      </c>
      <c r="R2943" s="259" t="str">
        <f>$K2916</f>
        <v>K</v>
      </c>
      <c r="S2943" s="307" t="str">
        <f ca="1">IF($B2938&lt;&gt;"",$B2938,"")</f>
        <v/>
      </c>
      <c r="T2943" s="308"/>
      <c r="U2943" s="308"/>
      <c r="V2943" s="308"/>
      <c r="W2943" s="308"/>
      <c r="X2943" s="309"/>
      <c r="Y2943" s="284"/>
      <c r="Z2943" s="284"/>
      <c r="AA2943" s="284"/>
      <c r="AB2943" s="284"/>
      <c r="AC2943" s="297"/>
      <c r="AD2943" s="289" t="s">
        <v>169</v>
      </c>
      <c r="AE2943" s="290"/>
      <c r="AF2943" s="291"/>
    </row>
    <row r="2944" spans="1:32" ht="12.75" customHeight="1" x14ac:dyDescent="0.25">
      <c r="A2944" s="260"/>
      <c r="B2944" s="238"/>
      <c r="C2944" s="239"/>
      <c r="D2944" s="239"/>
      <c r="E2944" s="239"/>
      <c r="F2944" s="239"/>
      <c r="G2944" s="239"/>
      <c r="H2944" s="234"/>
      <c r="I2944" s="234"/>
      <c r="J2944" s="234"/>
      <c r="K2944" s="234"/>
      <c r="L2944" s="234"/>
      <c r="M2944" s="245"/>
      <c r="N2944" s="246"/>
      <c r="O2944" s="246"/>
      <c r="P2944" s="247"/>
      <c r="Q2944" s="110" t="str">
        <f ca="1">IF($Q2943&lt;&gt;"",IF($B2945&lt;&gt;"Missing Player",IF($Q2943="W",IF(SUM(IF($H2943&gt;$H2945,1,0),IF($I2943&gt;$I2945,1,0),IF($J2943&gt;$J2945,1,0),IF($K2943&gt;$K2945,1,0),IF($L2943&gt;$L2945,1,0))&lt;&gt;3,"Error",""),""),""),"")</f>
        <v/>
      </c>
      <c r="R2944" s="285"/>
      <c r="S2944" s="310"/>
      <c r="T2944" s="311"/>
      <c r="U2944" s="311"/>
      <c r="V2944" s="311"/>
      <c r="W2944" s="311"/>
      <c r="X2944" s="312"/>
      <c r="Y2944" s="285"/>
      <c r="Z2944" s="285"/>
      <c r="AA2944" s="285"/>
      <c r="AB2944" s="285"/>
      <c r="AC2944" s="285"/>
      <c r="AD2944" s="292"/>
      <c r="AE2944" s="293"/>
      <c r="AF2944" s="294"/>
    </row>
    <row r="2945" spans="1:32" ht="12.75" customHeight="1" x14ac:dyDescent="0.25">
      <c r="A2945" s="259" t="str">
        <f>K2916</f>
        <v>K</v>
      </c>
      <c r="B2945" s="236" t="str">
        <f ca="1">IF(AND(OFFSET($AO$1,$L2916-1,8,1,1),$A2917&lt;&gt;"",$J2917&lt;&gt;""),CHOOSE($L2916,$AR$1,$AR$2,$AR$3,$AR$4,$AR$5,$AR$6,$AR$7,$AR$8,$AR$9,$AR$10,$AR$11,$AR$12),"")</f>
        <v/>
      </c>
      <c r="C2945" s="237"/>
      <c r="D2945" s="237"/>
      <c r="E2945" s="237"/>
      <c r="F2945" s="237"/>
      <c r="G2945" s="237"/>
      <c r="H2945" s="233"/>
      <c r="I2945" s="233"/>
      <c r="J2945" s="233"/>
      <c r="K2945" s="233"/>
      <c r="L2945" s="233" t="str">
        <f ca="1">IF(AND($B2945&lt;&gt;"",$Q2922&lt;&gt;""),IF($B2945="Missing Player",0,IF($B2943="Missing Player",11,"")),"")</f>
        <v/>
      </c>
      <c r="M2945" s="250" t="s">
        <v>169</v>
      </c>
      <c r="N2945" s="251"/>
      <c r="O2945" s="251"/>
      <c r="P2945" s="252"/>
      <c r="Q2945" s="40" t="str">
        <f ca="1">IF($Q2943&lt;&gt;"",IF($Q2943="W","L","W"),"")</f>
        <v/>
      </c>
      <c r="R2945" s="94"/>
      <c r="S2945" s="84"/>
      <c r="T2945" s="84"/>
      <c r="U2945" s="84"/>
      <c r="V2945" s="84"/>
      <c r="W2945" s="84"/>
      <c r="X2945" s="84"/>
      <c r="Y2945" s="93"/>
      <c r="Z2945" s="93"/>
      <c r="AA2945" s="93"/>
      <c r="AB2945" s="93"/>
      <c r="AC2945" s="93"/>
      <c r="AD2945" s="92"/>
      <c r="AE2945" s="93"/>
      <c r="AF2945" s="93"/>
    </row>
    <row r="2946" spans="1:32" ht="12.75" customHeight="1" x14ac:dyDescent="0.25">
      <c r="A2946" s="260"/>
      <c r="B2946" s="238"/>
      <c r="C2946" s="239"/>
      <c r="D2946" s="239"/>
      <c r="E2946" s="239"/>
      <c r="F2946" s="239"/>
      <c r="G2946" s="239"/>
      <c r="H2946" s="234"/>
      <c r="I2946" s="234"/>
      <c r="J2946" s="235"/>
      <c r="K2946" s="235"/>
      <c r="L2946" s="235"/>
      <c r="M2946" s="250"/>
      <c r="N2946" s="251"/>
      <c r="O2946" s="251"/>
      <c r="P2946" s="252"/>
      <c r="Q2946" s="110" t="str">
        <f ca="1">IF($Q2945&lt;&gt;"",IF($B2943&lt;&gt;"Missing Player",IF($Q2945="W",IF(SUM(IF($H2945&gt;$H2943,1,0),IF($I2945&gt;$I2943,1,0),IF($J2945&gt;$J2943,1,0),IF($K2945&gt;$K2943,1,0),IF($L2945&gt;$L2943,1,0))&lt;&gt;3,"Error",""),""),""),"")</f>
        <v/>
      </c>
      <c r="R2946" s="85"/>
      <c r="S2946" s="95"/>
      <c r="T2946" s="95"/>
      <c r="U2946" s="95"/>
      <c r="V2946" s="95"/>
      <c r="W2946" s="95"/>
      <c r="X2946" s="95"/>
      <c r="Y2946" s="85"/>
      <c r="Z2946" s="85"/>
      <c r="AA2946" s="85"/>
      <c r="AB2946" s="85"/>
      <c r="AC2946" s="85"/>
      <c r="AD2946" s="85"/>
      <c r="AE2946" s="85"/>
      <c r="AF2946" s="85"/>
    </row>
    <row r="2947" spans="1:32" ht="12.75" customHeight="1" x14ac:dyDescent="0.25">
      <c r="B2947" s="111" t="str">
        <f ca="1">IF(ISERROR(VLOOKUP($B2922&amp;"("&amp;$B2916&amp;")",Players!$S$4:$T$132,2,FALSE)),"",VLOOKUP($B2922&amp;"("&amp;$B2916&amp;")",Players!$S$4:$T$132,2,FALSE))</f>
        <v>F1</v>
      </c>
      <c r="C2947" s="111" t="str">
        <f ca="1">IF(ISERROR(VLOOKUP($B2929&amp;"("&amp;$B2916&amp;")",Players!$S$4:$T$132,2,FALSE)),"",VLOOKUP($B2929&amp;"("&amp;$B2916&amp;")",Players!$S$4:$T$132,2,FALSE))</f>
        <v>F1</v>
      </c>
      <c r="D2947" s="111" t="str">
        <f ca="1">IF(ISERROR(VLOOKUP($B2936&amp;"("&amp;$B2916&amp;")",Players!$S$4:$T$132,2,FALSE)),"",VLOOKUP($B2936&amp;"("&amp;$B2916&amp;")",Players!$S$4:$T$132,2,FALSE))</f>
        <v>F1</v>
      </c>
      <c r="E2947" s="111" t="str">
        <f ca="1">IF(ISERROR(VLOOKUP($B2943&amp;"("&amp;$B2916&amp;")",Players!$S$4:$T$132,2,FALSE)),"",VLOOKUP($B2943&amp;"("&amp;$B2916&amp;")",Players!$S$4:$T$132,2,FALSE))</f>
        <v>F1</v>
      </c>
      <c r="F2947" s="111" t="str">
        <f ca="1">IF(ISERROR(VLOOKUP($B2924&amp;"("&amp;$K2916&amp;")",Players!$S$4:$T$132,2,FALSE)),"",VLOOKUP($B2924&amp;"("&amp;$K2916&amp;")",Players!$S$4:$T$132,2,FALSE))</f>
        <v>K1</v>
      </c>
      <c r="G2947" s="111" t="str">
        <f ca="1">IF(ISERROR(VLOOKUP($B2931&amp;"("&amp;$K2916&amp;")",Players!$S$4:$T$132,2,FALSE)),"",VLOOKUP($B2931&amp;"("&amp;$K2916&amp;")",Players!$S$4:$T$132,2,FALSE))</f>
        <v>K1</v>
      </c>
      <c r="H2947" s="111" t="str">
        <f ca="1">IF(ISERROR(VLOOKUP($B2938&amp;"("&amp;$K2916&amp;")",Players!$S$4:$T$132,2,FALSE)),"",VLOOKUP($B2938&amp;"("&amp;$K2916&amp;")",Players!$S$4:$T$132,2,FALSE))</f>
        <v>K1</v>
      </c>
      <c r="I2947" s="111" t="str">
        <f ca="1">IF(ISERROR(VLOOKUP($B2945&amp;"("&amp;$K2916&amp;")",Players!$S$4:$T$132,2,FALSE)),"",VLOOKUP($B2945&amp;"("&amp;$K2916&amp;")",Players!$S$4:$T$132,2,FALSE))</f>
        <v>K1</v>
      </c>
      <c r="Q2947" s="6"/>
      <c r="R2947" s="37"/>
      <c r="S2947" s="95"/>
      <c r="T2947" s="95"/>
      <c r="U2947" s="95"/>
      <c r="V2947" s="95"/>
      <c r="W2947" s="95"/>
      <c r="X2947" s="95"/>
      <c r="Y2947" s="85"/>
      <c r="Z2947" s="85"/>
      <c r="AA2947" s="85"/>
      <c r="AB2947" s="85"/>
      <c r="AC2947" s="96"/>
      <c r="AD2947" s="97"/>
      <c r="AE2947" s="85"/>
      <c r="AF2947" s="85"/>
    </row>
    <row r="2948" spans="1:32" ht="12.75" customHeight="1" x14ac:dyDescent="0.25">
      <c r="A2948" s="15" t="s">
        <v>157</v>
      </c>
      <c r="H2948" s="110" t="str">
        <f ca="1">IF($Q2950&lt;&gt;"",IF(AND($B2951&lt;&gt;"Missing Player",$B2953&lt;&gt;"Missing Player"),IF(AND(AND($H2950&gt;-1,$H2952&gt;-1),OR($H2950&gt;10,$H2952&gt;10),ABS($H2950-$H2952)&gt;1,IF(OR($H2950&gt;11,$H2952&gt;11),ABS($H2950-$H2952)=2,TRUE),$H2950=INT($H2950),$H2952=INT($H2952)),"","Error"),""),"")</f>
        <v/>
      </c>
      <c r="I2948" s="110" t="str">
        <f ca="1">IF($Q2950&lt;&gt;"",IF(AND($B2951&lt;&gt;"Missing Player",$B2953&lt;&gt;"Missing Player"),IF(AND(AND($I2950&gt;-1,$I2952&gt;-1),OR($I2950&gt;10,$I2952&gt;10),ABS($I2950-$I2952)&gt;1,IF(OR($I2950&gt;11,$I2952&gt;11),ABS($I2950-$I2952)=2,TRUE),$I2950=INT($I2950),$I2952=INT($I2952)),"","Error"),""),"")</f>
        <v/>
      </c>
      <c r="J2948" s="110" t="str">
        <f ca="1">IF($Q2950&lt;&gt;"",IF(AND($B2951&lt;&gt;"Missing Player",$B2953&lt;&gt;"Missing Player"),IF(AND(AND($J2950&gt;-1,$J2952&gt;-1),OR($J2950&gt;10,$J2952&gt;10),ABS($J2950-$J2952)&gt;1,IF(OR($J2950&gt;11,$J2952&gt;11),ABS($J2950-$J2952)=2,TRUE),$J2950=INT($J2950),$J2952=INT($J2952)),"","Error"),""),"")</f>
        <v/>
      </c>
      <c r="K2948" s="110" t="str">
        <f ca="1">IF($Q2950&lt;&gt;"",IF(AND($K2950&lt;&gt;"",$K2952&lt;&gt;""), IF(AND(AND($K2950&gt;-1,$K2952&gt;-1),OR($K2950&gt;10,$K2952&gt;10),ABS($K2950-$K2952)&gt;1,IF(OR($K2950&gt;11,$K2952&gt;11),ABS($K2950-$K2952)=2,TRUE),$K2950=INT($K2950),$K2952=INT($K2952)),"","Error"),""),"")</f>
        <v/>
      </c>
      <c r="L2948" s="110" t="str">
        <f ca="1">IF($Q2950&lt;&gt;"",IF(AND($L2950&lt;&gt;"",$L2952&lt;&gt;""), IF(AND(AND($L2950&gt;-1,$L2952&gt;-1),OR($L2950&gt;10,$L2952&gt;10),ABS($L2950-$L2952)&gt;1,IF(OR($L2950&gt;11,$L2952&gt;11),ABS($L2950-$L2952)=2,TRUE),$L2950=INT($L2950),$L2952=INT($L2952)),"","Error"),""),"")</f>
        <v/>
      </c>
      <c r="Q2948" s="6"/>
      <c r="R2948" s="85"/>
      <c r="S2948" s="95"/>
      <c r="T2948" s="95"/>
      <c r="U2948" s="95"/>
      <c r="V2948" s="95"/>
      <c r="W2948" s="95"/>
      <c r="X2948" s="95"/>
      <c r="Y2948" s="85"/>
      <c r="Z2948" s="85"/>
      <c r="AA2948" s="85"/>
      <c r="AB2948" s="85"/>
      <c r="AC2948" s="85"/>
      <c r="AD2948" s="85"/>
      <c r="AE2948" s="85"/>
      <c r="AF2948" s="85"/>
    </row>
    <row r="2949" spans="1:32" ht="12.75" customHeight="1" x14ac:dyDescent="0.25">
      <c r="A2949" s="5" t="s">
        <v>160</v>
      </c>
      <c r="B2949" s="256" t="s">
        <v>58</v>
      </c>
      <c r="C2949" s="257"/>
      <c r="D2949" s="257"/>
      <c r="E2949" s="257"/>
      <c r="F2949" s="257"/>
      <c r="G2949" s="258"/>
      <c r="H2949" s="5">
        <v>1</v>
      </c>
      <c r="I2949" s="5">
        <v>2</v>
      </c>
      <c r="J2949" s="5">
        <v>3</v>
      </c>
      <c r="K2949" s="5">
        <v>4</v>
      </c>
      <c r="L2949" s="5">
        <v>5</v>
      </c>
      <c r="M2949" s="270"/>
      <c r="N2949" s="271"/>
      <c r="O2949" s="271"/>
      <c r="P2949" s="272"/>
      <c r="Q2949" s="6"/>
      <c r="T2949" s="7"/>
    </row>
    <row r="2950" spans="1:32" ht="12.75" customHeight="1" x14ac:dyDescent="0.25">
      <c r="A2950" s="259" t="str">
        <f>B2916</f>
        <v>F</v>
      </c>
      <c r="B2950" s="230" t="str">
        <f ca="1">IF($B2922&lt;&gt;"",$B2922,"")</f>
        <v/>
      </c>
      <c r="C2950" s="231"/>
      <c r="D2950" s="231"/>
      <c r="E2950" s="231"/>
      <c r="F2950" s="231"/>
      <c r="G2950" s="232"/>
      <c r="H2950" s="233"/>
      <c r="I2950" s="233"/>
      <c r="J2950" s="233"/>
      <c r="K2950" s="233"/>
      <c r="L2950" s="233" t="str">
        <f ca="1">IF($B2943&lt;&gt;"",IF(AND($B2943="Missing Player",$G2954=2,$J2954=2),0,IF(AND($B2945="Missing Player",$G2954=2,$J2954=2),11,"")),"")</f>
        <v/>
      </c>
      <c r="M2950" s="245" t="str">
        <f ca="1">IF(OR(AND($B2950&lt;&gt;"",$B2951&lt;&gt;"",$B2950=$B2951),AND($B2952&lt;&gt;"",$B2953&lt;&gt;"",$B2952=$B2953)),"Invalid Partner","")</f>
        <v/>
      </c>
      <c r="N2950" s="246"/>
      <c r="O2950" s="246"/>
      <c r="P2950" s="247"/>
      <c r="Q2950" s="37" t="str">
        <f ca="1">IF(L2950=L2952,IF(K2950=K2952,IF(J2950&lt;&gt;"",IF(J2950&gt;J2952,"W","L"),""),IF(K2950&gt;K2952,"W","L")),IF(L2950&gt;L2952,"W","L"))</f>
        <v/>
      </c>
      <c r="T2950" s="7"/>
    </row>
    <row r="2951" spans="1:32" ht="12.75" customHeight="1" x14ac:dyDescent="0.25">
      <c r="A2951" s="260"/>
      <c r="B2951" s="266" t="str">
        <f ca="1">IF($B2943="Missing Player",$B2943,"")</f>
        <v/>
      </c>
      <c r="C2951" s="267"/>
      <c r="D2951" s="267"/>
      <c r="E2951" s="267"/>
      <c r="F2951" s="267"/>
      <c r="G2951" s="268"/>
      <c r="H2951" s="234"/>
      <c r="I2951" s="234"/>
      <c r="J2951" s="234"/>
      <c r="K2951" s="234"/>
      <c r="L2951" s="234"/>
      <c r="M2951" s="245"/>
      <c r="N2951" s="246"/>
      <c r="O2951" s="246"/>
      <c r="P2951" s="247"/>
      <c r="Q2951" s="110" t="str">
        <f ca="1">IF($Q2950&lt;&gt;"",IF($B2953&lt;&gt;"Missing Player",IF($Q2950="W",IF(SUM(IF($H2950&gt;$H2952,1,0),IF($I2950&gt;$I2952,1,0),IF($J2950&gt;$J2952,1,0),IF($K2950&gt;$K2952,1,0),IF($L2950&gt;$L2952,1,0))&lt;&gt;3,"Error",""),""),""),"")</f>
        <v/>
      </c>
      <c r="R2951" s="295" t="str">
        <f>$A2917</f>
        <v/>
      </c>
      <c r="S2951" s="295"/>
      <c r="T2951" s="295"/>
      <c r="U2951" s="295"/>
      <c r="V2951" s="295"/>
      <c r="W2951" s="295"/>
      <c r="X2951" s="219" t="str">
        <f>CONCATENATE("(",$B2916," vs ",$K2916,")")</f>
        <v>(F vs K)</v>
      </c>
      <c r="Y2951" s="219"/>
      <c r="Z2951" s="295" t="str">
        <f>$J2917</f>
        <v/>
      </c>
      <c r="AA2951" s="295"/>
      <c r="AB2951" s="295"/>
      <c r="AC2951" s="295"/>
      <c r="AD2951" s="295"/>
      <c r="AE2951" s="295"/>
      <c r="AF2951"/>
    </row>
    <row r="2952" spans="1:32" ht="12.75" customHeight="1" x14ac:dyDescent="0.25">
      <c r="A2952" s="265" t="str">
        <f>K2916</f>
        <v>K</v>
      </c>
      <c r="B2952" s="230" t="str">
        <f ca="1">IF($B2924&lt;&gt;"",$B2924,"")</f>
        <v/>
      </c>
      <c r="C2952" s="231"/>
      <c r="D2952" s="231"/>
      <c r="E2952" s="231"/>
      <c r="F2952" s="231"/>
      <c r="G2952" s="232"/>
      <c r="H2952" s="233"/>
      <c r="I2952" s="233"/>
      <c r="J2952" s="233"/>
      <c r="K2952" s="233"/>
      <c r="L2952" s="233" t="str">
        <f ca="1">IF($B2945&lt;&gt;"",IF(AND($B2945="Missing Player",$G2954=2,$J2954=2),0,IF(AND($B2943="Missing Player",$G2954=2,$J2954=2),11,"")),"")</f>
        <v/>
      </c>
      <c r="M2952" s="250" t="s">
        <v>169</v>
      </c>
      <c r="N2952" s="251"/>
      <c r="O2952" s="251"/>
      <c r="P2952" s="252"/>
      <c r="Q2952" s="37" t="str">
        <f ca="1">IF(Q2950&lt;&gt;"",IF(Q2950="W","L","W"),"")</f>
        <v/>
      </c>
      <c r="R2952"/>
      <c r="S2952"/>
      <c r="T2952"/>
      <c r="U2952"/>
      <c r="V2952"/>
      <c r="W2952"/>
      <c r="X2952"/>
      <c r="Y2952"/>
      <c r="Z2952"/>
      <c r="AA2952"/>
      <c r="AB2952"/>
      <c r="AC2952"/>
      <c r="AD2952"/>
      <c r="AE2952"/>
      <c r="AF2952"/>
    </row>
    <row r="2953" spans="1:32" ht="12.75" customHeight="1" x14ac:dyDescent="0.25">
      <c r="A2953" s="260"/>
      <c r="B2953" s="266" t="str">
        <f ca="1">IF($B2945="Missing Player",$B2945,"")</f>
        <v/>
      </c>
      <c r="C2953" s="267"/>
      <c r="D2953" s="267"/>
      <c r="E2953" s="267"/>
      <c r="F2953" s="267"/>
      <c r="G2953" s="268"/>
      <c r="H2953" s="234"/>
      <c r="I2953" s="234"/>
      <c r="J2953" s="235"/>
      <c r="K2953" s="235"/>
      <c r="L2953" s="235"/>
      <c r="M2953" s="250"/>
      <c r="N2953" s="251"/>
      <c r="O2953" s="251"/>
      <c r="P2953" s="252"/>
      <c r="Q2953" s="110" t="str">
        <f ca="1">IF($Q2952&lt;&gt;"",IF($B2951&lt;&gt;"Missing Player",IF($Q2952="W",IF(SUM(IF($H2952&gt;$H2950,1,0),IF($I2952&gt;$I2950,1,0),IF($J2952&gt;$J2950,1,0),IF($K2952&gt;$K2950,1,0),IF($L2952&gt;$L2950,1,0))&lt;&gt;3,"Error",""),""),""),"")</f>
        <v/>
      </c>
      <c r="R2953" t="str">
        <f>A2941</f>
        <v>4th Singles</v>
      </c>
      <c r="S2953"/>
      <c r="T2953"/>
      <c r="U2953"/>
      <c r="V2953"/>
      <c r="W2953"/>
      <c r="X2953"/>
      <c r="Y2953"/>
      <c r="Z2953"/>
      <c r="AA2953"/>
      <c r="AB2953"/>
      <c r="AC2953"/>
      <c r="AD2953"/>
      <c r="AE2953"/>
      <c r="AF2953"/>
    </row>
    <row r="2954" spans="1:32" ht="12.75" customHeight="1" x14ac:dyDescent="0.25">
      <c r="G2954" s="53">
        <f ca="1">COUNTIF($Q2922:$Q2922,"W")+COUNTIF($Q2929:$Q2929,"W")+COUNTIF($Q2936:$Q2936,"W")+COUNTIF($Q2943:$Q2943,"W")</f>
        <v>0</v>
      </c>
      <c r="J2954" s="53">
        <f ca="1">COUNTIF($Q2924:$Q2924,"W")+COUNTIF($Q2931:$Q2931,"W")+COUNTIF($Q2938:$Q2938,"W")+COUNTIF($Q2945:$Q2945,"W")</f>
        <v>0</v>
      </c>
      <c r="R2954" s="47" t="s">
        <v>160</v>
      </c>
      <c r="S2954" s="304" t="s">
        <v>58</v>
      </c>
      <c r="T2954" s="305"/>
      <c r="U2954" s="305"/>
      <c r="V2954" s="305"/>
      <c r="W2954" s="305"/>
      <c r="X2954" s="306"/>
      <c r="Y2954" s="47">
        <v>1</v>
      </c>
      <c r="Z2954" s="47">
        <v>2</v>
      </c>
      <c r="AA2954" s="47">
        <v>3</v>
      </c>
      <c r="AB2954" s="47">
        <v>4</v>
      </c>
      <c r="AC2954" s="47">
        <v>5</v>
      </c>
      <c r="AD2954" s="286"/>
      <c r="AE2954" s="287"/>
      <c r="AF2954" s="288"/>
    </row>
    <row r="2955" spans="1:32" ht="12.75" customHeight="1" thickBot="1" x14ac:dyDescent="0.3">
      <c r="F2955" s="212" t="s">
        <v>170</v>
      </c>
      <c r="G2955" s="212"/>
      <c r="H2955" s="212"/>
      <c r="I2955" s="212"/>
      <c r="J2955" s="212"/>
      <c r="K2955" s="212"/>
      <c r="R2955" s="259" t="str">
        <f>B2916</f>
        <v>F</v>
      </c>
      <c r="S2955" s="307" t="str">
        <f ca="1">IF($B2943&lt;&gt;"",$B2943,"")</f>
        <v/>
      </c>
      <c r="T2955" s="308"/>
      <c r="U2955" s="308"/>
      <c r="V2955" s="308"/>
      <c r="W2955" s="308"/>
      <c r="X2955" s="309"/>
      <c r="Y2955" s="284"/>
      <c r="Z2955" s="284"/>
      <c r="AA2955" s="297"/>
      <c r="AB2955" s="297"/>
      <c r="AC2955" s="297"/>
      <c r="AD2955" s="296"/>
      <c r="AE2955" s="298"/>
      <c r="AF2955" s="299"/>
    </row>
    <row r="2956" spans="1:32" ht="12.75" customHeight="1" x14ac:dyDescent="0.25">
      <c r="A2956" s="16"/>
      <c r="B2956" s="16"/>
      <c r="C2956" s="16"/>
      <c r="D2956" s="16"/>
      <c r="E2956" s="16"/>
      <c r="G2956" s="261" t="str">
        <f>B2916</f>
        <v>F</v>
      </c>
      <c r="H2956" s="262"/>
      <c r="I2956" s="263" t="str">
        <f>K2916</f>
        <v>K</v>
      </c>
      <c r="J2956" s="264"/>
      <c r="L2956" s="16"/>
      <c r="M2956" s="16"/>
      <c r="N2956" s="16"/>
      <c r="O2956" s="16"/>
      <c r="P2956" s="16"/>
      <c r="R2956" s="260"/>
      <c r="S2956" s="310"/>
      <c r="T2956" s="311"/>
      <c r="U2956" s="311"/>
      <c r="V2956" s="311"/>
      <c r="W2956" s="311"/>
      <c r="X2956" s="312"/>
      <c r="Y2956" s="285"/>
      <c r="Z2956" s="285"/>
      <c r="AA2956" s="303"/>
      <c r="AB2956" s="303"/>
      <c r="AC2956" s="303"/>
      <c r="AD2956" s="300"/>
      <c r="AE2956" s="301"/>
      <c r="AF2956" s="302"/>
    </row>
    <row r="2957" spans="1:32" ht="12.75" customHeight="1" thickBot="1" x14ac:dyDescent="0.3">
      <c r="A2957" s="2" t="s">
        <v>160</v>
      </c>
      <c r="B2957" s="40" t="str">
        <f>B2916</f>
        <v>F</v>
      </c>
      <c r="C2957" s="3" t="s">
        <v>158</v>
      </c>
      <c r="F2957" s="53" t="str">
        <f>CONCATENATE($B2916,"-",$K2916)</f>
        <v>F-K</v>
      </c>
      <c r="G2957" s="240" t="str">
        <f ca="1">IF(OR(Q2922&lt;&gt;"",Q2929&lt;&gt;"",Q2936&lt;&gt;"",Q2943&lt;&gt;"",Q2950&lt;&gt;""),COUNTIF(Q2922:Q2922,"W")+COUNTIF(Q2929:Q2929,"W")+COUNTIF(Q2936:Q2936,"W")+COUNTIF(Q2943:Q2943,"W")+COUNTIF(Q2950:Q2950,"W"),"")</f>
        <v/>
      </c>
      <c r="H2957" s="241"/>
      <c r="I2957" s="242" t="str">
        <f ca="1">IF(OR(Q2924&lt;&gt;"",Q2931&lt;&gt;"",Q2938&lt;&gt;"",Q2945&lt;&gt;"",Q2952&lt;&gt;""),COUNTIF(Q2924:Q2924,"W")+COUNTIF(Q2931:Q2931,"W")+COUNTIF(Q2938:Q2938,"W")+COUNTIF(Q2945:Q2945,"W")+COUNTIF(Q2952:Q2952,"W"),"")</f>
        <v/>
      </c>
      <c r="J2957" s="243"/>
      <c r="L2957" s="2" t="s">
        <v>160</v>
      </c>
      <c r="M2957" s="40" t="str">
        <f>K2916</f>
        <v>K</v>
      </c>
      <c r="N2957" s="3" t="s">
        <v>158</v>
      </c>
      <c r="R2957" s="259" t="str">
        <f>K2916</f>
        <v>K</v>
      </c>
      <c r="S2957" s="307" t="str">
        <f ca="1">IF($B2945&lt;&gt;"",$B2945,"")</f>
        <v/>
      </c>
      <c r="T2957" s="308"/>
      <c r="U2957" s="308"/>
      <c r="V2957" s="308"/>
      <c r="W2957" s="308"/>
      <c r="X2957" s="309"/>
      <c r="Y2957" s="284"/>
      <c r="Z2957" s="284"/>
      <c r="AA2957" s="297"/>
      <c r="AB2957" s="297"/>
      <c r="AC2957" s="297"/>
      <c r="AD2957" s="289" t="s">
        <v>169</v>
      </c>
      <c r="AE2957" s="290"/>
      <c r="AF2957" s="291"/>
    </row>
    <row r="2958" spans="1:32" ht="12.75" customHeight="1" x14ac:dyDescent="0.35">
      <c r="F2958" s="18" t="s">
        <v>403</v>
      </c>
      <c r="G2958" s="17"/>
      <c r="H2958" s="17"/>
      <c r="I2958" s="17"/>
      <c r="J2958" s="17"/>
      <c r="R2958" s="285"/>
      <c r="S2958" s="310"/>
      <c r="T2958" s="311"/>
      <c r="U2958" s="311"/>
      <c r="V2958" s="311"/>
      <c r="W2958" s="311"/>
      <c r="X2958" s="312"/>
      <c r="Y2958" s="285"/>
      <c r="Z2958" s="285"/>
      <c r="AA2958" s="285"/>
      <c r="AB2958" s="285"/>
      <c r="AC2958" s="285"/>
      <c r="AD2958" s="292"/>
      <c r="AE2958" s="293"/>
      <c r="AF2958" s="294"/>
    </row>
    <row r="2959" spans="1:32" ht="12.75" customHeight="1" x14ac:dyDescent="0.25">
      <c r="R2959" s="1"/>
      <c r="S2959" s="11"/>
      <c r="T2959" s="11"/>
      <c r="U2959" s="11"/>
      <c r="V2959" s="11"/>
      <c r="W2959" s="11"/>
    </row>
    <row r="2960" spans="1:32" ht="12.75" customHeight="1" x14ac:dyDescent="0.25">
      <c r="F2960" s="212"/>
      <c r="G2960" s="212"/>
      <c r="H2960" s="212"/>
      <c r="I2960" s="212"/>
      <c r="R2960" s="1"/>
      <c r="S2960" s="11"/>
      <c r="T2960" s="11"/>
      <c r="U2960" s="11"/>
      <c r="V2960" s="11"/>
      <c r="W2960" s="11"/>
    </row>
    <row r="2961" spans="1:32" ht="12.75" customHeight="1" x14ac:dyDescent="0.25">
      <c r="F2961" s="212"/>
      <c r="G2961" s="212"/>
      <c r="H2961" s="212"/>
      <c r="I2961" s="212"/>
      <c r="R2961" s="1"/>
      <c r="S2961" s="11"/>
      <c r="T2961" s="11"/>
      <c r="U2961" s="11"/>
      <c r="V2961" s="11"/>
      <c r="W2961" s="11"/>
    </row>
    <row r="2962" spans="1:32" ht="12.75" customHeight="1" x14ac:dyDescent="0.25">
      <c r="K2962" s="219" t="s">
        <v>176</v>
      </c>
      <c r="L2962" s="219"/>
      <c r="M2962" s="219"/>
      <c r="N2962" s="219"/>
      <c r="O2962" s="219"/>
      <c r="P2962" s="219"/>
      <c r="R2962" s="1"/>
      <c r="S2962" s="11"/>
      <c r="T2962" s="11"/>
      <c r="U2962" s="11"/>
      <c r="V2962" s="11"/>
      <c r="W2962" s="11"/>
    </row>
    <row r="2963" spans="1:32" ht="12.75" customHeight="1" x14ac:dyDescent="0.25">
      <c r="A2963" s="9" t="s">
        <v>161</v>
      </c>
      <c r="B2963"/>
      <c r="C2963"/>
      <c r="D2963" t="str">
        <f>Draw!$B$1</f>
        <v>Enter Division Name</v>
      </c>
      <c r="E2963"/>
      <c r="F2963" s="6"/>
      <c r="G2963" s="6"/>
      <c r="H2963" s="6"/>
      <c r="I2963"/>
      <c r="J2963"/>
      <c r="K2963"/>
      <c r="L2963"/>
      <c r="M2963" s="219"/>
      <c r="N2963" s="219"/>
      <c r="O2963" s="219"/>
      <c r="P2963" s="219"/>
      <c r="R2963" s="1"/>
      <c r="S2963" s="11"/>
      <c r="T2963" s="11"/>
      <c r="U2963" s="11"/>
      <c r="V2963" s="11"/>
      <c r="W2963" s="11"/>
    </row>
    <row r="2964" spans="1:32" ht="12.75" customHeight="1" x14ac:dyDescent="0.25">
      <c r="A2964" s="2" t="s">
        <v>162</v>
      </c>
      <c r="D2964" t="str">
        <f>Draw!$D$1</f>
        <v>Enter Hosting Location (City, ST)</v>
      </c>
      <c r="J2964" t="str">
        <f ca="1">$J$6</f>
        <v>[NCTTA Teams Template (v3.4).xlsx]</v>
      </c>
      <c r="R2964" s="1"/>
      <c r="S2964" s="11"/>
      <c r="T2964" s="11"/>
      <c r="U2964" s="11"/>
      <c r="V2964" s="11"/>
      <c r="W2964" s="11"/>
    </row>
    <row r="2965" spans="1:32" ht="12.75" customHeight="1" x14ac:dyDescent="0.25">
      <c r="A2965" s="2" t="s">
        <v>163</v>
      </c>
      <c r="D2965" s="275" t="str">
        <f>Draw!$P$1</f>
        <v>Enter Date</v>
      </c>
      <c r="E2965" s="275"/>
      <c r="F2965" s="275"/>
      <c r="G2965" s="275"/>
      <c r="J2965" s="244" t="str">
        <f>CHOOSE(Draw!$T$1,"Round 10, Match 5","","","","","","","","","","")</f>
        <v>Round 10, Match 5</v>
      </c>
      <c r="K2965" s="244"/>
      <c r="L2965" s="244"/>
      <c r="M2965" s="277" t="str">
        <f>IF(AND($J2965&lt;&gt;"",Draw!$AC$10&lt;&gt;"",Draw!$AC$13&lt;&gt;""),Draw!$AC$10+TIME(0,VALUE(MID($J2965,7,FIND(",",$J2965)-FIND(" ",$J2965)-1)-1)*Draw!$AC$13,0),"")</f>
        <v/>
      </c>
      <c r="N2965" s="277"/>
      <c r="O2965" s="125" t="str">
        <f>$F3008</f>
        <v>G-J</v>
      </c>
      <c r="R2965" s="1"/>
      <c r="S2965" s="11"/>
      <c r="T2965" s="11"/>
      <c r="U2965" s="11"/>
      <c r="V2965" s="11"/>
      <c r="W2965" s="11"/>
    </row>
    <row r="2966" spans="1:32" ht="12.75" customHeight="1" x14ac:dyDescent="0.25">
      <c r="A2966" s="6"/>
      <c r="B2966"/>
      <c r="C2966"/>
      <c r="D2966"/>
      <c r="E2966"/>
      <c r="F2966" s="6"/>
      <c r="G2966" s="6"/>
      <c r="H2966" s="11"/>
      <c r="I2966" s="6"/>
      <c r="J2966"/>
      <c r="K2966"/>
      <c r="L2966"/>
      <c r="M2966"/>
      <c r="N2966"/>
      <c r="O2966" s="269" t="str">
        <f>IF(OR(AND(VLOOKUP($B2967,$AM$1:$AX$12,12,FALSE)="C",VLOOKUP($K2967,$AM$1:$AX$12,12,FALSE)="C"),AND(VLOOKUP($B2967,$AM$1:$AX$12,12,FALSE)="W",VLOOKUP($K2967,$AM$1:$AX$12,12,FALSE)="W")),"Official",IF(AND($A2968="",$J2968=""),"","Scrimmage"))</f>
        <v/>
      </c>
      <c r="P2966" s="269"/>
      <c r="R2966" s="1"/>
      <c r="S2966" s="11"/>
      <c r="T2966" s="11"/>
      <c r="U2966" s="11"/>
      <c r="V2966" s="11"/>
      <c r="W2966" s="11"/>
    </row>
    <row r="2967" spans="1:32" ht="12.75" customHeight="1" x14ac:dyDescent="0.25">
      <c r="A2967" s="12" t="s">
        <v>160</v>
      </c>
      <c r="B2967" s="98" t="str">
        <f>CHOOSE(Draw!$T$1,"G","E","G","G","H","H","H","H","H","G","D")</f>
        <v>G</v>
      </c>
      <c r="C2967" s="109">
        <f>VLOOKUP($B2967,$AM$1:$AN$12,2)</f>
        <v>7</v>
      </c>
      <c r="D2967" s="10"/>
      <c r="E2967" s="10"/>
      <c r="F2967" s="8"/>
      <c r="H2967" s="1" t="s">
        <v>164</v>
      </c>
      <c r="J2967" s="12" t="s">
        <v>160</v>
      </c>
      <c r="K2967" s="98" t="str">
        <f>CHOOSE(Draw!$T$1,"J","K","I","K","K","K","K","K","K","L","L")</f>
        <v>J</v>
      </c>
      <c r="L2967" s="109">
        <f>VLOOKUP($K2967,$AM$1:$AN$12,2)</f>
        <v>10</v>
      </c>
      <c r="M2967" s="10"/>
      <c r="N2967" s="10"/>
      <c r="O2967" s="13"/>
      <c r="R2967" s="1"/>
      <c r="S2967" s="11"/>
      <c r="T2967" s="11"/>
      <c r="U2967" s="11"/>
      <c r="V2967" s="11"/>
      <c r="W2967" s="11"/>
    </row>
    <row r="2968" spans="1:32" ht="12.75" customHeight="1" x14ac:dyDescent="0.25">
      <c r="A2968" s="253" t="str">
        <f>IF(VLOOKUP($B2967,Draw!$A$4:$B$27,2)&lt;&gt;0,VLOOKUP($B2967,Draw!$A$4:$B$27,2),"")</f>
        <v/>
      </c>
      <c r="B2968" s="254"/>
      <c r="C2968" s="254"/>
      <c r="D2968" s="254"/>
      <c r="E2968" s="254"/>
      <c r="F2968" s="255"/>
      <c r="G2968" s="273" t="s">
        <v>462</v>
      </c>
      <c r="H2968" s="249"/>
      <c r="I2968" s="274"/>
      <c r="J2968" s="253" t="str">
        <f>IF(VLOOKUP($K2967,Draw!$A$4:$B$27,2)&lt;&gt;0,VLOOKUP($K2967,Draw!$A$4:$B$27,2),"")</f>
        <v/>
      </c>
      <c r="K2968" s="254"/>
      <c r="L2968" s="254"/>
      <c r="M2968" s="254"/>
      <c r="N2968" s="254"/>
      <c r="O2968" s="255"/>
      <c r="P2968"/>
      <c r="R2968" s="1"/>
      <c r="S2968" s="11"/>
      <c r="T2968" s="11"/>
      <c r="U2968" s="11"/>
      <c r="V2968" s="11"/>
      <c r="W2968" s="11"/>
    </row>
    <row r="2969" spans="1:32" ht="12.75" customHeight="1" x14ac:dyDescent="0.25">
      <c r="A2969" s="6"/>
      <c r="B2969"/>
      <c r="C2969"/>
      <c r="D2969"/>
      <c r="E2969"/>
      <c r="F2969" s="6"/>
      <c r="G2969" s="248" t="str">
        <f>"Page "&amp;VALUE(RIGHT($G2968,LEN($G2968)-SEARCH("-",$G2968)))/2</f>
        <v>Page 59</v>
      </c>
      <c r="H2969" s="249"/>
      <c r="I2969" s="249"/>
      <c r="J2969"/>
      <c r="K2969"/>
      <c r="L2969"/>
      <c r="M2969"/>
      <c r="N2969"/>
      <c r="O2969"/>
      <c r="P2969"/>
      <c r="R2969" s="1"/>
      <c r="S2969" s="11"/>
      <c r="T2969" s="11"/>
      <c r="U2969" s="11"/>
      <c r="V2969" s="11"/>
      <c r="W2969" s="11"/>
      <c r="AF2969"/>
    </row>
    <row r="2970" spans="1:32" ht="12.75" customHeight="1" x14ac:dyDescent="0.25">
      <c r="A2970" s="276" t="s">
        <v>177</v>
      </c>
      <c r="B2970" s="276"/>
      <c r="C2970" s="276"/>
      <c r="D2970" s="276"/>
      <c r="E2970" s="276"/>
      <c r="F2970" s="276"/>
      <c r="G2970" s="276"/>
      <c r="H2970" s="276"/>
      <c r="I2970" s="276"/>
      <c r="J2970" s="276"/>
      <c r="K2970" s="276"/>
      <c r="L2970" s="276"/>
      <c r="M2970" s="276"/>
      <c r="N2970" s="276"/>
      <c r="O2970" s="276"/>
      <c r="P2970" s="276"/>
      <c r="Q2970" s="6"/>
      <c r="R2970" s="1"/>
      <c r="S2970" s="11"/>
      <c r="T2970" s="11"/>
      <c r="U2970" s="11"/>
      <c r="V2970" s="11"/>
      <c r="W2970" s="11"/>
      <c r="AF2970" s="14"/>
    </row>
    <row r="2971" spans="1:32" ht="12.75" customHeight="1" x14ac:dyDescent="0.25">
      <c r="A2971" s="15" t="s">
        <v>165</v>
      </c>
      <c r="H2971" s="110" t="str">
        <f>IF($Q2973&lt;&gt;"",IF(AND(AND($H2973&gt;-1,$H2975&gt;-1),OR($H2973&gt;10,$H2975&gt;10),ABS($H2973-$H2975)&gt;1,IF(OR($H2973&gt;11,$H2975&gt;11),ABS($H2973-$H2975)=2,TRUE),$H2973=INT($H2973),$H2975=INT($H2975)),"","Error"),"")</f>
        <v/>
      </c>
      <c r="I2971" s="110" t="str">
        <f>IF($Q2973&lt;&gt;"",IF(AND(AND($I2973&gt;-1,$I2975&gt;-1),OR($I2973&gt;10,$I2975&gt;10),ABS($I2973-$I2975)&gt;1,IF(OR($I2973&gt;11,$I2975&gt;11),ABS($I2973-$I2975)=2,TRUE),$I2973=INT($I2973),$I2975=INT($I2975)),"","Error"),"")</f>
        <v/>
      </c>
      <c r="J2971" s="110" t="str">
        <f>IF($Q2973&lt;&gt;"",IF(AND(AND($J2973&gt;-1,$J2975&gt;-1),OR($J2973&gt;10,$J2975&gt;10),ABS($J2973-$J2975)&gt;1,IF(OR($J2973&gt;11,$J2975&gt;11),ABS($J2973-$J2975)=2,TRUE),$J2973=INT($J2973),$J2975=INT($J2975)),"","Error"),"")</f>
        <v/>
      </c>
      <c r="K2971" s="110" t="str">
        <f>IF($Q2973&lt;&gt;"",IF(AND($K2973&lt;&gt;"",$K2975&lt;&gt;""), IF(AND(AND($K2973&gt;-1,$K2975&gt;-1),OR($K2973&gt;10,$K2975&gt;10),ABS($K2973-$K2975)&gt;1,IF(OR($K2973&gt;11,$K2975&gt;11),ABS($K2973-$K2975)=2,TRUE),$K2973=INT($K2973),$K2975=INT($K2975)),"","Error"),""),"")</f>
        <v/>
      </c>
      <c r="L2971" s="110" t="str">
        <f>IF($Q2973&lt;&gt;"",IF(AND($L2973&lt;&gt;"",$L2975&lt;&gt;""), IF(AND(AND($L2973&gt;-1,$L2975&gt;-1),OR($L2973&gt;10,$L2975&gt;10),ABS($L2973-$L2975)&gt;1,IF(OR($L2973&gt;11,$L2975&gt;11),ABS($L2973-$L2975)=2,TRUE),$L2973=INT($L2973),$L2975=INT($L2975)),"","Error"),""),"")</f>
        <v/>
      </c>
      <c r="R2971" s="1"/>
      <c r="S2971" s="11"/>
      <c r="T2971" s="11"/>
      <c r="U2971" s="11"/>
      <c r="V2971" s="11"/>
      <c r="W2971" s="11"/>
    </row>
    <row r="2972" spans="1:32" ht="12.75" customHeight="1" x14ac:dyDescent="0.25">
      <c r="A2972" s="5" t="s">
        <v>160</v>
      </c>
      <c r="B2972" s="256" t="s">
        <v>58</v>
      </c>
      <c r="C2972" s="257"/>
      <c r="D2972" s="257"/>
      <c r="E2972" s="257"/>
      <c r="F2972" s="257"/>
      <c r="G2972" s="258"/>
      <c r="H2972" s="5">
        <v>1</v>
      </c>
      <c r="I2972" s="5">
        <v>2</v>
      </c>
      <c r="J2972" s="5">
        <v>3</v>
      </c>
      <c r="K2972" s="5">
        <v>4</v>
      </c>
      <c r="L2972" s="5">
        <v>5</v>
      </c>
      <c r="M2972" s="270"/>
      <c r="N2972" s="271"/>
      <c r="O2972" s="271"/>
      <c r="P2972" s="272"/>
      <c r="R2972" s="1"/>
      <c r="S2972" s="11"/>
      <c r="T2972" s="11"/>
      <c r="U2972" s="11"/>
      <c r="V2972" s="11"/>
      <c r="W2972" s="11"/>
    </row>
    <row r="2973" spans="1:32" ht="12.75" customHeight="1" x14ac:dyDescent="0.25">
      <c r="A2973" s="259" t="str">
        <f>B2967</f>
        <v>G</v>
      </c>
      <c r="B2973" s="236" t="str">
        <f ca="1">IF(AND(OFFSET($AO$1,$C2967-1,8,1,1),$A2968&lt;&gt;"",$J2968&lt;&gt;""),CHOOSE($C2967,$AO$1,$AO$2,$AO$3,$AO$4,$AO$5,$AO$6,$AO$7,$AO$8,$AO$9,$AO$10,$AO$11,$AO$12),"")</f>
        <v/>
      </c>
      <c r="C2973" s="237"/>
      <c r="D2973" s="237"/>
      <c r="E2973" s="237"/>
      <c r="F2973" s="237"/>
      <c r="G2973" s="237"/>
      <c r="H2973" s="233"/>
      <c r="I2973" s="233"/>
      <c r="J2973" s="233"/>
      <c r="K2973" s="233"/>
      <c r="L2973" s="233"/>
      <c r="M2973" s="281"/>
      <c r="N2973" s="282"/>
      <c r="O2973" s="282"/>
      <c r="P2973" s="283"/>
      <c r="Q2973" s="40" t="str">
        <f>IF($L2973=$L2975,IF($K2973=$K2975,IF($J2973&lt;&gt;"",IF($J2973&gt;$J2975,"W","L"),""),IF($K2973&gt;$K2975,"W","L")),IF($L2973&gt;$L2975,"W","L"))</f>
        <v/>
      </c>
      <c r="R2973" s="1"/>
      <c r="S2973" s="11"/>
      <c r="T2973" s="11"/>
      <c r="U2973" s="11"/>
      <c r="V2973" s="11"/>
      <c r="W2973" s="11"/>
    </row>
    <row r="2974" spans="1:32" ht="12.75" customHeight="1" x14ac:dyDescent="0.25">
      <c r="A2974" s="260"/>
      <c r="B2974" s="238"/>
      <c r="C2974" s="239"/>
      <c r="D2974" s="239"/>
      <c r="E2974" s="239"/>
      <c r="F2974" s="239"/>
      <c r="G2974" s="239"/>
      <c r="H2974" s="234"/>
      <c r="I2974" s="234"/>
      <c r="J2974" s="234"/>
      <c r="K2974" s="234"/>
      <c r="L2974" s="234"/>
      <c r="M2974" s="281"/>
      <c r="N2974" s="282"/>
      <c r="O2974" s="282"/>
      <c r="P2974" s="283"/>
      <c r="Q2974" s="110" t="str">
        <f>IF($Q2973&lt;&gt;"",IF($Q2973="W",IF(SUM(IF($H2973&gt;$H2975,1,0),IF($I2973&gt;$I2975,1,0),IF($J2973&gt;$J2975,1,0),IF($K2973&gt;$K2975,1,0),IF($L2973&gt;$L2975,1,0))&lt;&gt;3,"Error",""),""),"")</f>
        <v/>
      </c>
      <c r="R2974" s="295" t="str">
        <f>$A2968</f>
        <v/>
      </c>
      <c r="S2974" s="295"/>
      <c r="T2974" s="295"/>
      <c r="U2974" s="295"/>
      <c r="V2974" s="295"/>
      <c r="W2974" s="295"/>
      <c r="X2974" s="219" t="str">
        <f>CONCATENATE("(",$B2967," vs ",$K2967,")")</f>
        <v>(G vs J)</v>
      </c>
      <c r="Y2974" s="219"/>
      <c r="Z2974" s="295" t="str">
        <f>$J2968</f>
        <v/>
      </c>
      <c r="AA2974" s="295"/>
      <c r="AB2974" s="295"/>
      <c r="AC2974" s="295"/>
      <c r="AD2974" s="295"/>
      <c r="AE2974" s="295"/>
      <c r="AF2974"/>
    </row>
    <row r="2975" spans="1:32" ht="12.75" customHeight="1" x14ac:dyDescent="0.25">
      <c r="A2975" s="259" t="str">
        <f>K2967</f>
        <v>J</v>
      </c>
      <c r="B2975" s="236" t="str">
        <f ca="1">IF(AND(OFFSET($AO$1,$L2967-1,8,1,1),$A2968&lt;&gt;"",$J2968&lt;&gt;""),CHOOSE($L2967,$AO$1,$AO$2,$AO$3,$AO$4,$AO$5,$AO$6,$AO$7,$AO$8,$AO$9,$AO$10,$AO$11,$AO$12),"")</f>
        <v/>
      </c>
      <c r="C2975" s="237"/>
      <c r="D2975" s="237"/>
      <c r="E2975" s="237"/>
      <c r="F2975" s="237"/>
      <c r="G2975" s="237"/>
      <c r="H2975" s="233"/>
      <c r="I2975" s="233"/>
      <c r="J2975" s="233"/>
      <c r="K2975" s="233"/>
      <c r="L2975" s="233"/>
      <c r="M2975" s="250" t="s">
        <v>169</v>
      </c>
      <c r="N2975" s="251"/>
      <c r="O2975" s="251"/>
      <c r="P2975" s="252"/>
      <c r="Q2975" s="40" t="str">
        <f>IF($Q2973&lt;&gt;"",IF($Q2973="W","L","W"),"")</f>
        <v/>
      </c>
      <c r="R2975"/>
      <c r="S2975"/>
      <c r="T2975"/>
      <c r="U2975"/>
      <c r="V2975"/>
      <c r="W2975"/>
      <c r="X2975"/>
      <c r="Y2975"/>
      <c r="Z2975"/>
      <c r="AA2975"/>
      <c r="AB2975"/>
      <c r="AC2975"/>
      <c r="AD2975"/>
      <c r="AE2975"/>
      <c r="AF2975"/>
    </row>
    <row r="2976" spans="1:32" ht="12.75" customHeight="1" x14ac:dyDescent="0.25">
      <c r="A2976" s="260"/>
      <c r="B2976" s="238"/>
      <c r="C2976" s="239"/>
      <c r="D2976" s="239"/>
      <c r="E2976" s="239"/>
      <c r="F2976" s="239"/>
      <c r="G2976" s="239"/>
      <c r="H2976" s="234"/>
      <c r="I2976" s="234"/>
      <c r="J2976" s="235"/>
      <c r="K2976" s="235"/>
      <c r="L2976" s="235"/>
      <c r="M2976" s="250"/>
      <c r="N2976" s="251"/>
      <c r="O2976" s="251"/>
      <c r="P2976" s="252"/>
      <c r="Q2976" s="110" t="str">
        <f>IF($Q2975&lt;&gt;"",IF($Q2975="W",IF(SUM(IF($H2975&gt;$H2973,1,0),IF($I2975&gt;$I2973,1,0),IF($J2975&gt;$J2973,1,0),IF($K2975&gt;$K2973,1,0),IF($L2975&gt;$L2973,1,0))&lt;&gt;3,"Error",""),""),"")</f>
        <v/>
      </c>
      <c r="R2976" t="str">
        <f>$A2978</f>
        <v>2nd Singles</v>
      </c>
      <c r="S2976"/>
      <c r="T2976"/>
      <c r="U2976"/>
      <c r="V2976"/>
      <c r="W2976"/>
      <c r="X2976"/>
      <c r="Y2976"/>
      <c r="Z2976"/>
      <c r="AA2976"/>
      <c r="AB2976"/>
      <c r="AC2976"/>
      <c r="AD2976"/>
      <c r="AE2976"/>
      <c r="AF2976"/>
    </row>
    <row r="2977" spans="1:32" ht="12.75" customHeight="1" x14ac:dyDescent="0.25">
      <c r="Q2977" s="6"/>
      <c r="R2977" s="47" t="s">
        <v>160</v>
      </c>
      <c r="S2977" s="304" t="s">
        <v>58</v>
      </c>
      <c r="T2977" s="305"/>
      <c r="U2977" s="305"/>
      <c r="V2977" s="305"/>
      <c r="W2977" s="305"/>
      <c r="X2977" s="306"/>
      <c r="Y2977" s="47">
        <v>1</v>
      </c>
      <c r="Z2977" s="47">
        <v>2</v>
      </c>
      <c r="AA2977" s="47">
        <v>3</v>
      </c>
      <c r="AB2977" s="47">
        <v>4</v>
      </c>
      <c r="AC2977" s="47">
        <v>5</v>
      </c>
      <c r="AD2977" s="286"/>
      <c r="AE2977" s="287"/>
      <c r="AF2977" s="288"/>
    </row>
    <row r="2978" spans="1:32" ht="12.75" customHeight="1" x14ac:dyDescent="0.25">
      <c r="A2978" s="15" t="s">
        <v>166</v>
      </c>
      <c r="H2978" s="110" t="str">
        <f>IF($Q2980&lt;&gt;"",IF(AND(AND($H2980&gt;-1,$H2982&gt;-1),OR($H2980&gt;10,$H2982&gt;10),ABS($H2980-$H2982)&gt;1,IF(OR($H2980&gt;11,$H2982&gt;11),ABS($H2980-$H2982)=2,TRUE),$H2980=INT($H2980),$H2982=INT($H2982)),"","Error"),"")</f>
        <v/>
      </c>
      <c r="I2978" s="110" t="str">
        <f>IF($Q2980&lt;&gt;"",IF(AND(AND($I2980&gt;-1,$I2982&gt;-1),OR($I2980&gt;10,$I2982&gt;10),ABS($I2980-$I2982)&gt;1,IF(OR($I2980&gt;11,$I2982&gt;11),ABS($I2980-$I2982)=2,TRUE),$I2980=INT($I2980),$I2982=INT($I2982)),"","Error"),"")</f>
        <v/>
      </c>
      <c r="J2978" s="110" t="str">
        <f>IF($Q2980&lt;&gt;"",IF(AND(AND($J2980&gt;-1,$J2982&gt;-1),OR($J2980&gt;10,$J2982&gt;10),ABS($J2980-$J2982)&gt;1,IF(OR($J2980&gt;11,$J2982&gt;11),ABS($J2980-$J2982)=2,TRUE),$J2980=INT($J2980),$J2982=INT($J2982)),"","Error"),"")</f>
        <v/>
      </c>
      <c r="K2978" s="110" t="str">
        <f>IF($Q2980&lt;&gt;"",IF(AND($K2980&lt;&gt;"",$K2982&lt;&gt;""), IF(AND(AND($K2980&gt;-1,$K2982&gt;-1),OR($K2980&gt;10,$K2982&gt;10),ABS($K2980-$K2982)&gt;1,IF(OR($K2980&gt;11,$K2982&gt;11),ABS($K2980-$K2982)=2,TRUE),$K2980=INT($K2980),$K2982=INT($K2982)),"","Error"),""),"")</f>
        <v/>
      </c>
      <c r="L2978" s="110" t="str">
        <f>IF($Q2980&lt;&gt;"",IF(AND($L2980&lt;&gt;"",$L2982&lt;&gt;""), IF(AND(AND($L2980&gt;-1,$L2982&gt;-1),OR($L2980&gt;10,$L2982&gt;10),ABS($L2980-$L2982)&gt;1,IF(OR($L2980&gt;11,$L2982&gt;11),ABS($L2980-$L2982)=2,TRUE),$L2980=INT($L2980),$L2982=INT($L2982)),"","Error"),""),"")</f>
        <v/>
      </c>
      <c r="Q2978" s="6"/>
      <c r="R2978" s="259" t="str">
        <f>$B2967</f>
        <v>G</v>
      </c>
      <c r="S2978" s="307" t="str">
        <f ca="1">IF($B2980&lt;&gt;"",$B2980,"")</f>
        <v/>
      </c>
      <c r="T2978" s="308"/>
      <c r="U2978" s="308"/>
      <c r="V2978" s="308"/>
      <c r="W2978" s="308"/>
      <c r="X2978" s="309"/>
      <c r="Y2978" s="284"/>
      <c r="Z2978" s="284"/>
      <c r="AA2978" s="284"/>
      <c r="AB2978" s="284"/>
      <c r="AC2978" s="284"/>
      <c r="AD2978" s="296"/>
      <c r="AE2978" s="290"/>
      <c r="AF2978" s="291"/>
    </row>
    <row r="2979" spans="1:32" ht="12.75" customHeight="1" x14ac:dyDescent="0.25">
      <c r="A2979" s="5" t="s">
        <v>160</v>
      </c>
      <c r="B2979" s="256" t="s">
        <v>58</v>
      </c>
      <c r="C2979" s="257"/>
      <c r="D2979" s="257"/>
      <c r="E2979" s="257"/>
      <c r="F2979" s="257"/>
      <c r="G2979" s="258"/>
      <c r="H2979" s="5">
        <v>1</v>
      </c>
      <c r="I2979" s="5">
        <v>2</v>
      </c>
      <c r="J2979" s="5">
        <v>3</v>
      </c>
      <c r="K2979" s="5">
        <v>4</v>
      </c>
      <c r="L2979" s="5">
        <v>5</v>
      </c>
      <c r="M2979" s="270"/>
      <c r="N2979" s="271"/>
      <c r="O2979" s="271"/>
      <c r="P2979" s="272"/>
      <c r="Q2979" s="6"/>
      <c r="R2979" s="285"/>
      <c r="S2979" s="310"/>
      <c r="T2979" s="311"/>
      <c r="U2979" s="311"/>
      <c r="V2979" s="311"/>
      <c r="W2979" s="311"/>
      <c r="X2979" s="312"/>
      <c r="Y2979" s="285"/>
      <c r="Z2979" s="285"/>
      <c r="AA2979" s="285"/>
      <c r="AB2979" s="285"/>
      <c r="AC2979" s="285"/>
      <c r="AD2979" s="292"/>
      <c r="AE2979" s="293"/>
      <c r="AF2979" s="294"/>
    </row>
    <row r="2980" spans="1:32" ht="12.75" customHeight="1" x14ac:dyDescent="0.25">
      <c r="A2980" s="259" t="str">
        <f>B2967</f>
        <v>G</v>
      </c>
      <c r="B2980" s="236" t="str">
        <f ca="1">IF(AND(OFFSET($AO$1,$C2967-1,8,1,1),$A2968&lt;&gt;"",$J2968&lt;&gt;""),CHOOSE($C2967,$AP$1,$AP$2,$AP$3,$AP$4,$AP$5,$AP$6,$AP$7,$AP$8,$AP$9,$AP$10,$AP$11,$AP$12),"")</f>
        <v/>
      </c>
      <c r="C2980" s="237"/>
      <c r="D2980" s="237"/>
      <c r="E2980" s="237"/>
      <c r="F2980" s="237"/>
      <c r="G2980" s="237"/>
      <c r="H2980" s="233"/>
      <c r="I2980" s="233"/>
      <c r="J2980" s="233"/>
      <c r="K2980" s="233"/>
      <c r="L2980" s="233"/>
      <c r="M2980" s="245" t="str">
        <f ca="1">IF(OR(AND($B2973&lt;&gt;"",$B2980&lt;&gt;"",$C2998&lt;=$B2998),AND($B2975&lt;&gt;"",$B2982&lt;&gt;"",$G2998&lt;=$F2998)),"Invalid Lineup","")</f>
        <v/>
      </c>
      <c r="N2980" s="246"/>
      <c r="O2980" s="246"/>
      <c r="P2980" s="247"/>
      <c r="Q2980" s="40" t="str">
        <f>IF($L2980=$L2982,IF($K2980=$K2982,IF($J2980&lt;&gt;"",IF($J2980&gt;$J2982,"W","L"),""),IF($K2980&gt;$K2982,"W","L")),IF($L2980&gt;$L2982,"W","L"))</f>
        <v/>
      </c>
      <c r="R2980" s="259" t="str">
        <f>$K2967</f>
        <v>J</v>
      </c>
      <c r="S2980" s="307" t="str">
        <f ca="1">IF($B2982&lt;&gt;"",$B2982,"")</f>
        <v/>
      </c>
      <c r="T2980" s="308"/>
      <c r="U2980" s="308"/>
      <c r="V2980" s="308"/>
      <c r="W2980" s="308"/>
      <c r="X2980" s="309"/>
      <c r="Y2980" s="284"/>
      <c r="Z2980" s="284"/>
      <c r="AA2980" s="284"/>
      <c r="AB2980" s="284"/>
      <c r="AC2980" s="297"/>
      <c r="AD2980" s="289" t="s">
        <v>169</v>
      </c>
      <c r="AE2980" s="290"/>
      <c r="AF2980" s="291"/>
    </row>
    <row r="2981" spans="1:32" ht="12.75" customHeight="1" x14ac:dyDescent="0.25">
      <c r="A2981" s="260"/>
      <c r="B2981" s="238"/>
      <c r="C2981" s="239"/>
      <c r="D2981" s="239"/>
      <c r="E2981" s="239"/>
      <c r="F2981" s="239"/>
      <c r="G2981" s="239"/>
      <c r="H2981" s="234"/>
      <c r="I2981" s="234"/>
      <c r="J2981" s="234"/>
      <c r="K2981" s="234"/>
      <c r="L2981" s="234"/>
      <c r="M2981" s="245"/>
      <c r="N2981" s="246"/>
      <c r="O2981" s="246"/>
      <c r="P2981" s="247"/>
      <c r="Q2981" s="110" t="str">
        <f>IF($Q2980&lt;&gt;"",IF($Q2980="W",IF(SUM(IF($H2980&gt;$H2982,1,0),IF($I2980&gt;$I2982,1,0),IF($J2980&gt;$J2982,1,0),IF($K2980&gt;$K2982,1,0),IF($L2980&gt;$L2982,1,0))&lt;&gt;3,"Error",""),""),"")</f>
        <v/>
      </c>
      <c r="R2981" s="285"/>
      <c r="S2981" s="310"/>
      <c r="T2981" s="311"/>
      <c r="U2981" s="311"/>
      <c r="V2981" s="311"/>
      <c r="W2981" s="311"/>
      <c r="X2981" s="312"/>
      <c r="Y2981" s="285"/>
      <c r="Z2981" s="285"/>
      <c r="AA2981" s="285"/>
      <c r="AB2981" s="285"/>
      <c r="AC2981" s="285"/>
      <c r="AD2981" s="292"/>
      <c r="AE2981" s="293"/>
      <c r="AF2981" s="294"/>
    </row>
    <row r="2982" spans="1:32" ht="12.75" customHeight="1" x14ac:dyDescent="0.25">
      <c r="A2982" s="259" t="str">
        <f>K2967</f>
        <v>J</v>
      </c>
      <c r="B2982" s="236" t="str">
        <f ca="1">IF(AND(OFFSET($AO$1,$L2967-1,8,1,1),$A2968&lt;&gt;"",$J2968&lt;&gt;""),CHOOSE($L2967,$AP$1,$AP$2,$AP$3,$AP$4,$AP$5,$AP$6,$AP$7,$AP$8,$AP$9,$AP$10,$AP$11,$AP$12),"")</f>
        <v/>
      </c>
      <c r="C2982" s="237"/>
      <c r="D2982" s="237"/>
      <c r="E2982" s="237"/>
      <c r="F2982" s="237"/>
      <c r="G2982" s="237"/>
      <c r="H2982" s="233"/>
      <c r="I2982" s="233"/>
      <c r="J2982" s="233"/>
      <c r="K2982" s="233"/>
      <c r="L2982" s="233"/>
      <c r="M2982" s="250" t="s">
        <v>169</v>
      </c>
      <c r="N2982" s="251"/>
      <c r="O2982" s="251"/>
      <c r="P2982" s="252"/>
      <c r="Q2982" s="40" t="str">
        <f>IF($Q2980&lt;&gt;"",IF($Q2980="W","L","W"),"")</f>
        <v/>
      </c>
      <c r="R2982" s="14"/>
      <c r="S2982" s="14"/>
      <c r="T2982" s="14"/>
      <c r="U2982" s="14"/>
      <c r="V2982" s="14"/>
      <c r="W2982" s="14"/>
      <c r="X2982" s="7"/>
      <c r="Y2982" s="7"/>
      <c r="Z2982" s="14"/>
      <c r="AA2982" s="14"/>
      <c r="AB2982" s="14"/>
      <c r="AC2982" s="14"/>
      <c r="AD2982" s="14"/>
      <c r="AE2982" s="14"/>
      <c r="AF2982"/>
    </row>
    <row r="2983" spans="1:32" ht="12.75" customHeight="1" x14ac:dyDescent="0.25">
      <c r="A2983" s="260"/>
      <c r="B2983" s="238"/>
      <c r="C2983" s="239"/>
      <c r="D2983" s="239"/>
      <c r="E2983" s="239"/>
      <c r="F2983" s="239"/>
      <c r="G2983" s="239"/>
      <c r="H2983" s="234"/>
      <c r="I2983" s="234"/>
      <c r="J2983" s="235"/>
      <c r="K2983" s="235"/>
      <c r="L2983" s="235"/>
      <c r="M2983" s="250"/>
      <c r="N2983" s="251"/>
      <c r="O2983" s="251"/>
      <c r="P2983" s="252"/>
      <c r="Q2983" s="110" t="str">
        <f>IF($Q2982&lt;&gt;"",IF($Q2982="W",IF(SUM(IF($H2982&gt;$H2980,1,0),IF($I2982&gt;$I2980,1,0),IF($J2982&gt;$J2980,1,0),IF($K2982&gt;$K2980,1,0),IF($L2982&gt;$L2980,1,0))&lt;&gt;3,"Error",""),""),"")</f>
        <v/>
      </c>
      <c r="R2983" s="14"/>
      <c r="S2983" s="14"/>
      <c r="T2983" s="14"/>
      <c r="U2983" s="14"/>
      <c r="V2983" s="14"/>
      <c r="W2983" s="14"/>
      <c r="X2983" s="7"/>
      <c r="Y2983" s="7"/>
      <c r="Z2983" s="14"/>
      <c r="AA2983" s="14"/>
      <c r="AB2983" s="14"/>
      <c r="AC2983" s="14"/>
      <c r="AD2983" s="14"/>
      <c r="AE2983" s="14"/>
      <c r="AF2983"/>
    </row>
    <row r="2984" spans="1:32" ht="12.75" customHeight="1" x14ac:dyDescent="0.25">
      <c r="Q2984" s="6"/>
      <c r="R2984" s="14"/>
      <c r="S2984" s="14"/>
      <c r="T2984" s="14"/>
      <c r="U2984" s="14"/>
      <c r="V2984" s="14"/>
      <c r="W2984" s="14"/>
      <c r="X2984" s="7"/>
      <c r="Y2984" s="7"/>
      <c r="Z2984" s="14"/>
      <c r="AA2984" s="14"/>
      <c r="AB2984" s="14"/>
      <c r="AC2984" s="14"/>
      <c r="AD2984" s="14"/>
      <c r="AE2984" s="14"/>
      <c r="AF2984"/>
    </row>
    <row r="2985" spans="1:32" ht="12.75" customHeight="1" x14ac:dyDescent="0.25">
      <c r="A2985" s="15" t="s">
        <v>167</v>
      </c>
      <c r="H2985" s="110" t="str">
        <f>IF($Q2987&lt;&gt;"",IF(AND(AND($H2987&gt;-1,$H2989&gt;-1),OR($H2987&gt;10,$H2989&gt;10),ABS($H2987-$H2989)&gt;1,IF(OR($H2987&gt;11,$H2989&gt;11),ABS($H2987-$H2989)=2,TRUE),$H2987=INT($H2987),$H2989=INT($H2989)),"","Error"),"")</f>
        <v/>
      </c>
      <c r="I2985" s="110" t="str">
        <f>IF($Q2987&lt;&gt;"",IF(AND(AND($I2987&gt;-1,$I2989&gt;-1),OR($I2987&gt;10,$I2989&gt;10),ABS($I2987-$I2989)&gt;1,IF(OR($I2987&gt;11,$I2989&gt;11),ABS($I2987-$I2989)=2,TRUE),$I2987=INT($I2987),$I2989=INT($I2989)),"","Error"),"")</f>
        <v/>
      </c>
      <c r="J2985" s="110" t="str">
        <f>IF($Q2987&lt;&gt;"",IF(AND(AND($J2987&gt;-1,$J2989&gt;-1),OR($J2987&gt;10,$J2989&gt;10),ABS($J2987-$J2989)&gt;1,IF(OR($J2987&gt;11,$J2989&gt;11),ABS($J2987-$J2989)=2,TRUE),$J2987=INT($J2987),$J2989=INT($J2989)),"","Error"),"")</f>
        <v/>
      </c>
      <c r="K2985" s="110" t="str">
        <f>IF($Q2987&lt;&gt;"",IF(AND($K2987&lt;&gt;"",$K2989&lt;&gt;""), IF(AND(AND($K2987&gt;-1,$K2989&gt;-1),OR($K2987&gt;10,$K2989&gt;10),ABS($K2987-$K2989)&gt;1,IF(OR($K2987&gt;11,$K2989&gt;11),ABS($K2987-$K2989)=2,TRUE),$K2987=INT($K2987),$K2989=INT($K2989)),"","Error"),""),"")</f>
        <v/>
      </c>
      <c r="L2985" s="110" t="str">
        <f>IF($Q2987&lt;&gt;"",IF(AND($L2987&lt;&gt;"",$L2989&lt;&gt;""), IF(AND(AND($L2987&gt;-1,$L2989&gt;-1),OR($L2987&gt;10,$L2989&gt;10),ABS($L2987-$L2989)&gt;1,IF(OR($L2987&gt;11,$L2989&gt;11),ABS($L2987-$L2989)=2,TRUE),$L2987=INT($L2987),$L2989=INT($L2989)),"","Error"),""),"")</f>
        <v/>
      </c>
      <c r="Q2985" s="6"/>
      <c r="R2985" s="14"/>
      <c r="S2985" s="14"/>
      <c r="T2985" s="14"/>
      <c r="U2985" s="14"/>
      <c r="V2985" s="14"/>
      <c r="W2985" s="14"/>
      <c r="X2985" s="7"/>
      <c r="Y2985" s="7"/>
      <c r="Z2985" s="14"/>
      <c r="AA2985" s="14"/>
      <c r="AB2985" s="14"/>
      <c r="AC2985" s="14"/>
      <c r="AD2985" s="14"/>
      <c r="AE2985" s="14"/>
      <c r="AF2985"/>
    </row>
    <row r="2986" spans="1:32" ht="12.75" customHeight="1" x14ac:dyDescent="0.25">
      <c r="A2986" s="5" t="s">
        <v>160</v>
      </c>
      <c r="B2986" s="256" t="s">
        <v>58</v>
      </c>
      <c r="C2986" s="257"/>
      <c r="D2986" s="257"/>
      <c r="E2986" s="257"/>
      <c r="F2986" s="257"/>
      <c r="G2986" s="258"/>
      <c r="H2986" s="5">
        <v>1</v>
      </c>
      <c r="I2986" s="5">
        <v>2</v>
      </c>
      <c r="J2986" s="5">
        <v>3</v>
      </c>
      <c r="K2986" s="5">
        <v>4</v>
      </c>
      <c r="L2986" s="5">
        <v>5</v>
      </c>
      <c r="M2986" s="270"/>
      <c r="N2986" s="271"/>
      <c r="O2986" s="271"/>
      <c r="P2986" s="272"/>
      <c r="Q2986" s="6"/>
      <c r="R2986" s="14"/>
      <c r="S2986" s="14"/>
      <c r="T2986" s="14"/>
      <c r="U2986" s="14"/>
      <c r="V2986" s="14"/>
      <c r="W2986" s="14"/>
      <c r="X2986" s="7"/>
      <c r="Y2986" s="7"/>
      <c r="Z2986" s="14"/>
      <c r="AA2986" s="14"/>
      <c r="AB2986" s="14"/>
      <c r="AC2986" s="14"/>
      <c r="AD2986" s="14"/>
      <c r="AE2986" s="14"/>
      <c r="AF2986"/>
    </row>
    <row r="2987" spans="1:32" ht="12.75" customHeight="1" x14ac:dyDescent="0.25">
      <c r="A2987" s="259" t="str">
        <f>B2967</f>
        <v>G</v>
      </c>
      <c r="B2987" s="236" t="str">
        <f ca="1">IF(AND(OFFSET($AO$1,$C2967-1,8,1,1),$A2968&lt;&gt;"",$J2968&lt;&gt;""),CHOOSE($C2967,$AQ$1,$AQ$2,$AQ$3,$AQ$4,$AQ$5,$AQ$6,$AQ$7,$AQ$8,$AQ$9,$AQ$10,$AQ$11,$AQ$12),"")</f>
        <v/>
      </c>
      <c r="C2987" s="237"/>
      <c r="D2987" s="237"/>
      <c r="E2987" s="237"/>
      <c r="F2987" s="237"/>
      <c r="G2987" s="237"/>
      <c r="H2987" s="233"/>
      <c r="I2987" s="233"/>
      <c r="J2987" s="233"/>
      <c r="K2987" s="233"/>
      <c r="L2987" s="233"/>
      <c r="M2987" s="245" t="str">
        <f ca="1">IF(OR(AND($B2980&lt;&gt;"",$B2987&lt;&gt;"",$D2998&lt;=$C2998),AND($B2982&lt;&gt;"",$B2989&lt;&gt;"",$H2998&lt;=$G2998)),"Invalid Lineup","")</f>
        <v/>
      </c>
      <c r="N2987" s="246"/>
      <c r="O2987" s="246"/>
      <c r="P2987" s="247"/>
      <c r="Q2987" s="40" t="str">
        <f>IF($L2987=$L2989,IF($K2987=$K2989,IF($J2987&lt;&gt;"",IF($J2987&gt;$J2989,"W","L"),""),IF($K2987&gt;$K2989,"W","L")),IF($L2987&gt;$L2989,"W","L"))</f>
        <v/>
      </c>
      <c r="R2987" s="14"/>
      <c r="S2987" s="14"/>
      <c r="T2987" s="14"/>
      <c r="U2987" s="14"/>
      <c r="V2987" s="14"/>
      <c r="W2987" s="14"/>
      <c r="X2987" s="7"/>
      <c r="Y2987" s="7"/>
      <c r="Z2987" s="14"/>
      <c r="AA2987" s="14"/>
      <c r="AB2987" s="14"/>
      <c r="AC2987" s="14"/>
      <c r="AD2987" s="14"/>
      <c r="AE2987" s="14"/>
      <c r="AF2987"/>
    </row>
    <row r="2988" spans="1:32" ht="12.75" customHeight="1" x14ac:dyDescent="0.25">
      <c r="A2988" s="260"/>
      <c r="B2988" s="238"/>
      <c r="C2988" s="239"/>
      <c r="D2988" s="239"/>
      <c r="E2988" s="239"/>
      <c r="F2988" s="239"/>
      <c r="G2988" s="239"/>
      <c r="H2988" s="234"/>
      <c r="I2988" s="234"/>
      <c r="J2988" s="234"/>
      <c r="K2988" s="234"/>
      <c r="L2988" s="234"/>
      <c r="M2988" s="245"/>
      <c r="N2988" s="246"/>
      <c r="O2988" s="246"/>
      <c r="P2988" s="247"/>
      <c r="Q2988" s="110" t="str">
        <f>IF($Q2987&lt;&gt;"",IF($Q2987="W",IF(SUM(IF($H2987&gt;$H2989,1,0),IF($I2987&gt;$I2989,1,0),IF($J2987&gt;$J2989,1,0),IF($K2987&gt;$K2989,1,0),IF($L2987&gt;$L2989,1,0))&lt;&gt;3,"Error",""),""),"")</f>
        <v/>
      </c>
      <c r="R2988" s="295" t="str">
        <f>$A2968</f>
        <v/>
      </c>
      <c r="S2988" s="295"/>
      <c r="T2988" s="295"/>
      <c r="U2988" s="295"/>
      <c r="V2988" s="295"/>
      <c r="W2988" s="295"/>
      <c r="X2988" s="219" t="str">
        <f>CONCATENATE("(",$B2967," vs ",$K2967,")")</f>
        <v>(G vs J)</v>
      </c>
      <c r="Y2988" s="219"/>
      <c r="Z2988" s="295" t="str">
        <f>$J2968</f>
        <v/>
      </c>
      <c r="AA2988" s="295"/>
      <c r="AB2988" s="295"/>
      <c r="AC2988" s="295"/>
      <c r="AD2988" s="295"/>
      <c r="AE2988" s="295"/>
      <c r="AF2988"/>
    </row>
    <row r="2989" spans="1:32" ht="12.75" customHeight="1" x14ac:dyDescent="0.25">
      <c r="A2989" s="259" t="str">
        <f>K2967</f>
        <v>J</v>
      </c>
      <c r="B2989" s="236" t="str">
        <f ca="1">IF(AND(OFFSET($AO$1,$L2967-1,8,1,1),$A2968&lt;&gt;"",$J2968&lt;&gt;""),CHOOSE($L2967,$AQ$1,$AQ$2,$AQ$3,$AQ$4,$AQ$5,$AQ$6,$AQ$7,$AQ$8,$AQ$9,$AQ$10,$AQ$11,$AQ$12),"")</f>
        <v/>
      </c>
      <c r="C2989" s="237"/>
      <c r="D2989" s="237"/>
      <c r="E2989" s="237"/>
      <c r="F2989" s="237"/>
      <c r="G2989" s="237"/>
      <c r="H2989" s="233"/>
      <c r="I2989" s="233"/>
      <c r="J2989" s="233"/>
      <c r="K2989" s="233"/>
      <c r="L2989" s="233"/>
      <c r="M2989" s="250" t="s">
        <v>169</v>
      </c>
      <c r="N2989" s="251"/>
      <c r="O2989" s="251"/>
      <c r="P2989" s="252"/>
      <c r="Q2989" s="40" t="str">
        <f>IF($Q2987&lt;&gt;"",IF($Q2987="W","L","W"),"")</f>
        <v/>
      </c>
      <c r="R2989"/>
      <c r="S2989"/>
      <c r="T2989"/>
      <c r="U2989"/>
      <c r="V2989"/>
      <c r="W2989"/>
      <c r="X2989"/>
      <c r="Y2989"/>
      <c r="Z2989"/>
      <c r="AA2989"/>
      <c r="AB2989"/>
      <c r="AC2989"/>
      <c r="AD2989"/>
      <c r="AE2989"/>
      <c r="AF2989"/>
    </row>
    <row r="2990" spans="1:32" ht="12.75" customHeight="1" x14ac:dyDescent="0.25">
      <c r="A2990" s="260"/>
      <c r="B2990" s="238"/>
      <c r="C2990" s="239"/>
      <c r="D2990" s="239"/>
      <c r="E2990" s="239"/>
      <c r="F2990" s="239"/>
      <c r="G2990" s="239"/>
      <c r="H2990" s="234"/>
      <c r="I2990" s="234"/>
      <c r="J2990" s="235"/>
      <c r="K2990" s="235"/>
      <c r="L2990" s="235"/>
      <c r="M2990" s="250"/>
      <c r="N2990" s="251"/>
      <c r="O2990" s="251"/>
      <c r="P2990" s="252"/>
      <c r="Q2990" s="110" t="str">
        <f>IF($Q2989&lt;&gt;"",IF($Q2989="W",IF(SUM(IF($H2989&gt;$H2987,1,0),IF($I2989&gt;$I2987,1,0),IF($J2989&gt;$J2987,1,0),IF($K2989&gt;$K2987,1,0),IF($L2989&gt;$L2987,1,0))&lt;&gt;3,"Error",""),""),"")</f>
        <v/>
      </c>
      <c r="R2990" t="str">
        <f>$A2985</f>
        <v>3rd Singles</v>
      </c>
      <c r="S2990"/>
      <c r="T2990"/>
      <c r="U2990"/>
      <c r="V2990"/>
      <c r="W2990"/>
      <c r="X2990"/>
      <c r="Y2990"/>
      <c r="Z2990"/>
      <c r="AA2990"/>
      <c r="AB2990"/>
      <c r="AC2990"/>
      <c r="AD2990"/>
      <c r="AE2990"/>
      <c r="AF2990"/>
    </row>
    <row r="2991" spans="1:32" ht="12.75" customHeight="1" x14ac:dyDescent="0.25">
      <c r="Q2991" s="6"/>
      <c r="R2991" s="47" t="s">
        <v>160</v>
      </c>
      <c r="S2991" s="86" t="s">
        <v>58</v>
      </c>
      <c r="T2991" s="87"/>
      <c r="U2991" s="87"/>
      <c r="V2991" s="87"/>
      <c r="W2991" s="87"/>
      <c r="X2991" s="88"/>
      <c r="Y2991" s="47">
        <v>1</v>
      </c>
      <c r="Z2991" s="47">
        <v>2</v>
      </c>
      <c r="AA2991" s="47">
        <v>3</v>
      </c>
      <c r="AB2991" s="47">
        <v>4</v>
      </c>
      <c r="AC2991" s="47">
        <v>5</v>
      </c>
      <c r="AD2991" s="89"/>
      <c r="AE2991" s="90"/>
      <c r="AF2991" s="91"/>
    </row>
    <row r="2992" spans="1:32" ht="12.75" customHeight="1" x14ac:dyDescent="0.25">
      <c r="A2992" s="15" t="s">
        <v>168</v>
      </c>
      <c r="H2992" s="110" t="str">
        <f ca="1">IF($Q2994&lt;&gt;"",IF(AND($B2994&lt;&gt;"Missing Player",$B2996&lt;&gt;"Missing Player"),IF(AND(AND($H2994&gt;-1,$H2996&gt;-1),OR($H2994&gt;10,$H2996&gt;10),ABS($H2994-$H2996)&gt;1,IF(OR($H2994&gt;11,$H2996&gt;11),ABS($H2994-$H2996)=2,TRUE),$H2994=INT($H2994),$H2996=INT($H2996)),"","Error"),""),"")</f>
        <v/>
      </c>
      <c r="I2992" s="110" t="str">
        <f ca="1">IF($Q2994&lt;&gt;"",IF(AND($B2994&lt;&gt;"Missing Player",$B2996&lt;&gt;"Missing Player"),IF(AND(AND($I2994&gt;-1,$I2996&gt;-1),OR($I2994&gt;10,$I2996&gt;10),ABS($I2994-$I2996)&gt;1,IF(OR($I2994&gt;11,$I2996&gt;11),ABS($I2994-$I2996)=2,TRUE),$I2994=INT($I2994),$I2996=INT($I2996)),"","Error"),""),"")</f>
        <v/>
      </c>
      <c r="J2992" s="110" t="str">
        <f ca="1">IF($Q2994&lt;&gt;"",IF(AND($B2994&lt;&gt;"Missing Player",$B2996&lt;&gt;"Missing Player"),IF(AND(AND($J2994&gt;-1,$J2996&gt;-1),OR($J2994&gt;10,$J2996&gt;10),ABS($J2994-$J2996)&gt;1,IF(OR($J2994&gt;11,$J2996&gt;11),ABS($J2994-$J2996)=2,TRUE),$J2994=INT($J2994),$J2996=INT($J2996)),"","Error"),""),"")</f>
        <v/>
      </c>
      <c r="K2992" s="110" t="str">
        <f ca="1">IF($Q2994&lt;&gt;"",IF(AND($K2994&lt;&gt;"",$K2996&lt;&gt;""), IF(AND(AND($K2994&gt;-1,$K2996&gt;-1),OR($K2994&gt;10,$K2996&gt;10),ABS($K2994-$K2996)&gt;1,IF(OR($K2994&gt;11,$K2996&gt;11),ABS($K2994-$K2996)=2,TRUE),$K2994=INT($K2994),$K2996=INT($K2996)),"","Error"),""),"")</f>
        <v/>
      </c>
      <c r="L2992" s="110" t="str">
        <f ca="1">IF($Q2994&lt;&gt;"",IF(AND($L2994&lt;&gt;"",$L2996&lt;&gt;""), IF(AND(AND($L2994&gt;-1,$L2996&gt;-1),OR($L2994&gt;10,$L2996&gt;10),ABS($L2994-$L2996)&gt;1,IF(OR($L2994&gt;11,$L2996&gt;11),ABS($L2994-$L2996)=2,TRUE),$L2994=INT($L2994),$L2996=INT($L2996)),"","Error"),""),"")</f>
        <v/>
      </c>
      <c r="Q2992" s="6"/>
      <c r="R2992" s="259" t="str">
        <f>$B2967</f>
        <v>G</v>
      </c>
      <c r="S2992" s="307" t="str">
        <f ca="1">IF($B2987&lt;&gt;"",$B2987,"")</f>
        <v/>
      </c>
      <c r="T2992" s="308"/>
      <c r="U2992" s="308"/>
      <c r="V2992" s="308"/>
      <c r="W2992" s="308"/>
      <c r="X2992" s="309"/>
      <c r="Y2992" s="284"/>
      <c r="Z2992" s="284"/>
      <c r="AA2992" s="284"/>
      <c r="AB2992" s="284"/>
      <c r="AC2992" s="284"/>
      <c r="AD2992" s="296"/>
      <c r="AE2992" s="290"/>
      <c r="AF2992" s="291"/>
    </row>
    <row r="2993" spans="1:32" ht="12.75" customHeight="1" x14ac:dyDescent="0.25">
      <c r="A2993" s="5" t="s">
        <v>160</v>
      </c>
      <c r="B2993" s="256" t="s">
        <v>58</v>
      </c>
      <c r="C2993" s="257"/>
      <c r="D2993" s="257"/>
      <c r="E2993" s="257"/>
      <c r="F2993" s="257"/>
      <c r="G2993" s="258"/>
      <c r="H2993" s="5">
        <v>1</v>
      </c>
      <c r="I2993" s="5">
        <v>2</v>
      </c>
      <c r="J2993" s="5">
        <v>3</v>
      </c>
      <c r="K2993" s="5">
        <v>4</v>
      </c>
      <c r="L2993" s="5">
        <v>5</v>
      </c>
      <c r="M2993" s="270"/>
      <c r="N2993" s="271"/>
      <c r="O2993" s="271"/>
      <c r="P2993" s="272"/>
      <c r="Q2993" s="6"/>
      <c r="R2993" s="285"/>
      <c r="S2993" s="310"/>
      <c r="T2993" s="311"/>
      <c r="U2993" s="311"/>
      <c r="V2993" s="311"/>
      <c r="W2993" s="311"/>
      <c r="X2993" s="312"/>
      <c r="Y2993" s="285"/>
      <c r="Z2993" s="285"/>
      <c r="AA2993" s="285"/>
      <c r="AB2993" s="285"/>
      <c r="AC2993" s="285"/>
      <c r="AD2993" s="292"/>
      <c r="AE2993" s="293"/>
      <c r="AF2993" s="294"/>
    </row>
    <row r="2994" spans="1:32" ht="12.75" customHeight="1" x14ac:dyDescent="0.25">
      <c r="A2994" s="259" t="str">
        <f>B2967</f>
        <v>G</v>
      </c>
      <c r="B2994" s="236" t="str">
        <f ca="1">IF(AND(OFFSET($AO$1,$C2967-1,8,1,1),$A2968&lt;&gt;"",$J2968&lt;&gt;""),CHOOSE($C2967,$AR$1,$AR$2,$AR$3,$AR$4,$AR$5,$AR$6,$AR$7,$AR$8,$AR$9,$AR$10,$AR$11,$AR$12),"")</f>
        <v/>
      </c>
      <c r="C2994" s="237"/>
      <c r="D2994" s="237"/>
      <c r="E2994" s="237"/>
      <c r="F2994" s="237"/>
      <c r="G2994" s="237"/>
      <c r="H2994" s="233"/>
      <c r="I2994" s="233"/>
      <c r="J2994" s="233"/>
      <c r="K2994" s="233"/>
      <c r="L2994" s="233" t="str">
        <f ca="1">IF(AND($B2994&lt;&gt;"",$Q2973&lt;&gt;""),IF($B2994="Missing Player",0,IF($B2996="Missing Player",11,"")),"")</f>
        <v/>
      </c>
      <c r="M2994" s="245" t="str">
        <f ca="1">IF(OR(AND($B2987&lt;&gt;"",$B2994&lt;&gt;"",$E2998&lt;=$D2998),AND($B2989&lt;&gt;"",$B2996&lt;&gt;"",$I2998&lt;=$H2998)),"Invalid Lineup","")</f>
        <v/>
      </c>
      <c r="N2994" s="246"/>
      <c r="O2994" s="246"/>
      <c r="P2994" s="247"/>
      <c r="Q2994" s="40" t="str">
        <f ca="1">IF($L2994=$L2996,IF($K2994=$K2996,IF($J2994&lt;&gt;"",IF($J2994&gt;$J2996,"W","L"),""),IF($K2994&gt;$K2996,"W","L")),IF($L2994&gt;$L2996,"W","L"))</f>
        <v/>
      </c>
      <c r="R2994" s="259" t="str">
        <f>$K2967</f>
        <v>J</v>
      </c>
      <c r="S2994" s="307" t="str">
        <f ca="1">IF($B2989&lt;&gt;"",$B2989,"")</f>
        <v/>
      </c>
      <c r="T2994" s="308"/>
      <c r="U2994" s="308"/>
      <c r="V2994" s="308"/>
      <c r="W2994" s="308"/>
      <c r="X2994" s="309"/>
      <c r="Y2994" s="284"/>
      <c r="Z2994" s="284"/>
      <c r="AA2994" s="284"/>
      <c r="AB2994" s="284"/>
      <c r="AC2994" s="297"/>
      <c r="AD2994" s="289" t="s">
        <v>169</v>
      </c>
      <c r="AE2994" s="290"/>
      <c r="AF2994" s="291"/>
    </row>
    <row r="2995" spans="1:32" ht="12.75" customHeight="1" x14ac:dyDescent="0.25">
      <c r="A2995" s="260"/>
      <c r="B2995" s="238"/>
      <c r="C2995" s="239"/>
      <c r="D2995" s="239"/>
      <c r="E2995" s="239"/>
      <c r="F2995" s="239"/>
      <c r="G2995" s="239"/>
      <c r="H2995" s="234"/>
      <c r="I2995" s="234"/>
      <c r="J2995" s="234"/>
      <c r="K2995" s="234"/>
      <c r="L2995" s="234"/>
      <c r="M2995" s="245"/>
      <c r="N2995" s="246"/>
      <c r="O2995" s="246"/>
      <c r="P2995" s="247"/>
      <c r="Q2995" s="110" t="str">
        <f ca="1">IF($Q2994&lt;&gt;"",IF($B2996&lt;&gt;"Missing Player",IF($Q2994="W",IF(SUM(IF($H2994&gt;$H2996,1,0),IF($I2994&gt;$I2996,1,0),IF($J2994&gt;$J2996,1,0),IF($K2994&gt;$K2996,1,0),IF($L2994&gt;$L2996,1,0))&lt;&gt;3,"Error",""),""),""),"")</f>
        <v/>
      </c>
      <c r="R2995" s="285"/>
      <c r="S2995" s="310"/>
      <c r="T2995" s="311"/>
      <c r="U2995" s="311"/>
      <c r="V2995" s="311"/>
      <c r="W2995" s="311"/>
      <c r="X2995" s="312"/>
      <c r="Y2995" s="285"/>
      <c r="Z2995" s="285"/>
      <c r="AA2995" s="285"/>
      <c r="AB2995" s="285"/>
      <c r="AC2995" s="285"/>
      <c r="AD2995" s="292"/>
      <c r="AE2995" s="293"/>
      <c r="AF2995" s="294"/>
    </row>
    <row r="2996" spans="1:32" ht="12.75" customHeight="1" x14ac:dyDescent="0.25">
      <c r="A2996" s="259" t="str">
        <f>K2967</f>
        <v>J</v>
      </c>
      <c r="B2996" s="236" t="str">
        <f ca="1">IF(AND(OFFSET($AO$1,$L2967-1,8,1,1),$A2968&lt;&gt;"",$J2968&lt;&gt;""),CHOOSE($L2967,$AR$1,$AR$2,$AR$3,$AR$4,$AR$5,$AR$6,$AR$7,$AR$8,$AR$9,$AR$10,$AR$11,$AR$12),"")</f>
        <v/>
      </c>
      <c r="C2996" s="237"/>
      <c r="D2996" s="237"/>
      <c r="E2996" s="237"/>
      <c r="F2996" s="237"/>
      <c r="G2996" s="237"/>
      <c r="H2996" s="233"/>
      <c r="I2996" s="233"/>
      <c r="J2996" s="233"/>
      <c r="K2996" s="233"/>
      <c r="L2996" s="233" t="str">
        <f ca="1">IF(AND($B2996&lt;&gt;"",$Q2973&lt;&gt;""),IF($B2996="Missing Player",0,IF($B2994="Missing Player",11,"")),"")</f>
        <v/>
      </c>
      <c r="M2996" s="250" t="s">
        <v>169</v>
      </c>
      <c r="N2996" s="251"/>
      <c r="O2996" s="251"/>
      <c r="P2996" s="252"/>
      <c r="Q2996" s="40" t="str">
        <f ca="1">IF($Q2994&lt;&gt;"",IF($Q2994="W","L","W"),"")</f>
        <v/>
      </c>
      <c r="R2996" s="94"/>
      <c r="S2996" s="84"/>
      <c r="T2996" s="84"/>
      <c r="U2996" s="84"/>
      <c r="V2996" s="84"/>
      <c r="W2996" s="84"/>
      <c r="X2996" s="84"/>
      <c r="Y2996" s="93"/>
      <c r="Z2996" s="93"/>
      <c r="AA2996" s="93"/>
      <c r="AB2996" s="93"/>
      <c r="AC2996" s="93"/>
      <c r="AD2996" s="92"/>
      <c r="AE2996" s="93"/>
      <c r="AF2996" s="93"/>
    </row>
    <row r="2997" spans="1:32" ht="12.75" customHeight="1" x14ac:dyDescent="0.25">
      <c r="A2997" s="260"/>
      <c r="B2997" s="238"/>
      <c r="C2997" s="239"/>
      <c r="D2997" s="239"/>
      <c r="E2997" s="239"/>
      <c r="F2997" s="239"/>
      <c r="G2997" s="239"/>
      <c r="H2997" s="234"/>
      <c r="I2997" s="234"/>
      <c r="J2997" s="235"/>
      <c r="K2997" s="235"/>
      <c r="L2997" s="235"/>
      <c r="M2997" s="250"/>
      <c r="N2997" s="251"/>
      <c r="O2997" s="251"/>
      <c r="P2997" s="252"/>
      <c r="Q2997" s="110" t="str">
        <f ca="1">IF($Q2996&lt;&gt;"",IF($B2994&lt;&gt;"Missing Player",IF($Q2996="W",IF(SUM(IF($H2996&gt;$H2994,1,0),IF($I2996&gt;$I2994,1,0),IF($J2996&gt;$J2994,1,0),IF($K2996&gt;$K2994,1,0),IF($L2996&gt;$L2994,1,0))&lt;&gt;3,"Error",""),""),""),"")</f>
        <v/>
      </c>
      <c r="R2997" s="85"/>
      <c r="S2997" s="95"/>
      <c r="T2997" s="95"/>
      <c r="U2997" s="95"/>
      <c r="V2997" s="95"/>
      <c r="W2997" s="95"/>
      <c r="X2997" s="95"/>
      <c r="Y2997" s="85"/>
      <c r="Z2997" s="85"/>
      <c r="AA2997" s="85"/>
      <c r="AB2997" s="85"/>
      <c r="AC2997" s="85"/>
      <c r="AD2997" s="85"/>
      <c r="AE2997" s="85"/>
      <c r="AF2997" s="85"/>
    </row>
    <row r="2998" spans="1:32" ht="12.75" customHeight="1" x14ac:dyDescent="0.25">
      <c r="B2998" s="111" t="str">
        <f ca="1">IF(ISERROR(VLOOKUP($B2973&amp;"("&amp;$B2967&amp;")",Players!$S$4:$T$132,2,FALSE)),"",VLOOKUP($B2973&amp;"("&amp;$B2967&amp;")",Players!$S$4:$T$132,2,FALSE))</f>
        <v>G1</v>
      </c>
      <c r="C2998" s="111" t="str">
        <f ca="1">IF(ISERROR(VLOOKUP($B2980&amp;"("&amp;$B2967&amp;")",Players!$S$4:$T$132,2,FALSE)),"",VLOOKUP($B2980&amp;"("&amp;$B2967&amp;")",Players!$S$4:$T$132,2,FALSE))</f>
        <v>G1</v>
      </c>
      <c r="D2998" s="111" t="str">
        <f ca="1">IF(ISERROR(VLOOKUP($B2987&amp;"("&amp;$B2967&amp;")",Players!$S$4:$T$132,2,FALSE)),"",VLOOKUP($B2987&amp;"("&amp;$B2967&amp;")",Players!$S$4:$T$132,2,FALSE))</f>
        <v>G1</v>
      </c>
      <c r="E2998" s="111" t="str">
        <f ca="1">IF(ISERROR(VLOOKUP($B2994&amp;"("&amp;$B2967&amp;")",Players!$S$4:$T$132,2,FALSE)),"",VLOOKUP($B2994&amp;"("&amp;$B2967&amp;")",Players!$S$4:$T$132,2,FALSE))</f>
        <v>G1</v>
      </c>
      <c r="F2998" s="111" t="str">
        <f ca="1">IF(ISERROR(VLOOKUP($B2975&amp;"("&amp;$K2967&amp;")",Players!$S$4:$T$132,2,FALSE)),"",VLOOKUP($B2975&amp;"("&amp;$K2967&amp;")",Players!$S$4:$T$132,2,FALSE))</f>
        <v>J1</v>
      </c>
      <c r="G2998" s="111" t="str">
        <f ca="1">IF(ISERROR(VLOOKUP($B2982&amp;"("&amp;$K2967&amp;")",Players!$S$4:$T$132,2,FALSE)),"",VLOOKUP($B2982&amp;"("&amp;$K2967&amp;")",Players!$S$4:$T$132,2,FALSE))</f>
        <v>J1</v>
      </c>
      <c r="H2998" s="111" t="str">
        <f ca="1">IF(ISERROR(VLOOKUP($B2989&amp;"("&amp;$K2967&amp;")",Players!$S$4:$T$132,2,FALSE)),"",VLOOKUP($B2989&amp;"("&amp;$K2967&amp;")",Players!$S$4:$T$132,2,FALSE))</f>
        <v>J1</v>
      </c>
      <c r="I2998" s="111" t="str">
        <f ca="1">IF(ISERROR(VLOOKUP($B2996&amp;"("&amp;$K2967&amp;")",Players!$S$4:$T$132,2,FALSE)),"",VLOOKUP($B2996&amp;"("&amp;$K2967&amp;")",Players!$S$4:$T$132,2,FALSE))</f>
        <v>J1</v>
      </c>
      <c r="Q2998" s="6"/>
      <c r="R2998" s="37"/>
      <c r="S2998" s="95"/>
      <c r="T2998" s="95"/>
      <c r="U2998" s="95"/>
      <c r="V2998" s="95"/>
      <c r="W2998" s="95"/>
      <c r="X2998" s="95"/>
      <c r="Y2998" s="85"/>
      <c r="Z2998" s="85"/>
      <c r="AA2998" s="85"/>
      <c r="AB2998" s="85"/>
      <c r="AC2998" s="96"/>
      <c r="AD2998" s="97"/>
      <c r="AE2998" s="85"/>
      <c r="AF2998" s="85"/>
    </row>
    <row r="2999" spans="1:32" ht="12.75" customHeight="1" x14ac:dyDescent="0.25">
      <c r="A2999" s="15" t="s">
        <v>157</v>
      </c>
      <c r="H2999" s="110" t="str">
        <f ca="1">IF($Q3001&lt;&gt;"",IF(AND($B3002&lt;&gt;"Missing Player",$B3004&lt;&gt;"Missing Player"),IF(AND(AND($H3001&gt;-1,$H3003&gt;-1),OR($H3001&gt;10,$H3003&gt;10),ABS($H3001-$H3003)&gt;1,IF(OR($H3001&gt;11,$H3003&gt;11),ABS($H3001-$H3003)=2,TRUE),$H3001=INT($H3001),$H3003=INT($H3003)),"","Error"),""),"")</f>
        <v/>
      </c>
      <c r="I2999" s="110" t="str">
        <f ca="1">IF($Q3001&lt;&gt;"",IF(AND($B3002&lt;&gt;"Missing Player",$B3004&lt;&gt;"Missing Player"),IF(AND(AND($I3001&gt;-1,$I3003&gt;-1),OR($I3001&gt;10,$I3003&gt;10),ABS($I3001-$I3003)&gt;1,IF(OR($I3001&gt;11,$I3003&gt;11),ABS($I3001-$I3003)=2,TRUE),$I3001=INT($I3001),$I3003=INT($I3003)),"","Error"),""),"")</f>
        <v/>
      </c>
      <c r="J2999" s="110" t="str">
        <f ca="1">IF($Q3001&lt;&gt;"",IF(AND($B3002&lt;&gt;"Missing Player",$B3004&lt;&gt;"Missing Player"),IF(AND(AND($J3001&gt;-1,$J3003&gt;-1),OR($J3001&gt;10,$J3003&gt;10),ABS($J3001-$J3003)&gt;1,IF(OR($J3001&gt;11,$J3003&gt;11),ABS($J3001-$J3003)=2,TRUE),$J3001=INT($J3001),$J3003=INT($J3003)),"","Error"),""),"")</f>
        <v/>
      </c>
      <c r="K2999" s="110" t="str">
        <f ca="1">IF($Q3001&lt;&gt;"",IF(AND($K3001&lt;&gt;"",$K3003&lt;&gt;""), IF(AND(AND($K3001&gt;-1,$K3003&gt;-1),OR($K3001&gt;10,$K3003&gt;10),ABS($K3001-$K3003)&gt;1,IF(OR($K3001&gt;11,$K3003&gt;11),ABS($K3001-$K3003)=2,TRUE),$K3001=INT($K3001),$K3003=INT($K3003)),"","Error"),""),"")</f>
        <v/>
      </c>
      <c r="L2999" s="110" t="str">
        <f ca="1">IF($Q3001&lt;&gt;"",IF(AND($L3001&lt;&gt;"",$L3003&lt;&gt;""), IF(AND(AND($L3001&gt;-1,$L3003&gt;-1),OR($L3001&gt;10,$L3003&gt;10),ABS($L3001-$L3003)&gt;1,IF(OR($L3001&gt;11,$L3003&gt;11),ABS($L3001-$L3003)=2,TRUE),$L3001=INT($L3001),$L3003=INT($L3003)),"","Error"),""),"")</f>
        <v/>
      </c>
      <c r="Q2999" s="6"/>
      <c r="R2999" s="85"/>
      <c r="S2999" s="95"/>
      <c r="T2999" s="95"/>
      <c r="U2999" s="95"/>
      <c r="V2999" s="95"/>
      <c r="W2999" s="95"/>
      <c r="X2999" s="95"/>
      <c r="Y2999" s="85"/>
      <c r="Z2999" s="85"/>
      <c r="AA2999" s="85"/>
      <c r="AB2999" s="85"/>
      <c r="AC2999" s="85"/>
      <c r="AD2999" s="85"/>
      <c r="AE2999" s="85"/>
      <c r="AF2999" s="85"/>
    </row>
    <row r="3000" spans="1:32" ht="12.75" customHeight="1" x14ac:dyDescent="0.25">
      <c r="A3000" s="5" t="s">
        <v>160</v>
      </c>
      <c r="B3000" s="256" t="s">
        <v>58</v>
      </c>
      <c r="C3000" s="257"/>
      <c r="D3000" s="257"/>
      <c r="E3000" s="257"/>
      <c r="F3000" s="257"/>
      <c r="G3000" s="258"/>
      <c r="H3000" s="5">
        <v>1</v>
      </c>
      <c r="I3000" s="5">
        <v>2</v>
      </c>
      <c r="J3000" s="5">
        <v>3</v>
      </c>
      <c r="K3000" s="5">
        <v>4</v>
      </c>
      <c r="L3000" s="5">
        <v>5</v>
      </c>
      <c r="M3000" s="270"/>
      <c r="N3000" s="271"/>
      <c r="O3000" s="271"/>
      <c r="P3000" s="272"/>
      <c r="Q3000" s="6"/>
      <c r="T3000" s="7"/>
    </row>
    <row r="3001" spans="1:32" ht="12.75" customHeight="1" x14ac:dyDescent="0.25">
      <c r="A3001" s="259" t="str">
        <f>B2967</f>
        <v>G</v>
      </c>
      <c r="B3001" s="230" t="str">
        <f ca="1">IF($B2973&lt;&gt;"",$B2973,"")</f>
        <v/>
      </c>
      <c r="C3001" s="231"/>
      <c r="D3001" s="231"/>
      <c r="E3001" s="231"/>
      <c r="F3001" s="231"/>
      <c r="G3001" s="232"/>
      <c r="H3001" s="233"/>
      <c r="I3001" s="233"/>
      <c r="J3001" s="233"/>
      <c r="K3001" s="233"/>
      <c r="L3001" s="233" t="str">
        <f ca="1">IF($B2994&lt;&gt;"",IF(AND($B2994="Missing Player",$G3005=2,$J3005=2),0,IF(AND($B2996="Missing Player",$G3005=2,$J3005=2),11,"")),"")</f>
        <v/>
      </c>
      <c r="M3001" s="245" t="str">
        <f ca="1">IF(OR(AND($B3001&lt;&gt;"",$B3002&lt;&gt;"",$B3001=$B3002),AND($B3003&lt;&gt;"",$B3004&lt;&gt;"",$B3003=$B3004)),"Invalid Partner","")</f>
        <v/>
      </c>
      <c r="N3001" s="246"/>
      <c r="O3001" s="246"/>
      <c r="P3001" s="247"/>
      <c r="Q3001" s="37" t="str">
        <f ca="1">IF(L3001=L3003,IF(K3001=K3003,IF(J3001&lt;&gt;"",IF(J3001&gt;J3003,"W","L"),""),IF(K3001&gt;K3003,"W","L")),IF(L3001&gt;L3003,"W","L"))</f>
        <v/>
      </c>
      <c r="T3001" s="7"/>
    </row>
    <row r="3002" spans="1:32" ht="12.75" customHeight="1" x14ac:dyDescent="0.25">
      <c r="A3002" s="260"/>
      <c r="B3002" s="266" t="str">
        <f ca="1">IF($B2994="Missing Player",$B2994,"")</f>
        <v/>
      </c>
      <c r="C3002" s="267"/>
      <c r="D3002" s="267"/>
      <c r="E3002" s="267"/>
      <c r="F3002" s="267"/>
      <c r="G3002" s="268"/>
      <c r="H3002" s="234"/>
      <c r="I3002" s="234"/>
      <c r="J3002" s="234"/>
      <c r="K3002" s="234"/>
      <c r="L3002" s="234"/>
      <c r="M3002" s="245"/>
      <c r="N3002" s="246"/>
      <c r="O3002" s="246"/>
      <c r="P3002" s="247"/>
      <c r="Q3002" s="110" t="str">
        <f ca="1">IF($Q3001&lt;&gt;"",IF($B3004&lt;&gt;"Missing Player",IF($Q3001="W",IF(SUM(IF($H3001&gt;$H3003,1,0),IF($I3001&gt;$I3003,1,0),IF($J3001&gt;$J3003,1,0),IF($K3001&gt;$K3003,1,0),IF($L3001&gt;$L3003,1,0))&lt;&gt;3,"Error",""),""),""),"")</f>
        <v/>
      </c>
      <c r="R3002" s="295" t="str">
        <f>$A2968</f>
        <v/>
      </c>
      <c r="S3002" s="295"/>
      <c r="T3002" s="295"/>
      <c r="U3002" s="295"/>
      <c r="V3002" s="295"/>
      <c r="W3002" s="295"/>
      <c r="X3002" s="219" t="str">
        <f>CONCATENATE("(",$B2967," vs ",$K2967,")")</f>
        <v>(G vs J)</v>
      </c>
      <c r="Y3002" s="219"/>
      <c r="Z3002" s="295" t="str">
        <f>$J2968</f>
        <v/>
      </c>
      <c r="AA3002" s="295"/>
      <c r="AB3002" s="295"/>
      <c r="AC3002" s="295"/>
      <c r="AD3002" s="295"/>
      <c r="AE3002" s="295"/>
      <c r="AF3002"/>
    </row>
    <row r="3003" spans="1:32" ht="12.75" customHeight="1" x14ac:dyDescent="0.25">
      <c r="A3003" s="265" t="str">
        <f>K2967</f>
        <v>J</v>
      </c>
      <c r="B3003" s="230" t="str">
        <f ca="1">IF($B2975&lt;&gt;"",$B2975,"")</f>
        <v/>
      </c>
      <c r="C3003" s="231"/>
      <c r="D3003" s="231"/>
      <c r="E3003" s="231"/>
      <c r="F3003" s="231"/>
      <c r="G3003" s="232"/>
      <c r="H3003" s="233"/>
      <c r="I3003" s="233"/>
      <c r="J3003" s="233"/>
      <c r="K3003" s="233"/>
      <c r="L3003" s="233" t="str">
        <f ca="1">IF($B2996&lt;&gt;"",IF(AND($B2996="Missing Player",$G3005=2,$J3005=2),0,IF(AND($B2994="Missing Player",$G3005=2,$J3005=2),11,"")),"")</f>
        <v/>
      </c>
      <c r="M3003" s="250" t="s">
        <v>169</v>
      </c>
      <c r="N3003" s="251"/>
      <c r="O3003" s="251"/>
      <c r="P3003" s="252"/>
      <c r="Q3003" s="37" t="str">
        <f ca="1">IF(Q3001&lt;&gt;"",IF(Q3001="W","L","W"),"")</f>
        <v/>
      </c>
      <c r="R3003"/>
      <c r="S3003"/>
      <c r="T3003"/>
      <c r="U3003"/>
      <c r="V3003"/>
      <c r="W3003"/>
      <c r="X3003"/>
      <c r="Y3003"/>
      <c r="Z3003"/>
      <c r="AA3003"/>
      <c r="AB3003"/>
      <c r="AC3003"/>
      <c r="AD3003"/>
      <c r="AE3003"/>
      <c r="AF3003"/>
    </row>
    <row r="3004" spans="1:32" ht="12.75" customHeight="1" x14ac:dyDescent="0.25">
      <c r="A3004" s="260"/>
      <c r="B3004" s="266" t="str">
        <f ca="1">IF($B2996="Missing Player",$B2996,"")</f>
        <v/>
      </c>
      <c r="C3004" s="267"/>
      <c r="D3004" s="267"/>
      <c r="E3004" s="267"/>
      <c r="F3004" s="267"/>
      <c r="G3004" s="268"/>
      <c r="H3004" s="234"/>
      <c r="I3004" s="234"/>
      <c r="J3004" s="235"/>
      <c r="K3004" s="235"/>
      <c r="L3004" s="235"/>
      <c r="M3004" s="250"/>
      <c r="N3004" s="251"/>
      <c r="O3004" s="251"/>
      <c r="P3004" s="252"/>
      <c r="Q3004" s="110" t="str">
        <f ca="1">IF($Q3003&lt;&gt;"",IF($B3002&lt;&gt;"Missing Player",IF($Q3003="W",IF(SUM(IF($H3003&gt;$H3001,1,0),IF($I3003&gt;$I3001,1,0),IF($J3003&gt;$J3001,1,0),IF($K3003&gt;$K3001,1,0),IF($L3003&gt;$L3001,1,0))&lt;&gt;3,"Error",""),""),""),"")</f>
        <v/>
      </c>
      <c r="R3004" t="str">
        <f>A2992</f>
        <v>4th Singles</v>
      </c>
      <c r="S3004"/>
      <c r="T3004"/>
      <c r="U3004"/>
      <c r="V3004"/>
      <c r="W3004"/>
      <c r="X3004"/>
      <c r="Y3004"/>
      <c r="Z3004"/>
      <c r="AA3004"/>
      <c r="AB3004"/>
      <c r="AC3004"/>
      <c r="AD3004"/>
      <c r="AE3004"/>
      <c r="AF3004"/>
    </row>
    <row r="3005" spans="1:32" ht="12.75" customHeight="1" x14ac:dyDescent="0.25">
      <c r="G3005" s="53">
        <f ca="1">COUNTIF($Q2973:$Q2973,"W")+COUNTIF($Q2980:$Q2980,"W")+COUNTIF($Q2987:$Q2987,"W")+COUNTIF($Q2994:$Q2994,"W")</f>
        <v>0</v>
      </c>
      <c r="J3005" s="53">
        <f ca="1">COUNTIF($Q2975:$Q2975,"W")+COUNTIF($Q2982:$Q2982,"W")+COUNTIF($Q2989:$Q2989,"W")+COUNTIF($Q2996:$Q2996,"W")</f>
        <v>0</v>
      </c>
      <c r="R3005" s="47" t="s">
        <v>160</v>
      </c>
      <c r="S3005" s="304" t="s">
        <v>58</v>
      </c>
      <c r="T3005" s="305"/>
      <c r="U3005" s="305"/>
      <c r="V3005" s="305"/>
      <c r="W3005" s="305"/>
      <c r="X3005" s="306"/>
      <c r="Y3005" s="47">
        <v>1</v>
      </c>
      <c r="Z3005" s="47">
        <v>2</v>
      </c>
      <c r="AA3005" s="47">
        <v>3</v>
      </c>
      <c r="AB3005" s="47">
        <v>4</v>
      </c>
      <c r="AC3005" s="47">
        <v>5</v>
      </c>
      <c r="AD3005" s="286"/>
      <c r="AE3005" s="287"/>
      <c r="AF3005" s="288"/>
    </row>
    <row r="3006" spans="1:32" ht="12.75" customHeight="1" thickBot="1" x14ac:dyDescent="0.3">
      <c r="F3006" s="212" t="s">
        <v>170</v>
      </c>
      <c r="G3006" s="212"/>
      <c r="H3006" s="212"/>
      <c r="I3006" s="212"/>
      <c r="J3006" s="212"/>
      <c r="K3006" s="212"/>
      <c r="R3006" s="259" t="str">
        <f>B2967</f>
        <v>G</v>
      </c>
      <c r="S3006" s="307" t="str">
        <f ca="1">IF($B2994&lt;&gt;"",$B2994,"")</f>
        <v/>
      </c>
      <c r="T3006" s="308"/>
      <c r="U3006" s="308"/>
      <c r="V3006" s="308"/>
      <c r="W3006" s="308"/>
      <c r="X3006" s="309"/>
      <c r="Y3006" s="284"/>
      <c r="Z3006" s="284"/>
      <c r="AA3006" s="297"/>
      <c r="AB3006" s="297"/>
      <c r="AC3006" s="297"/>
      <c r="AD3006" s="296"/>
      <c r="AE3006" s="298"/>
      <c r="AF3006" s="299"/>
    </row>
    <row r="3007" spans="1:32" ht="12.75" customHeight="1" x14ac:dyDescent="0.25">
      <c r="A3007" s="16"/>
      <c r="B3007" s="16"/>
      <c r="C3007" s="16"/>
      <c r="D3007" s="16"/>
      <c r="E3007" s="16"/>
      <c r="G3007" s="261" t="str">
        <f>B2967</f>
        <v>G</v>
      </c>
      <c r="H3007" s="262"/>
      <c r="I3007" s="263" t="str">
        <f>K2967</f>
        <v>J</v>
      </c>
      <c r="J3007" s="264"/>
      <c r="L3007" s="16"/>
      <c r="M3007" s="16"/>
      <c r="N3007" s="16"/>
      <c r="O3007" s="16"/>
      <c r="P3007" s="16"/>
      <c r="R3007" s="260"/>
      <c r="S3007" s="310"/>
      <c r="T3007" s="311"/>
      <c r="U3007" s="311"/>
      <c r="V3007" s="311"/>
      <c r="W3007" s="311"/>
      <c r="X3007" s="312"/>
      <c r="Y3007" s="285"/>
      <c r="Z3007" s="285"/>
      <c r="AA3007" s="303"/>
      <c r="AB3007" s="303"/>
      <c r="AC3007" s="303"/>
      <c r="AD3007" s="300"/>
      <c r="AE3007" s="301"/>
      <c r="AF3007" s="302"/>
    </row>
    <row r="3008" spans="1:32" ht="12.75" customHeight="1" thickBot="1" x14ac:dyDescent="0.3">
      <c r="A3008" s="2" t="s">
        <v>160</v>
      </c>
      <c r="B3008" s="40" t="str">
        <f>B2967</f>
        <v>G</v>
      </c>
      <c r="C3008" s="3" t="s">
        <v>158</v>
      </c>
      <c r="F3008" s="53" t="str">
        <f>CONCATENATE($B2967,"-",$K2967)</f>
        <v>G-J</v>
      </c>
      <c r="G3008" s="240" t="str">
        <f ca="1">IF(OR(Q2973&lt;&gt;"",Q2980&lt;&gt;"",Q2987&lt;&gt;"",Q2994&lt;&gt;"",Q3001&lt;&gt;""),COUNTIF(Q2973:Q2973,"W")+COUNTIF(Q2980:Q2980,"W")+COUNTIF(Q2987:Q2987,"W")+COUNTIF(Q2994:Q2994,"W")+COUNTIF(Q3001:Q3001,"W"),"")</f>
        <v/>
      </c>
      <c r="H3008" s="241"/>
      <c r="I3008" s="242" t="str">
        <f ca="1">IF(OR(Q2975&lt;&gt;"",Q2982&lt;&gt;"",Q2989&lt;&gt;"",Q2996&lt;&gt;"",Q3003&lt;&gt;""),COUNTIF(Q2975:Q2975,"W")+COUNTIF(Q2982:Q2982,"W")+COUNTIF(Q2989:Q2989,"W")+COUNTIF(Q2996:Q2996,"W")+COUNTIF(Q3003:Q3003,"W"),"")</f>
        <v/>
      </c>
      <c r="J3008" s="243"/>
      <c r="L3008" s="2" t="s">
        <v>160</v>
      </c>
      <c r="M3008" s="40" t="str">
        <f>K2967</f>
        <v>J</v>
      </c>
      <c r="N3008" s="3" t="s">
        <v>158</v>
      </c>
      <c r="R3008" s="259" t="str">
        <f>K2967</f>
        <v>J</v>
      </c>
      <c r="S3008" s="307" t="str">
        <f ca="1">IF($B2996&lt;&gt;"",$B2996,"")</f>
        <v/>
      </c>
      <c r="T3008" s="308"/>
      <c r="U3008" s="308"/>
      <c r="V3008" s="308"/>
      <c r="W3008" s="308"/>
      <c r="X3008" s="309"/>
      <c r="Y3008" s="284"/>
      <c r="Z3008" s="284"/>
      <c r="AA3008" s="297"/>
      <c r="AB3008" s="297"/>
      <c r="AC3008" s="297"/>
      <c r="AD3008" s="289" t="s">
        <v>169</v>
      </c>
      <c r="AE3008" s="290"/>
      <c r="AF3008" s="291"/>
    </row>
    <row r="3009" spans="1:32" ht="12.75" customHeight="1" x14ac:dyDescent="0.35">
      <c r="F3009" s="18" t="s">
        <v>403</v>
      </c>
      <c r="G3009" s="17"/>
      <c r="H3009" s="17"/>
      <c r="I3009" s="17"/>
      <c r="J3009" s="17"/>
      <c r="R3009" s="285"/>
      <c r="S3009" s="310"/>
      <c r="T3009" s="311"/>
      <c r="U3009" s="311"/>
      <c r="V3009" s="311"/>
      <c r="W3009" s="311"/>
      <c r="X3009" s="312"/>
      <c r="Y3009" s="285"/>
      <c r="Z3009" s="285"/>
      <c r="AA3009" s="285"/>
      <c r="AB3009" s="285"/>
      <c r="AC3009" s="285"/>
      <c r="AD3009" s="292"/>
      <c r="AE3009" s="293"/>
      <c r="AF3009" s="294"/>
    </row>
    <row r="3010" spans="1:32" ht="12.75" customHeight="1" x14ac:dyDescent="0.25">
      <c r="R3010" s="1"/>
      <c r="S3010" s="11"/>
      <c r="T3010" s="11"/>
      <c r="U3010" s="11"/>
      <c r="V3010" s="11"/>
      <c r="W3010" s="11"/>
    </row>
    <row r="3011" spans="1:32" ht="12.75" customHeight="1" x14ac:dyDescent="0.25">
      <c r="F3011" s="212"/>
      <c r="G3011" s="212"/>
      <c r="H3011" s="212"/>
      <c r="I3011" s="212"/>
      <c r="R3011" s="1"/>
      <c r="S3011" s="11"/>
      <c r="T3011" s="11"/>
      <c r="U3011" s="11"/>
      <c r="V3011" s="11"/>
      <c r="W3011" s="11"/>
    </row>
    <row r="3012" spans="1:32" ht="12.75" customHeight="1" x14ac:dyDescent="0.25">
      <c r="F3012" s="212"/>
      <c r="G3012" s="212"/>
      <c r="H3012" s="212"/>
      <c r="I3012" s="212"/>
      <c r="R3012" s="1"/>
      <c r="S3012" s="11"/>
      <c r="T3012" s="11"/>
      <c r="U3012" s="11"/>
      <c r="V3012" s="11"/>
      <c r="W3012" s="11"/>
    </row>
    <row r="3013" spans="1:32" ht="12.75" customHeight="1" x14ac:dyDescent="0.25">
      <c r="K3013" s="219" t="s">
        <v>176</v>
      </c>
      <c r="L3013" s="219"/>
      <c r="M3013" s="219"/>
      <c r="N3013" s="219"/>
      <c r="O3013" s="219"/>
      <c r="P3013" s="219"/>
      <c r="R3013" s="1"/>
      <c r="S3013" s="11"/>
      <c r="T3013" s="11"/>
      <c r="U3013" s="11"/>
      <c r="V3013" s="11"/>
      <c r="W3013" s="11"/>
    </row>
    <row r="3014" spans="1:32" ht="12.75" customHeight="1" x14ac:dyDescent="0.25">
      <c r="A3014" s="9" t="s">
        <v>161</v>
      </c>
      <c r="B3014"/>
      <c r="C3014"/>
      <c r="D3014" t="str">
        <f>Draw!$B$1</f>
        <v>Enter Division Name</v>
      </c>
      <c r="E3014"/>
      <c r="F3014" s="6"/>
      <c r="G3014" s="6"/>
      <c r="H3014" s="6"/>
      <c r="I3014"/>
      <c r="J3014"/>
      <c r="K3014"/>
      <c r="L3014"/>
      <c r="M3014" s="219"/>
      <c r="N3014" s="219"/>
      <c r="O3014" s="219"/>
      <c r="P3014" s="219"/>
      <c r="R3014" s="1"/>
      <c r="S3014" s="11"/>
      <c r="T3014" s="11"/>
      <c r="U3014" s="11"/>
      <c r="V3014" s="11"/>
      <c r="W3014" s="11"/>
    </row>
    <row r="3015" spans="1:32" ht="12.75" customHeight="1" x14ac:dyDescent="0.25">
      <c r="A3015" s="2" t="s">
        <v>162</v>
      </c>
      <c r="D3015" t="str">
        <f>Draw!$D$1</f>
        <v>Enter Hosting Location (City, ST)</v>
      </c>
      <c r="J3015" t="str">
        <f ca="1">$J$6</f>
        <v>[NCTTA Teams Template (v3.4).xlsx]</v>
      </c>
      <c r="R3015" s="1"/>
      <c r="S3015" s="11"/>
      <c r="T3015" s="11"/>
      <c r="U3015" s="11"/>
      <c r="V3015" s="11"/>
      <c r="W3015" s="11"/>
    </row>
    <row r="3016" spans="1:32" ht="12.75" customHeight="1" x14ac:dyDescent="0.25">
      <c r="A3016" s="2" t="s">
        <v>163</v>
      </c>
      <c r="D3016" s="275" t="str">
        <f>Draw!$P$1</f>
        <v>Enter Date</v>
      </c>
      <c r="E3016" s="275"/>
      <c r="F3016" s="275"/>
      <c r="G3016" s="275"/>
      <c r="J3016" s="244" t="str">
        <f>CHOOSE(Draw!$T$1,"Round 10, Match 6","","","","","","","","","","")</f>
        <v>Round 10, Match 6</v>
      </c>
      <c r="K3016" s="244"/>
      <c r="L3016" s="244"/>
      <c r="M3016" s="277" t="str">
        <f>IF(AND($J3016&lt;&gt;"",Draw!$AC$10&lt;&gt;"",Draw!$AC$13&lt;&gt;""),Draw!$AC$10+TIME(0,VALUE(MID($J3016,7,FIND(",",$J3016)-FIND(" ",$J3016)-1)-1)*Draw!$AC$13,0),"")</f>
        <v/>
      </c>
      <c r="N3016" s="277"/>
      <c r="O3016" s="125" t="str">
        <f>$F3059</f>
        <v>H-I</v>
      </c>
      <c r="R3016" s="1"/>
      <c r="S3016" s="11"/>
      <c r="T3016" s="11"/>
      <c r="U3016" s="11"/>
      <c r="V3016" s="11"/>
      <c r="W3016" s="11"/>
    </row>
    <row r="3017" spans="1:32" ht="12.75" customHeight="1" x14ac:dyDescent="0.25">
      <c r="A3017" s="6"/>
      <c r="B3017"/>
      <c r="C3017"/>
      <c r="D3017"/>
      <c r="E3017"/>
      <c r="F3017" s="6"/>
      <c r="G3017" s="6"/>
      <c r="H3017" s="11"/>
      <c r="I3017" s="6"/>
      <c r="J3017"/>
      <c r="K3017"/>
      <c r="L3017"/>
      <c r="M3017"/>
      <c r="N3017"/>
      <c r="O3017" s="269" t="str">
        <f>IF(OR(AND(VLOOKUP($B3018,$AM$1:$AX$12,12,FALSE)="C",VLOOKUP($K3018,$AM$1:$AX$12,12,FALSE)="C"),AND(VLOOKUP($B3018,$AM$1:$AX$12,12,FALSE)="W",VLOOKUP($K3018,$AM$1:$AX$12,12,FALSE)="W")),"Official",IF(AND($A3019="",$J3019=""),"","Scrimmage"))</f>
        <v/>
      </c>
      <c r="P3017" s="269"/>
      <c r="R3017" s="1"/>
      <c r="S3017" s="11"/>
      <c r="T3017" s="11"/>
      <c r="U3017" s="11"/>
      <c r="V3017" s="11"/>
      <c r="W3017" s="11"/>
    </row>
    <row r="3018" spans="1:32" ht="12.75" customHeight="1" x14ac:dyDescent="0.25">
      <c r="A3018" s="12" t="s">
        <v>160</v>
      </c>
      <c r="B3018" s="98" t="str">
        <f>CHOOSE(Draw!$T$1,"H","E","G","G","H","H","H","H","H","H","E")</f>
        <v>H</v>
      </c>
      <c r="C3018" s="109">
        <f>VLOOKUP($B3018,$AM$1:$AN$12,2)</f>
        <v>8</v>
      </c>
      <c r="D3018" s="10"/>
      <c r="E3018" s="10"/>
      <c r="F3018" s="8"/>
      <c r="H3018" s="1" t="s">
        <v>164</v>
      </c>
      <c r="J3018" s="12" t="s">
        <v>160</v>
      </c>
      <c r="K3018" s="98" t="str">
        <f>CHOOSE(Draw!$T$1,"I","L","J","L","L","L","L","L","L","K","L")</f>
        <v>I</v>
      </c>
      <c r="L3018" s="109">
        <f>VLOOKUP($K3018,$AM$1:$AN$12,2)</f>
        <v>9</v>
      </c>
      <c r="M3018" s="10"/>
      <c r="N3018" s="10"/>
      <c r="O3018" s="13"/>
      <c r="R3018" s="1"/>
      <c r="S3018" s="11"/>
      <c r="T3018" s="11"/>
      <c r="U3018" s="11"/>
      <c r="V3018" s="11"/>
      <c r="W3018" s="11"/>
    </row>
    <row r="3019" spans="1:32" ht="12.75" customHeight="1" x14ac:dyDescent="0.25">
      <c r="A3019" s="253" t="str">
        <f>IF(VLOOKUP($B3018,Draw!$A$4:$B$27,2)&lt;&gt;0,VLOOKUP($B3018,Draw!$A$4:$B$27,2),"")</f>
        <v/>
      </c>
      <c r="B3019" s="254"/>
      <c r="C3019" s="254"/>
      <c r="D3019" s="254"/>
      <c r="E3019" s="254"/>
      <c r="F3019" s="255"/>
      <c r="G3019" s="273" t="s">
        <v>463</v>
      </c>
      <c r="H3019" s="249"/>
      <c r="I3019" s="274"/>
      <c r="J3019" s="253" t="str">
        <f>IF(VLOOKUP($K3018,Draw!$A$4:$B$27,2)&lt;&gt;0,VLOOKUP($K3018,Draw!$A$4:$B$27,2),"")</f>
        <v/>
      </c>
      <c r="K3019" s="254"/>
      <c r="L3019" s="254"/>
      <c r="M3019" s="254"/>
      <c r="N3019" s="254"/>
      <c r="O3019" s="255"/>
      <c r="P3019"/>
      <c r="R3019" s="1"/>
      <c r="S3019" s="11"/>
      <c r="T3019" s="11"/>
      <c r="U3019" s="11"/>
      <c r="V3019" s="11"/>
      <c r="W3019" s="11"/>
    </row>
    <row r="3020" spans="1:32" ht="12.75" customHeight="1" x14ac:dyDescent="0.25">
      <c r="A3020" s="6"/>
      <c r="B3020"/>
      <c r="C3020"/>
      <c r="D3020"/>
      <c r="E3020"/>
      <c r="F3020" s="6"/>
      <c r="G3020" s="248" t="str">
        <f>"Page "&amp;VALUE(RIGHT($G3019,LEN($G3019)-SEARCH("-",$G3019)))/2</f>
        <v>Page 60</v>
      </c>
      <c r="H3020" s="249"/>
      <c r="I3020" s="249"/>
      <c r="J3020"/>
      <c r="K3020"/>
      <c r="L3020"/>
      <c r="M3020"/>
      <c r="N3020"/>
      <c r="O3020"/>
      <c r="P3020"/>
      <c r="R3020" s="1"/>
      <c r="S3020" s="11"/>
      <c r="T3020" s="11"/>
      <c r="U3020" s="11"/>
      <c r="V3020" s="11"/>
      <c r="W3020" s="11"/>
      <c r="AF3020"/>
    </row>
    <row r="3021" spans="1:32" ht="12.75" customHeight="1" x14ac:dyDescent="0.25">
      <c r="A3021" s="276" t="s">
        <v>177</v>
      </c>
      <c r="B3021" s="276"/>
      <c r="C3021" s="276"/>
      <c r="D3021" s="276"/>
      <c r="E3021" s="276"/>
      <c r="F3021" s="276"/>
      <c r="G3021" s="276"/>
      <c r="H3021" s="276"/>
      <c r="I3021" s="276"/>
      <c r="J3021" s="276"/>
      <c r="K3021" s="276"/>
      <c r="L3021" s="276"/>
      <c r="M3021" s="276"/>
      <c r="N3021" s="276"/>
      <c r="O3021" s="276"/>
      <c r="P3021" s="276"/>
      <c r="Q3021" s="6"/>
      <c r="R3021" s="1"/>
      <c r="S3021" s="11"/>
      <c r="T3021" s="11"/>
      <c r="U3021" s="11"/>
      <c r="V3021" s="11"/>
      <c r="W3021" s="11"/>
      <c r="AF3021" s="14"/>
    </row>
    <row r="3022" spans="1:32" ht="12.75" customHeight="1" x14ac:dyDescent="0.25">
      <c r="A3022" s="15" t="s">
        <v>165</v>
      </c>
      <c r="H3022" s="110" t="str">
        <f>IF($Q3024&lt;&gt;"",IF(AND(AND($H3024&gt;-1,$H3026&gt;-1),OR($H3024&gt;10,$H3026&gt;10),ABS($H3024-$H3026)&gt;1,IF(OR($H3024&gt;11,$H3026&gt;11),ABS($H3024-$H3026)=2,TRUE),$H3024=INT($H3024),$H3026=INT($H3026)),"","Error"),"")</f>
        <v/>
      </c>
      <c r="I3022" s="110" t="str">
        <f>IF($Q3024&lt;&gt;"",IF(AND(AND($I3024&gt;-1,$I3026&gt;-1),OR($I3024&gt;10,$I3026&gt;10),ABS($I3024-$I3026)&gt;1,IF(OR($I3024&gt;11,$I3026&gt;11),ABS($I3024-$I3026)=2,TRUE),$I3024=INT($I3024),$I3026=INT($I3026)),"","Error"),"")</f>
        <v/>
      </c>
      <c r="J3022" s="110" t="str">
        <f>IF($Q3024&lt;&gt;"",IF(AND(AND($J3024&gt;-1,$J3026&gt;-1),OR($J3024&gt;10,$J3026&gt;10),ABS($J3024-$J3026)&gt;1,IF(OR($J3024&gt;11,$J3026&gt;11),ABS($J3024-$J3026)=2,TRUE),$J3024=INT($J3024),$J3026=INT($J3026)),"","Error"),"")</f>
        <v/>
      </c>
      <c r="K3022" s="110" t="str">
        <f>IF($Q3024&lt;&gt;"",IF(AND($K3024&lt;&gt;"",$K3026&lt;&gt;""), IF(AND(AND($K3024&gt;-1,$K3026&gt;-1),OR($K3024&gt;10,$K3026&gt;10),ABS($K3024-$K3026)&gt;1,IF(OR($K3024&gt;11,$K3026&gt;11),ABS($K3024-$K3026)=2,TRUE),$K3024=INT($K3024),$K3026=INT($K3026)),"","Error"),""),"")</f>
        <v/>
      </c>
      <c r="L3022" s="110" t="str">
        <f>IF($Q3024&lt;&gt;"",IF(AND($L3024&lt;&gt;"",$L3026&lt;&gt;""), IF(AND(AND($L3024&gt;-1,$L3026&gt;-1),OR($L3024&gt;10,$L3026&gt;10),ABS($L3024-$L3026)&gt;1,IF(OR($L3024&gt;11,$L3026&gt;11),ABS($L3024-$L3026)=2,TRUE),$L3024=INT($L3024),$L3026=INT($L3026)),"","Error"),""),"")</f>
        <v/>
      </c>
      <c r="R3022" s="1"/>
      <c r="S3022" s="11"/>
      <c r="T3022" s="11"/>
      <c r="U3022" s="11"/>
      <c r="V3022" s="11"/>
      <c r="W3022" s="11"/>
    </row>
    <row r="3023" spans="1:32" ht="12.75" customHeight="1" x14ac:dyDescent="0.25">
      <c r="A3023" s="5" t="s">
        <v>160</v>
      </c>
      <c r="B3023" s="256" t="s">
        <v>58</v>
      </c>
      <c r="C3023" s="257"/>
      <c r="D3023" s="257"/>
      <c r="E3023" s="257"/>
      <c r="F3023" s="257"/>
      <c r="G3023" s="258"/>
      <c r="H3023" s="5">
        <v>1</v>
      </c>
      <c r="I3023" s="5">
        <v>2</v>
      </c>
      <c r="J3023" s="5">
        <v>3</v>
      </c>
      <c r="K3023" s="5">
        <v>4</v>
      </c>
      <c r="L3023" s="5">
        <v>5</v>
      </c>
      <c r="M3023" s="270"/>
      <c r="N3023" s="271"/>
      <c r="O3023" s="271"/>
      <c r="P3023" s="272"/>
      <c r="R3023" s="1"/>
      <c r="S3023" s="11"/>
      <c r="T3023" s="11"/>
      <c r="U3023" s="11"/>
      <c r="V3023" s="11"/>
      <c r="W3023" s="11"/>
    </row>
    <row r="3024" spans="1:32" ht="12.75" customHeight="1" x14ac:dyDescent="0.25">
      <c r="A3024" s="259" t="str">
        <f>B3018</f>
        <v>H</v>
      </c>
      <c r="B3024" s="236" t="str">
        <f ca="1">IF(AND(OFFSET($AO$1,$C3018-1,8,1,1),$A3019&lt;&gt;"",$J3019&lt;&gt;""),CHOOSE($C3018,$AO$1,$AO$2,$AO$3,$AO$4,$AO$5,$AO$6,$AO$7,$AO$8,$AO$9,$AO$10,$AO$11,$AO$12),"")</f>
        <v/>
      </c>
      <c r="C3024" s="237"/>
      <c r="D3024" s="237"/>
      <c r="E3024" s="237"/>
      <c r="F3024" s="237"/>
      <c r="G3024" s="237"/>
      <c r="H3024" s="233"/>
      <c r="I3024" s="233"/>
      <c r="J3024" s="233"/>
      <c r="K3024" s="233"/>
      <c r="L3024" s="233"/>
      <c r="M3024" s="281"/>
      <c r="N3024" s="282"/>
      <c r="O3024" s="282"/>
      <c r="P3024" s="283"/>
      <c r="Q3024" s="40" t="str">
        <f>IF($L3024=$L3026,IF($K3024=$K3026,IF($J3024&lt;&gt;"",IF($J3024&gt;$J3026,"W","L"),""),IF($K3024&gt;$K3026,"W","L")),IF($L3024&gt;$L3026,"W","L"))</f>
        <v/>
      </c>
      <c r="R3024" s="1"/>
      <c r="S3024" s="11"/>
      <c r="T3024" s="11"/>
      <c r="U3024" s="11"/>
      <c r="V3024" s="11"/>
      <c r="W3024" s="11"/>
    </row>
    <row r="3025" spans="1:32" ht="12.75" customHeight="1" x14ac:dyDescent="0.25">
      <c r="A3025" s="260"/>
      <c r="B3025" s="238"/>
      <c r="C3025" s="239"/>
      <c r="D3025" s="239"/>
      <c r="E3025" s="239"/>
      <c r="F3025" s="239"/>
      <c r="G3025" s="239"/>
      <c r="H3025" s="234"/>
      <c r="I3025" s="234"/>
      <c r="J3025" s="234"/>
      <c r="K3025" s="234"/>
      <c r="L3025" s="234"/>
      <c r="M3025" s="281"/>
      <c r="N3025" s="282"/>
      <c r="O3025" s="282"/>
      <c r="P3025" s="283"/>
      <c r="Q3025" s="110" t="str">
        <f>IF($Q3024&lt;&gt;"",IF($Q3024="W",IF(SUM(IF($H3024&gt;$H3026,1,0),IF($I3024&gt;$I3026,1,0),IF($J3024&gt;$J3026,1,0),IF($K3024&gt;$K3026,1,0),IF($L3024&gt;$L3026,1,0))&lt;&gt;3,"Error",""),""),"")</f>
        <v/>
      </c>
      <c r="R3025" s="295" t="str">
        <f>$A3019</f>
        <v/>
      </c>
      <c r="S3025" s="295"/>
      <c r="T3025" s="295"/>
      <c r="U3025" s="295"/>
      <c r="V3025" s="295"/>
      <c r="W3025" s="295"/>
      <c r="X3025" s="219" t="str">
        <f>CONCATENATE("(",$B3018," vs ",$K3018,")")</f>
        <v>(H vs I)</v>
      </c>
      <c r="Y3025" s="219"/>
      <c r="Z3025" s="295" t="str">
        <f>$J3019</f>
        <v/>
      </c>
      <c r="AA3025" s="295"/>
      <c r="AB3025" s="295"/>
      <c r="AC3025" s="295"/>
      <c r="AD3025" s="295"/>
      <c r="AE3025" s="295"/>
      <c r="AF3025"/>
    </row>
    <row r="3026" spans="1:32" ht="12.75" customHeight="1" x14ac:dyDescent="0.25">
      <c r="A3026" s="259" t="str">
        <f>K3018</f>
        <v>I</v>
      </c>
      <c r="B3026" s="236" t="str">
        <f ca="1">IF(AND(OFFSET($AO$1,$L3018-1,8,1,1),$A3019&lt;&gt;"",$J3019&lt;&gt;""),CHOOSE($L3018,$AO$1,$AO$2,$AO$3,$AO$4,$AO$5,$AO$6,$AO$7,$AO$8,$AO$9,$AO$10,$AO$11,$AO$12),"")</f>
        <v/>
      </c>
      <c r="C3026" s="237"/>
      <c r="D3026" s="237"/>
      <c r="E3026" s="237"/>
      <c r="F3026" s="237"/>
      <c r="G3026" s="237"/>
      <c r="H3026" s="233"/>
      <c r="I3026" s="233"/>
      <c r="J3026" s="233"/>
      <c r="K3026" s="233"/>
      <c r="L3026" s="233"/>
      <c r="M3026" s="250" t="s">
        <v>169</v>
      </c>
      <c r="N3026" s="251"/>
      <c r="O3026" s="251"/>
      <c r="P3026" s="252"/>
      <c r="Q3026" s="40" t="str">
        <f>IF($Q3024&lt;&gt;"",IF($Q3024="W","L","W"),"")</f>
        <v/>
      </c>
      <c r="R3026"/>
      <c r="S3026"/>
      <c r="T3026"/>
      <c r="U3026"/>
      <c r="V3026"/>
      <c r="W3026"/>
      <c r="X3026"/>
      <c r="Y3026"/>
      <c r="Z3026"/>
      <c r="AA3026"/>
      <c r="AB3026"/>
      <c r="AC3026"/>
      <c r="AD3026"/>
      <c r="AE3026"/>
      <c r="AF3026"/>
    </row>
    <row r="3027" spans="1:32" ht="12.75" customHeight="1" x14ac:dyDescent="0.25">
      <c r="A3027" s="260"/>
      <c r="B3027" s="238"/>
      <c r="C3027" s="239"/>
      <c r="D3027" s="239"/>
      <c r="E3027" s="239"/>
      <c r="F3027" s="239"/>
      <c r="G3027" s="239"/>
      <c r="H3027" s="234"/>
      <c r="I3027" s="234"/>
      <c r="J3027" s="235"/>
      <c r="K3027" s="235"/>
      <c r="L3027" s="235"/>
      <c r="M3027" s="250"/>
      <c r="N3027" s="251"/>
      <c r="O3027" s="251"/>
      <c r="P3027" s="252"/>
      <c r="Q3027" s="110" t="str">
        <f>IF($Q3026&lt;&gt;"",IF($Q3026="W",IF(SUM(IF($H3026&gt;$H3024,1,0),IF($I3026&gt;$I3024,1,0),IF($J3026&gt;$J3024,1,0),IF($K3026&gt;$K3024,1,0),IF($L3026&gt;$L3024,1,0))&lt;&gt;3,"Error",""),""),"")</f>
        <v/>
      </c>
      <c r="R3027" t="str">
        <f>$A3029</f>
        <v>2nd Singles</v>
      </c>
      <c r="S3027"/>
      <c r="T3027"/>
      <c r="U3027"/>
      <c r="V3027"/>
      <c r="W3027"/>
      <c r="X3027"/>
      <c r="Y3027"/>
      <c r="Z3027"/>
      <c r="AA3027"/>
      <c r="AB3027"/>
      <c r="AC3027"/>
      <c r="AD3027"/>
      <c r="AE3027"/>
      <c r="AF3027"/>
    </row>
    <row r="3028" spans="1:32" ht="12.75" customHeight="1" x14ac:dyDescent="0.25">
      <c r="Q3028" s="6"/>
      <c r="R3028" s="47" t="s">
        <v>160</v>
      </c>
      <c r="S3028" s="304" t="s">
        <v>58</v>
      </c>
      <c r="T3028" s="305"/>
      <c r="U3028" s="305"/>
      <c r="V3028" s="305"/>
      <c r="W3028" s="305"/>
      <c r="X3028" s="306"/>
      <c r="Y3028" s="47">
        <v>1</v>
      </c>
      <c r="Z3028" s="47">
        <v>2</v>
      </c>
      <c r="AA3028" s="47">
        <v>3</v>
      </c>
      <c r="AB3028" s="47">
        <v>4</v>
      </c>
      <c r="AC3028" s="47">
        <v>5</v>
      </c>
      <c r="AD3028" s="286"/>
      <c r="AE3028" s="287"/>
      <c r="AF3028" s="288"/>
    </row>
    <row r="3029" spans="1:32" ht="12.75" customHeight="1" x14ac:dyDescent="0.25">
      <c r="A3029" s="15" t="s">
        <v>166</v>
      </c>
      <c r="H3029" s="110" t="str">
        <f>IF($Q3031&lt;&gt;"",IF(AND(AND($H3031&gt;-1,$H3033&gt;-1),OR($H3031&gt;10,$H3033&gt;10),ABS($H3031-$H3033)&gt;1,IF(OR($H3031&gt;11,$H3033&gt;11),ABS($H3031-$H3033)=2,TRUE),$H3031=INT($H3031),$H3033=INT($H3033)),"","Error"),"")</f>
        <v/>
      </c>
      <c r="I3029" s="110" t="str">
        <f>IF($Q3031&lt;&gt;"",IF(AND(AND($I3031&gt;-1,$I3033&gt;-1),OR($I3031&gt;10,$I3033&gt;10),ABS($I3031-$I3033)&gt;1,IF(OR($I3031&gt;11,$I3033&gt;11),ABS($I3031-$I3033)=2,TRUE),$I3031=INT($I3031),$I3033=INT($I3033)),"","Error"),"")</f>
        <v/>
      </c>
      <c r="J3029" s="110" t="str">
        <f>IF($Q3031&lt;&gt;"",IF(AND(AND($J3031&gt;-1,$J3033&gt;-1),OR($J3031&gt;10,$J3033&gt;10),ABS($J3031-$J3033)&gt;1,IF(OR($J3031&gt;11,$J3033&gt;11),ABS($J3031-$J3033)=2,TRUE),$J3031=INT($J3031),$J3033=INT($J3033)),"","Error"),"")</f>
        <v/>
      </c>
      <c r="K3029" s="110" t="str">
        <f>IF($Q3031&lt;&gt;"",IF(AND($K3031&lt;&gt;"",$K3033&lt;&gt;""), IF(AND(AND($K3031&gt;-1,$K3033&gt;-1),OR($K3031&gt;10,$K3033&gt;10),ABS($K3031-$K3033)&gt;1,IF(OR($K3031&gt;11,$K3033&gt;11),ABS($K3031-$K3033)=2,TRUE),$K3031=INT($K3031),$K3033=INT($K3033)),"","Error"),""),"")</f>
        <v/>
      </c>
      <c r="L3029" s="110" t="str">
        <f>IF($Q3031&lt;&gt;"",IF(AND($L3031&lt;&gt;"",$L3033&lt;&gt;""), IF(AND(AND($L3031&gt;-1,$L3033&gt;-1),OR($L3031&gt;10,$L3033&gt;10),ABS($L3031-$L3033)&gt;1,IF(OR($L3031&gt;11,$L3033&gt;11),ABS($L3031-$L3033)=2,TRUE),$L3031=INT($L3031),$L3033=INT($L3033)),"","Error"),""),"")</f>
        <v/>
      </c>
      <c r="Q3029" s="6"/>
      <c r="R3029" s="259" t="str">
        <f>$B3018</f>
        <v>H</v>
      </c>
      <c r="S3029" s="307" t="str">
        <f ca="1">IF($B3031&lt;&gt;"",$B3031,"")</f>
        <v/>
      </c>
      <c r="T3029" s="308"/>
      <c r="U3029" s="308"/>
      <c r="V3029" s="308"/>
      <c r="W3029" s="308"/>
      <c r="X3029" s="309"/>
      <c r="Y3029" s="284"/>
      <c r="Z3029" s="284"/>
      <c r="AA3029" s="284"/>
      <c r="AB3029" s="284"/>
      <c r="AC3029" s="284"/>
      <c r="AD3029" s="296"/>
      <c r="AE3029" s="290"/>
      <c r="AF3029" s="291"/>
    </row>
    <row r="3030" spans="1:32" ht="12.75" customHeight="1" x14ac:dyDescent="0.25">
      <c r="A3030" s="5" t="s">
        <v>160</v>
      </c>
      <c r="B3030" s="256" t="s">
        <v>58</v>
      </c>
      <c r="C3030" s="257"/>
      <c r="D3030" s="257"/>
      <c r="E3030" s="257"/>
      <c r="F3030" s="257"/>
      <c r="G3030" s="258"/>
      <c r="H3030" s="5">
        <v>1</v>
      </c>
      <c r="I3030" s="5">
        <v>2</v>
      </c>
      <c r="J3030" s="5">
        <v>3</v>
      </c>
      <c r="K3030" s="5">
        <v>4</v>
      </c>
      <c r="L3030" s="5">
        <v>5</v>
      </c>
      <c r="M3030" s="270"/>
      <c r="N3030" s="271"/>
      <c r="O3030" s="271"/>
      <c r="P3030" s="272"/>
      <c r="Q3030" s="6"/>
      <c r="R3030" s="285"/>
      <c r="S3030" s="310"/>
      <c r="T3030" s="311"/>
      <c r="U3030" s="311"/>
      <c r="V3030" s="311"/>
      <c r="W3030" s="311"/>
      <c r="X3030" s="312"/>
      <c r="Y3030" s="285"/>
      <c r="Z3030" s="285"/>
      <c r="AA3030" s="285"/>
      <c r="AB3030" s="285"/>
      <c r="AC3030" s="285"/>
      <c r="AD3030" s="292"/>
      <c r="AE3030" s="293"/>
      <c r="AF3030" s="294"/>
    </row>
    <row r="3031" spans="1:32" ht="12.75" customHeight="1" x14ac:dyDescent="0.25">
      <c r="A3031" s="259" t="str">
        <f>B3018</f>
        <v>H</v>
      </c>
      <c r="B3031" s="236" t="str">
        <f ca="1">IF(AND(OFFSET($AO$1,$C3018-1,8,1,1),$A3019&lt;&gt;"",$J3019&lt;&gt;""),CHOOSE($C3018,$AP$1,$AP$2,$AP$3,$AP$4,$AP$5,$AP$6,$AP$7,$AP$8,$AP$9,$AP$10,$AP$11,$AP$12),"")</f>
        <v/>
      </c>
      <c r="C3031" s="237"/>
      <c r="D3031" s="237"/>
      <c r="E3031" s="237"/>
      <c r="F3031" s="237"/>
      <c r="G3031" s="237"/>
      <c r="H3031" s="233"/>
      <c r="I3031" s="233"/>
      <c r="J3031" s="233"/>
      <c r="K3031" s="233"/>
      <c r="L3031" s="233"/>
      <c r="M3031" s="245" t="str">
        <f ca="1">IF(OR(AND($B3024&lt;&gt;"",$B3031&lt;&gt;"",$C3049&lt;=$B3049),AND($B3026&lt;&gt;"",$B3033&lt;&gt;"",$G3049&lt;=$F3049)),"Invalid Lineup","")</f>
        <v/>
      </c>
      <c r="N3031" s="246"/>
      <c r="O3031" s="246"/>
      <c r="P3031" s="247"/>
      <c r="Q3031" s="40" t="str">
        <f>IF($L3031=$L3033,IF($K3031=$K3033,IF($J3031&lt;&gt;"",IF($J3031&gt;$J3033,"W","L"),""),IF($K3031&gt;$K3033,"W","L")),IF($L3031&gt;$L3033,"W","L"))</f>
        <v/>
      </c>
      <c r="R3031" s="259" t="str">
        <f>$K3018</f>
        <v>I</v>
      </c>
      <c r="S3031" s="307" t="str">
        <f ca="1">IF($B3033&lt;&gt;"",$B3033,"")</f>
        <v/>
      </c>
      <c r="T3031" s="308"/>
      <c r="U3031" s="308"/>
      <c r="V3031" s="308"/>
      <c r="W3031" s="308"/>
      <c r="X3031" s="309"/>
      <c r="Y3031" s="284"/>
      <c r="Z3031" s="284"/>
      <c r="AA3031" s="284"/>
      <c r="AB3031" s="284"/>
      <c r="AC3031" s="297"/>
      <c r="AD3031" s="289" t="s">
        <v>169</v>
      </c>
      <c r="AE3031" s="290"/>
      <c r="AF3031" s="291"/>
    </row>
    <row r="3032" spans="1:32" ht="12.75" customHeight="1" x14ac:dyDescent="0.25">
      <c r="A3032" s="260"/>
      <c r="B3032" s="238"/>
      <c r="C3032" s="239"/>
      <c r="D3032" s="239"/>
      <c r="E3032" s="239"/>
      <c r="F3032" s="239"/>
      <c r="G3032" s="239"/>
      <c r="H3032" s="234"/>
      <c r="I3032" s="234"/>
      <c r="J3032" s="234"/>
      <c r="K3032" s="234"/>
      <c r="L3032" s="234"/>
      <c r="M3032" s="245"/>
      <c r="N3032" s="246"/>
      <c r="O3032" s="246"/>
      <c r="P3032" s="247"/>
      <c r="Q3032" s="110" t="str">
        <f>IF($Q3031&lt;&gt;"",IF($Q3031="W",IF(SUM(IF($H3031&gt;$H3033,1,0),IF($I3031&gt;$I3033,1,0),IF($J3031&gt;$J3033,1,0),IF($K3031&gt;$K3033,1,0),IF($L3031&gt;$L3033,1,0))&lt;&gt;3,"Error",""),""),"")</f>
        <v/>
      </c>
      <c r="R3032" s="285"/>
      <c r="S3032" s="310"/>
      <c r="T3032" s="311"/>
      <c r="U3032" s="311"/>
      <c r="V3032" s="311"/>
      <c r="W3032" s="311"/>
      <c r="X3032" s="312"/>
      <c r="Y3032" s="285"/>
      <c r="Z3032" s="285"/>
      <c r="AA3032" s="285"/>
      <c r="AB3032" s="285"/>
      <c r="AC3032" s="285"/>
      <c r="AD3032" s="292"/>
      <c r="AE3032" s="293"/>
      <c r="AF3032" s="294"/>
    </row>
    <row r="3033" spans="1:32" ht="12.75" customHeight="1" x14ac:dyDescent="0.25">
      <c r="A3033" s="259" t="str">
        <f>K3018</f>
        <v>I</v>
      </c>
      <c r="B3033" s="236" t="str">
        <f ca="1">IF(AND(OFFSET($AO$1,$L3018-1,8,1,1),$A3019&lt;&gt;"",$J3019&lt;&gt;""),CHOOSE($L3018,$AP$1,$AP$2,$AP$3,$AP$4,$AP$5,$AP$6,$AP$7,$AP$8,$AP$9,$AP$10,$AP$11,$AP$12),"")</f>
        <v/>
      </c>
      <c r="C3033" s="237"/>
      <c r="D3033" s="237"/>
      <c r="E3033" s="237"/>
      <c r="F3033" s="237"/>
      <c r="G3033" s="237"/>
      <c r="H3033" s="233"/>
      <c r="I3033" s="233"/>
      <c r="J3033" s="233"/>
      <c r="K3033" s="233"/>
      <c r="L3033" s="233"/>
      <c r="M3033" s="250" t="s">
        <v>169</v>
      </c>
      <c r="N3033" s="251"/>
      <c r="O3033" s="251"/>
      <c r="P3033" s="252"/>
      <c r="Q3033" s="40" t="str">
        <f>IF($Q3031&lt;&gt;"",IF($Q3031="W","L","W"),"")</f>
        <v/>
      </c>
      <c r="R3033" s="14"/>
      <c r="S3033" s="14"/>
      <c r="T3033" s="14"/>
      <c r="U3033" s="14"/>
      <c r="V3033" s="14"/>
      <c r="W3033" s="14"/>
      <c r="X3033" s="7"/>
      <c r="Y3033" s="7"/>
      <c r="Z3033" s="14"/>
      <c r="AA3033" s="14"/>
      <c r="AB3033" s="14"/>
      <c r="AC3033" s="14"/>
      <c r="AD3033" s="14"/>
      <c r="AE3033" s="14"/>
      <c r="AF3033"/>
    </row>
    <row r="3034" spans="1:32" ht="12.75" customHeight="1" x14ac:dyDescent="0.25">
      <c r="A3034" s="260"/>
      <c r="B3034" s="238"/>
      <c r="C3034" s="239"/>
      <c r="D3034" s="239"/>
      <c r="E3034" s="239"/>
      <c r="F3034" s="239"/>
      <c r="G3034" s="239"/>
      <c r="H3034" s="234"/>
      <c r="I3034" s="234"/>
      <c r="J3034" s="235"/>
      <c r="K3034" s="235"/>
      <c r="L3034" s="235"/>
      <c r="M3034" s="250"/>
      <c r="N3034" s="251"/>
      <c r="O3034" s="251"/>
      <c r="P3034" s="252"/>
      <c r="Q3034" s="110" t="str">
        <f>IF($Q3033&lt;&gt;"",IF($Q3033="W",IF(SUM(IF($H3033&gt;$H3031,1,0),IF($I3033&gt;$I3031,1,0),IF($J3033&gt;$J3031,1,0),IF($K3033&gt;$K3031,1,0),IF($L3033&gt;$L3031,1,0))&lt;&gt;3,"Error",""),""),"")</f>
        <v/>
      </c>
      <c r="R3034" s="14"/>
      <c r="S3034" s="14"/>
      <c r="T3034" s="14"/>
      <c r="U3034" s="14"/>
      <c r="V3034" s="14"/>
      <c r="W3034" s="14"/>
      <c r="X3034" s="7"/>
      <c r="Y3034" s="7"/>
      <c r="Z3034" s="14"/>
      <c r="AA3034" s="14"/>
      <c r="AB3034" s="14"/>
      <c r="AC3034" s="14"/>
      <c r="AD3034" s="14"/>
      <c r="AE3034" s="14"/>
      <c r="AF3034"/>
    </row>
    <row r="3035" spans="1:32" ht="12.75" customHeight="1" x14ac:dyDescent="0.25">
      <c r="Q3035" s="6"/>
      <c r="R3035" s="14"/>
      <c r="S3035" s="14"/>
      <c r="T3035" s="14"/>
      <c r="U3035" s="14"/>
      <c r="V3035" s="14"/>
      <c r="W3035" s="14"/>
      <c r="X3035" s="7"/>
      <c r="Y3035" s="7"/>
      <c r="Z3035" s="14"/>
      <c r="AA3035" s="14"/>
      <c r="AB3035" s="14"/>
      <c r="AC3035" s="14"/>
      <c r="AD3035" s="14"/>
      <c r="AE3035" s="14"/>
      <c r="AF3035"/>
    </row>
    <row r="3036" spans="1:32" ht="12.75" customHeight="1" x14ac:dyDescent="0.25">
      <c r="A3036" s="15" t="s">
        <v>167</v>
      </c>
      <c r="H3036" s="110" t="str">
        <f>IF($Q3038&lt;&gt;"",IF(AND(AND($H3038&gt;-1,$H3040&gt;-1),OR($H3038&gt;10,$H3040&gt;10),ABS($H3038-$H3040)&gt;1,IF(OR($H3038&gt;11,$H3040&gt;11),ABS($H3038-$H3040)=2,TRUE),$H3038=INT($H3038),$H3040=INT($H3040)),"","Error"),"")</f>
        <v/>
      </c>
      <c r="I3036" s="110" t="str">
        <f>IF($Q3038&lt;&gt;"",IF(AND(AND($I3038&gt;-1,$I3040&gt;-1),OR($I3038&gt;10,$I3040&gt;10),ABS($I3038-$I3040)&gt;1,IF(OR($I3038&gt;11,$I3040&gt;11),ABS($I3038-$I3040)=2,TRUE),$I3038=INT($I3038),$I3040=INT($I3040)),"","Error"),"")</f>
        <v/>
      </c>
      <c r="J3036" s="110" t="str">
        <f>IF($Q3038&lt;&gt;"",IF(AND(AND($J3038&gt;-1,$J3040&gt;-1),OR($J3038&gt;10,$J3040&gt;10),ABS($J3038-$J3040)&gt;1,IF(OR($J3038&gt;11,$J3040&gt;11),ABS($J3038-$J3040)=2,TRUE),$J3038=INT($J3038),$J3040=INT($J3040)),"","Error"),"")</f>
        <v/>
      </c>
      <c r="K3036" s="110" t="str">
        <f>IF($Q3038&lt;&gt;"",IF(AND($K3038&lt;&gt;"",$K3040&lt;&gt;""), IF(AND(AND($K3038&gt;-1,$K3040&gt;-1),OR($K3038&gt;10,$K3040&gt;10),ABS($K3038-$K3040)&gt;1,IF(OR($K3038&gt;11,$K3040&gt;11),ABS($K3038-$K3040)=2,TRUE),$K3038=INT($K3038),$K3040=INT($K3040)),"","Error"),""),"")</f>
        <v/>
      </c>
      <c r="L3036" s="110" t="str">
        <f>IF($Q3038&lt;&gt;"",IF(AND($L3038&lt;&gt;"",$L3040&lt;&gt;""), IF(AND(AND($L3038&gt;-1,$L3040&gt;-1),OR($L3038&gt;10,$L3040&gt;10),ABS($L3038-$L3040)&gt;1,IF(OR($L3038&gt;11,$L3040&gt;11),ABS($L3038-$L3040)=2,TRUE),$L3038=INT($L3038),$L3040=INT($L3040)),"","Error"),""),"")</f>
        <v/>
      </c>
      <c r="Q3036" s="6"/>
      <c r="R3036" s="14"/>
      <c r="S3036" s="14"/>
      <c r="T3036" s="14"/>
      <c r="U3036" s="14"/>
      <c r="V3036" s="14"/>
      <c r="W3036" s="14"/>
      <c r="X3036" s="7"/>
      <c r="Y3036" s="7"/>
      <c r="Z3036" s="14"/>
      <c r="AA3036" s="14"/>
      <c r="AB3036" s="14"/>
      <c r="AC3036" s="14"/>
      <c r="AD3036" s="14"/>
      <c r="AE3036" s="14"/>
      <c r="AF3036"/>
    </row>
    <row r="3037" spans="1:32" ht="12.75" customHeight="1" x14ac:dyDescent="0.25">
      <c r="A3037" s="5" t="s">
        <v>160</v>
      </c>
      <c r="B3037" s="256" t="s">
        <v>58</v>
      </c>
      <c r="C3037" s="257"/>
      <c r="D3037" s="257"/>
      <c r="E3037" s="257"/>
      <c r="F3037" s="257"/>
      <c r="G3037" s="258"/>
      <c r="H3037" s="5">
        <v>1</v>
      </c>
      <c r="I3037" s="5">
        <v>2</v>
      </c>
      <c r="J3037" s="5">
        <v>3</v>
      </c>
      <c r="K3037" s="5">
        <v>4</v>
      </c>
      <c r="L3037" s="5">
        <v>5</v>
      </c>
      <c r="M3037" s="270"/>
      <c r="N3037" s="271"/>
      <c r="O3037" s="271"/>
      <c r="P3037" s="272"/>
      <c r="Q3037" s="6"/>
      <c r="R3037" s="14"/>
      <c r="S3037" s="14"/>
      <c r="T3037" s="14"/>
      <c r="U3037" s="14"/>
      <c r="V3037" s="14"/>
      <c r="W3037" s="14"/>
      <c r="X3037" s="7"/>
      <c r="Y3037" s="7"/>
      <c r="Z3037" s="14"/>
      <c r="AA3037" s="14"/>
      <c r="AB3037" s="14"/>
      <c r="AC3037" s="14"/>
      <c r="AD3037" s="14"/>
      <c r="AE3037" s="14"/>
      <c r="AF3037"/>
    </row>
    <row r="3038" spans="1:32" ht="12.75" customHeight="1" x14ac:dyDescent="0.25">
      <c r="A3038" s="259" t="str">
        <f>B3018</f>
        <v>H</v>
      </c>
      <c r="B3038" s="236" t="str">
        <f ca="1">IF(AND(OFFSET($AO$1,$C3018-1,8,1,1),$A3019&lt;&gt;"",$J3019&lt;&gt;""),CHOOSE($C3018,$AQ$1,$AQ$2,$AQ$3,$AQ$4,$AQ$5,$AQ$6,$AQ$7,$AQ$8,$AQ$9,$AQ$10,$AQ$11,$AQ$12),"")</f>
        <v/>
      </c>
      <c r="C3038" s="237"/>
      <c r="D3038" s="237"/>
      <c r="E3038" s="237"/>
      <c r="F3038" s="237"/>
      <c r="G3038" s="237"/>
      <c r="H3038" s="233"/>
      <c r="I3038" s="233"/>
      <c r="J3038" s="233"/>
      <c r="K3038" s="233"/>
      <c r="L3038" s="233"/>
      <c r="M3038" s="245" t="str">
        <f ca="1">IF(OR(AND($B3031&lt;&gt;"",$B3038&lt;&gt;"",$D3049&lt;=$C3049),AND($B3033&lt;&gt;"",$B3040&lt;&gt;"",$H3049&lt;=$G3049)),"Invalid Lineup","")</f>
        <v/>
      </c>
      <c r="N3038" s="246"/>
      <c r="O3038" s="246"/>
      <c r="P3038" s="247"/>
      <c r="Q3038" s="40" t="str">
        <f>IF($L3038=$L3040,IF($K3038=$K3040,IF($J3038&lt;&gt;"",IF($J3038&gt;$J3040,"W","L"),""),IF($K3038&gt;$K3040,"W","L")),IF($L3038&gt;$L3040,"W","L"))</f>
        <v/>
      </c>
      <c r="R3038" s="14"/>
      <c r="S3038" s="14"/>
      <c r="T3038" s="14"/>
      <c r="U3038" s="14"/>
      <c r="V3038" s="14"/>
      <c r="W3038" s="14"/>
      <c r="X3038" s="7"/>
      <c r="Y3038" s="7"/>
      <c r="Z3038" s="14"/>
      <c r="AA3038" s="14"/>
      <c r="AB3038" s="14"/>
      <c r="AC3038" s="14"/>
      <c r="AD3038" s="14"/>
      <c r="AE3038" s="14"/>
      <c r="AF3038"/>
    </row>
    <row r="3039" spans="1:32" ht="12.75" customHeight="1" x14ac:dyDescent="0.25">
      <c r="A3039" s="260"/>
      <c r="B3039" s="238"/>
      <c r="C3039" s="239"/>
      <c r="D3039" s="239"/>
      <c r="E3039" s="239"/>
      <c r="F3039" s="239"/>
      <c r="G3039" s="239"/>
      <c r="H3039" s="234"/>
      <c r="I3039" s="234"/>
      <c r="J3039" s="234"/>
      <c r="K3039" s="234"/>
      <c r="L3039" s="234"/>
      <c r="M3039" s="245"/>
      <c r="N3039" s="246"/>
      <c r="O3039" s="246"/>
      <c r="P3039" s="247"/>
      <c r="Q3039" s="110" t="str">
        <f>IF($Q3038&lt;&gt;"",IF($Q3038="W",IF(SUM(IF($H3038&gt;$H3040,1,0),IF($I3038&gt;$I3040,1,0),IF($J3038&gt;$J3040,1,0),IF($K3038&gt;$K3040,1,0),IF($L3038&gt;$L3040,1,0))&lt;&gt;3,"Error",""),""),"")</f>
        <v/>
      </c>
      <c r="R3039" s="295" t="str">
        <f>$A3019</f>
        <v/>
      </c>
      <c r="S3039" s="295"/>
      <c r="T3039" s="295"/>
      <c r="U3039" s="295"/>
      <c r="V3039" s="295"/>
      <c r="W3039" s="295"/>
      <c r="X3039" s="219" t="str">
        <f>CONCATENATE("(",$B3018," vs ",$K3018,")")</f>
        <v>(H vs I)</v>
      </c>
      <c r="Y3039" s="219"/>
      <c r="Z3039" s="295" t="str">
        <f>$J3019</f>
        <v/>
      </c>
      <c r="AA3039" s="295"/>
      <c r="AB3039" s="295"/>
      <c r="AC3039" s="295"/>
      <c r="AD3039" s="295"/>
      <c r="AE3039" s="295"/>
      <c r="AF3039"/>
    </row>
    <row r="3040" spans="1:32" ht="12.75" customHeight="1" x14ac:dyDescent="0.25">
      <c r="A3040" s="259" t="str">
        <f>K3018</f>
        <v>I</v>
      </c>
      <c r="B3040" s="236" t="str">
        <f ca="1">IF(AND(OFFSET($AO$1,$L3018-1,8,1,1),$A3019&lt;&gt;"",$J3019&lt;&gt;""),CHOOSE($L3018,$AQ$1,$AQ$2,$AQ$3,$AQ$4,$AQ$5,$AQ$6,$AQ$7,$AQ$8,$AQ$9,$AQ$10,$AQ$11,$AQ$12),"")</f>
        <v/>
      </c>
      <c r="C3040" s="237"/>
      <c r="D3040" s="237"/>
      <c r="E3040" s="237"/>
      <c r="F3040" s="237"/>
      <c r="G3040" s="237"/>
      <c r="H3040" s="233"/>
      <c r="I3040" s="233"/>
      <c r="J3040" s="233"/>
      <c r="K3040" s="233"/>
      <c r="L3040" s="233"/>
      <c r="M3040" s="250" t="s">
        <v>169</v>
      </c>
      <c r="N3040" s="251"/>
      <c r="O3040" s="251"/>
      <c r="P3040" s="252"/>
      <c r="Q3040" s="40" t="str">
        <f>IF($Q3038&lt;&gt;"",IF($Q3038="W","L","W"),"")</f>
        <v/>
      </c>
      <c r="R3040"/>
      <c r="S3040"/>
      <c r="T3040"/>
      <c r="U3040"/>
      <c r="V3040"/>
      <c r="W3040"/>
      <c r="X3040"/>
      <c r="Y3040"/>
      <c r="Z3040"/>
      <c r="AA3040"/>
      <c r="AB3040"/>
      <c r="AC3040"/>
      <c r="AD3040"/>
      <c r="AE3040"/>
      <c r="AF3040"/>
    </row>
    <row r="3041" spans="1:32" ht="12.75" customHeight="1" x14ac:dyDescent="0.25">
      <c r="A3041" s="260"/>
      <c r="B3041" s="238"/>
      <c r="C3041" s="239"/>
      <c r="D3041" s="239"/>
      <c r="E3041" s="239"/>
      <c r="F3041" s="239"/>
      <c r="G3041" s="239"/>
      <c r="H3041" s="234"/>
      <c r="I3041" s="234"/>
      <c r="J3041" s="235"/>
      <c r="K3041" s="235"/>
      <c r="L3041" s="235"/>
      <c r="M3041" s="250"/>
      <c r="N3041" s="251"/>
      <c r="O3041" s="251"/>
      <c r="P3041" s="252"/>
      <c r="Q3041" s="110" t="str">
        <f>IF($Q3040&lt;&gt;"",IF($Q3040="W",IF(SUM(IF($H3040&gt;$H3038,1,0),IF($I3040&gt;$I3038,1,0),IF($J3040&gt;$J3038,1,0),IF($K3040&gt;$K3038,1,0),IF($L3040&gt;$L3038,1,0))&lt;&gt;3,"Error",""),""),"")</f>
        <v/>
      </c>
      <c r="R3041" t="str">
        <f>$A3036</f>
        <v>3rd Singles</v>
      </c>
      <c r="S3041"/>
      <c r="T3041"/>
      <c r="U3041"/>
      <c r="V3041"/>
      <c r="W3041"/>
      <c r="X3041"/>
      <c r="Y3041"/>
      <c r="Z3041"/>
      <c r="AA3041"/>
      <c r="AB3041"/>
      <c r="AC3041"/>
      <c r="AD3041"/>
      <c r="AE3041"/>
      <c r="AF3041"/>
    </row>
    <row r="3042" spans="1:32" ht="12.75" customHeight="1" x14ac:dyDescent="0.25">
      <c r="Q3042" s="6"/>
      <c r="R3042" s="47" t="s">
        <v>160</v>
      </c>
      <c r="S3042" s="86" t="s">
        <v>58</v>
      </c>
      <c r="T3042" s="87"/>
      <c r="U3042" s="87"/>
      <c r="V3042" s="87"/>
      <c r="W3042" s="87"/>
      <c r="X3042" s="88"/>
      <c r="Y3042" s="47">
        <v>1</v>
      </c>
      <c r="Z3042" s="47">
        <v>2</v>
      </c>
      <c r="AA3042" s="47">
        <v>3</v>
      </c>
      <c r="AB3042" s="47">
        <v>4</v>
      </c>
      <c r="AC3042" s="47">
        <v>5</v>
      </c>
      <c r="AD3042" s="89"/>
      <c r="AE3042" s="90"/>
      <c r="AF3042" s="91"/>
    </row>
    <row r="3043" spans="1:32" ht="12.75" customHeight="1" x14ac:dyDescent="0.25">
      <c r="A3043" s="15" t="s">
        <v>168</v>
      </c>
      <c r="H3043" s="110" t="str">
        <f ca="1">IF($Q3045&lt;&gt;"",IF(AND($B3045&lt;&gt;"Missing Player",$B3047&lt;&gt;"Missing Player"),IF(AND(AND($H3045&gt;-1,$H3047&gt;-1),OR($H3045&gt;10,$H3047&gt;10),ABS($H3045-$H3047)&gt;1,IF(OR($H3045&gt;11,$H3047&gt;11),ABS($H3045-$H3047)=2,TRUE),$H3045=INT($H3045),$H3047=INT($H3047)),"","Error"),""),"")</f>
        <v/>
      </c>
      <c r="I3043" s="110" t="str">
        <f ca="1">IF($Q3045&lt;&gt;"",IF(AND($B3045&lt;&gt;"Missing Player",$B3047&lt;&gt;"Missing Player"),IF(AND(AND($I3045&gt;-1,$I3047&gt;-1),OR($I3045&gt;10,$I3047&gt;10),ABS($I3045-$I3047)&gt;1,IF(OR($I3045&gt;11,$I3047&gt;11),ABS($I3045-$I3047)=2,TRUE),$I3045=INT($I3045),$I3047=INT($I3047)),"","Error"),""),"")</f>
        <v/>
      </c>
      <c r="J3043" s="110" t="str">
        <f ca="1">IF($Q3045&lt;&gt;"",IF(AND($B3045&lt;&gt;"Missing Player",$B3047&lt;&gt;"Missing Player"),IF(AND(AND($J3045&gt;-1,$J3047&gt;-1),OR($J3045&gt;10,$J3047&gt;10),ABS($J3045-$J3047)&gt;1,IF(OR($J3045&gt;11,$J3047&gt;11),ABS($J3045-$J3047)=2,TRUE),$J3045=INT($J3045),$J3047=INT($J3047)),"","Error"),""),"")</f>
        <v/>
      </c>
      <c r="K3043" s="110" t="str">
        <f ca="1">IF($Q3045&lt;&gt;"",IF(AND($K3045&lt;&gt;"",$K3047&lt;&gt;""), IF(AND(AND($K3045&gt;-1,$K3047&gt;-1),OR($K3045&gt;10,$K3047&gt;10),ABS($K3045-$K3047)&gt;1,IF(OR($K3045&gt;11,$K3047&gt;11),ABS($K3045-$K3047)=2,TRUE),$K3045=INT($K3045),$K3047=INT($K3047)),"","Error"),""),"")</f>
        <v/>
      </c>
      <c r="L3043" s="110" t="str">
        <f ca="1">IF($Q3045&lt;&gt;"",IF(AND($L3045&lt;&gt;"",$L3047&lt;&gt;""), IF(AND(AND($L3045&gt;-1,$L3047&gt;-1),OR($L3045&gt;10,$L3047&gt;10),ABS($L3045-$L3047)&gt;1,IF(OR($L3045&gt;11,$L3047&gt;11),ABS($L3045-$L3047)=2,TRUE),$L3045=INT($L3045),$L3047=INT($L3047)),"","Error"),""),"")</f>
        <v/>
      </c>
      <c r="Q3043" s="6"/>
      <c r="R3043" s="259" t="str">
        <f>$B3018</f>
        <v>H</v>
      </c>
      <c r="S3043" s="307" t="str">
        <f ca="1">IF($B3038&lt;&gt;"",$B3038,"")</f>
        <v/>
      </c>
      <c r="T3043" s="308"/>
      <c r="U3043" s="308"/>
      <c r="V3043" s="308"/>
      <c r="W3043" s="308"/>
      <c r="X3043" s="309"/>
      <c r="Y3043" s="284"/>
      <c r="Z3043" s="284"/>
      <c r="AA3043" s="284"/>
      <c r="AB3043" s="284"/>
      <c r="AC3043" s="284"/>
      <c r="AD3043" s="296"/>
      <c r="AE3043" s="290"/>
      <c r="AF3043" s="291"/>
    </row>
    <row r="3044" spans="1:32" ht="12.75" customHeight="1" x14ac:dyDescent="0.25">
      <c r="A3044" s="5" t="s">
        <v>160</v>
      </c>
      <c r="B3044" s="256" t="s">
        <v>58</v>
      </c>
      <c r="C3044" s="257"/>
      <c r="D3044" s="257"/>
      <c r="E3044" s="257"/>
      <c r="F3044" s="257"/>
      <c r="G3044" s="258"/>
      <c r="H3044" s="5">
        <v>1</v>
      </c>
      <c r="I3044" s="5">
        <v>2</v>
      </c>
      <c r="J3044" s="5">
        <v>3</v>
      </c>
      <c r="K3044" s="5">
        <v>4</v>
      </c>
      <c r="L3044" s="5">
        <v>5</v>
      </c>
      <c r="M3044" s="270"/>
      <c r="N3044" s="271"/>
      <c r="O3044" s="271"/>
      <c r="P3044" s="272"/>
      <c r="Q3044" s="6"/>
      <c r="R3044" s="285"/>
      <c r="S3044" s="310"/>
      <c r="T3044" s="311"/>
      <c r="U3044" s="311"/>
      <c r="V3044" s="311"/>
      <c r="W3044" s="311"/>
      <c r="X3044" s="312"/>
      <c r="Y3044" s="285"/>
      <c r="Z3044" s="285"/>
      <c r="AA3044" s="285"/>
      <c r="AB3044" s="285"/>
      <c r="AC3044" s="285"/>
      <c r="AD3044" s="292"/>
      <c r="AE3044" s="293"/>
      <c r="AF3044" s="294"/>
    </row>
    <row r="3045" spans="1:32" ht="12.75" customHeight="1" x14ac:dyDescent="0.25">
      <c r="A3045" s="259" t="str">
        <f>B3018</f>
        <v>H</v>
      </c>
      <c r="B3045" s="236" t="str">
        <f ca="1">IF(AND(OFFSET($AO$1,$C3018-1,8,1,1),$A3019&lt;&gt;"",$J3019&lt;&gt;""),CHOOSE($C3018,$AR$1,$AR$2,$AR$3,$AR$4,$AR$5,$AR$6,$AR$7,$AR$8,$AR$9,$AR$10,$AR$11,$AR$12),"")</f>
        <v/>
      </c>
      <c r="C3045" s="237"/>
      <c r="D3045" s="237"/>
      <c r="E3045" s="237"/>
      <c r="F3045" s="237"/>
      <c r="G3045" s="237"/>
      <c r="H3045" s="233"/>
      <c r="I3045" s="233"/>
      <c r="J3045" s="233"/>
      <c r="K3045" s="233"/>
      <c r="L3045" s="233" t="str">
        <f ca="1">IF(AND($B3045&lt;&gt;"",$Q3024&lt;&gt;""),IF($B3045="Missing Player",0,IF($B3047="Missing Player",11,"")),"")</f>
        <v/>
      </c>
      <c r="M3045" s="245" t="str">
        <f ca="1">IF(OR(AND($B3038&lt;&gt;"",$B3045&lt;&gt;"",$E3049&lt;=$D3049),AND($B3040&lt;&gt;"",$B3047&lt;&gt;"",$I3049&lt;=$H3049)),"Invalid Lineup","")</f>
        <v/>
      </c>
      <c r="N3045" s="246"/>
      <c r="O3045" s="246"/>
      <c r="P3045" s="247"/>
      <c r="Q3045" s="40" t="str">
        <f ca="1">IF($L3045=$L3047,IF($K3045=$K3047,IF($J3045&lt;&gt;"",IF($J3045&gt;$J3047,"W","L"),""),IF($K3045&gt;$K3047,"W","L")),IF($L3045&gt;$L3047,"W","L"))</f>
        <v/>
      </c>
      <c r="R3045" s="259" t="str">
        <f>$K3018</f>
        <v>I</v>
      </c>
      <c r="S3045" s="307" t="str">
        <f ca="1">IF($B3040&lt;&gt;"",$B3040,"")</f>
        <v/>
      </c>
      <c r="T3045" s="308"/>
      <c r="U3045" s="308"/>
      <c r="V3045" s="308"/>
      <c r="W3045" s="308"/>
      <c r="X3045" s="309"/>
      <c r="Y3045" s="284"/>
      <c r="Z3045" s="284"/>
      <c r="AA3045" s="284"/>
      <c r="AB3045" s="284"/>
      <c r="AC3045" s="297"/>
      <c r="AD3045" s="289" t="s">
        <v>169</v>
      </c>
      <c r="AE3045" s="290"/>
      <c r="AF3045" s="291"/>
    </row>
    <row r="3046" spans="1:32" ht="12.75" customHeight="1" x14ac:dyDescent="0.25">
      <c r="A3046" s="260"/>
      <c r="B3046" s="238"/>
      <c r="C3046" s="239"/>
      <c r="D3046" s="239"/>
      <c r="E3046" s="239"/>
      <c r="F3046" s="239"/>
      <c r="G3046" s="239"/>
      <c r="H3046" s="234"/>
      <c r="I3046" s="234"/>
      <c r="J3046" s="234"/>
      <c r="K3046" s="234"/>
      <c r="L3046" s="234"/>
      <c r="M3046" s="245"/>
      <c r="N3046" s="246"/>
      <c r="O3046" s="246"/>
      <c r="P3046" s="247"/>
      <c r="Q3046" s="110" t="str">
        <f ca="1">IF($Q3045&lt;&gt;"",IF($B3047&lt;&gt;"Missing Player",IF($Q3045="W",IF(SUM(IF($H3045&gt;$H3047,1,0),IF($I3045&gt;$I3047,1,0),IF($J3045&gt;$J3047,1,0),IF($K3045&gt;$K3047,1,0),IF($L3045&gt;$L3047,1,0))&lt;&gt;3,"Error",""),""),""),"")</f>
        <v/>
      </c>
      <c r="R3046" s="285"/>
      <c r="S3046" s="310"/>
      <c r="T3046" s="311"/>
      <c r="U3046" s="311"/>
      <c r="V3046" s="311"/>
      <c r="W3046" s="311"/>
      <c r="X3046" s="312"/>
      <c r="Y3046" s="285"/>
      <c r="Z3046" s="285"/>
      <c r="AA3046" s="285"/>
      <c r="AB3046" s="285"/>
      <c r="AC3046" s="285"/>
      <c r="AD3046" s="292"/>
      <c r="AE3046" s="293"/>
      <c r="AF3046" s="294"/>
    </row>
    <row r="3047" spans="1:32" ht="12.75" customHeight="1" x14ac:dyDescent="0.25">
      <c r="A3047" s="259" t="str">
        <f>K3018</f>
        <v>I</v>
      </c>
      <c r="B3047" s="236" t="str">
        <f ca="1">IF(AND(OFFSET($AO$1,$L3018-1,8,1,1),$A3019&lt;&gt;"",$J3019&lt;&gt;""),CHOOSE($L3018,$AR$1,$AR$2,$AR$3,$AR$4,$AR$5,$AR$6,$AR$7,$AR$8,$AR$9,$AR$10,$AR$11,$AR$12),"")</f>
        <v/>
      </c>
      <c r="C3047" s="237"/>
      <c r="D3047" s="237"/>
      <c r="E3047" s="237"/>
      <c r="F3047" s="237"/>
      <c r="G3047" s="237"/>
      <c r="H3047" s="233"/>
      <c r="I3047" s="233"/>
      <c r="J3047" s="233"/>
      <c r="K3047" s="233"/>
      <c r="L3047" s="233" t="str">
        <f ca="1">IF(AND($B3047&lt;&gt;"",$Q3024&lt;&gt;""),IF($B3047="Missing Player",0,IF($B3045="Missing Player",11,"")),"")</f>
        <v/>
      </c>
      <c r="M3047" s="250" t="s">
        <v>169</v>
      </c>
      <c r="N3047" s="251"/>
      <c r="O3047" s="251"/>
      <c r="P3047" s="252"/>
      <c r="Q3047" s="40" t="str">
        <f ca="1">IF($Q3045&lt;&gt;"",IF($Q3045="W","L","W"),"")</f>
        <v/>
      </c>
      <c r="R3047" s="94"/>
      <c r="S3047" s="84"/>
      <c r="T3047" s="84"/>
      <c r="U3047" s="84"/>
      <c r="V3047" s="84"/>
      <c r="W3047" s="84"/>
      <c r="X3047" s="84"/>
      <c r="Y3047" s="93"/>
      <c r="Z3047" s="93"/>
      <c r="AA3047" s="93"/>
      <c r="AB3047" s="93"/>
      <c r="AC3047" s="93"/>
      <c r="AD3047" s="92"/>
      <c r="AE3047" s="93"/>
      <c r="AF3047" s="93"/>
    </row>
    <row r="3048" spans="1:32" ht="12.75" customHeight="1" x14ac:dyDescent="0.25">
      <c r="A3048" s="260"/>
      <c r="B3048" s="238"/>
      <c r="C3048" s="239"/>
      <c r="D3048" s="239"/>
      <c r="E3048" s="239"/>
      <c r="F3048" s="239"/>
      <c r="G3048" s="239"/>
      <c r="H3048" s="234"/>
      <c r="I3048" s="234"/>
      <c r="J3048" s="235"/>
      <c r="K3048" s="235"/>
      <c r="L3048" s="235"/>
      <c r="M3048" s="250"/>
      <c r="N3048" s="251"/>
      <c r="O3048" s="251"/>
      <c r="P3048" s="252"/>
      <c r="Q3048" s="110" t="str">
        <f ca="1">IF($Q3047&lt;&gt;"",IF($B3045&lt;&gt;"Missing Player",IF($Q3047="W",IF(SUM(IF($H3047&gt;$H3045,1,0),IF($I3047&gt;$I3045,1,0),IF($J3047&gt;$J3045,1,0),IF($K3047&gt;$K3045,1,0),IF($L3047&gt;$L3045,1,0))&lt;&gt;3,"Error",""),""),""),"")</f>
        <v/>
      </c>
      <c r="R3048" s="85"/>
      <c r="S3048" s="95"/>
      <c r="T3048" s="95"/>
      <c r="U3048" s="95"/>
      <c r="V3048" s="95"/>
      <c r="W3048" s="95"/>
      <c r="X3048" s="95"/>
      <c r="Y3048" s="85"/>
      <c r="Z3048" s="85"/>
      <c r="AA3048" s="85"/>
      <c r="AB3048" s="85"/>
      <c r="AC3048" s="85"/>
      <c r="AD3048" s="85"/>
      <c r="AE3048" s="85"/>
      <c r="AF3048" s="85"/>
    </row>
    <row r="3049" spans="1:32" ht="12.75" customHeight="1" x14ac:dyDescent="0.25">
      <c r="B3049" s="111" t="str">
        <f ca="1">IF(ISERROR(VLOOKUP($B3024&amp;"("&amp;$B3018&amp;")",Players!$S$4:$T$132,2,FALSE)),"",VLOOKUP($B3024&amp;"("&amp;$B3018&amp;")",Players!$S$4:$T$132,2,FALSE))</f>
        <v>H1</v>
      </c>
      <c r="C3049" s="111" t="str">
        <f ca="1">IF(ISERROR(VLOOKUP($B3031&amp;"("&amp;$B3018&amp;")",Players!$S$4:$T$132,2,FALSE)),"",VLOOKUP($B3031&amp;"("&amp;$B3018&amp;")",Players!$S$4:$T$132,2,FALSE))</f>
        <v>H1</v>
      </c>
      <c r="D3049" s="111" t="str">
        <f ca="1">IF(ISERROR(VLOOKUP($B3038&amp;"("&amp;$B3018&amp;")",Players!$S$4:$T$132,2,FALSE)),"",VLOOKUP($B3038&amp;"("&amp;$B3018&amp;")",Players!$S$4:$T$132,2,FALSE))</f>
        <v>H1</v>
      </c>
      <c r="E3049" s="111" t="str">
        <f ca="1">IF(ISERROR(VLOOKUP($B3045&amp;"("&amp;$B3018&amp;")",Players!$S$4:$T$132,2,FALSE)),"",VLOOKUP($B3045&amp;"("&amp;$B3018&amp;")",Players!$S$4:$T$132,2,FALSE))</f>
        <v>H1</v>
      </c>
      <c r="F3049" s="111" t="str">
        <f ca="1">IF(ISERROR(VLOOKUP($B3026&amp;"("&amp;$K3018&amp;")",Players!$S$4:$T$132,2,FALSE)),"",VLOOKUP($B3026&amp;"("&amp;$K3018&amp;")",Players!$S$4:$T$132,2,FALSE))</f>
        <v>I1</v>
      </c>
      <c r="G3049" s="111" t="str">
        <f ca="1">IF(ISERROR(VLOOKUP($B3033&amp;"("&amp;$K3018&amp;")",Players!$S$4:$T$132,2,FALSE)),"",VLOOKUP($B3033&amp;"("&amp;$K3018&amp;")",Players!$S$4:$T$132,2,FALSE))</f>
        <v>I1</v>
      </c>
      <c r="H3049" s="111" t="str">
        <f ca="1">IF(ISERROR(VLOOKUP($B3040&amp;"("&amp;$K3018&amp;")",Players!$S$4:$T$132,2,FALSE)),"",VLOOKUP($B3040&amp;"("&amp;$K3018&amp;")",Players!$S$4:$T$132,2,FALSE))</f>
        <v>I1</v>
      </c>
      <c r="I3049" s="111" t="str">
        <f ca="1">IF(ISERROR(VLOOKUP($B3047&amp;"("&amp;$K3018&amp;")",Players!$S$4:$T$132,2,FALSE)),"",VLOOKUP($B3047&amp;"("&amp;$K3018&amp;")",Players!$S$4:$T$132,2,FALSE))</f>
        <v>I1</v>
      </c>
      <c r="Q3049" s="6"/>
      <c r="R3049" s="37"/>
      <c r="S3049" s="95"/>
      <c r="T3049" s="95"/>
      <c r="U3049" s="95"/>
      <c r="V3049" s="95"/>
      <c r="W3049" s="95"/>
      <c r="X3049" s="95"/>
      <c r="Y3049" s="85"/>
      <c r="Z3049" s="85"/>
      <c r="AA3049" s="85"/>
      <c r="AB3049" s="85"/>
      <c r="AC3049" s="96"/>
      <c r="AD3049" s="97"/>
      <c r="AE3049" s="85"/>
      <c r="AF3049" s="85"/>
    </row>
    <row r="3050" spans="1:32" ht="12.75" customHeight="1" x14ac:dyDescent="0.25">
      <c r="A3050" s="15" t="s">
        <v>157</v>
      </c>
      <c r="H3050" s="110" t="str">
        <f ca="1">IF($Q3052&lt;&gt;"",IF(AND($B3053&lt;&gt;"Missing Player",$B3055&lt;&gt;"Missing Player"),IF(AND(AND($H3052&gt;-1,$H3054&gt;-1),OR($H3052&gt;10,$H3054&gt;10),ABS($H3052-$H3054)&gt;1,IF(OR($H3052&gt;11,$H3054&gt;11),ABS($H3052-$H3054)=2,TRUE),$H3052=INT($H3052),$H3054=INT($H3054)),"","Error"),""),"")</f>
        <v/>
      </c>
      <c r="I3050" s="110" t="str">
        <f ca="1">IF($Q3052&lt;&gt;"",IF(AND($B3053&lt;&gt;"Missing Player",$B3055&lt;&gt;"Missing Player"),IF(AND(AND($I3052&gt;-1,$I3054&gt;-1),OR($I3052&gt;10,$I3054&gt;10),ABS($I3052-$I3054)&gt;1,IF(OR($I3052&gt;11,$I3054&gt;11),ABS($I3052-$I3054)=2,TRUE),$I3052=INT($I3052),$I3054=INT($I3054)),"","Error"),""),"")</f>
        <v/>
      </c>
      <c r="J3050" s="110" t="str">
        <f ca="1">IF($Q3052&lt;&gt;"",IF(AND($B3053&lt;&gt;"Missing Player",$B3055&lt;&gt;"Missing Player"),IF(AND(AND($J3052&gt;-1,$J3054&gt;-1),OR($J3052&gt;10,$J3054&gt;10),ABS($J3052-$J3054)&gt;1,IF(OR($J3052&gt;11,$J3054&gt;11),ABS($J3052-$J3054)=2,TRUE),$J3052=INT($J3052),$J3054=INT($J3054)),"","Error"),""),"")</f>
        <v/>
      </c>
      <c r="K3050" s="110" t="str">
        <f ca="1">IF($Q3052&lt;&gt;"",IF(AND($K3052&lt;&gt;"",$K3054&lt;&gt;""), IF(AND(AND($K3052&gt;-1,$K3054&gt;-1),OR($K3052&gt;10,$K3054&gt;10),ABS($K3052-$K3054)&gt;1,IF(OR($K3052&gt;11,$K3054&gt;11),ABS($K3052-$K3054)=2,TRUE),$K3052=INT($K3052),$K3054=INT($K3054)),"","Error"),""),"")</f>
        <v/>
      </c>
      <c r="L3050" s="110" t="str">
        <f ca="1">IF($Q3052&lt;&gt;"",IF(AND($L3052&lt;&gt;"",$L3054&lt;&gt;""), IF(AND(AND($L3052&gt;-1,$L3054&gt;-1),OR($L3052&gt;10,$L3054&gt;10),ABS($L3052-$L3054)&gt;1,IF(OR($L3052&gt;11,$L3054&gt;11),ABS($L3052-$L3054)=2,TRUE),$L3052=INT($L3052),$L3054=INT($L3054)),"","Error"),""),"")</f>
        <v/>
      </c>
      <c r="Q3050" s="6"/>
      <c r="R3050" s="85"/>
      <c r="S3050" s="95"/>
      <c r="T3050" s="95"/>
      <c r="U3050" s="95"/>
      <c r="V3050" s="95"/>
      <c r="W3050" s="95"/>
      <c r="X3050" s="95"/>
      <c r="Y3050" s="85"/>
      <c r="Z3050" s="85"/>
      <c r="AA3050" s="85"/>
      <c r="AB3050" s="85"/>
      <c r="AC3050" s="85"/>
      <c r="AD3050" s="85"/>
      <c r="AE3050" s="85"/>
      <c r="AF3050" s="85"/>
    </row>
    <row r="3051" spans="1:32" ht="12.75" customHeight="1" x14ac:dyDescent="0.25">
      <c r="A3051" s="5" t="s">
        <v>160</v>
      </c>
      <c r="B3051" s="256" t="s">
        <v>58</v>
      </c>
      <c r="C3051" s="257"/>
      <c r="D3051" s="257"/>
      <c r="E3051" s="257"/>
      <c r="F3051" s="257"/>
      <c r="G3051" s="258"/>
      <c r="H3051" s="5">
        <v>1</v>
      </c>
      <c r="I3051" s="5">
        <v>2</v>
      </c>
      <c r="J3051" s="5">
        <v>3</v>
      </c>
      <c r="K3051" s="5">
        <v>4</v>
      </c>
      <c r="L3051" s="5">
        <v>5</v>
      </c>
      <c r="M3051" s="270"/>
      <c r="N3051" s="271"/>
      <c r="O3051" s="271"/>
      <c r="P3051" s="272"/>
      <c r="Q3051" s="6"/>
      <c r="T3051" s="7"/>
    </row>
    <row r="3052" spans="1:32" ht="12.75" customHeight="1" x14ac:dyDescent="0.25">
      <c r="A3052" s="259" t="str">
        <f>B3018</f>
        <v>H</v>
      </c>
      <c r="B3052" s="230" t="str">
        <f ca="1">IF($B3024&lt;&gt;"",$B3024,"")</f>
        <v/>
      </c>
      <c r="C3052" s="231"/>
      <c r="D3052" s="231"/>
      <c r="E3052" s="231"/>
      <c r="F3052" s="231"/>
      <c r="G3052" s="232"/>
      <c r="H3052" s="233"/>
      <c r="I3052" s="233"/>
      <c r="J3052" s="233"/>
      <c r="K3052" s="233"/>
      <c r="L3052" s="233" t="str">
        <f ca="1">IF($B3045&lt;&gt;"",IF(AND($B3045="Missing Player",$G3056=2,$J3056=2),0,IF(AND($B3047="Missing Player",$G3056=2,$J3056=2),11,"")),"")</f>
        <v/>
      </c>
      <c r="M3052" s="245" t="str">
        <f ca="1">IF(OR(AND($B3052&lt;&gt;"",$B3053&lt;&gt;"",$B3052=$B3053),AND($B3054&lt;&gt;"",$B3055&lt;&gt;"",$B3054=$B3055)),"Invalid Partner","")</f>
        <v/>
      </c>
      <c r="N3052" s="246"/>
      <c r="O3052" s="246"/>
      <c r="P3052" s="247"/>
      <c r="Q3052" s="37" t="str">
        <f ca="1">IF(L3052=L3054,IF(K3052=K3054,IF(J3052&lt;&gt;"",IF(J3052&gt;J3054,"W","L"),""),IF(K3052&gt;K3054,"W","L")),IF(L3052&gt;L3054,"W","L"))</f>
        <v/>
      </c>
      <c r="T3052" s="7"/>
    </row>
    <row r="3053" spans="1:32" ht="12.75" customHeight="1" x14ac:dyDescent="0.25">
      <c r="A3053" s="260"/>
      <c r="B3053" s="266" t="str">
        <f ca="1">IF($B3045="Missing Player",$B3045,"")</f>
        <v/>
      </c>
      <c r="C3053" s="267"/>
      <c r="D3053" s="267"/>
      <c r="E3053" s="267"/>
      <c r="F3053" s="267"/>
      <c r="G3053" s="268"/>
      <c r="H3053" s="234"/>
      <c r="I3053" s="234"/>
      <c r="J3053" s="234"/>
      <c r="K3053" s="234"/>
      <c r="L3053" s="234"/>
      <c r="M3053" s="245"/>
      <c r="N3053" s="246"/>
      <c r="O3053" s="246"/>
      <c r="P3053" s="247"/>
      <c r="Q3053" s="110" t="str">
        <f ca="1">IF($Q3052&lt;&gt;"",IF($B3055&lt;&gt;"Missing Player",IF($Q3052="W",IF(SUM(IF($H3052&gt;$H3054,1,0),IF($I3052&gt;$I3054,1,0),IF($J3052&gt;$J3054,1,0),IF($K3052&gt;$K3054,1,0),IF($L3052&gt;$L3054,1,0))&lt;&gt;3,"Error",""),""),""),"")</f>
        <v/>
      </c>
      <c r="R3053" s="295" t="str">
        <f>$A3019</f>
        <v/>
      </c>
      <c r="S3053" s="295"/>
      <c r="T3053" s="295"/>
      <c r="U3053" s="295"/>
      <c r="V3053" s="295"/>
      <c r="W3053" s="295"/>
      <c r="X3053" s="219" t="str">
        <f>CONCATENATE("(",$B3018," vs ",$K3018,")")</f>
        <v>(H vs I)</v>
      </c>
      <c r="Y3053" s="219"/>
      <c r="Z3053" s="295" t="str">
        <f>$J3019</f>
        <v/>
      </c>
      <c r="AA3053" s="295"/>
      <c r="AB3053" s="295"/>
      <c r="AC3053" s="295"/>
      <c r="AD3053" s="295"/>
      <c r="AE3053" s="295"/>
      <c r="AF3053"/>
    </row>
    <row r="3054" spans="1:32" ht="12.75" customHeight="1" x14ac:dyDescent="0.25">
      <c r="A3054" s="265" t="str">
        <f>K3018</f>
        <v>I</v>
      </c>
      <c r="B3054" s="230" t="str">
        <f ca="1">IF($B3026&lt;&gt;"",$B3026,"")</f>
        <v/>
      </c>
      <c r="C3054" s="231"/>
      <c r="D3054" s="231"/>
      <c r="E3054" s="231"/>
      <c r="F3054" s="231"/>
      <c r="G3054" s="232"/>
      <c r="H3054" s="233"/>
      <c r="I3054" s="233"/>
      <c r="J3054" s="233"/>
      <c r="K3054" s="233"/>
      <c r="L3054" s="233" t="str">
        <f ca="1">IF($B3047&lt;&gt;"",IF(AND($B3047="Missing Player",$G3056=2,$J3056=2),0,IF(AND($B3045="Missing Player",$G3056=2,$J3056=2),11,"")),"")</f>
        <v/>
      </c>
      <c r="M3054" s="250" t="s">
        <v>169</v>
      </c>
      <c r="N3054" s="251"/>
      <c r="O3054" s="251"/>
      <c r="P3054" s="252"/>
      <c r="Q3054" s="37" t="str">
        <f ca="1">IF(Q3052&lt;&gt;"",IF(Q3052="W","L","W"),"")</f>
        <v/>
      </c>
      <c r="R3054"/>
      <c r="S3054"/>
      <c r="T3054"/>
      <c r="U3054"/>
      <c r="V3054"/>
      <c r="W3054"/>
      <c r="X3054"/>
      <c r="Y3054"/>
      <c r="Z3054"/>
      <c r="AA3054"/>
      <c r="AB3054"/>
      <c r="AC3054"/>
      <c r="AD3054"/>
      <c r="AE3054"/>
      <c r="AF3054"/>
    </row>
    <row r="3055" spans="1:32" ht="12.75" customHeight="1" x14ac:dyDescent="0.25">
      <c r="A3055" s="260"/>
      <c r="B3055" s="266" t="str">
        <f ca="1">IF($B3047="Missing Player",$B3047,"")</f>
        <v/>
      </c>
      <c r="C3055" s="267"/>
      <c r="D3055" s="267"/>
      <c r="E3055" s="267"/>
      <c r="F3055" s="267"/>
      <c r="G3055" s="268"/>
      <c r="H3055" s="234"/>
      <c r="I3055" s="234"/>
      <c r="J3055" s="235"/>
      <c r="K3055" s="235"/>
      <c r="L3055" s="235"/>
      <c r="M3055" s="250"/>
      <c r="N3055" s="251"/>
      <c r="O3055" s="251"/>
      <c r="P3055" s="252"/>
      <c r="Q3055" s="110" t="str">
        <f ca="1">IF($Q3054&lt;&gt;"",IF($B3053&lt;&gt;"Missing Player",IF($Q3054="W",IF(SUM(IF($H3054&gt;$H3052,1,0),IF($I3054&gt;$I3052,1,0),IF($J3054&gt;$J3052,1,0),IF($K3054&gt;$K3052,1,0),IF($L3054&gt;$L3052,1,0))&lt;&gt;3,"Error",""),""),""),"")</f>
        <v/>
      </c>
      <c r="R3055" t="str">
        <f>A3043</f>
        <v>4th Singles</v>
      </c>
      <c r="S3055"/>
      <c r="T3055"/>
      <c r="U3055"/>
      <c r="V3055"/>
      <c r="W3055"/>
      <c r="X3055"/>
      <c r="Y3055"/>
      <c r="Z3055"/>
      <c r="AA3055"/>
      <c r="AB3055"/>
      <c r="AC3055"/>
      <c r="AD3055"/>
      <c r="AE3055"/>
      <c r="AF3055"/>
    </row>
    <row r="3056" spans="1:32" ht="12.75" customHeight="1" x14ac:dyDescent="0.25">
      <c r="G3056" s="53">
        <f ca="1">COUNTIF($Q3024:$Q3024,"W")+COUNTIF($Q3031:$Q3031,"W")+COUNTIF($Q3038:$Q3038,"W")+COUNTIF($Q3045:$Q3045,"W")</f>
        <v>0</v>
      </c>
      <c r="J3056" s="53">
        <f ca="1">COUNTIF($Q3026:$Q3026,"W")+COUNTIF($Q3033:$Q3033,"W")+COUNTIF($Q3040:$Q3040,"W")+COUNTIF($Q3047:$Q3047,"W")</f>
        <v>0</v>
      </c>
      <c r="R3056" s="47" t="s">
        <v>160</v>
      </c>
      <c r="S3056" s="304" t="s">
        <v>58</v>
      </c>
      <c r="T3056" s="305"/>
      <c r="U3056" s="305"/>
      <c r="V3056" s="305"/>
      <c r="W3056" s="305"/>
      <c r="X3056" s="306"/>
      <c r="Y3056" s="47">
        <v>1</v>
      </c>
      <c r="Z3056" s="47">
        <v>2</v>
      </c>
      <c r="AA3056" s="47">
        <v>3</v>
      </c>
      <c r="AB3056" s="47">
        <v>4</v>
      </c>
      <c r="AC3056" s="47">
        <v>5</v>
      </c>
      <c r="AD3056" s="286"/>
      <c r="AE3056" s="287"/>
      <c r="AF3056" s="288"/>
    </row>
    <row r="3057" spans="1:32" ht="12.75" customHeight="1" thickBot="1" x14ac:dyDescent="0.3">
      <c r="F3057" s="212" t="s">
        <v>170</v>
      </c>
      <c r="G3057" s="212"/>
      <c r="H3057" s="212"/>
      <c r="I3057" s="212"/>
      <c r="J3057" s="212"/>
      <c r="K3057" s="212"/>
      <c r="R3057" s="259" t="str">
        <f>B3018</f>
        <v>H</v>
      </c>
      <c r="S3057" s="307" t="str">
        <f ca="1">IF($B3045&lt;&gt;"",$B3045,"")</f>
        <v/>
      </c>
      <c r="T3057" s="308"/>
      <c r="U3057" s="308"/>
      <c r="V3057" s="308"/>
      <c r="W3057" s="308"/>
      <c r="X3057" s="309"/>
      <c r="Y3057" s="284"/>
      <c r="Z3057" s="284"/>
      <c r="AA3057" s="297"/>
      <c r="AB3057" s="297"/>
      <c r="AC3057" s="297"/>
      <c r="AD3057" s="296"/>
      <c r="AE3057" s="298"/>
      <c r="AF3057" s="299"/>
    </row>
    <row r="3058" spans="1:32" ht="12.75" customHeight="1" x14ac:dyDescent="0.25">
      <c r="A3058" s="16"/>
      <c r="B3058" s="16"/>
      <c r="C3058" s="16"/>
      <c r="D3058" s="16"/>
      <c r="E3058" s="16"/>
      <c r="G3058" s="261" t="str">
        <f>B3018</f>
        <v>H</v>
      </c>
      <c r="H3058" s="262"/>
      <c r="I3058" s="263" t="str">
        <f>K3018</f>
        <v>I</v>
      </c>
      <c r="J3058" s="264"/>
      <c r="L3058" s="16"/>
      <c r="M3058" s="16"/>
      <c r="N3058" s="16"/>
      <c r="O3058" s="16"/>
      <c r="P3058" s="16"/>
      <c r="R3058" s="260"/>
      <c r="S3058" s="310"/>
      <c r="T3058" s="311"/>
      <c r="U3058" s="311"/>
      <c r="V3058" s="311"/>
      <c r="W3058" s="311"/>
      <c r="X3058" s="312"/>
      <c r="Y3058" s="285"/>
      <c r="Z3058" s="285"/>
      <c r="AA3058" s="303"/>
      <c r="AB3058" s="303"/>
      <c r="AC3058" s="303"/>
      <c r="AD3058" s="300"/>
      <c r="AE3058" s="301"/>
      <c r="AF3058" s="302"/>
    </row>
    <row r="3059" spans="1:32" ht="12.75" customHeight="1" thickBot="1" x14ac:dyDescent="0.3">
      <c r="A3059" s="2" t="s">
        <v>160</v>
      </c>
      <c r="B3059" s="40" t="str">
        <f>B3018</f>
        <v>H</v>
      </c>
      <c r="C3059" s="3" t="s">
        <v>158</v>
      </c>
      <c r="F3059" s="53" t="str">
        <f>CONCATENATE($B3018,"-",$K3018)</f>
        <v>H-I</v>
      </c>
      <c r="G3059" s="240" t="str">
        <f ca="1">IF(OR(Q3024&lt;&gt;"",Q3031&lt;&gt;"",Q3038&lt;&gt;"",Q3045&lt;&gt;"",Q3052&lt;&gt;""),COUNTIF(Q3024:Q3024,"W")+COUNTIF(Q3031:Q3031,"W")+COUNTIF(Q3038:Q3038,"W")+COUNTIF(Q3045:Q3045,"W")+COUNTIF(Q3052:Q3052,"W"),"")</f>
        <v/>
      </c>
      <c r="H3059" s="241"/>
      <c r="I3059" s="242" t="str">
        <f ca="1">IF(OR(Q3026&lt;&gt;"",Q3033&lt;&gt;"",Q3040&lt;&gt;"",Q3047&lt;&gt;"",Q3054&lt;&gt;""),COUNTIF(Q3026:Q3026,"W")+COUNTIF(Q3033:Q3033,"W")+COUNTIF(Q3040:Q3040,"W")+COUNTIF(Q3047:Q3047,"W")+COUNTIF(Q3054:Q3054,"W"),"")</f>
        <v/>
      </c>
      <c r="J3059" s="243"/>
      <c r="L3059" s="2" t="s">
        <v>160</v>
      </c>
      <c r="M3059" s="9" t="str">
        <f>K3018</f>
        <v>I</v>
      </c>
      <c r="N3059" s="3" t="s">
        <v>158</v>
      </c>
      <c r="R3059" s="259" t="str">
        <f>K3018</f>
        <v>I</v>
      </c>
      <c r="S3059" s="307" t="str">
        <f ca="1">IF($B3047&lt;&gt;"",$B3047,"")</f>
        <v/>
      </c>
      <c r="T3059" s="308"/>
      <c r="U3059" s="308"/>
      <c r="V3059" s="308"/>
      <c r="W3059" s="308"/>
      <c r="X3059" s="309"/>
      <c r="Y3059" s="284"/>
      <c r="Z3059" s="284"/>
      <c r="AA3059" s="297"/>
      <c r="AB3059" s="297"/>
      <c r="AC3059" s="297"/>
      <c r="AD3059" s="289" t="s">
        <v>169</v>
      </c>
      <c r="AE3059" s="290"/>
      <c r="AF3059" s="291"/>
    </row>
    <row r="3060" spans="1:32" ht="12.75" customHeight="1" x14ac:dyDescent="0.35">
      <c r="F3060" s="18" t="s">
        <v>403</v>
      </c>
      <c r="G3060" s="17"/>
      <c r="H3060" s="17"/>
      <c r="I3060" s="17"/>
      <c r="J3060" s="17"/>
      <c r="R3060" s="285"/>
      <c r="S3060" s="310"/>
      <c r="T3060" s="311"/>
      <c r="U3060" s="311"/>
      <c r="V3060" s="311"/>
      <c r="W3060" s="311"/>
      <c r="X3060" s="312"/>
      <c r="Y3060" s="285"/>
      <c r="Z3060" s="285"/>
      <c r="AA3060" s="285"/>
      <c r="AB3060" s="285"/>
      <c r="AC3060" s="285"/>
      <c r="AD3060" s="292"/>
      <c r="AE3060" s="293"/>
      <c r="AF3060" s="294"/>
    </row>
    <row r="3061" spans="1:32" ht="12.75" customHeight="1" x14ac:dyDescent="0.25">
      <c r="R3061" s="1"/>
      <c r="S3061" s="11"/>
      <c r="T3061" s="11"/>
      <c r="U3061" s="11"/>
      <c r="V3061" s="11"/>
      <c r="W3061" s="11"/>
    </row>
    <row r="3062" spans="1:32" ht="12.75" customHeight="1" x14ac:dyDescent="0.25">
      <c r="F3062" s="212"/>
      <c r="G3062" s="212"/>
      <c r="H3062" s="212"/>
      <c r="I3062" s="212"/>
      <c r="R3062" s="1"/>
      <c r="S3062" s="11"/>
      <c r="T3062" s="11"/>
      <c r="U3062" s="11"/>
      <c r="V3062" s="11"/>
      <c r="W3062" s="11"/>
    </row>
    <row r="3063" spans="1:32" ht="12.75" customHeight="1" x14ac:dyDescent="0.25">
      <c r="F3063" s="212"/>
      <c r="G3063" s="212"/>
      <c r="H3063" s="212"/>
      <c r="I3063" s="212"/>
      <c r="R3063" s="1"/>
      <c r="S3063" s="11"/>
      <c r="T3063" s="11"/>
      <c r="U3063" s="11"/>
      <c r="V3063" s="11"/>
      <c r="W3063" s="11"/>
    </row>
    <row r="3064" spans="1:32" ht="12.75" customHeight="1" x14ac:dyDescent="0.25">
      <c r="K3064" s="219" t="s">
        <v>176</v>
      </c>
      <c r="L3064" s="219"/>
      <c r="M3064" s="219"/>
      <c r="N3064" s="219"/>
      <c r="O3064" s="219"/>
      <c r="P3064" s="219"/>
      <c r="R3064" s="1"/>
      <c r="S3064" s="11"/>
      <c r="T3064" s="11"/>
      <c r="U3064" s="11"/>
      <c r="V3064" s="11"/>
      <c r="W3064" s="11"/>
    </row>
    <row r="3065" spans="1:32" ht="12.75" customHeight="1" x14ac:dyDescent="0.25">
      <c r="A3065" s="9" t="s">
        <v>161</v>
      </c>
      <c r="B3065"/>
      <c r="C3065"/>
      <c r="D3065" t="str">
        <f>Draw!$B$1</f>
        <v>Enter Division Name</v>
      </c>
      <c r="E3065"/>
      <c r="F3065" s="6"/>
      <c r="G3065" s="6"/>
      <c r="H3065" s="6"/>
      <c r="I3065"/>
      <c r="J3065"/>
      <c r="K3065"/>
      <c r="L3065"/>
      <c r="M3065" s="219"/>
      <c r="N3065" s="219"/>
      <c r="O3065" s="219"/>
      <c r="P3065" s="219"/>
      <c r="R3065" s="1"/>
      <c r="S3065" s="11"/>
      <c r="T3065" s="11"/>
      <c r="U3065" s="11"/>
      <c r="V3065" s="11"/>
      <c r="W3065" s="11"/>
    </row>
    <row r="3066" spans="1:32" ht="12.75" customHeight="1" x14ac:dyDescent="0.25">
      <c r="A3066" s="2" t="s">
        <v>162</v>
      </c>
      <c r="D3066" t="str">
        <f>Draw!$D$1</f>
        <v>Enter Hosting Location (City, ST)</v>
      </c>
      <c r="J3066" t="str">
        <f ca="1">$J$6</f>
        <v>[NCTTA Teams Template (v3.4).xlsx]</v>
      </c>
      <c r="R3066" s="1"/>
      <c r="S3066" s="11"/>
      <c r="T3066" s="11"/>
      <c r="U3066" s="11"/>
      <c r="V3066" s="11"/>
      <c r="W3066" s="11"/>
    </row>
    <row r="3067" spans="1:32" ht="12.75" customHeight="1" x14ac:dyDescent="0.25">
      <c r="A3067" s="2" t="s">
        <v>163</v>
      </c>
      <c r="D3067" s="275" t="str">
        <f>Draw!$P$1</f>
        <v>Enter Date</v>
      </c>
      <c r="E3067" s="275"/>
      <c r="F3067" s="275"/>
      <c r="G3067" s="275"/>
      <c r="J3067" s="244" t="str">
        <f>CHOOSE(Draw!$T$1,"Round 11, Match 1","","","","","","","","","","")</f>
        <v>Round 11, Match 1</v>
      </c>
      <c r="K3067" s="244"/>
      <c r="L3067" s="244"/>
      <c r="M3067" s="277" t="str">
        <f>IF(AND($J3067&lt;&gt;"",Draw!$AC$10&lt;&gt;"",Draw!$AC$13&lt;&gt;""),Draw!$AC$10+TIME(0,VALUE(MID($J3067,7,FIND(",",$J3067)-FIND(" ",$J3067)-1)-1)*Draw!$AC$13,0),"")</f>
        <v/>
      </c>
      <c r="N3067" s="277"/>
      <c r="O3067" s="125" t="str">
        <f>$F3110</f>
        <v>A-H</v>
      </c>
      <c r="R3067" s="1"/>
      <c r="S3067" s="11"/>
      <c r="T3067" s="11"/>
      <c r="U3067" s="11"/>
      <c r="V3067" s="11"/>
      <c r="W3067" s="11"/>
    </row>
    <row r="3068" spans="1:32" ht="12.75" customHeight="1" x14ac:dyDescent="0.25">
      <c r="A3068" s="6"/>
      <c r="B3068"/>
      <c r="C3068"/>
      <c r="D3068"/>
      <c r="E3068"/>
      <c r="F3068" s="6"/>
      <c r="G3068" s="6"/>
      <c r="H3068" s="11"/>
      <c r="I3068" s="6"/>
      <c r="J3068"/>
      <c r="K3068"/>
      <c r="L3068"/>
      <c r="M3068"/>
      <c r="N3068"/>
      <c r="O3068" s="269" t="str">
        <f>IF(OR(AND(VLOOKUP($B3069,$AM$1:$AX$12,12,FALSE)="C",VLOOKUP($K3069,$AM$1:$AX$12,12,FALSE)="C"),AND(VLOOKUP($B3069,$AM$1:$AX$12,12,FALSE)="W",VLOOKUP($K3069,$AM$1:$AX$12,12,FALSE)="W")),"Official",IF(AND($A3070="",$J3070=""),"","Scrimmage"))</f>
        <v/>
      </c>
      <c r="P3068" s="269"/>
      <c r="R3068" s="1"/>
      <c r="S3068" s="11"/>
      <c r="T3068" s="11"/>
      <c r="U3068" s="11"/>
      <c r="V3068" s="11"/>
      <c r="W3068" s="11"/>
    </row>
    <row r="3069" spans="1:32" ht="12.75" customHeight="1" x14ac:dyDescent="0.25">
      <c r="A3069" s="12" t="s">
        <v>160</v>
      </c>
      <c r="B3069" s="98" t="str">
        <f>CHOOSE(Draw!$T$1,"A","F","G","H","I","I","I","I","I","H","F")</f>
        <v>A</v>
      </c>
      <c r="C3069" s="109">
        <f>VLOOKUP($B3069,$AM$1:$AN$12,2)</f>
        <v>1</v>
      </c>
      <c r="D3069" s="10"/>
      <c r="E3069" s="10"/>
      <c r="F3069" s="8"/>
      <c r="H3069" s="1" t="s">
        <v>164</v>
      </c>
      <c r="J3069" s="12" t="s">
        <v>160</v>
      </c>
      <c r="K3069" s="98" t="str">
        <f>CHOOSE(Draw!$T$1,"H","G","K","J","J","J","J","J","J","L","L")</f>
        <v>H</v>
      </c>
      <c r="L3069" s="109">
        <f>VLOOKUP($K3069,$AM$1:$AN$12,2)</f>
        <v>8</v>
      </c>
      <c r="M3069" s="10"/>
      <c r="N3069" s="10"/>
      <c r="O3069" s="13"/>
      <c r="R3069" s="1"/>
      <c r="S3069" s="11"/>
      <c r="T3069" s="11"/>
      <c r="U3069" s="11"/>
      <c r="V3069" s="11"/>
      <c r="W3069" s="11"/>
    </row>
    <row r="3070" spans="1:32" ht="12.75" customHeight="1" x14ac:dyDescent="0.25">
      <c r="A3070" s="253" t="str">
        <f>IF(VLOOKUP($B3069,Draw!$A$4:$B$27,2)&lt;&gt;0,VLOOKUP($B3069,Draw!$A$4:$B$27,2),"")</f>
        <v/>
      </c>
      <c r="B3070" s="254"/>
      <c r="C3070" s="254"/>
      <c r="D3070" s="254"/>
      <c r="E3070" s="254"/>
      <c r="F3070" s="255"/>
      <c r="G3070" s="273" t="s">
        <v>464</v>
      </c>
      <c r="H3070" s="249"/>
      <c r="I3070" s="274"/>
      <c r="J3070" s="253" t="str">
        <f>IF(VLOOKUP($K3069,Draw!$A$4:$B$27,2)&lt;&gt;0,VLOOKUP($K3069,Draw!$A$4:$B$27,2),"")</f>
        <v/>
      </c>
      <c r="K3070" s="254"/>
      <c r="L3070" s="254"/>
      <c r="M3070" s="254"/>
      <c r="N3070" s="254"/>
      <c r="O3070" s="255"/>
      <c r="P3070"/>
      <c r="R3070" s="1"/>
      <c r="S3070" s="11"/>
      <c r="T3070" s="11"/>
      <c r="U3070" s="11"/>
      <c r="V3070" s="11"/>
      <c r="W3070" s="11"/>
    </row>
    <row r="3071" spans="1:32" ht="12.75" customHeight="1" x14ac:dyDescent="0.25">
      <c r="A3071" s="6"/>
      <c r="B3071"/>
      <c r="C3071"/>
      <c r="D3071"/>
      <c r="E3071"/>
      <c r="F3071" s="6"/>
      <c r="G3071" s="248" t="str">
        <f>"Page "&amp;VALUE(RIGHT($G3070,LEN($G3070)-SEARCH("-",$G3070)))/2</f>
        <v>Page 61</v>
      </c>
      <c r="H3071" s="249"/>
      <c r="I3071" s="249"/>
      <c r="J3071"/>
      <c r="K3071"/>
      <c r="L3071"/>
      <c r="M3071"/>
      <c r="N3071"/>
      <c r="O3071"/>
      <c r="P3071"/>
      <c r="R3071" s="1"/>
      <c r="S3071" s="11"/>
      <c r="T3071" s="11"/>
      <c r="U3071" s="11"/>
      <c r="V3071" s="11"/>
      <c r="W3071" s="11"/>
      <c r="AF3071"/>
    </row>
    <row r="3072" spans="1:32" ht="12.75" customHeight="1" x14ac:dyDescent="0.25">
      <c r="A3072" s="276" t="s">
        <v>177</v>
      </c>
      <c r="B3072" s="276"/>
      <c r="C3072" s="276"/>
      <c r="D3072" s="276"/>
      <c r="E3072" s="276"/>
      <c r="F3072" s="276"/>
      <c r="G3072" s="276"/>
      <c r="H3072" s="276"/>
      <c r="I3072" s="276"/>
      <c r="J3072" s="276"/>
      <c r="K3072" s="276"/>
      <c r="L3072" s="276"/>
      <c r="M3072" s="276"/>
      <c r="N3072" s="276"/>
      <c r="O3072" s="276"/>
      <c r="P3072" s="276"/>
      <c r="Q3072" s="6"/>
      <c r="R3072" s="1"/>
      <c r="S3072" s="11"/>
      <c r="T3072" s="11"/>
      <c r="U3072" s="11"/>
      <c r="V3072" s="11"/>
      <c r="W3072" s="11"/>
      <c r="AF3072" s="14"/>
    </row>
    <row r="3073" spans="1:32" ht="12.75" customHeight="1" x14ac:dyDescent="0.25">
      <c r="A3073" s="15" t="s">
        <v>165</v>
      </c>
      <c r="H3073" s="110" t="str">
        <f>IF($Q3075&lt;&gt;"",IF(AND(AND($H3075&gt;-1,$H3077&gt;-1),OR($H3075&gt;10,$H3077&gt;10),ABS($H3075-$H3077)&gt;1,IF(OR($H3075&gt;11,$H3077&gt;11),ABS($H3075-$H3077)=2,TRUE),$H3075=INT($H3075),$H3077=INT($H3077)),"","Error"),"")</f>
        <v/>
      </c>
      <c r="I3073" s="110" t="str">
        <f>IF($Q3075&lt;&gt;"",IF(AND(AND($I3075&gt;-1,$I3077&gt;-1),OR($I3075&gt;10,$I3077&gt;10),ABS($I3075-$I3077)&gt;1,IF(OR($I3075&gt;11,$I3077&gt;11),ABS($I3075-$I3077)=2,TRUE),$I3075=INT($I3075),$I3077=INT($I3077)),"","Error"),"")</f>
        <v/>
      </c>
      <c r="J3073" s="110" t="str">
        <f>IF($Q3075&lt;&gt;"",IF(AND(AND($J3075&gt;-1,$J3077&gt;-1),OR($J3075&gt;10,$J3077&gt;10),ABS($J3075-$J3077)&gt;1,IF(OR($J3075&gt;11,$J3077&gt;11),ABS($J3075-$J3077)=2,TRUE),$J3075=INT($J3075),$J3077=INT($J3077)),"","Error"),"")</f>
        <v/>
      </c>
      <c r="K3073" s="110" t="str">
        <f>IF($Q3075&lt;&gt;"",IF(AND($K3075&lt;&gt;"",$K3077&lt;&gt;""), IF(AND(AND($K3075&gt;-1,$K3077&gt;-1),OR($K3075&gt;10,$K3077&gt;10),ABS($K3075-$K3077)&gt;1,IF(OR($K3075&gt;11,$K3077&gt;11),ABS($K3075-$K3077)=2,TRUE),$K3075=INT($K3075),$K3077=INT($K3077)),"","Error"),""),"")</f>
        <v/>
      </c>
      <c r="L3073" s="110" t="str">
        <f>IF($Q3075&lt;&gt;"",IF(AND($L3075&lt;&gt;"",$L3077&lt;&gt;""), IF(AND(AND($L3075&gt;-1,$L3077&gt;-1),OR($L3075&gt;10,$L3077&gt;10),ABS($L3075-$L3077)&gt;1,IF(OR($L3075&gt;11,$L3077&gt;11),ABS($L3075-$L3077)=2,TRUE),$L3075=INT($L3075),$L3077=INT($L3077)),"","Error"),""),"")</f>
        <v/>
      </c>
      <c r="R3073" s="1"/>
      <c r="S3073" s="11"/>
      <c r="T3073" s="11"/>
      <c r="U3073" s="11"/>
      <c r="V3073" s="11"/>
      <c r="W3073" s="11"/>
    </row>
    <row r="3074" spans="1:32" ht="12.75" customHeight="1" x14ac:dyDescent="0.25">
      <c r="A3074" s="5" t="s">
        <v>160</v>
      </c>
      <c r="B3074" s="256" t="s">
        <v>58</v>
      </c>
      <c r="C3074" s="257"/>
      <c r="D3074" s="257"/>
      <c r="E3074" s="257"/>
      <c r="F3074" s="257"/>
      <c r="G3074" s="258"/>
      <c r="H3074" s="5">
        <v>1</v>
      </c>
      <c r="I3074" s="5">
        <v>2</v>
      </c>
      <c r="J3074" s="5">
        <v>3</v>
      </c>
      <c r="K3074" s="5">
        <v>4</v>
      </c>
      <c r="L3074" s="5">
        <v>5</v>
      </c>
      <c r="M3074" s="270"/>
      <c r="N3074" s="271"/>
      <c r="O3074" s="271"/>
      <c r="P3074" s="272"/>
      <c r="R3074" s="1"/>
      <c r="S3074" s="11"/>
      <c r="T3074" s="11"/>
      <c r="U3074" s="11"/>
      <c r="V3074" s="11"/>
      <c r="W3074" s="11"/>
    </row>
    <row r="3075" spans="1:32" ht="12.75" customHeight="1" x14ac:dyDescent="0.25">
      <c r="A3075" s="259" t="str">
        <f>B3069</f>
        <v>A</v>
      </c>
      <c r="B3075" s="236" t="str">
        <f ca="1">IF(AND(OFFSET($AO$1,$C3069-1,8,1,1),$A3070&lt;&gt;"",$J3070&lt;&gt;""),CHOOSE($C3069,$AO$1,$AO$2,$AO$3,$AO$4,$AO$5,$AO$6,$AO$7,$AO$8,$AO$9,$AO$10,$AO$11,$AO$12),"")</f>
        <v/>
      </c>
      <c r="C3075" s="237"/>
      <c r="D3075" s="237"/>
      <c r="E3075" s="237"/>
      <c r="F3075" s="237"/>
      <c r="G3075" s="237"/>
      <c r="H3075" s="233"/>
      <c r="I3075" s="233"/>
      <c r="J3075" s="233"/>
      <c r="K3075" s="233"/>
      <c r="L3075" s="233"/>
      <c r="M3075" s="281"/>
      <c r="N3075" s="282"/>
      <c r="O3075" s="282"/>
      <c r="P3075" s="283"/>
      <c r="Q3075" s="40" t="str">
        <f>IF($L3075=$L3077,IF($K3075=$K3077,IF($J3075&lt;&gt;"",IF($J3075&gt;$J3077,"W","L"),""),IF($K3075&gt;$K3077,"W","L")),IF($L3075&gt;$L3077,"W","L"))</f>
        <v/>
      </c>
      <c r="R3075" s="1"/>
      <c r="S3075" s="11"/>
      <c r="T3075" s="11"/>
      <c r="U3075" s="11"/>
      <c r="V3075" s="11"/>
      <c r="W3075" s="11"/>
    </row>
    <row r="3076" spans="1:32" ht="12.75" customHeight="1" x14ac:dyDescent="0.25">
      <c r="A3076" s="260"/>
      <c r="B3076" s="238"/>
      <c r="C3076" s="239"/>
      <c r="D3076" s="239"/>
      <c r="E3076" s="239"/>
      <c r="F3076" s="239"/>
      <c r="G3076" s="239"/>
      <c r="H3076" s="234"/>
      <c r="I3076" s="234"/>
      <c r="J3076" s="234"/>
      <c r="K3076" s="234"/>
      <c r="L3076" s="234"/>
      <c r="M3076" s="281"/>
      <c r="N3076" s="282"/>
      <c r="O3076" s="282"/>
      <c r="P3076" s="283"/>
      <c r="Q3076" s="110" t="str">
        <f>IF($Q3075&lt;&gt;"",IF($Q3075="W",IF(SUM(IF($H3075&gt;$H3077,1,0),IF($I3075&gt;$I3077,1,0),IF($J3075&gt;$J3077,1,0),IF($K3075&gt;$K3077,1,0),IF($L3075&gt;$L3077,1,0))&lt;&gt;3,"Error",""),""),"")</f>
        <v/>
      </c>
      <c r="R3076" s="295" t="str">
        <f>$A3070</f>
        <v/>
      </c>
      <c r="S3076" s="295"/>
      <c r="T3076" s="295"/>
      <c r="U3076" s="295"/>
      <c r="V3076" s="295"/>
      <c r="W3076" s="295"/>
      <c r="X3076" s="219" t="str">
        <f>CONCATENATE("(",$B3069," vs ",$K3069,")")</f>
        <v>(A vs H)</v>
      </c>
      <c r="Y3076" s="219"/>
      <c r="Z3076" s="295" t="str">
        <f>$J3070</f>
        <v/>
      </c>
      <c r="AA3076" s="295"/>
      <c r="AB3076" s="295"/>
      <c r="AC3076" s="295"/>
      <c r="AD3076" s="295"/>
      <c r="AE3076" s="295"/>
      <c r="AF3076"/>
    </row>
    <row r="3077" spans="1:32" ht="12.75" customHeight="1" x14ac:dyDescent="0.25">
      <c r="A3077" s="259" t="str">
        <f>K3069</f>
        <v>H</v>
      </c>
      <c r="B3077" s="236" t="str">
        <f ca="1">IF(AND(OFFSET($AO$1,$L3069-1,8,1,1),$A3070&lt;&gt;"",$J3070&lt;&gt;""),CHOOSE($L3069,$AO$1,$AO$2,$AO$3,$AO$4,$AO$5,$AO$6,$AO$7,$AO$8,$AO$9,$AO$10,$AO$11,$AO$12),"")</f>
        <v/>
      </c>
      <c r="C3077" s="237"/>
      <c r="D3077" s="237"/>
      <c r="E3077" s="237"/>
      <c r="F3077" s="237"/>
      <c r="G3077" s="237"/>
      <c r="H3077" s="233"/>
      <c r="I3077" s="233"/>
      <c r="J3077" s="233"/>
      <c r="K3077" s="233"/>
      <c r="L3077" s="233"/>
      <c r="M3077" s="250" t="s">
        <v>169</v>
      </c>
      <c r="N3077" s="251"/>
      <c r="O3077" s="251"/>
      <c r="P3077" s="252"/>
      <c r="Q3077" s="40" t="str">
        <f>IF($Q3075&lt;&gt;"",IF($Q3075="W","L","W"),"")</f>
        <v/>
      </c>
      <c r="R3077"/>
      <c r="S3077"/>
      <c r="T3077"/>
      <c r="U3077"/>
      <c r="V3077"/>
      <c r="W3077"/>
      <c r="X3077"/>
      <c r="Y3077"/>
      <c r="Z3077"/>
      <c r="AA3077"/>
      <c r="AB3077"/>
      <c r="AC3077"/>
      <c r="AD3077"/>
      <c r="AE3077"/>
      <c r="AF3077"/>
    </row>
    <row r="3078" spans="1:32" ht="12.75" customHeight="1" x14ac:dyDescent="0.25">
      <c r="A3078" s="260"/>
      <c r="B3078" s="238"/>
      <c r="C3078" s="239"/>
      <c r="D3078" s="239"/>
      <c r="E3078" s="239"/>
      <c r="F3078" s="239"/>
      <c r="G3078" s="239"/>
      <c r="H3078" s="234"/>
      <c r="I3078" s="234"/>
      <c r="J3078" s="235"/>
      <c r="K3078" s="235"/>
      <c r="L3078" s="235"/>
      <c r="M3078" s="250"/>
      <c r="N3078" s="251"/>
      <c r="O3078" s="251"/>
      <c r="P3078" s="252"/>
      <c r="Q3078" s="110" t="str">
        <f>IF($Q3077&lt;&gt;"",IF($Q3077="W",IF(SUM(IF($H3077&gt;$H3075,1,0),IF($I3077&gt;$I3075,1,0),IF($J3077&gt;$J3075,1,0),IF($K3077&gt;$K3075,1,0),IF($L3077&gt;$L3075,1,0))&lt;&gt;3,"Error",""),""),"")</f>
        <v/>
      </c>
      <c r="R3078" t="str">
        <f>$A3080</f>
        <v>2nd Singles</v>
      </c>
      <c r="S3078"/>
      <c r="T3078"/>
      <c r="U3078"/>
      <c r="V3078"/>
      <c r="W3078"/>
      <c r="X3078"/>
      <c r="Y3078"/>
      <c r="Z3078"/>
      <c r="AA3078"/>
      <c r="AB3078"/>
      <c r="AC3078"/>
      <c r="AD3078"/>
      <c r="AE3078"/>
      <c r="AF3078"/>
    </row>
    <row r="3079" spans="1:32" ht="12.75" customHeight="1" x14ac:dyDescent="0.25">
      <c r="Q3079" s="6"/>
      <c r="R3079" s="47" t="s">
        <v>160</v>
      </c>
      <c r="S3079" s="304" t="s">
        <v>58</v>
      </c>
      <c r="T3079" s="305"/>
      <c r="U3079" s="305"/>
      <c r="V3079" s="305"/>
      <c r="W3079" s="305"/>
      <c r="X3079" s="306"/>
      <c r="Y3079" s="47">
        <v>1</v>
      </c>
      <c r="Z3079" s="47">
        <v>2</v>
      </c>
      <c r="AA3079" s="47">
        <v>3</v>
      </c>
      <c r="AB3079" s="47">
        <v>4</v>
      </c>
      <c r="AC3079" s="47">
        <v>5</v>
      </c>
      <c r="AD3079" s="286"/>
      <c r="AE3079" s="287"/>
      <c r="AF3079" s="288"/>
    </row>
    <row r="3080" spans="1:32" ht="12.75" customHeight="1" x14ac:dyDescent="0.25">
      <c r="A3080" s="15" t="s">
        <v>166</v>
      </c>
      <c r="H3080" s="110" t="str">
        <f>IF($Q3082&lt;&gt;"",IF(AND(AND($H3082&gt;-1,$H3084&gt;-1),OR($H3082&gt;10,$H3084&gt;10),ABS($H3082-$H3084)&gt;1,IF(OR($H3082&gt;11,$H3084&gt;11),ABS($H3082-$H3084)=2,TRUE),$H3082=INT($H3082),$H3084=INT($H3084)),"","Error"),"")</f>
        <v/>
      </c>
      <c r="I3080" s="110" t="str">
        <f>IF($Q3082&lt;&gt;"",IF(AND(AND($I3082&gt;-1,$I3084&gt;-1),OR($I3082&gt;10,$I3084&gt;10),ABS($I3082-$I3084)&gt;1,IF(OR($I3082&gt;11,$I3084&gt;11),ABS($I3082-$I3084)=2,TRUE),$I3082=INT($I3082),$I3084=INT($I3084)),"","Error"),"")</f>
        <v/>
      </c>
      <c r="J3080" s="110" t="str">
        <f>IF($Q3082&lt;&gt;"",IF(AND(AND($J3082&gt;-1,$J3084&gt;-1),OR($J3082&gt;10,$J3084&gt;10),ABS($J3082-$J3084)&gt;1,IF(OR($J3082&gt;11,$J3084&gt;11),ABS($J3082-$J3084)=2,TRUE),$J3082=INT($J3082),$J3084=INT($J3084)),"","Error"),"")</f>
        <v/>
      </c>
      <c r="K3080" s="110" t="str">
        <f>IF($Q3082&lt;&gt;"",IF(AND($K3082&lt;&gt;"",$K3084&lt;&gt;""), IF(AND(AND($K3082&gt;-1,$K3084&gt;-1),OR($K3082&gt;10,$K3084&gt;10),ABS($K3082-$K3084)&gt;1,IF(OR($K3082&gt;11,$K3084&gt;11),ABS($K3082-$K3084)=2,TRUE),$K3082=INT($K3082),$K3084=INT($K3084)),"","Error"),""),"")</f>
        <v/>
      </c>
      <c r="L3080" s="110" t="str">
        <f>IF($Q3082&lt;&gt;"",IF(AND($L3082&lt;&gt;"",$L3084&lt;&gt;""), IF(AND(AND($L3082&gt;-1,$L3084&gt;-1),OR($L3082&gt;10,$L3084&gt;10),ABS($L3082-$L3084)&gt;1,IF(OR($L3082&gt;11,$L3084&gt;11),ABS($L3082-$L3084)=2,TRUE),$L3082=INT($L3082),$L3084=INT($L3084)),"","Error"),""),"")</f>
        <v/>
      </c>
      <c r="Q3080" s="6"/>
      <c r="R3080" s="259" t="str">
        <f>$B3069</f>
        <v>A</v>
      </c>
      <c r="S3080" s="307" t="str">
        <f ca="1">IF($B3082&lt;&gt;"",$B3082,"")</f>
        <v/>
      </c>
      <c r="T3080" s="308"/>
      <c r="U3080" s="308"/>
      <c r="V3080" s="308"/>
      <c r="W3080" s="308"/>
      <c r="X3080" s="309"/>
      <c r="Y3080" s="284"/>
      <c r="Z3080" s="284"/>
      <c r="AA3080" s="284"/>
      <c r="AB3080" s="284"/>
      <c r="AC3080" s="284"/>
      <c r="AD3080" s="296"/>
      <c r="AE3080" s="290"/>
      <c r="AF3080" s="291"/>
    </row>
    <row r="3081" spans="1:32" ht="12.75" customHeight="1" x14ac:dyDescent="0.25">
      <c r="A3081" s="5" t="s">
        <v>160</v>
      </c>
      <c r="B3081" s="256" t="s">
        <v>58</v>
      </c>
      <c r="C3081" s="257"/>
      <c r="D3081" s="257"/>
      <c r="E3081" s="257"/>
      <c r="F3081" s="257"/>
      <c r="G3081" s="258"/>
      <c r="H3081" s="5">
        <v>1</v>
      </c>
      <c r="I3081" s="5">
        <v>2</v>
      </c>
      <c r="J3081" s="5">
        <v>3</v>
      </c>
      <c r="K3081" s="5">
        <v>4</v>
      </c>
      <c r="L3081" s="5">
        <v>5</v>
      </c>
      <c r="M3081" s="270"/>
      <c r="N3081" s="271"/>
      <c r="O3081" s="271"/>
      <c r="P3081" s="272"/>
      <c r="Q3081" s="6"/>
      <c r="R3081" s="285"/>
      <c r="S3081" s="310"/>
      <c r="T3081" s="311"/>
      <c r="U3081" s="311"/>
      <c r="V3081" s="311"/>
      <c r="W3081" s="311"/>
      <c r="X3081" s="312"/>
      <c r="Y3081" s="285"/>
      <c r="Z3081" s="285"/>
      <c r="AA3081" s="285"/>
      <c r="AB3081" s="285"/>
      <c r="AC3081" s="285"/>
      <c r="AD3081" s="292"/>
      <c r="AE3081" s="293"/>
      <c r="AF3081" s="294"/>
    </row>
    <row r="3082" spans="1:32" ht="12.75" customHeight="1" x14ac:dyDescent="0.25">
      <c r="A3082" s="259" t="str">
        <f>B3069</f>
        <v>A</v>
      </c>
      <c r="B3082" s="236" t="str">
        <f ca="1">IF(AND(OFFSET($AO$1,$C3069-1,8,1,1),$A3070&lt;&gt;"",$J3070&lt;&gt;""),CHOOSE($C3069,$AP$1,$AP$2,$AP$3,$AP$4,$AP$5,$AP$6,$AP$7,$AP$8,$AP$9,$AP$10,$AP$11,$AP$12),"")</f>
        <v/>
      </c>
      <c r="C3082" s="237"/>
      <c r="D3082" s="237"/>
      <c r="E3082" s="237"/>
      <c r="F3082" s="237"/>
      <c r="G3082" s="237"/>
      <c r="H3082" s="233"/>
      <c r="I3082" s="233"/>
      <c r="J3082" s="233"/>
      <c r="K3082" s="233"/>
      <c r="L3082" s="233"/>
      <c r="M3082" s="245" t="str">
        <f ca="1">IF(OR(AND($B3075&lt;&gt;"",$B3082&lt;&gt;"",$C3100&lt;=$B3100),AND($B3077&lt;&gt;"",$B3084&lt;&gt;"",$G3100&lt;=$F3100)),"Invalid Lineup","")</f>
        <v/>
      </c>
      <c r="N3082" s="246"/>
      <c r="O3082" s="246"/>
      <c r="P3082" s="247"/>
      <c r="Q3082" s="40" t="str">
        <f>IF($L3082=$L3084,IF($K3082=$K3084,IF($J3082&lt;&gt;"",IF($J3082&gt;$J3084,"W","L"),""),IF($K3082&gt;$K3084,"W","L")),IF($L3082&gt;$L3084,"W","L"))</f>
        <v/>
      </c>
      <c r="R3082" s="259" t="str">
        <f>$K3069</f>
        <v>H</v>
      </c>
      <c r="S3082" s="307" t="str">
        <f ca="1">IF($B3084&lt;&gt;"",$B3084,"")</f>
        <v/>
      </c>
      <c r="T3082" s="308"/>
      <c r="U3082" s="308"/>
      <c r="V3082" s="308"/>
      <c r="W3082" s="308"/>
      <c r="X3082" s="309"/>
      <c r="Y3082" s="284"/>
      <c r="Z3082" s="284"/>
      <c r="AA3082" s="284"/>
      <c r="AB3082" s="284"/>
      <c r="AC3082" s="297"/>
      <c r="AD3082" s="289" t="s">
        <v>169</v>
      </c>
      <c r="AE3082" s="290"/>
      <c r="AF3082" s="291"/>
    </row>
    <row r="3083" spans="1:32" ht="12.75" customHeight="1" x14ac:dyDescent="0.25">
      <c r="A3083" s="260"/>
      <c r="B3083" s="238"/>
      <c r="C3083" s="239"/>
      <c r="D3083" s="239"/>
      <c r="E3083" s="239"/>
      <c r="F3083" s="239"/>
      <c r="G3083" s="239"/>
      <c r="H3083" s="234"/>
      <c r="I3083" s="234"/>
      <c r="J3083" s="234"/>
      <c r="K3083" s="234"/>
      <c r="L3083" s="234"/>
      <c r="M3083" s="245"/>
      <c r="N3083" s="246"/>
      <c r="O3083" s="246"/>
      <c r="P3083" s="247"/>
      <c r="Q3083" s="110" t="str">
        <f>IF($Q3082&lt;&gt;"",IF($Q3082="W",IF(SUM(IF($H3082&gt;$H3084,1,0),IF($I3082&gt;$I3084,1,0),IF($J3082&gt;$J3084,1,0),IF($K3082&gt;$K3084,1,0),IF($L3082&gt;$L3084,1,0))&lt;&gt;3,"Error",""),""),"")</f>
        <v/>
      </c>
      <c r="R3083" s="285"/>
      <c r="S3083" s="310"/>
      <c r="T3083" s="311"/>
      <c r="U3083" s="311"/>
      <c r="V3083" s="311"/>
      <c r="W3083" s="311"/>
      <c r="X3083" s="312"/>
      <c r="Y3083" s="285"/>
      <c r="Z3083" s="285"/>
      <c r="AA3083" s="285"/>
      <c r="AB3083" s="285"/>
      <c r="AC3083" s="285"/>
      <c r="AD3083" s="292"/>
      <c r="AE3083" s="293"/>
      <c r="AF3083" s="294"/>
    </row>
    <row r="3084" spans="1:32" ht="12.75" customHeight="1" x14ac:dyDescent="0.25">
      <c r="A3084" s="259" t="str">
        <f>K3069</f>
        <v>H</v>
      </c>
      <c r="B3084" s="236" t="str">
        <f ca="1">IF(AND(OFFSET($AO$1,$L3069-1,8,1,1),$A3070&lt;&gt;"",$J3070&lt;&gt;""),CHOOSE($L3069,$AP$1,$AP$2,$AP$3,$AP$4,$AP$5,$AP$6,$AP$7,$AP$8,$AP$9,$AP$10,$AP$11,$AP$12),"")</f>
        <v/>
      </c>
      <c r="C3084" s="237"/>
      <c r="D3084" s="237"/>
      <c r="E3084" s="237"/>
      <c r="F3084" s="237"/>
      <c r="G3084" s="237"/>
      <c r="H3084" s="233"/>
      <c r="I3084" s="233"/>
      <c r="J3084" s="233"/>
      <c r="K3084" s="233"/>
      <c r="L3084" s="233"/>
      <c r="M3084" s="250" t="s">
        <v>169</v>
      </c>
      <c r="N3084" s="251"/>
      <c r="O3084" s="251"/>
      <c r="P3084" s="252"/>
      <c r="Q3084" s="40" t="str">
        <f>IF($Q3082&lt;&gt;"",IF($Q3082="W","L","W"),"")</f>
        <v/>
      </c>
      <c r="R3084" s="14"/>
      <c r="S3084" s="14"/>
      <c r="T3084" s="14"/>
      <c r="U3084" s="14"/>
      <c r="V3084" s="14"/>
      <c r="W3084" s="14"/>
      <c r="X3084" s="7"/>
      <c r="Y3084" s="7"/>
      <c r="Z3084" s="14"/>
      <c r="AA3084" s="14"/>
      <c r="AB3084" s="14"/>
      <c r="AC3084" s="14"/>
      <c r="AD3084" s="14"/>
      <c r="AE3084" s="14"/>
      <c r="AF3084"/>
    </row>
    <row r="3085" spans="1:32" ht="12.75" customHeight="1" x14ac:dyDescent="0.25">
      <c r="A3085" s="260"/>
      <c r="B3085" s="238"/>
      <c r="C3085" s="239"/>
      <c r="D3085" s="239"/>
      <c r="E3085" s="239"/>
      <c r="F3085" s="239"/>
      <c r="G3085" s="239"/>
      <c r="H3085" s="234"/>
      <c r="I3085" s="234"/>
      <c r="J3085" s="235"/>
      <c r="K3085" s="235"/>
      <c r="L3085" s="235"/>
      <c r="M3085" s="250"/>
      <c r="N3085" s="251"/>
      <c r="O3085" s="251"/>
      <c r="P3085" s="252"/>
      <c r="Q3085" s="110" t="str">
        <f>IF($Q3084&lt;&gt;"",IF($Q3084="W",IF(SUM(IF($H3084&gt;$H3082,1,0),IF($I3084&gt;$I3082,1,0),IF($J3084&gt;$J3082,1,0),IF($K3084&gt;$K3082,1,0),IF($L3084&gt;$L3082,1,0))&lt;&gt;3,"Error",""),""),"")</f>
        <v/>
      </c>
      <c r="R3085" s="14"/>
      <c r="S3085" s="14"/>
      <c r="T3085" s="14"/>
      <c r="U3085" s="14"/>
      <c r="V3085" s="14"/>
      <c r="W3085" s="14"/>
      <c r="X3085" s="7"/>
      <c r="Y3085" s="7"/>
      <c r="Z3085" s="14"/>
      <c r="AA3085" s="14"/>
      <c r="AB3085" s="14"/>
      <c r="AC3085" s="14"/>
      <c r="AD3085" s="14"/>
      <c r="AE3085" s="14"/>
      <c r="AF3085"/>
    </row>
    <row r="3086" spans="1:32" ht="12.75" customHeight="1" x14ac:dyDescent="0.25">
      <c r="Q3086" s="6"/>
      <c r="R3086" s="14"/>
      <c r="S3086" s="14"/>
      <c r="T3086" s="14"/>
      <c r="U3086" s="14"/>
      <c r="V3086" s="14"/>
      <c r="W3086" s="14"/>
      <c r="X3086" s="7"/>
      <c r="Y3086" s="7"/>
      <c r="Z3086" s="14"/>
      <c r="AA3086" s="14"/>
      <c r="AB3086" s="14"/>
      <c r="AC3086" s="14"/>
      <c r="AD3086" s="14"/>
      <c r="AE3086" s="14"/>
      <c r="AF3086"/>
    </row>
    <row r="3087" spans="1:32" ht="12.75" customHeight="1" x14ac:dyDescent="0.25">
      <c r="A3087" s="15" t="s">
        <v>167</v>
      </c>
      <c r="H3087" s="110" t="str">
        <f>IF($Q3089&lt;&gt;"",IF(AND(AND($H3089&gt;-1,$H3091&gt;-1),OR($H3089&gt;10,$H3091&gt;10),ABS($H3089-$H3091)&gt;1,IF(OR($H3089&gt;11,$H3091&gt;11),ABS($H3089-$H3091)=2,TRUE),$H3089=INT($H3089),$H3091=INT($H3091)),"","Error"),"")</f>
        <v/>
      </c>
      <c r="I3087" s="110" t="str">
        <f>IF($Q3089&lt;&gt;"",IF(AND(AND($I3089&gt;-1,$I3091&gt;-1),OR($I3089&gt;10,$I3091&gt;10),ABS($I3089-$I3091)&gt;1,IF(OR($I3089&gt;11,$I3091&gt;11),ABS($I3089-$I3091)=2,TRUE),$I3089=INT($I3089),$I3091=INT($I3091)),"","Error"),"")</f>
        <v/>
      </c>
      <c r="J3087" s="110" t="str">
        <f>IF($Q3089&lt;&gt;"",IF(AND(AND($J3089&gt;-1,$J3091&gt;-1),OR($J3089&gt;10,$J3091&gt;10),ABS($J3089-$J3091)&gt;1,IF(OR($J3089&gt;11,$J3091&gt;11),ABS($J3089-$J3091)=2,TRUE),$J3089=INT($J3089),$J3091=INT($J3091)),"","Error"),"")</f>
        <v/>
      </c>
      <c r="K3087" s="110" t="str">
        <f>IF($Q3089&lt;&gt;"",IF(AND($K3089&lt;&gt;"",$K3091&lt;&gt;""), IF(AND(AND($K3089&gt;-1,$K3091&gt;-1),OR($K3089&gt;10,$K3091&gt;10),ABS($K3089-$K3091)&gt;1,IF(OR($K3089&gt;11,$K3091&gt;11),ABS($K3089-$K3091)=2,TRUE),$K3089=INT($K3089),$K3091=INT($K3091)),"","Error"),""),"")</f>
        <v/>
      </c>
      <c r="L3087" s="110" t="str">
        <f>IF($Q3089&lt;&gt;"",IF(AND($L3089&lt;&gt;"",$L3091&lt;&gt;""), IF(AND(AND($L3089&gt;-1,$L3091&gt;-1),OR($L3089&gt;10,$L3091&gt;10),ABS($L3089-$L3091)&gt;1,IF(OR($L3089&gt;11,$L3091&gt;11),ABS($L3089-$L3091)=2,TRUE),$L3089=INT($L3089),$L3091=INT($L3091)),"","Error"),""),"")</f>
        <v/>
      </c>
      <c r="Q3087" s="6"/>
      <c r="R3087" s="14"/>
      <c r="S3087" s="14"/>
      <c r="T3087" s="14"/>
      <c r="U3087" s="14"/>
      <c r="V3087" s="14"/>
      <c r="W3087" s="14"/>
      <c r="X3087" s="7"/>
      <c r="Y3087" s="7"/>
      <c r="Z3087" s="14"/>
      <c r="AA3087" s="14"/>
      <c r="AB3087" s="14"/>
      <c r="AC3087" s="14"/>
      <c r="AD3087" s="14"/>
      <c r="AE3087" s="14"/>
      <c r="AF3087"/>
    </row>
    <row r="3088" spans="1:32" ht="12.75" customHeight="1" x14ac:dyDescent="0.25">
      <c r="A3088" s="5" t="s">
        <v>160</v>
      </c>
      <c r="B3088" s="256" t="s">
        <v>58</v>
      </c>
      <c r="C3088" s="257"/>
      <c r="D3088" s="257"/>
      <c r="E3088" s="257"/>
      <c r="F3088" s="257"/>
      <c r="G3088" s="258"/>
      <c r="H3088" s="5">
        <v>1</v>
      </c>
      <c r="I3088" s="5">
        <v>2</v>
      </c>
      <c r="J3088" s="5">
        <v>3</v>
      </c>
      <c r="K3088" s="5">
        <v>4</v>
      </c>
      <c r="L3088" s="5">
        <v>5</v>
      </c>
      <c r="M3088" s="270"/>
      <c r="N3088" s="271"/>
      <c r="O3088" s="271"/>
      <c r="P3088" s="272"/>
      <c r="Q3088" s="6"/>
      <c r="R3088" s="14"/>
      <c r="S3088" s="14"/>
      <c r="T3088" s="14"/>
      <c r="U3088" s="14"/>
      <c r="V3088" s="14"/>
      <c r="W3088" s="14"/>
      <c r="X3088" s="7"/>
      <c r="Y3088" s="7"/>
      <c r="Z3088" s="14"/>
      <c r="AA3088" s="14"/>
      <c r="AB3088" s="14"/>
      <c r="AC3088" s="14"/>
      <c r="AD3088" s="14"/>
      <c r="AE3088" s="14"/>
      <c r="AF3088"/>
    </row>
    <row r="3089" spans="1:32" ht="12.75" customHeight="1" x14ac:dyDescent="0.25">
      <c r="A3089" s="259" t="str">
        <f>B3069</f>
        <v>A</v>
      </c>
      <c r="B3089" s="236" t="str">
        <f ca="1">IF(AND(OFFSET($AO$1,$C3069-1,8,1,1),$A3070&lt;&gt;"",$J3070&lt;&gt;""),CHOOSE($C3069,$AQ$1,$AQ$2,$AQ$3,$AQ$4,$AQ$5,$AQ$6,$AQ$7,$AQ$8,$AQ$9,$AQ$10,$AQ$11,$AQ$12),"")</f>
        <v/>
      </c>
      <c r="C3089" s="237"/>
      <c r="D3089" s="237"/>
      <c r="E3089" s="237"/>
      <c r="F3089" s="237"/>
      <c r="G3089" s="237"/>
      <c r="H3089" s="233"/>
      <c r="I3089" s="233"/>
      <c r="J3089" s="233"/>
      <c r="K3089" s="233"/>
      <c r="L3089" s="233"/>
      <c r="M3089" s="245" t="str">
        <f ca="1">IF(OR(AND($B3082&lt;&gt;"",$B3089&lt;&gt;"",$D3100&lt;=$C3100),AND($B3084&lt;&gt;"",$B3091&lt;&gt;"",$H3100&lt;=$G3100)),"Invalid Lineup","")</f>
        <v/>
      </c>
      <c r="N3089" s="246"/>
      <c r="O3089" s="246"/>
      <c r="P3089" s="247"/>
      <c r="Q3089" s="40" t="str">
        <f>IF($L3089=$L3091,IF($K3089=$K3091,IF($J3089&lt;&gt;"",IF($J3089&gt;$J3091,"W","L"),""),IF($K3089&gt;$K3091,"W","L")),IF($L3089&gt;$L3091,"W","L"))</f>
        <v/>
      </c>
      <c r="R3089" s="14"/>
      <c r="S3089" s="14"/>
      <c r="T3089" s="14"/>
      <c r="U3089" s="14"/>
      <c r="V3089" s="14"/>
      <c r="W3089" s="14"/>
      <c r="X3089" s="7"/>
      <c r="Y3089" s="7"/>
      <c r="Z3089" s="14"/>
      <c r="AA3089" s="14"/>
      <c r="AB3089" s="14"/>
      <c r="AC3089" s="14"/>
      <c r="AD3089" s="14"/>
      <c r="AE3089" s="14"/>
      <c r="AF3089"/>
    </row>
    <row r="3090" spans="1:32" ht="12.75" customHeight="1" x14ac:dyDescent="0.25">
      <c r="A3090" s="260"/>
      <c r="B3090" s="238"/>
      <c r="C3090" s="239"/>
      <c r="D3090" s="239"/>
      <c r="E3090" s="239"/>
      <c r="F3090" s="239"/>
      <c r="G3090" s="239"/>
      <c r="H3090" s="234"/>
      <c r="I3090" s="234"/>
      <c r="J3090" s="234"/>
      <c r="K3090" s="234"/>
      <c r="L3090" s="234"/>
      <c r="M3090" s="245"/>
      <c r="N3090" s="246"/>
      <c r="O3090" s="246"/>
      <c r="P3090" s="247"/>
      <c r="Q3090" s="110" t="str">
        <f>IF($Q3089&lt;&gt;"",IF($Q3089="W",IF(SUM(IF($H3089&gt;$H3091,1,0),IF($I3089&gt;$I3091,1,0),IF($J3089&gt;$J3091,1,0),IF($K3089&gt;$K3091,1,0),IF($L3089&gt;$L3091,1,0))&lt;&gt;3,"Error",""),""),"")</f>
        <v/>
      </c>
      <c r="R3090" s="295" t="str">
        <f>$A3070</f>
        <v/>
      </c>
      <c r="S3090" s="295"/>
      <c r="T3090" s="295"/>
      <c r="U3090" s="295"/>
      <c r="V3090" s="295"/>
      <c r="W3090" s="295"/>
      <c r="X3090" s="219" t="str">
        <f>CONCATENATE("(",$B3069," vs ",$K3069,")")</f>
        <v>(A vs H)</v>
      </c>
      <c r="Y3090" s="219"/>
      <c r="Z3090" s="295" t="str">
        <f>$J3070</f>
        <v/>
      </c>
      <c r="AA3090" s="295"/>
      <c r="AB3090" s="295"/>
      <c r="AC3090" s="295"/>
      <c r="AD3090" s="295"/>
      <c r="AE3090" s="295"/>
      <c r="AF3090"/>
    </row>
    <row r="3091" spans="1:32" ht="12.75" customHeight="1" x14ac:dyDescent="0.25">
      <c r="A3091" s="259" t="str">
        <f>K3069</f>
        <v>H</v>
      </c>
      <c r="B3091" s="236" t="str">
        <f ca="1">IF(AND(OFFSET($AO$1,$L3069-1,8,1,1),$A3070&lt;&gt;"",$J3070&lt;&gt;""),CHOOSE($L3069,$AQ$1,$AQ$2,$AQ$3,$AQ$4,$AQ$5,$AQ$6,$AQ$7,$AQ$8,$AQ$9,$AQ$10,$AQ$11,$AQ$12),"")</f>
        <v/>
      </c>
      <c r="C3091" s="237"/>
      <c r="D3091" s="237"/>
      <c r="E3091" s="237"/>
      <c r="F3091" s="237"/>
      <c r="G3091" s="237"/>
      <c r="H3091" s="233"/>
      <c r="I3091" s="233"/>
      <c r="J3091" s="233"/>
      <c r="K3091" s="233"/>
      <c r="L3091" s="233"/>
      <c r="M3091" s="250" t="s">
        <v>169</v>
      </c>
      <c r="N3091" s="251"/>
      <c r="O3091" s="251"/>
      <c r="P3091" s="252"/>
      <c r="Q3091" s="40" t="str">
        <f>IF($Q3089&lt;&gt;"",IF($Q3089="W","L","W"),"")</f>
        <v/>
      </c>
      <c r="R3091"/>
      <c r="S3091"/>
      <c r="T3091"/>
      <c r="U3091"/>
      <c r="V3091"/>
      <c r="W3091"/>
      <c r="X3091"/>
      <c r="Y3091"/>
      <c r="Z3091"/>
      <c r="AA3091"/>
      <c r="AB3091"/>
      <c r="AC3091"/>
      <c r="AD3091"/>
      <c r="AE3091"/>
      <c r="AF3091"/>
    </row>
    <row r="3092" spans="1:32" ht="12.75" customHeight="1" x14ac:dyDescent="0.25">
      <c r="A3092" s="260"/>
      <c r="B3092" s="238"/>
      <c r="C3092" s="239"/>
      <c r="D3092" s="239"/>
      <c r="E3092" s="239"/>
      <c r="F3092" s="239"/>
      <c r="G3092" s="239"/>
      <c r="H3092" s="234"/>
      <c r="I3092" s="234"/>
      <c r="J3092" s="235"/>
      <c r="K3092" s="235"/>
      <c r="L3092" s="235"/>
      <c r="M3092" s="250"/>
      <c r="N3092" s="251"/>
      <c r="O3092" s="251"/>
      <c r="P3092" s="252"/>
      <c r="Q3092" s="110" t="str">
        <f>IF($Q3091&lt;&gt;"",IF($Q3091="W",IF(SUM(IF($H3091&gt;$H3089,1,0),IF($I3091&gt;$I3089,1,0),IF($J3091&gt;$J3089,1,0),IF($K3091&gt;$K3089,1,0),IF($L3091&gt;$L3089,1,0))&lt;&gt;3,"Error",""),""),"")</f>
        <v/>
      </c>
      <c r="R3092" t="str">
        <f>$A3087</f>
        <v>3rd Singles</v>
      </c>
      <c r="S3092"/>
      <c r="T3092"/>
      <c r="U3092"/>
      <c r="V3092"/>
      <c r="W3092"/>
      <c r="X3092"/>
      <c r="Y3092"/>
      <c r="Z3092"/>
      <c r="AA3092"/>
      <c r="AB3092"/>
      <c r="AC3092"/>
      <c r="AD3092"/>
      <c r="AE3092"/>
      <c r="AF3092"/>
    </row>
    <row r="3093" spans="1:32" ht="12.75" customHeight="1" x14ac:dyDescent="0.25">
      <c r="Q3093" s="6"/>
      <c r="R3093" s="47" t="s">
        <v>160</v>
      </c>
      <c r="S3093" s="86" t="s">
        <v>58</v>
      </c>
      <c r="T3093" s="87"/>
      <c r="U3093" s="87"/>
      <c r="V3093" s="87"/>
      <c r="W3093" s="87"/>
      <c r="X3093" s="88"/>
      <c r="Y3093" s="47">
        <v>1</v>
      </c>
      <c r="Z3093" s="47">
        <v>2</v>
      </c>
      <c r="AA3093" s="47">
        <v>3</v>
      </c>
      <c r="AB3093" s="47">
        <v>4</v>
      </c>
      <c r="AC3093" s="47">
        <v>5</v>
      </c>
      <c r="AD3093" s="89"/>
      <c r="AE3093" s="90"/>
      <c r="AF3093" s="91"/>
    </row>
    <row r="3094" spans="1:32" ht="12.75" customHeight="1" x14ac:dyDescent="0.25">
      <c r="A3094" s="15" t="s">
        <v>168</v>
      </c>
      <c r="H3094" s="110" t="str">
        <f ca="1">IF($Q3096&lt;&gt;"",IF(AND($B3096&lt;&gt;"Missing Player",$B3098&lt;&gt;"Missing Player"),IF(AND(AND($H3096&gt;-1,$H3098&gt;-1),OR($H3096&gt;10,$H3098&gt;10),ABS($H3096-$H3098)&gt;1,IF(OR($H3096&gt;11,$H3098&gt;11),ABS($H3096-$H3098)=2,TRUE),$H3096=INT($H3096),$H3098=INT($H3098)),"","Error"),""),"")</f>
        <v/>
      </c>
      <c r="I3094" s="110" t="str">
        <f ca="1">IF($Q3096&lt;&gt;"",IF(AND($B3096&lt;&gt;"Missing Player",$B3098&lt;&gt;"Missing Player"),IF(AND(AND($I3096&gt;-1,$I3098&gt;-1),OR($I3096&gt;10,$I3098&gt;10),ABS($I3096-$I3098)&gt;1,IF(OR($I3096&gt;11,$I3098&gt;11),ABS($I3096-$I3098)=2,TRUE),$I3096=INT($I3096),$I3098=INT($I3098)),"","Error"),""),"")</f>
        <v/>
      </c>
      <c r="J3094" s="110" t="str">
        <f ca="1">IF($Q3096&lt;&gt;"",IF(AND($B3096&lt;&gt;"Missing Player",$B3098&lt;&gt;"Missing Player"),IF(AND(AND($J3096&gt;-1,$J3098&gt;-1),OR($J3096&gt;10,$J3098&gt;10),ABS($J3096-$J3098)&gt;1,IF(OR($J3096&gt;11,$J3098&gt;11),ABS($J3096-$J3098)=2,TRUE),$J3096=INT($J3096),$J3098=INT($J3098)),"","Error"),""),"")</f>
        <v/>
      </c>
      <c r="K3094" s="110" t="str">
        <f ca="1">IF($Q3096&lt;&gt;"",IF(AND($K3096&lt;&gt;"",$K3098&lt;&gt;""), IF(AND(AND($K3096&gt;-1,$K3098&gt;-1),OR($K3096&gt;10,$K3098&gt;10),ABS($K3096-$K3098)&gt;1,IF(OR($K3096&gt;11,$K3098&gt;11),ABS($K3096-$K3098)=2,TRUE),$K3096=INT($K3096),$K3098=INT($K3098)),"","Error"),""),"")</f>
        <v/>
      </c>
      <c r="L3094" s="110" t="str">
        <f ca="1">IF($Q3096&lt;&gt;"",IF(AND($L3096&lt;&gt;"",$L3098&lt;&gt;""), IF(AND(AND($L3096&gt;-1,$L3098&gt;-1),OR($L3096&gt;10,$L3098&gt;10),ABS($L3096-$L3098)&gt;1,IF(OR($L3096&gt;11,$L3098&gt;11),ABS($L3096-$L3098)=2,TRUE),$L3096=INT($L3096),$L3098=INT($L3098)),"","Error"),""),"")</f>
        <v/>
      </c>
      <c r="Q3094" s="6"/>
      <c r="R3094" s="259" t="str">
        <f>$B3069</f>
        <v>A</v>
      </c>
      <c r="S3094" s="307" t="str">
        <f ca="1">IF($B3089&lt;&gt;"",$B3089,"")</f>
        <v/>
      </c>
      <c r="T3094" s="308"/>
      <c r="U3094" s="308"/>
      <c r="V3094" s="308"/>
      <c r="W3094" s="308"/>
      <c r="X3094" s="309"/>
      <c r="Y3094" s="284"/>
      <c r="Z3094" s="284"/>
      <c r="AA3094" s="284"/>
      <c r="AB3094" s="284"/>
      <c r="AC3094" s="284"/>
      <c r="AD3094" s="296"/>
      <c r="AE3094" s="290"/>
      <c r="AF3094" s="291"/>
    </row>
    <row r="3095" spans="1:32" ht="12.75" customHeight="1" x14ac:dyDescent="0.25">
      <c r="A3095" s="5" t="s">
        <v>160</v>
      </c>
      <c r="B3095" s="256" t="s">
        <v>58</v>
      </c>
      <c r="C3095" s="257"/>
      <c r="D3095" s="257"/>
      <c r="E3095" s="257"/>
      <c r="F3095" s="257"/>
      <c r="G3095" s="258"/>
      <c r="H3095" s="5">
        <v>1</v>
      </c>
      <c r="I3095" s="5">
        <v>2</v>
      </c>
      <c r="J3095" s="5">
        <v>3</v>
      </c>
      <c r="K3095" s="5">
        <v>4</v>
      </c>
      <c r="L3095" s="5">
        <v>5</v>
      </c>
      <c r="M3095" s="270"/>
      <c r="N3095" s="271"/>
      <c r="O3095" s="271"/>
      <c r="P3095" s="272"/>
      <c r="Q3095" s="6"/>
      <c r="R3095" s="285"/>
      <c r="S3095" s="310"/>
      <c r="T3095" s="311"/>
      <c r="U3095" s="311"/>
      <c r="V3095" s="311"/>
      <c r="W3095" s="311"/>
      <c r="X3095" s="312"/>
      <c r="Y3095" s="285"/>
      <c r="Z3095" s="285"/>
      <c r="AA3095" s="285"/>
      <c r="AB3095" s="285"/>
      <c r="AC3095" s="285"/>
      <c r="AD3095" s="292"/>
      <c r="AE3095" s="293"/>
      <c r="AF3095" s="294"/>
    </row>
    <row r="3096" spans="1:32" ht="12.75" customHeight="1" x14ac:dyDescent="0.25">
      <c r="A3096" s="259" t="str">
        <f>B3069</f>
        <v>A</v>
      </c>
      <c r="B3096" s="236" t="str">
        <f ca="1">IF(AND(OFFSET($AO$1,$C3069-1,8,1,1),$A3070&lt;&gt;"",$J3070&lt;&gt;""),CHOOSE($C3069,$AR$1,$AR$2,$AR$3,$AR$4,$AR$5,$AR$6,$AR$7,$AR$8,$AR$9,$AR$10,$AR$11,$AR$12),"")</f>
        <v/>
      </c>
      <c r="C3096" s="237"/>
      <c r="D3096" s="237"/>
      <c r="E3096" s="237"/>
      <c r="F3096" s="237"/>
      <c r="G3096" s="237"/>
      <c r="H3096" s="233"/>
      <c r="I3096" s="233"/>
      <c r="J3096" s="233"/>
      <c r="K3096" s="233"/>
      <c r="L3096" s="233" t="str">
        <f ca="1">IF(AND($B3096&lt;&gt;"",$Q3075&lt;&gt;""),IF($B3096="Missing Player",0,IF($B3098="Missing Player",11,"")),"")</f>
        <v/>
      </c>
      <c r="M3096" s="245" t="str">
        <f ca="1">IF(OR(AND($B3089&lt;&gt;"",$B3096&lt;&gt;"",$E3100&lt;=$D3100),AND($B3091&lt;&gt;"",$B3098&lt;&gt;"",$I3100&lt;=$H3100)),"Invalid Lineup","")</f>
        <v/>
      </c>
      <c r="N3096" s="246"/>
      <c r="O3096" s="246"/>
      <c r="P3096" s="247"/>
      <c r="Q3096" s="40" t="str">
        <f ca="1">IF($L3096=$L3098,IF($K3096=$K3098,IF($J3096&lt;&gt;"",IF($J3096&gt;$J3098,"W","L"),""),IF($K3096&gt;$K3098,"W","L")),IF($L3096&gt;$L3098,"W","L"))</f>
        <v/>
      </c>
      <c r="R3096" s="259" t="str">
        <f>$K3069</f>
        <v>H</v>
      </c>
      <c r="S3096" s="307" t="str">
        <f ca="1">IF($B3091&lt;&gt;"",$B3091,"")</f>
        <v/>
      </c>
      <c r="T3096" s="308"/>
      <c r="U3096" s="308"/>
      <c r="V3096" s="308"/>
      <c r="W3096" s="308"/>
      <c r="X3096" s="309"/>
      <c r="Y3096" s="284"/>
      <c r="Z3096" s="284"/>
      <c r="AA3096" s="284"/>
      <c r="AB3096" s="284"/>
      <c r="AC3096" s="297"/>
      <c r="AD3096" s="289" t="s">
        <v>169</v>
      </c>
      <c r="AE3096" s="290"/>
      <c r="AF3096" s="291"/>
    </row>
    <row r="3097" spans="1:32" ht="12.75" customHeight="1" x14ac:dyDescent="0.25">
      <c r="A3097" s="260"/>
      <c r="B3097" s="238"/>
      <c r="C3097" s="239"/>
      <c r="D3097" s="239"/>
      <c r="E3097" s="239"/>
      <c r="F3097" s="239"/>
      <c r="G3097" s="239"/>
      <c r="H3097" s="234"/>
      <c r="I3097" s="234"/>
      <c r="J3097" s="234"/>
      <c r="K3097" s="234"/>
      <c r="L3097" s="234"/>
      <c r="M3097" s="245"/>
      <c r="N3097" s="246"/>
      <c r="O3097" s="246"/>
      <c r="P3097" s="247"/>
      <c r="Q3097" s="110" t="str">
        <f ca="1">IF($Q3096&lt;&gt;"",IF($B3098&lt;&gt;"Missing Player",IF($Q3096="W",IF(SUM(IF($H3096&gt;$H3098,1,0),IF($I3096&gt;$I3098,1,0),IF($J3096&gt;$J3098,1,0),IF($K3096&gt;$K3098,1,0),IF($L3096&gt;$L3098,1,0))&lt;&gt;3,"Error",""),""),""),"")</f>
        <v/>
      </c>
      <c r="R3097" s="285"/>
      <c r="S3097" s="310"/>
      <c r="T3097" s="311"/>
      <c r="U3097" s="311"/>
      <c r="V3097" s="311"/>
      <c r="W3097" s="311"/>
      <c r="X3097" s="312"/>
      <c r="Y3097" s="285"/>
      <c r="Z3097" s="285"/>
      <c r="AA3097" s="285"/>
      <c r="AB3097" s="285"/>
      <c r="AC3097" s="285"/>
      <c r="AD3097" s="292"/>
      <c r="AE3097" s="293"/>
      <c r="AF3097" s="294"/>
    </row>
    <row r="3098" spans="1:32" ht="12.75" customHeight="1" x14ac:dyDescent="0.25">
      <c r="A3098" s="259" t="str">
        <f>K3069</f>
        <v>H</v>
      </c>
      <c r="B3098" s="236" t="str">
        <f ca="1">IF(AND(OFFSET($AO$1,$L3069-1,8,1,1),$A3070&lt;&gt;"",$J3070&lt;&gt;""),CHOOSE($L3069,$AR$1,$AR$2,$AR$3,$AR$4,$AR$5,$AR$6,$AR$7,$AR$8,$AR$9,$AR$10,$AR$11,$AR$12),"")</f>
        <v/>
      </c>
      <c r="C3098" s="237"/>
      <c r="D3098" s="237"/>
      <c r="E3098" s="237"/>
      <c r="F3098" s="237"/>
      <c r="G3098" s="237"/>
      <c r="H3098" s="233"/>
      <c r="I3098" s="233"/>
      <c r="J3098" s="233"/>
      <c r="K3098" s="233"/>
      <c r="L3098" s="233" t="str">
        <f ca="1">IF(AND($B3098&lt;&gt;"",$Q3075&lt;&gt;""),IF($B3098="Missing Player",0,IF($B3096="Missing Player",11,"")),"")</f>
        <v/>
      </c>
      <c r="M3098" s="250" t="s">
        <v>169</v>
      </c>
      <c r="N3098" s="251"/>
      <c r="O3098" s="251"/>
      <c r="P3098" s="252"/>
      <c r="Q3098" s="40" t="str">
        <f ca="1">IF($Q3096&lt;&gt;"",IF($Q3096="W","L","W"),"")</f>
        <v/>
      </c>
      <c r="R3098" s="94"/>
      <c r="S3098" s="84"/>
      <c r="T3098" s="84"/>
      <c r="U3098" s="84"/>
      <c r="V3098" s="84"/>
      <c r="W3098" s="84"/>
      <c r="X3098" s="84"/>
      <c r="Y3098" s="93"/>
      <c r="Z3098" s="93"/>
      <c r="AA3098" s="93"/>
      <c r="AB3098" s="93"/>
      <c r="AC3098" s="93"/>
      <c r="AD3098" s="92"/>
      <c r="AE3098" s="93"/>
      <c r="AF3098" s="93"/>
    </row>
    <row r="3099" spans="1:32" ht="12.75" customHeight="1" x14ac:dyDescent="0.25">
      <c r="A3099" s="260"/>
      <c r="B3099" s="238"/>
      <c r="C3099" s="239"/>
      <c r="D3099" s="239"/>
      <c r="E3099" s="239"/>
      <c r="F3099" s="239"/>
      <c r="G3099" s="239"/>
      <c r="H3099" s="234"/>
      <c r="I3099" s="234"/>
      <c r="J3099" s="235"/>
      <c r="K3099" s="235"/>
      <c r="L3099" s="235"/>
      <c r="M3099" s="250"/>
      <c r="N3099" s="251"/>
      <c r="O3099" s="251"/>
      <c r="P3099" s="252"/>
      <c r="Q3099" s="110" t="str">
        <f ca="1">IF($Q3098&lt;&gt;"",IF($B3096&lt;&gt;"Missing Player",IF($Q3098="W",IF(SUM(IF($H3098&gt;$H3096,1,0),IF($I3098&gt;$I3096,1,0),IF($J3098&gt;$J3096,1,0),IF($K3098&gt;$K3096,1,0),IF($L3098&gt;$L3096,1,0))&lt;&gt;3,"Error",""),""),""),"")</f>
        <v/>
      </c>
      <c r="R3099" s="85"/>
      <c r="S3099" s="95"/>
      <c r="T3099" s="95"/>
      <c r="U3099" s="95"/>
      <c r="V3099" s="95"/>
      <c r="W3099" s="95"/>
      <c r="X3099" s="95"/>
      <c r="Y3099" s="85"/>
      <c r="Z3099" s="85"/>
      <c r="AA3099" s="85"/>
      <c r="AB3099" s="85"/>
      <c r="AC3099" s="85"/>
      <c r="AD3099" s="85"/>
      <c r="AE3099" s="85"/>
      <c r="AF3099" s="85"/>
    </row>
    <row r="3100" spans="1:32" ht="12.75" customHeight="1" x14ac:dyDescent="0.25">
      <c r="B3100" s="111" t="str">
        <f ca="1">IF(ISERROR(VLOOKUP($B3075&amp;"("&amp;$B3069&amp;")",Players!$S$4:$T$132,2,FALSE)),"",VLOOKUP($B3075&amp;"("&amp;$B3069&amp;")",Players!$S$4:$T$132,2,FALSE))</f>
        <v>A1</v>
      </c>
      <c r="C3100" s="111" t="str">
        <f ca="1">IF(ISERROR(VLOOKUP($B3082&amp;"("&amp;$B3069&amp;")",Players!$S$4:$T$132,2,FALSE)),"",VLOOKUP($B3082&amp;"("&amp;$B3069&amp;")",Players!$S$4:$T$132,2,FALSE))</f>
        <v>A1</v>
      </c>
      <c r="D3100" s="111" t="str">
        <f ca="1">IF(ISERROR(VLOOKUP($B3089&amp;"("&amp;$B3069&amp;")",Players!$S$4:$T$132,2,FALSE)),"",VLOOKUP($B3089&amp;"("&amp;$B3069&amp;")",Players!$S$4:$T$132,2,FALSE))</f>
        <v>A1</v>
      </c>
      <c r="E3100" s="111" t="str">
        <f ca="1">IF(ISERROR(VLOOKUP($B3096&amp;"("&amp;$B3069&amp;")",Players!$S$4:$T$132,2,FALSE)),"",VLOOKUP($B3096&amp;"("&amp;$B3069&amp;")",Players!$S$4:$T$132,2,FALSE))</f>
        <v>A1</v>
      </c>
      <c r="F3100" s="111" t="str">
        <f ca="1">IF(ISERROR(VLOOKUP($B3077&amp;"("&amp;$K3069&amp;")",Players!$S$4:$T$132,2,FALSE)),"",VLOOKUP($B3077&amp;"("&amp;$K3069&amp;")",Players!$S$4:$T$132,2,FALSE))</f>
        <v>H1</v>
      </c>
      <c r="G3100" s="111" t="str">
        <f ca="1">IF(ISERROR(VLOOKUP($B3084&amp;"("&amp;$K3069&amp;")",Players!$S$4:$T$132,2,FALSE)),"",VLOOKUP($B3084&amp;"("&amp;$K3069&amp;")",Players!$S$4:$T$132,2,FALSE))</f>
        <v>H1</v>
      </c>
      <c r="H3100" s="111" t="str">
        <f ca="1">IF(ISERROR(VLOOKUP($B3091&amp;"("&amp;$K3069&amp;")",Players!$S$4:$T$132,2,FALSE)),"",VLOOKUP($B3091&amp;"("&amp;$K3069&amp;")",Players!$S$4:$T$132,2,FALSE))</f>
        <v>H1</v>
      </c>
      <c r="I3100" s="111" t="str">
        <f ca="1">IF(ISERROR(VLOOKUP($B3098&amp;"("&amp;$K3069&amp;")",Players!$S$4:$T$132,2,FALSE)),"",VLOOKUP($B3098&amp;"("&amp;$K3069&amp;")",Players!$S$4:$T$132,2,FALSE))</f>
        <v>H1</v>
      </c>
      <c r="Q3100" s="6"/>
      <c r="R3100" s="37"/>
      <c r="S3100" s="95"/>
      <c r="T3100" s="95"/>
      <c r="U3100" s="95"/>
      <c r="V3100" s="95"/>
      <c r="W3100" s="95"/>
      <c r="X3100" s="95"/>
      <c r="Y3100" s="85"/>
      <c r="Z3100" s="85"/>
      <c r="AA3100" s="85"/>
      <c r="AB3100" s="85"/>
      <c r="AC3100" s="96"/>
      <c r="AD3100" s="97"/>
      <c r="AE3100" s="85"/>
      <c r="AF3100" s="85"/>
    </row>
    <row r="3101" spans="1:32" ht="12.75" customHeight="1" x14ac:dyDescent="0.25">
      <c r="A3101" s="15" t="s">
        <v>157</v>
      </c>
      <c r="H3101" s="110" t="str">
        <f ca="1">IF($Q3103&lt;&gt;"",IF(AND($B3104&lt;&gt;"Missing Player",$B3106&lt;&gt;"Missing Player"),IF(AND(AND($H3103&gt;-1,$H3105&gt;-1),OR($H3103&gt;10,$H3105&gt;10),ABS($H3103-$H3105)&gt;1,IF(OR($H3103&gt;11,$H3105&gt;11),ABS($H3103-$H3105)=2,TRUE),$H3103=INT($H3103),$H3105=INT($H3105)),"","Error"),""),"")</f>
        <v/>
      </c>
      <c r="I3101" s="110" t="str">
        <f ca="1">IF($Q3103&lt;&gt;"",IF(AND($B3104&lt;&gt;"Missing Player",$B3106&lt;&gt;"Missing Player"),IF(AND(AND($I3103&gt;-1,$I3105&gt;-1),OR($I3103&gt;10,$I3105&gt;10),ABS($I3103-$I3105)&gt;1,IF(OR($I3103&gt;11,$I3105&gt;11),ABS($I3103-$I3105)=2,TRUE),$I3103=INT($I3103),$I3105=INT($I3105)),"","Error"),""),"")</f>
        <v/>
      </c>
      <c r="J3101" s="110" t="str">
        <f ca="1">IF($Q3103&lt;&gt;"",IF(AND($B3104&lt;&gt;"Missing Player",$B3106&lt;&gt;"Missing Player"),IF(AND(AND($J3103&gt;-1,$J3105&gt;-1),OR($J3103&gt;10,$J3105&gt;10),ABS($J3103-$J3105)&gt;1,IF(OR($J3103&gt;11,$J3105&gt;11),ABS($J3103-$J3105)=2,TRUE),$J3103=INT($J3103),$J3105=INT($J3105)),"","Error"),""),"")</f>
        <v/>
      </c>
      <c r="K3101" s="110" t="str">
        <f ca="1">IF($Q3103&lt;&gt;"",IF(AND($K3103&lt;&gt;"",$K3105&lt;&gt;""), IF(AND(AND($K3103&gt;-1,$K3105&gt;-1),OR($K3103&gt;10,$K3105&gt;10),ABS($K3103-$K3105)&gt;1,IF(OR($K3103&gt;11,$K3105&gt;11),ABS($K3103-$K3105)=2,TRUE),$K3103=INT($K3103),$K3105=INT($K3105)),"","Error"),""),"")</f>
        <v/>
      </c>
      <c r="L3101" s="110" t="str">
        <f ca="1">IF($Q3103&lt;&gt;"",IF(AND($L3103&lt;&gt;"",$L3105&lt;&gt;""), IF(AND(AND($L3103&gt;-1,$L3105&gt;-1),OR($L3103&gt;10,$L3105&gt;10),ABS($L3103-$L3105)&gt;1,IF(OR($L3103&gt;11,$L3105&gt;11),ABS($L3103-$L3105)=2,TRUE),$L3103=INT($L3103),$L3105=INT($L3105)),"","Error"),""),"")</f>
        <v/>
      </c>
      <c r="Q3101" s="6"/>
      <c r="R3101" s="85"/>
      <c r="S3101" s="95"/>
      <c r="T3101" s="95"/>
      <c r="U3101" s="95"/>
      <c r="V3101" s="95"/>
      <c r="W3101" s="95"/>
      <c r="X3101" s="95"/>
      <c r="Y3101" s="85"/>
      <c r="Z3101" s="85"/>
      <c r="AA3101" s="85"/>
      <c r="AB3101" s="85"/>
      <c r="AC3101" s="85"/>
      <c r="AD3101" s="85"/>
      <c r="AE3101" s="85"/>
      <c r="AF3101" s="85"/>
    </row>
    <row r="3102" spans="1:32" ht="12.75" customHeight="1" x14ac:dyDescent="0.25">
      <c r="A3102" s="5" t="s">
        <v>160</v>
      </c>
      <c r="B3102" s="256" t="s">
        <v>58</v>
      </c>
      <c r="C3102" s="257"/>
      <c r="D3102" s="257"/>
      <c r="E3102" s="257"/>
      <c r="F3102" s="257"/>
      <c r="G3102" s="258"/>
      <c r="H3102" s="5">
        <v>1</v>
      </c>
      <c r="I3102" s="5">
        <v>2</v>
      </c>
      <c r="J3102" s="5">
        <v>3</v>
      </c>
      <c r="K3102" s="5">
        <v>4</v>
      </c>
      <c r="L3102" s="5">
        <v>5</v>
      </c>
      <c r="M3102" s="270"/>
      <c r="N3102" s="271"/>
      <c r="O3102" s="271"/>
      <c r="P3102" s="272"/>
      <c r="Q3102" s="6"/>
      <c r="T3102" s="7"/>
    </row>
    <row r="3103" spans="1:32" ht="12.75" customHeight="1" x14ac:dyDescent="0.25">
      <c r="A3103" s="259" t="str">
        <f>B3069</f>
        <v>A</v>
      </c>
      <c r="B3103" s="230" t="str">
        <f ca="1">IF($B3075&lt;&gt;"",$B3075,"")</f>
        <v/>
      </c>
      <c r="C3103" s="231"/>
      <c r="D3103" s="231"/>
      <c r="E3103" s="231"/>
      <c r="F3103" s="231"/>
      <c r="G3103" s="232"/>
      <c r="H3103" s="233"/>
      <c r="I3103" s="233"/>
      <c r="J3103" s="233"/>
      <c r="K3103" s="233"/>
      <c r="L3103" s="233" t="str">
        <f ca="1">IF($B3096&lt;&gt;"",IF(AND($B3096="Missing Player",$G3107=2,$J3107=2),0,IF(AND($B3098="Missing Player",$G3107=2,$J3107=2),11,"")),"")</f>
        <v/>
      </c>
      <c r="M3103" s="245" t="str">
        <f ca="1">IF(OR(AND($B3103&lt;&gt;"",$B3104&lt;&gt;"",$B3103=$B3104),AND($B3105&lt;&gt;"",$B3106&lt;&gt;"",$B3105=$B3106)),"Invalid Partner","")</f>
        <v/>
      </c>
      <c r="N3103" s="246"/>
      <c r="O3103" s="246"/>
      <c r="P3103" s="247"/>
      <c r="Q3103" s="37" t="str">
        <f ca="1">IF(L3103=L3105,IF(K3103=K3105,IF(J3103&lt;&gt;"",IF(J3103&gt;J3105,"W","L"),""),IF(K3103&gt;K3105,"W","L")),IF(L3103&gt;L3105,"W","L"))</f>
        <v/>
      </c>
      <c r="T3103" s="7"/>
    </row>
    <row r="3104" spans="1:32" ht="12.75" customHeight="1" x14ac:dyDescent="0.25">
      <c r="A3104" s="260"/>
      <c r="B3104" s="266" t="str">
        <f ca="1">IF($B3096="Missing Player",$B3096,"")</f>
        <v/>
      </c>
      <c r="C3104" s="267"/>
      <c r="D3104" s="267"/>
      <c r="E3104" s="267"/>
      <c r="F3104" s="267"/>
      <c r="G3104" s="268"/>
      <c r="H3104" s="234"/>
      <c r="I3104" s="234"/>
      <c r="J3104" s="234"/>
      <c r="K3104" s="234"/>
      <c r="L3104" s="234"/>
      <c r="M3104" s="245"/>
      <c r="N3104" s="246"/>
      <c r="O3104" s="246"/>
      <c r="P3104" s="247"/>
      <c r="Q3104" s="110" t="str">
        <f ca="1">IF($Q3103&lt;&gt;"",IF($B3106&lt;&gt;"Missing Player",IF($Q3103="W",IF(SUM(IF($H3103&gt;$H3105,1,0),IF($I3103&gt;$I3105,1,0),IF($J3103&gt;$J3105,1,0),IF($K3103&gt;$K3105,1,0),IF($L3103&gt;$L3105,1,0))&lt;&gt;3,"Error",""),""),""),"")</f>
        <v/>
      </c>
      <c r="R3104" s="295" t="str">
        <f>$A3070</f>
        <v/>
      </c>
      <c r="S3104" s="295"/>
      <c r="T3104" s="295"/>
      <c r="U3104" s="295"/>
      <c r="V3104" s="295"/>
      <c r="W3104" s="295"/>
      <c r="X3104" s="219" t="str">
        <f>CONCATENATE("(",$B3069," vs ",$K3069,")")</f>
        <v>(A vs H)</v>
      </c>
      <c r="Y3104" s="219"/>
      <c r="Z3104" s="295" t="str">
        <f>$J3070</f>
        <v/>
      </c>
      <c r="AA3104" s="295"/>
      <c r="AB3104" s="295"/>
      <c r="AC3104" s="295"/>
      <c r="AD3104" s="295"/>
      <c r="AE3104" s="295"/>
      <c r="AF3104"/>
    </row>
    <row r="3105" spans="1:32" ht="12.75" customHeight="1" x14ac:dyDescent="0.25">
      <c r="A3105" s="265" t="str">
        <f>K3069</f>
        <v>H</v>
      </c>
      <c r="B3105" s="230" t="str">
        <f ca="1">IF($B3077&lt;&gt;"",$B3077,"")</f>
        <v/>
      </c>
      <c r="C3105" s="231"/>
      <c r="D3105" s="231"/>
      <c r="E3105" s="231"/>
      <c r="F3105" s="231"/>
      <c r="G3105" s="232"/>
      <c r="H3105" s="233"/>
      <c r="I3105" s="233"/>
      <c r="J3105" s="233"/>
      <c r="K3105" s="233"/>
      <c r="L3105" s="233" t="str">
        <f ca="1">IF($B3098&lt;&gt;"",IF(AND($B3098="Missing Player",$G3107=2,$J3107=2),0,IF(AND($B3096="Missing Player",$G3107=2,$J3107=2),11,"")),"")</f>
        <v/>
      </c>
      <c r="M3105" s="250" t="s">
        <v>169</v>
      </c>
      <c r="N3105" s="251"/>
      <c r="O3105" s="251"/>
      <c r="P3105" s="252"/>
      <c r="Q3105" s="37" t="str">
        <f ca="1">IF(Q3103&lt;&gt;"",IF(Q3103="W","L","W"),"")</f>
        <v/>
      </c>
      <c r="R3105"/>
      <c r="S3105"/>
      <c r="T3105"/>
      <c r="U3105"/>
      <c r="V3105"/>
      <c r="W3105"/>
      <c r="X3105"/>
      <c r="Y3105"/>
      <c r="Z3105"/>
      <c r="AA3105"/>
      <c r="AB3105"/>
      <c r="AC3105"/>
      <c r="AD3105"/>
      <c r="AE3105"/>
      <c r="AF3105"/>
    </row>
    <row r="3106" spans="1:32" ht="12.75" customHeight="1" x14ac:dyDescent="0.25">
      <c r="A3106" s="260"/>
      <c r="B3106" s="266" t="str">
        <f ca="1">IF($B3098="Missing Player",$B3098,"")</f>
        <v/>
      </c>
      <c r="C3106" s="267"/>
      <c r="D3106" s="267"/>
      <c r="E3106" s="267"/>
      <c r="F3106" s="267"/>
      <c r="G3106" s="268"/>
      <c r="H3106" s="234"/>
      <c r="I3106" s="234"/>
      <c r="J3106" s="235"/>
      <c r="K3106" s="235"/>
      <c r="L3106" s="235"/>
      <c r="M3106" s="250"/>
      <c r="N3106" s="251"/>
      <c r="O3106" s="251"/>
      <c r="P3106" s="252"/>
      <c r="Q3106" s="110" t="str">
        <f ca="1">IF($Q3105&lt;&gt;"",IF($B3104&lt;&gt;"Missing Player",IF($Q3105="W",IF(SUM(IF($H3105&gt;$H3103,1,0),IF($I3105&gt;$I3103,1,0),IF($J3105&gt;$J3103,1,0),IF($K3105&gt;$K3103,1,0),IF($L3105&gt;$L3103,1,0))&lt;&gt;3,"Error",""),""),""),"")</f>
        <v/>
      </c>
      <c r="R3106" t="str">
        <f>A3094</f>
        <v>4th Singles</v>
      </c>
      <c r="S3106"/>
      <c r="T3106"/>
      <c r="U3106"/>
      <c r="V3106"/>
      <c r="W3106"/>
      <c r="X3106"/>
      <c r="Y3106"/>
      <c r="Z3106"/>
      <c r="AA3106"/>
      <c r="AB3106"/>
      <c r="AC3106"/>
      <c r="AD3106"/>
      <c r="AE3106"/>
      <c r="AF3106"/>
    </row>
    <row r="3107" spans="1:32" ht="12.75" customHeight="1" x14ac:dyDescent="0.25">
      <c r="G3107" s="53">
        <f ca="1">COUNTIF($Q3075:$Q3075,"W")+COUNTIF($Q3082:$Q3082,"W")+COUNTIF($Q3089:$Q3089,"W")+COUNTIF($Q3096:$Q3096,"W")</f>
        <v>0</v>
      </c>
      <c r="J3107" s="53">
        <f ca="1">COUNTIF($Q3077:$Q3077,"W")+COUNTIF($Q3084:$Q3084,"W")+COUNTIF($Q3091:$Q3091,"W")+COUNTIF($Q3098:$Q3098,"W")</f>
        <v>0</v>
      </c>
      <c r="R3107" s="47" t="s">
        <v>160</v>
      </c>
      <c r="S3107" s="304" t="s">
        <v>58</v>
      </c>
      <c r="T3107" s="305"/>
      <c r="U3107" s="305"/>
      <c r="V3107" s="305"/>
      <c r="W3107" s="305"/>
      <c r="X3107" s="306"/>
      <c r="Y3107" s="47">
        <v>1</v>
      </c>
      <c r="Z3107" s="47">
        <v>2</v>
      </c>
      <c r="AA3107" s="47">
        <v>3</v>
      </c>
      <c r="AB3107" s="47">
        <v>4</v>
      </c>
      <c r="AC3107" s="47">
        <v>5</v>
      </c>
      <c r="AD3107" s="286"/>
      <c r="AE3107" s="287"/>
      <c r="AF3107" s="288"/>
    </row>
    <row r="3108" spans="1:32" ht="12.75" customHeight="1" thickBot="1" x14ac:dyDescent="0.3">
      <c r="F3108" s="212" t="s">
        <v>170</v>
      </c>
      <c r="G3108" s="212"/>
      <c r="H3108" s="212"/>
      <c r="I3108" s="212"/>
      <c r="J3108" s="212"/>
      <c r="K3108" s="212"/>
      <c r="R3108" s="259" t="str">
        <f>B3069</f>
        <v>A</v>
      </c>
      <c r="S3108" s="307" t="str">
        <f ca="1">IF($B3096&lt;&gt;"",$B3096,"")</f>
        <v/>
      </c>
      <c r="T3108" s="308"/>
      <c r="U3108" s="308"/>
      <c r="V3108" s="308"/>
      <c r="W3108" s="308"/>
      <c r="X3108" s="309"/>
      <c r="Y3108" s="284"/>
      <c r="Z3108" s="284"/>
      <c r="AA3108" s="297"/>
      <c r="AB3108" s="297"/>
      <c r="AC3108" s="297"/>
      <c r="AD3108" s="296"/>
      <c r="AE3108" s="298"/>
      <c r="AF3108" s="299"/>
    </row>
    <row r="3109" spans="1:32" ht="12.75" customHeight="1" x14ac:dyDescent="0.25">
      <c r="A3109" s="16"/>
      <c r="B3109" s="16"/>
      <c r="C3109" s="16"/>
      <c r="D3109" s="16"/>
      <c r="E3109" s="16"/>
      <c r="G3109" s="261" t="str">
        <f>B3069</f>
        <v>A</v>
      </c>
      <c r="H3109" s="262"/>
      <c r="I3109" s="263" t="str">
        <f>K3069</f>
        <v>H</v>
      </c>
      <c r="J3109" s="264"/>
      <c r="L3109" s="16"/>
      <c r="M3109" s="16"/>
      <c r="N3109" s="16"/>
      <c r="O3109" s="16"/>
      <c r="P3109" s="16"/>
      <c r="R3109" s="260"/>
      <c r="S3109" s="310"/>
      <c r="T3109" s="311"/>
      <c r="U3109" s="311"/>
      <c r="V3109" s="311"/>
      <c r="W3109" s="311"/>
      <c r="X3109" s="312"/>
      <c r="Y3109" s="285"/>
      <c r="Z3109" s="285"/>
      <c r="AA3109" s="303"/>
      <c r="AB3109" s="303"/>
      <c r="AC3109" s="303"/>
      <c r="AD3109" s="300"/>
      <c r="AE3109" s="301"/>
      <c r="AF3109" s="302"/>
    </row>
    <row r="3110" spans="1:32" ht="12.75" customHeight="1" thickBot="1" x14ac:dyDescent="0.3">
      <c r="A3110" s="2" t="s">
        <v>160</v>
      </c>
      <c r="B3110" s="40" t="str">
        <f>B3069</f>
        <v>A</v>
      </c>
      <c r="C3110" s="3" t="s">
        <v>158</v>
      </c>
      <c r="F3110" s="53" t="str">
        <f>CONCATENATE($B3069,"-",$K3069)</f>
        <v>A-H</v>
      </c>
      <c r="G3110" s="240" t="str">
        <f ca="1">IF(OR(Q3075&lt;&gt;"",Q3082&lt;&gt;"",Q3089&lt;&gt;"",Q3096&lt;&gt;"",Q3103&lt;&gt;""),COUNTIF(Q3075:Q3075,"W")+COUNTIF(Q3082:Q3082,"W")+COUNTIF(Q3089:Q3089,"W")+COUNTIF(Q3096:Q3096,"W")+COUNTIF(Q3103:Q3103,"W"),"")</f>
        <v/>
      </c>
      <c r="H3110" s="241"/>
      <c r="I3110" s="242" t="str">
        <f ca="1">IF(OR(Q3077&lt;&gt;"",Q3084&lt;&gt;"",Q3091&lt;&gt;"",Q3098&lt;&gt;"",Q3105&lt;&gt;""),COUNTIF(Q3077:Q3077,"W")+COUNTIF(Q3084:Q3084,"W")+COUNTIF(Q3091:Q3091,"W")+COUNTIF(Q3098:Q3098,"W")+COUNTIF(Q3105:Q3105,"W"),"")</f>
        <v/>
      </c>
      <c r="J3110" s="243"/>
      <c r="L3110" s="2" t="s">
        <v>160</v>
      </c>
      <c r="M3110" s="40" t="str">
        <f>K3069</f>
        <v>H</v>
      </c>
      <c r="N3110" s="3" t="s">
        <v>158</v>
      </c>
      <c r="R3110" s="259" t="str">
        <f>K3069</f>
        <v>H</v>
      </c>
      <c r="S3110" s="307" t="str">
        <f ca="1">IF($B3098&lt;&gt;"",$B3098,"")</f>
        <v/>
      </c>
      <c r="T3110" s="308"/>
      <c r="U3110" s="308"/>
      <c r="V3110" s="308"/>
      <c r="W3110" s="308"/>
      <c r="X3110" s="309"/>
      <c r="Y3110" s="284"/>
      <c r="Z3110" s="284"/>
      <c r="AA3110" s="297"/>
      <c r="AB3110" s="297"/>
      <c r="AC3110" s="297"/>
      <c r="AD3110" s="289" t="s">
        <v>169</v>
      </c>
      <c r="AE3110" s="290"/>
      <c r="AF3110" s="291"/>
    </row>
    <row r="3111" spans="1:32" ht="12.75" customHeight="1" x14ac:dyDescent="0.35">
      <c r="F3111" s="18" t="s">
        <v>403</v>
      </c>
      <c r="G3111" s="17"/>
      <c r="H3111" s="17"/>
      <c r="I3111" s="17"/>
      <c r="J3111" s="17"/>
      <c r="R3111" s="285"/>
      <c r="S3111" s="310"/>
      <c r="T3111" s="311"/>
      <c r="U3111" s="311"/>
      <c r="V3111" s="311"/>
      <c r="W3111" s="311"/>
      <c r="X3111" s="312"/>
      <c r="Y3111" s="285"/>
      <c r="Z3111" s="285"/>
      <c r="AA3111" s="285"/>
      <c r="AB3111" s="285"/>
      <c r="AC3111" s="285"/>
      <c r="AD3111" s="292"/>
      <c r="AE3111" s="293"/>
      <c r="AF3111" s="294"/>
    </row>
    <row r="3112" spans="1:32" ht="12.75" customHeight="1" x14ac:dyDescent="0.25">
      <c r="R3112" s="1"/>
      <c r="S3112" s="11"/>
      <c r="T3112" s="11"/>
      <c r="U3112" s="11"/>
      <c r="V3112" s="11"/>
      <c r="W3112" s="11"/>
    </row>
    <row r="3113" spans="1:32" ht="12.75" customHeight="1" x14ac:dyDescent="0.25">
      <c r="F3113" s="212"/>
      <c r="G3113" s="212"/>
      <c r="H3113" s="212"/>
      <c r="I3113" s="212"/>
      <c r="R3113" s="1"/>
      <c r="S3113" s="11"/>
      <c r="T3113" s="11"/>
      <c r="U3113" s="11"/>
      <c r="V3113" s="11"/>
      <c r="W3113" s="11"/>
    </row>
    <row r="3114" spans="1:32" ht="12.75" customHeight="1" x14ac:dyDescent="0.25">
      <c r="F3114" s="212"/>
      <c r="G3114" s="212"/>
      <c r="H3114" s="212"/>
      <c r="I3114" s="212"/>
      <c r="R3114" s="1"/>
      <c r="S3114" s="11"/>
      <c r="T3114" s="11"/>
      <c r="U3114" s="11"/>
      <c r="V3114" s="11"/>
      <c r="W3114" s="11"/>
    </row>
    <row r="3115" spans="1:32" ht="12.75" customHeight="1" x14ac:dyDescent="0.25">
      <c r="K3115" s="219" t="s">
        <v>176</v>
      </c>
      <c r="L3115" s="219"/>
      <c r="M3115" s="219"/>
      <c r="N3115" s="219"/>
      <c r="O3115" s="219"/>
      <c r="P3115" s="219"/>
      <c r="R3115" s="1"/>
      <c r="S3115" s="11"/>
      <c r="T3115" s="11"/>
      <c r="U3115" s="11"/>
      <c r="V3115" s="11"/>
      <c r="W3115" s="11"/>
    </row>
    <row r="3116" spans="1:32" ht="12.75" customHeight="1" x14ac:dyDescent="0.25">
      <c r="A3116" s="9" t="s">
        <v>161</v>
      </c>
      <c r="B3116"/>
      <c r="C3116"/>
      <c r="D3116" t="str">
        <f>Draw!$B$1</f>
        <v>Enter Division Name</v>
      </c>
      <c r="E3116"/>
      <c r="F3116" s="6"/>
      <c r="G3116" s="6"/>
      <c r="H3116" s="6"/>
      <c r="I3116"/>
      <c r="J3116"/>
      <c r="K3116"/>
      <c r="L3116"/>
      <c r="M3116" s="219"/>
      <c r="N3116" s="219"/>
      <c r="O3116" s="219"/>
      <c r="P3116" s="219"/>
      <c r="R3116" s="1"/>
      <c r="S3116" s="11"/>
      <c r="T3116" s="11"/>
      <c r="U3116" s="11"/>
      <c r="V3116" s="11"/>
      <c r="W3116" s="11"/>
    </row>
    <row r="3117" spans="1:32" ht="12.75" customHeight="1" x14ac:dyDescent="0.25">
      <c r="A3117" s="2" t="s">
        <v>162</v>
      </c>
      <c r="D3117" t="str">
        <f>Draw!$D$1</f>
        <v>Enter Hosting Location (City, ST)</v>
      </c>
      <c r="J3117" t="str">
        <f ca="1">$J$6</f>
        <v>[NCTTA Teams Template (v3.4).xlsx]</v>
      </c>
      <c r="R3117" s="1"/>
      <c r="S3117" s="11"/>
      <c r="T3117" s="11"/>
      <c r="U3117" s="11"/>
      <c r="V3117" s="11"/>
      <c r="W3117" s="11"/>
    </row>
    <row r="3118" spans="1:32" ht="12.75" customHeight="1" x14ac:dyDescent="0.25">
      <c r="A3118" s="2" t="s">
        <v>163</v>
      </c>
      <c r="D3118" s="275" t="str">
        <f>Draw!$P$1</f>
        <v>Enter Date</v>
      </c>
      <c r="E3118" s="275"/>
      <c r="F3118" s="275"/>
      <c r="G3118" s="275"/>
      <c r="J3118" s="244" t="str">
        <f>CHOOSE(Draw!$T$1,"Round 11, Match 2","","","","","","","","","","")</f>
        <v>Round 11, Match 2</v>
      </c>
      <c r="K3118" s="244"/>
      <c r="L3118" s="244"/>
      <c r="M3118" s="277" t="str">
        <f>IF(AND($J3118&lt;&gt;"",Draw!$AC$10&lt;&gt;"",Draw!$AC$13&lt;&gt;""),Draw!$AC$10+TIME(0,VALUE(MID($J3118,7,FIND(",",$J3118)-FIND(" ",$J3118)-1)-1)*Draw!$AC$13,0),"")</f>
        <v/>
      </c>
      <c r="N3118" s="277"/>
      <c r="O3118" s="125" t="str">
        <f>$F3161</f>
        <v>G-I</v>
      </c>
      <c r="R3118" s="1"/>
      <c r="S3118" s="11"/>
      <c r="T3118" s="11"/>
      <c r="U3118" s="11"/>
      <c r="V3118" s="11"/>
      <c r="W3118" s="11"/>
    </row>
    <row r="3119" spans="1:32" ht="12.75" customHeight="1" x14ac:dyDescent="0.25">
      <c r="A3119" s="6"/>
      <c r="B3119"/>
      <c r="C3119"/>
      <c r="D3119"/>
      <c r="E3119"/>
      <c r="F3119" s="6"/>
      <c r="G3119" s="6"/>
      <c r="H3119" s="11"/>
      <c r="I3119" s="6"/>
      <c r="J3119"/>
      <c r="K3119"/>
      <c r="L3119"/>
      <c r="M3119"/>
      <c r="N3119"/>
      <c r="O3119" s="269" t="str">
        <f>IF(OR(AND(VLOOKUP($B3120,$AM$1:$AX$12,12,FALSE)="C",VLOOKUP($K3120,$AM$1:$AX$12,12,FALSE)="C"),AND(VLOOKUP($B3120,$AM$1:$AX$12,12,FALSE)="W",VLOOKUP($K3120,$AM$1:$AX$12,12,FALSE)="W")),"Official",IF(AND($A3121="",$J3121=""),"","Scrimmage"))</f>
        <v/>
      </c>
      <c r="P3119" s="269"/>
      <c r="R3119" s="1"/>
      <c r="S3119" s="11"/>
      <c r="T3119" s="11"/>
      <c r="U3119" s="11"/>
      <c r="V3119" s="11"/>
      <c r="W3119" s="11"/>
    </row>
    <row r="3120" spans="1:32" ht="12.75" customHeight="1" x14ac:dyDescent="0.25">
      <c r="A3120" s="12" t="s">
        <v>160</v>
      </c>
      <c r="B3120" s="98" t="str">
        <f>CHOOSE(Draw!$T$1,"G","F","G","H","I","I","I","I","I","I","G")</f>
        <v>G</v>
      </c>
      <c r="C3120" s="109">
        <f>VLOOKUP($B3120,$AM$1:$AN$12,2)</f>
        <v>7</v>
      </c>
      <c r="D3120" s="10"/>
      <c r="E3120" s="10"/>
      <c r="F3120" s="8"/>
      <c r="H3120" s="1" t="s">
        <v>164</v>
      </c>
      <c r="J3120" s="12" t="s">
        <v>160</v>
      </c>
      <c r="K3120" s="98" t="str">
        <f>CHOOSE(Draw!$T$1,"I","H","L","K","K","K","K","K","K","K","L")</f>
        <v>I</v>
      </c>
      <c r="L3120" s="109">
        <f>VLOOKUP($K3120,$AM$1:$AN$12,2)</f>
        <v>9</v>
      </c>
      <c r="M3120" s="10"/>
      <c r="N3120" s="10"/>
      <c r="O3120" s="13"/>
      <c r="R3120" s="1"/>
      <c r="S3120" s="11"/>
      <c r="T3120" s="11"/>
      <c r="U3120" s="11"/>
      <c r="V3120" s="11"/>
      <c r="W3120" s="11"/>
    </row>
    <row r="3121" spans="1:32" ht="12.75" customHeight="1" x14ac:dyDescent="0.25">
      <c r="A3121" s="253" t="str">
        <f>IF(VLOOKUP($B3120,Draw!$A$4:$B$27,2)&lt;&gt;0,VLOOKUP($B3120,Draw!$A$4:$B$27,2),"")</f>
        <v/>
      </c>
      <c r="B3121" s="254"/>
      <c r="C3121" s="254"/>
      <c r="D3121" s="254"/>
      <c r="E3121" s="254"/>
      <c r="F3121" s="255"/>
      <c r="G3121" s="273" t="s">
        <v>465</v>
      </c>
      <c r="H3121" s="249"/>
      <c r="I3121" s="274"/>
      <c r="J3121" s="253" t="str">
        <f>IF(VLOOKUP($K3120,Draw!$A$4:$B$27,2)&lt;&gt;0,VLOOKUP($K3120,Draw!$A$4:$B$27,2),"")</f>
        <v/>
      </c>
      <c r="K3121" s="254"/>
      <c r="L3121" s="254"/>
      <c r="M3121" s="254"/>
      <c r="N3121" s="254"/>
      <c r="O3121" s="255"/>
      <c r="P3121"/>
      <c r="R3121" s="1"/>
      <c r="S3121" s="11"/>
      <c r="T3121" s="11"/>
      <c r="U3121" s="11"/>
      <c r="V3121" s="11"/>
      <c r="W3121" s="11"/>
    </row>
    <row r="3122" spans="1:32" ht="12.75" customHeight="1" x14ac:dyDescent="0.25">
      <c r="A3122" s="6"/>
      <c r="B3122"/>
      <c r="C3122"/>
      <c r="D3122"/>
      <c r="E3122"/>
      <c r="F3122" s="6"/>
      <c r="G3122" s="248" t="str">
        <f>"Page "&amp;VALUE(RIGHT($G3121,LEN($G3121)-SEARCH("-",$G3121)))/2</f>
        <v>Page 62</v>
      </c>
      <c r="H3122" s="249"/>
      <c r="I3122" s="249"/>
      <c r="J3122"/>
      <c r="K3122"/>
      <c r="L3122"/>
      <c r="M3122"/>
      <c r="N3122"/>
      <c r="O3122"/>
      <c r="P3122"/>
      <c r="R3122" s="1"/>
      <c r="S3122" s="11"/>
      <c r="T3122" s="11"/>
      <c r="U3122" s="11"/>
      <c r="V3122" s="11"/>
      <c r="W3122" s="11"/>
      <c r="AF3122"/>
    </row>
    <row r="3123" spans="1:32" ht="12.75" customHeight="1" x14ac:dyDescent="0.25">
      <c r="A3123" s="276" t="s">
        <v>177</v>
      </c>
      <c r="B3123" s="276"/>
      <c r="C3123" s="276"/>
      <c r="D3123" s="276"/>
      <c r="E3123" s="276"/>
      <c r="F3123" s="276"/>
      <c r="G3123" s="276"/>
      <c r="H3123" s="276"/>
      <c r="I3123" s="276"/>
      <c r="J3123" s="276"/>
      <c r="K3123" s="276"/>
      <c r="L3123" s="276"/>
      <c r="M3123" s="276"/>
      <c r="N3123" s="276"/>
      <c r="O3123" s="276"/>
      <c r="P3123" s="276"/>
      <c r="Q3123" s="6"/>
      <c r="R3123" s="1"/>
      <c r="S3123" s="11"/>
      <c r="T3123" s="11"/>
      <c r="U3123" s="11"/>
      <c r="V3123" s="11"/>
      <c r="W3123" s="11"/>
      <c r="AF3123" s="14"/>
    </row>
    <row r="3124" spans="1:32" ht="12.75" customHeight="1" x14ac:dyDescent="0.25">
      <c r="A3124" s="15" t="s">
        <v>165</v>
      </c>
      <c r="H3124" s="110" t="str">
        <f>IF($Q3126&lt;&gt;"",IF(AND(AND($H3126&gt;-1,$H3128&gt;-1),OR($H3126&gt;10,$H3128&gt;10),ABS($H3126-$H3128)&gt;1,IF(OR($H3126&gt;11,$H3128&gt;11),ABS($H3126-$H3128)=2,TRUE),$H3126=INT($H3126),$H3128=INT($H3128)),"","Error"),"")</f>
        <v/>
      </c>
      <c r="I3124" s="110" t="str">
        <f>IF($Q3126&lt;&gt;"",IF(AND(AND($I3126&gt;-1,$I3128&gt;-1),OR($I3126&gt;10,$I3128&gt;10),ABS($I3126-$I3128)&gt;1,IF(OR($I3126&gt;11,$I3128&gt;11),ABS($I3126-$I3128)=2,TRUE),$I3126=INT($I3126),$I3128=INT($I3128)),"","Error"),"")</f>
        <v/>
      </c>
      <c r="J3124" s="110" t="str">
        <f>IF($Q3126&lt;&gt;"",IF(AND(AND($J3126&gt;-1,$J3128&gt;-1),OR($J3126&gt;10,$J3128&gt;10),ABS($J3126-$J3128)&gt;1,IF(OR($J3126&gt;11,$J3128&gt;11),ABS($J3126-$J3128)=2,TRUE),$J3126=INT($J3126),$J3128=INT($J3128)),"","Error"),"")</f>
        <v/>
      </c>
      <c r="K3124" s="110" t="str">
        <f>IF($Q3126&lt;&gt;"",IF(AND($K3126&lt;&gt;"",$K3128&lt;&gt;""), IF(AND(AND($K3126&gt;-1,$K3128&gt;-1),OR($K3126&gt;10,$K3128&gt;10),ABS($K3126-$K3128)&gt;1,IF(OR($K3126&gt;11,$K3128&gt;11),ABS($K3126-$K3128)=2,TRUE),$K3126=INT($K3126),$K3128=INT($K3128)),"","Error"),""),"")</f>
        <v/>
      </c>
      <c r="L3124" s="110" t="str">
        <f>IF($Q3126&lt;&gt;"",IF(AND($L3126&lt;&gt;"",$L3128&lt;&gt;""), IF(AND(AND($L3126&gt;-1,$L3128&gt;-1),OR($L3126&gt;10,$L3128&gt;10),ABS($L3126-$L3128)&gt;1,IF(OR($L3126&gt;11,$L3128&gt;11),ABS($L3126-$L3128)=2,TRUE),$L3126=INT($L3126),$L3128=INT($L3128)),"","Error"),""),"")</f>
        <v/>
      </c>
      <c r="R3124" s="1"/>
      <c r="S3124" s="11"/>
      <c r="T3124" s="11"/>
      <c r="U3124" s="11"/>
      <c r="V3124" s="11"/>
      <c r="W3124" s="11"/>
    </row>
    <row r="3125" spans="1:32" ht="12.75" customHeight="1" x14ac:dyDescent="0.25">
      <c r="A3125" s="5" t="s">
        <v>160</v>
      </c>
      <c r="B3125" s="256" t="s">
        <v>58</v>
      </c>
      <c r="C3125" s="257"/>
      <c r="D3125" s="257"/>
      <c r="E3125" s="257"/>
      <c r="F3125" s="257"/>
      <c r="G3125" s="258"/>
      <c r="H3125" s="5">
        <v>1</v>
      </c>
      <c r="I3125" s="5">
        <v>2</v>
      </c>
      <c r="J3125" s="5">
        <v>3</v>
      </c>
      <c r="K3125" s="5">
        <v>4</v>
      </c>
      <c r="L3125" s="5">
        <v>5</v>
      </c>
      <c r="M3125" s="270"/>
      <c r="N3125" s="271"/>
      <c r="O3125" s="271"/>
      <c r="P3125" s="272"/>
      <c r="R3125" s="1"/>
      <c r="S3125" s="11"/>
      <c r="T3125" s="11"/>
      <c r="U3125" s="11"/>
      <c r="V3125" s="11"/>
      <c r="W3125" s="11"/>
    </row>
    <row r="3126" spans="1:32" ht="12.75" customHeight="1" x14ac:dyDescent="0.25">
      <c r="A3126" s="259" t="str">
        <f>B3120</f>
        <v>G</v>
      </c>
      <c r="B3126" s="236" t="str">
        <f ca="1">IF(AND(OFFSET($AO$1,$C3120-1,8,1,1),$A3121&lt;&gt;"",$J3121&lt;&gt;""),CHOOSE($C3120,$AO$1,$AO$2,$AO$3,$AO$4,$AO$5,$AO$6,$AO$7,$AO$8,$AO$9,$AO$10,$AO$11,$AO$12),"")</f>
        <v/>
      </c>
      <c r="C3126" s="237"/>
      <c r="D3126" s="237"/>
      <c r="E3126" s="237"/>
      <c r="F3126" s="237"/>
      <c r="G3126" s="237"/>
      <c r="H3126" s="233"/>
      <c r="I3126" s="233"/>
      <c r="J3126" s="233"/>
      <c r="K3126" s="233"/>
      <c r="L3126" s="233"/>
      <c r="M3126" s="281"/>
      <c r="N3126" s="282"/>
      <c r="O3126" s="282"/>
      <c r="P3126" s="283"/>
      <c r="Q3126" s="40" t="str">
        <f>IF($L3126=$L3128,IF($K3126=$K3128,IF($J3126&lt;&gt;"",IF($J3126&gt;$J3128,"W","L"),""),IF($K3126&gt;$K3128,"W","L")),IF($L3126&gt;$L3128,"W","L"))</f>
        <v/>
      </c>
      <c r="R3126" s="1"/>
      <c r="S3126" s="11"/>
      <c r="T3126" s="11"/>
      <c r="U3126" s="11"/>
      <c r="V3126" s="11"/>
      <c r="W3126" s="11"/>
    </row>
    <row r="3127" spans="1:32" ht="12.75" customHeight="1" x14ac:dyDescent="0.25">
      <c r="A3127" s="260"/>
      <c r="B3127" s="238"/>
      <c r="C3127" s="239"/>
      <c r="D3127" s="239"/>
      <c r="E3127" s="239"/>
      <c r="F3127" s="239"/>
      <c r="G3127" s="239"/>
      <c r="H3127" s="234"/>
      <c r="I3127" s="234"/>
      <c r="J3127" s="234"/>
      <c r="K3127" s="234"/>
      <c r="L3127" s="234"/>
      <c r="M3127" s="281"/>
      <c r="N3127" s="282"/>
      <c r="O3127" s="282"/>
      <c r="P3127" s="283"/>
      <c r="Q3127" s="110" t="str">
        <f>IF($Q3126&lt;&gt;"",IF($Q3126="W",IF(SUM(IF($H3126&gt;$H3128,1,0),IF($I3126&gt;$I3128,1,0),IF($J3126&gt;$J3128,1,0),IF($K3126&gt;$K3128,1,0),IF($L3126&gt;$L3128,1,0))&lt;&gt;3,"Error",""),""),"")</f>
        <v/>
      </c>
      <c r="R3127" s="295" t="str">
        <f>$A3121</f>
        <v/>
      </c>
      <c r="S3127" s="295"/>
      <c r="T3127" s="295"/>
      <c r="U3127" s="295"/>
      <c r="V3127" s="295"/>
      <c r="W3127" s="295"/>
      <c r="X3127" s="219" t="str">
        <f>CONCATENATE("(",$B3120," vs ",$K3120,")")</f>
        <v>(G vs I)</v>
      </c>
      <c r="Y3127" s="219"/>
      <c r="Z3127" s="295" t="str">
        <f>$J3121</f>
        <v/>
      </c>
      <c r="AA3127" s="295"/>
      <c r="AB3127" s="295"/>
      <c r="AC3127" s="295"/>
      <c r="AD3127" s="295"/>
      <c r="AE3127" s="295"/>
      <c r="AF3127"/>
    </row>
    <row r="3128" spans="1:32" ht="12.75" customHeight="1" x14ac:dyDescent="0.25">
      <c r="A3128" s="259" t="str">
        <f>K3120</f>
        <v>I</v>
      </c>
      <c r="B3128" s="236" t="str">
        <f ca="1">IF(AND(OFFSET($AO$1,$L3120-1,8,1,1),$A3121&lt;&gt;"",$J3121&lt;&gt;""),CHOOSE($L3120,$AO$1,$AO$2,$AO$3,$AO$4,$AO$5,$AO$6,$AO$7,$AO$8,$AO$9,$AO$10,$AO$11,$AO$12),"")</f>
        <v/>
      </c>
      <c r="C3128" s="237"/>
      <c r="D3128" s="237"/>
      <c r="E3128" s="237"/>
      <c r="F3128" s="237"/>
      <c r="G3128" s="237"/>
      <c r="H3128" s="233"/>
      <c r="I3128" s="233"/>
      <c r="J3128" s="233"/>
      <c r="K3128" s="233"/>
      <c r="L3128" s="233"/>
      <c r="M3128" s="250" t="s">
        <v>169</v>
      </c>
      <c r="N3128" s="251"/>
      <c r="O3128" s="251"/>
      <c r="P3128" s="252"/>
      <c r="Q3128" s="40" t="str">
        <f>IF($Q3126&lt;&gt;"",IF($Q3126="W","L","W"),"")</f>
        <v/>
      </c>
      <c r="R3128"/>
      <c r="S3128"/>
      <c r="T3128"/>
      <c r="U3128"/>
      <c r="V3128"/>
      <c r="W3128"/>
      <c r="X3128"/>
      <c r="Y3128"/>
      <c r="Z3128"/>
      <c r="AA3128"/>
      <c r="AB3128"/>
      <c r="AC3128"/>
      <c r="AD3128"/>
      <c r="AE3128"/>
      <c r="AF3128"/>
    </row>
    <row r="3129" spans="1:32" ht="12.75" customHeight="1" x14ac:dyDescent="0.25">
      <c r="A3129" s="260"/>
      <c r="B3129" s="238"/>
      <c r="C3129" s="239"/>
      <c r="D3129" s="239"/>
      <c r="E3129" s="239"/>
      <c r="F3129" s="239"/>
      <c r="G3129" s="239"/>
      <c r="H3129" s="234"/>
      <c r="I3129" s="234"/>
      <c r="J3129" s="235"/>
      <c r="K3129" s="235"/>
      <c r="L3129" s="235"/>
      <c r="M3129" s="250"/>
      <c r="N3129" s="251"/>
      <c r="O3129" s="251"/>
      <c r="P3129" s="252"/>
      <c r="Q3129" s="110" t="str">
        <f>IF($Q3128&lt;&gt;"",IF($Q3128="W",IF(SUM(IF($H3128&gt;$H3126,1,0),IF($I3128&gt;$I3126,1,0),IF($J3128&gt;$J3126,1,0),IF($K3128&gt;$K3126,1,0),IF($L3128&gt;$L3126,1,0))&lt;&gt;3,"Error",""),""),"")</f>
        <v/>
      </c>
      <c r="R3129" t="str">
        <f>$A3131</f>
        <v>2nd Singles</v>
      </c>
      <c r="S3129"/>
      <c r="T3129"/>
      <c r="U3129"/>
      <c r="V3129"/>
      <c r="W3129"/>
      <c r="X3129"/>
      <c r="Y3129"/>
      <c r="Z3129"/>
      <c r="AA3129"/>
      <c r="AB3129"/>
      <c r="AC3129"/>
      <c r="AD3129"/>
      <c r="AE3129"/>
      <c r="AF3129"/>
    </row>
    <row r="3130" spans="1:32" ht="12.75" customHeight="1" x14ac:dyDescent="0.25">
      <c r="Q3130" s="6"/>
      <c r="R3130" s="47" t="s">
        <v>160</v>
      </c>
      <c r="S3130" s="304" t="s">
        <v>58</v>
      </c>
      <c r="T3130" s="305"/>
      <c r="U3130" s="305"/>
      <c r="V3130" s="305"/>
      <c r="W3130" s="305"/>
      <c r="X3130" s="306"/>
      <c r="Y3130" s="47">
        <v>1</v>
      </c>
      <c r="Z3130" s="47">
        <v>2</v>
      </c>
      <c r="AA3130" s="47">
        <v>3</v>
      </c>
      <c r="AB3130" s="47">
        <v>4</v>
      </c>
      <c r="AC3130" s="47">
        <v>5</v>
      </c>
      <c r="AD3130" s="286"/>
      <c r="AE3130" s="287"/>
      <c r="AF3130" s="288"/>
    </row>
    <row r="3131" spans="1:32" ht="12.75" customHeight="1" x14ac:dyDescent="0.25">
      <c r="A3131" s="15" t="s">
        <v>166</v>
      </c>
      <c r="H3131" s="110" t="str">
        <f>IF($Q3133&lt;&gt;"",IF(AND(AND($H3133&gt;-1,$H3135&gt;-1),OR($H3133&gt;10,$H3135&gt;10),ABS($H3133-$H3135)&gt;1,IF(OR($H3133&gt;11,$H3135&gt;11),ABS($H3133-$H3135)=2,TRUE),$H3133=INT($H3133),$H3135=INT($H3135)),"","Error"),"")</f>
        <v/>
      </c>
      <c r="I3131" s="110" t="str">
        <f>IF($Q3133&lt;&gt;"",IF(AND(AND($I3133&gt;-1,$I3135&gt;-1),OR($I3133&gt;10,$I3135&gt;10),ABS($I3133-$I3135)&gt;1,IF(OR($I3133&gt;11,$I3135&gt;11),ABS($I3133-$I3135)=2,TRUE),$I3133=INT($I3133),$I3135=INT($I3135)),"","Error"),"")</f>
        <v/>
      </c>
      <c r="J3131" s="110" t="str">
        <f>IF($Q3133&lt;&gt;"",IF(AND(AND($J3133&gt;-1,$J3135&gt;-1),OR($J3133&gt;10,$J3135&gt;10),ABS($J3133-$J3135)&gt;1,IF(OR($J3133&gt;11,$J3135&gt;11),ABS($J3133-$J3135)=2,TRUE),$J3133=INT($J3133),$J3135=INT($J3135)),"","Error"),"")</f>
        <v/>
      </c>
      <c r="K3131" s="110" t="str">
        <f>IF($Q3133&lt;&gt;"",IF(AND($K3133&lt;&gt;"",$K3135&lt;&gt;""), IF(AND(AND($K3133&gt;-1,$K3135&gt;-1),OR($K3133&gt;10,$K3135&gt;10),ABS($K3133-$K3135)&gt;1,IF(OR($K3133&gt;11,$K3135&gt;11),ABS($K3133-$K3135)=2,TRUE),$K3133=INT($K3133),$K3135=INT($K3135)),"","Error"),""),"")</f>
        <v/>
      </c>
      <c r="L3131" s="110" t="str">
        <f>IF($Q3133&lt;&gt;"",IF(AND($L3133&lt;&gt;"",$L3135&lt;&gt;""), IF(AND(AND($L3133&gt;-1,$L3135&gt;-1),OR($L3133&gt;10,$L3135&gt;10),ABS($L3133-$L3135)&gt;1,IF(OR($L3133&gt;11,$L3135&gt;11),ABS($L3133-$L3135)=2,TRUE),$L3133=INT($L3133),$L3135=INT($L3135)),"","Error"),""),"")</f>
        <v/>
      </c>
      <c r="Q3131" s="6"/>
      <c r="R3131" s="259" t="str">
        <f>$B3120</f>
        <v>G</v>
      </c>
      <c r="S3131" s="307" t="str">
        <f ca="1">IF($B3133&lt;&gt;"",$B3133,"")</f>
        <v/>
      </c>
      <c r="T3131" s="308"/>
      <c r="U3131" s="308"/>
      <c r="V3131" s="308"/>
      <c r="W3131" s="308"/>
      <c r="X3131" s="309"/>
      <c r="Y3131" s="284"/>
      <c r="Z3131" s="284"/>
      <c r="AA3131" s="284"/>
      <c r="AB3131" s="284"/>
      <c r="AC3131" s="284"/>
      <c r="AD3131" s="296"/>
      <c r="AE3131" s="290"/>
      <c r="AF3131" s="291"/>
    </row>
    <row r="3132" spans="1:32" ht="12.75" customHeight="1" x14ac:dyDescent="0.25">
      <c r="A3132" s="5" t="s">
        <v>160</v>
      </c>
      <c r="B3132" s="256" t="s">
        <v>58</v>
      </c>
      <c r="C3132" s="257"/>
      <c r="D3132" s="257"/>
      <c r="E3132" s="257"/>
      <c r="F3132" s="257"/>
      <c r="G3132" s="258"/>
      <c r="H3132" s="5">
        <v>1</v>
      </c>
      <c r="I3132" s="5">
        <v>2</v>
      </c>
      <c r="J3132" s="5">
        <v>3</v>
      </c>
      <c r="K3132" s="5">
        <v>4</v>
      </c>
      <c r="L3132" s="5">
        <v>5</v>
      </c>
      <c r="M3132" s="270"/>
      <c r="N3132" s="271"/>
      <c r="O3132" s="271"/>
      <c r="P3132" s="272"/>
      <c r="Q3132" s="6"/>
      <c r="R3132" s="285"/>
      <c r="S3132" s="310"/>
      <c r="T3132" s="311"/>
      <c r="U3132" s="311"/>
      <c r="V3132" s="311"/>
      <c r="W3132" s="311"/>
      <c r="X3132" s="312"/>
      <c r="Y3132" s="285"/>
      <c r="Z3132" s="285"/>
      <c r="AA3132" s="285"/>
      <c r="AB3132" s="285"/>
      <c r="AC3132" s="285"/>
      <c r="AD3132" s="292"/>
      <c r="AE3132" s="293"/>
      <c r="AF3132" s="294"/>
    </row>
    <row r="3133" spans="1:32" ht="12.75" customHeight="1" x14ac:dyDescent="0.25">
      <c r="A3133" s="259" t="str">
        <f>B3120</f>
        <v>G</v>
      </c>
      <c r="B3133" s="236" t="str">
        <f ca="1">IF(AND(OFFSET($AO$1,$C3120-1,8,1,1),$A3121&lt;&gt;"",$J3121&lt;&gt;""),CHOOSE($C3120,$AP$1,$AP$2,$AP$3,$AP$4,$AP$5,$AP$6,$AP$7,$AP$8,$AP$9,$AP$10,$AP$11,$AP$12),"")</f>
        <v/>
      </c>
      <c r="C3133" s="237"/>
      <c r="D3133" s="237"/>
      <c r="E3133" s="237"/>
      <c r="F3133" s="237"/>
      <c r="G3133" s="237"/>
      <c r="H3133" s="233"/>
      <c r="I3133" s="233"/>
      <c r="J3133" s="233"/>
      <c r="K3133" s="233"/>
      <c r="L3133" s="233"/>
      <c r="M3133" s="245" t="str">
        <f ca="1">IF(OR(AND($B3126&lt;&gt;"",$B3133&lt;&gt;"",$C3151&lt;=$B3151),AND($B3128&lt;&gt;"",$B3135&lt;&gt;"",$G3151&lt;=$F3151)),"Invalid Lineup","")</f>
        <v/>
      </c>
      <c r="N3133" s="246"/>
      <c r="O3133" s="246"/>
      <c r="P3133" s="247"/>
      <c r="Q3133" s="40" t="str">
        <f>IF($L3133=$L3135,IF($K3133=$K3135,IF($J3133&lt;&gt;"",IF($J3133&gt;$J3135,"W","L"),""),IF($K3133&gt;$K3135,"W","L")),IF($L3133&gt;$L3135,"W","L"))</f>
        <v/>
      </c>
      <c r="R3133" s="259" t="str">
        <f>$K3120</f>
        <v>I</v>
      </c>
      <c r="S3133" s="307" t="str">
        <f ca="1">IF($B3135&lt;&gt;"",$B3135,"")</f>
        <v/>
      </c>
      <c r="T3133" s="308"/>
      <c r="U3133" s="308"/>
      <c r="V3133" s="308"/>
      <c r="W3133" s="308"/>
      <c r="X3133" s="309"/>
      <c r="Y3133" s="284"/>
      <c r="Z3133" s="284"/>
      <c r="AA3133" s="284"/>
      <c r="AB3133" s="284"/>
      <c r="AC3133" s="297"/>
      <c r="AD3133" s="289" t="s">
        <v>169</v>
      </c>
      <c r="AE3133" s="290"/>
      <c r="AF3133" s="291"/>
    </row>
    <row r="3134" spans="1:32" ht="12.75" customHeight="1" x14ac:dyDescent="0.25">
      <c r="A3134" s="260"/>
      <c r="B3134" s="238"/>
      <c r="C3134" s="239"/>
      <c r="D3134" s="239"/>
      <c r="E3134" s="239"/>
      <c r="F3134" s="239"/>
      <c r="G3134" s="239"/>
      <c r="H3134" s="234"/>
      <c r="I3134" s="234"/>
      <c r="J3134" s="234"/>
      <c r="K3134" s="234"/>
      <c r="L3134" s="234"/>
      <c r="M3134" s="245"/>
      <c r="N3134" s="246"/>
      <c r="O3134" s="246"/>
      <c r="P3134" s="247"/>
      <c r="Q3134" s="110" t="str">
        <f>IF($Q3133&lt;&gt;"",IF($Q3133="W",IF(SUM(IF($H3133&gt;$H3135,1,0),IF($I3133&gt;$I3135,1,0),IF($J3133&gt;$J3135,1,0),IF($K3133&gt;$K3135,1,0),IF($L3133&gt;$L3135,1,0))&lt;&gt;3,"Error",""),""),"")</f>
        <v/>
      </c>
      <c r="R3134" s="285"/>
      <c r="S3134" s="310"/>
      <c r="T3134" s="311"/>
      <c r="U3134" s="311"/>
      <c r="V3134" s="311"/>
      <c r="W3134" s="311"/>
      <c r="X3134" s="312"/>
      <c r="Y3134" s="285"/>
      <c r="Z3134" s="285"/>
      <c r="AA3134" s="285"/>
      <c r="AB3134" s="285"/>
      <c r="AC3134" s="285"/>
      <c r="AD3134" s="292"/>
      <c r="AE3134" s="293"/>
      <c r="AF3134" s="294"/>
    </row>
    <row r="3135" spans="1:32" ht="12.75" customHeight="1" x14ac:dyDescent="0.25">
      <c r="A3135" s="259" t="str">
        <f>K3120</f>
        <v>I</v>
      </c>
      <c r="B3135" s="236" t="str">
        <f ca="1">IF(AND(OFFSET($AO$1,$L3120-1,8,1,1),$A3121&lt;&gt;"",$J3121&lt;&gt;""),CHOOSE($L3120,$AP$1,$AP$2,$AP$3,$AP$4,$AP$5,$AP$6,$AP$7,$AP$8,$AP$9,$AP$10,$AP$11,$AP$12),"")</f>
        <v/>
      </c>
      <c r="C3135" s="237"/>
      <c r="D3135" s="237"/>
      <c r="E3135" s="237"/>
      <c r="F3135" s="237"/>
      <c r="G3135" s="237"/>
      <c r="H3135" s="233"/>
      <c r="I3135" s="233"/>
      <c r="J3135" s="233"/>
      <c r="K3135" s="233"/>
      <c r="L3135" s="233"/>
      <c r="M3135" s="250" t="s">
        <v>169</v>
      </c>
      <c r="N3135" s="251"/>
      <c r="O3135" s="251"/>
      <c r="P3135" s="252"/>
      <c r="Q3135" s="40" t="str">
        <f>IF($Q3133&lt;&gt;"",IF($Q3133="W","L","W"),"")</f>
        <v/>
      </c>
      <c r="R3135" s="14"/>
      <c r="S3135" s="14"/>
      <c r="T3135" s="14"/>
      <c r="U3135" s="14"/>
      <c r="V3135" s="14"/>
      <c r="W3135" s="14"/>
      <c r="X3135" s="7"/>
      <c r="Y3135" s="7"/>
      <c r="Z3135" s="14"/>
      <c r="AA3135" s="14"/>
      <c r="AB3135" s="14"/>
      <c r="AC3135" s="14"/>
      <c r="AD3135" s="14"/>
      <c r="AE3135" s="14"/>
      <c r="AF3135"/>
    </row>
    <row r="3136" spans="1:32" ht="12.75" customHeight="1" x14ac:dyDescent="0.25">
      <c r="A3136" s="260"/>
      <c r="B3136" s="238"/>
      <c r="C3136" s="239"/>
      <c r="D3136" s="239"/>
      <c r="E3136" s="239"/>
      <c r="F3136" s="239"/>
      <c r="G3136" s="239"/>
      <c r="H3136" s="234"/>
      <c r="I3136" s="234"/>
      <c r="J3136" s="235"/>
      <c r="K3136" s="235"/>
      <c r="L3136" s="235"/>
      <c r="M3136" s="250"/>
      <c r="N3136" s="251"/>
      <c r="O3136" s="251"/>
      <c r="P3136" s="252"/>
      <c r="Q3136" s="110" t="str">
        <f>IF($Q3135&lt;&gt;"",IF($Q3135="W",IF(SUM(IF($H3135&gt;$H3133,1,0),IF($I3135&gt;$I3133,1,0),IF($J3135&gt;$J3133,1,0),IF($K3135&gt;$K3133,1,0),IF($L3135&gt;$L3133,1,0))&lt;&gt;3,"Error",""),""),"")</f>
        <v/>
      </c>
      <c r="R3136" s="14"/>
      <c r="S3136" s="14"/>
      <c r="T3136" s="14"/>
      <c r="U3136" s="14"/>
      <c r="V3136" s="14"/>
      <c r="W3136" s="14"/>
      <c r="X3136" s="7"/>
      <c r="Y3136" s="7"/>
      <c r="Z3136" s="14"/>
      <c r="AA3136" s="14"/>
      <c r="AB3136" s="14"/>
      <c r="AC3136" s="14"/>
      <c r="AD3136" s="14"/>
      <c r="AE3136" s="14"/>
      <c r="AF3136"/>
    </row>
    <row r="3137" spans="1:32" ht="12.75" customHeight="1" x14ac:dyDescent="0.25">
      <c r="Q3137" s="6"/>
      <c r="R3137" s="14"/>
      <c r="S3137" s="14"/>
      <c r="T3137" s="14"/>
      <c r="U3137" s="14"/>
      <c r="V3137" s="14"/>
      <c r="W3137" s="14"/>
      <c r="X3137" s="7"/>
      <c r="Y3137" s="7"/>
      <c r="Z3137" s="14"/>
      <c r="AA3137" s="14"/>
      <c r="AB3137" s="14"/>
      <c r="AC3137" s="14"/>
      <c r="AD3137" s="14"/>
      <c r="AE3137" s="14"/>
      <c r="AF3137"/>
    </row>
    <row r="3138" spans="1:32" ht="12.75" customHeight="1" x14ac:dyDescent="0.25">
      <c r="A3138" s="15" t="s">
        <v>167</v>
      </c>
      <c r="H3138" s="110" t="str">
        <f>IF($Q3140&lt;&gt;"",IF(AND(AND($H3140&gt;-1,$H3142&gt;-1),OR($H3140&gt;10,$H3142&gt;10),ABS($H3140-$H3142)&gt;1,IF(OR($H3140&gt;11,$H3142&gt;11),ABS($H3140-$H3142)=2,TRUE),$H3140=INT($H3140),$H3142=INT($H3142)),"","Error"),"")</f>
        <v/>
      </c>
      <c r="I3138" s="110" t="str">
        <f>IF($Q3140&lt;&gt;"",IF(AND(AND($I3140&gt;-1,$I3142&gt;-1),OR($I3140&gt;10,$I3142&gt;10),ABS($I3140-$I3142)&gt;1,IF(OR($I3140&gt;11,$I3142&gt;11),ABS($I3140-$I3142)=2,TRUE),$I3140=INT($I3140),$I3142=INT($I3142)),"","Error"),"")</f>
        <v/>
      </c>
      <c r="J3138" s="110" t="str">
        <f>IF($Q3140&lt;&gt;"",IF(AND(AND($J3140&gt;-1,$J3142&gt;-1),OR($J3140&gt;10,$J3142&gt;10),ABS($J3140-$J3142)&gt;1,IF(OR($J3140&gt;11,$J3142&gt;11),ABS($J3140-$J3142)=2,TRUE),$J3140=INT($J3140),$J3142=INT($J3142)),"","Error"),"")</f>
        <v/>
      </c>
      <c r="K3138" s="110" t="str">
        <f>IF($Q3140&lt;&gt;"",IF(AND($K3140&lt;&gt;"",$K3142&lt;&gt;""), IF(AND(AND($K3140&gt;-1,$K3142&gt;-1),OR($K3140&gt;10,$K3142&gt;10),ABS($K3140-$K3142)&gt;1,IF(OR($K3140&gt;11,$K3142&gt;11),ABS($K3140-$K3142)=2,TRUE),$K3140=INT($K3140),$K3142=INT($K3142)),"","Error"),""),"")</f>
        <v/>
      </c>
      <c r="L3138" s="110" t="str">
        <f>IF($Q3140&lt;&gt;"",IF(AND($L3140&lt;&gt;"",$L3142&lt;&gt;""), IF(AND(AND($L3140&gt;-1,$L3142&gt;-1),OR($L3140&gt;10,$L3142&gt;10),ABS($L3140-$L3142)&gt;1,IF(OR($L3140&gt;11,$L3142&gt;11),ABS($L3140-$L3142)=2,TRUE),$L3140=INT($L3140),$L3142=INT($L3142)),"","Error"),""),"")</f>
        <v/>
      </c>
      <c r="Q3138" s="6"/>
      <c r="R3138" s="14"/>
      <c r="S3138" s="14"/>
      <c r="T3138" s="14"/>
      <c r="U3138" s="14"/>
      <c r="V3138" s="14"/>
      <c r="W3138" s="14"/>
      <c r="X3138" s="7"/>
      <c r="Y3138" s="7"/>
      <c r="Z3138" s="14"/>
      <c r="AA3138" s="14"/>
      <c r="AB3138" s="14"/>
      <c r="AC3138" s="14"/>
      <c r="AD3138" s="14"/>
      <c r="AE3138" s="14"/>
      <c r="AF3138"/>
    </row>
    <row r="3139" spans="1:32" ht="12.75" customHeight="1" x14ac:dyDescent="0.25">
      <c r="A3139" s="5" t="s">
        <v>160</v>
      </c>
      <c r="B3139" s="256" t="s">
        <v>58</v>
      </c>
      <c r="C3139" s="257"/>
      <c r="D3139" s="257"/>
      <c r="E3139" s="257"/>
      <c r="F3139" s="257"/>
      <c r="G3139" s="258"/>
      <c r="H3139" s="5">
        <v>1</v>
      </c>
      <c r="I3139" s="5">
        <v>2</v>
      </c>
      <c r="J3139" s="5">
        <v>3</v>
      </c>
      <c r="K3139" s="5">
        <v>4</v>
      </c>
      <c r="L3139" s="5">
        <v>5</v>
      </c>
      <c r="M3139" s="270"/>
      <c r="N3139" s="271"/>
      <c r="O3139" s="271"/>
      <c r="P3139" s="272"/>
      <c r="Q3139" s="6"/>
      <c r="R3139" s="14"/>
      <c r="S3139" s="14"/>
      <c r="T3139" s="14"/>
      <c r="U3139" s="14"/>
      <c r="V3139" s="14"/>
      <c r="W3139" s="14"/>
      <c r="X3139" s="7"/>
      <c r="Y3139" s="7"/>
      <c r="Z3139" s="14"/>
      <c r="AA3139" s="14"/>
      <c r="AB3139" s="14"/>
      <c r="AC3139" s="14"/>
      <c r="AD3139" s="14"/>
      <c r="AE3139" s="14"/>
      <c r="AF3139"/>
    </row>
    <row r="3140" spans="1:32" ht="12.75" customHeight="1" x14ac:dyDescent="0.25">
      <c r="A3140" s="259" t="str">
        <f>B3120</f>
        <v>G</v>
      </c>
      <c r="B3140" s="236" t="str">
        <f ca="1">IF(AND(OFFSET($AO$1,$C3120-1,8,1,1),$A3121&lt;&gt;"",$J3121&lt;&gt;""),CHOOSE($C3120,$AQ$1,$AQ$2,$AQ$3,$AQ$4,$AQ$5,$AQ$6,$AQ$7,$AQ$8,$AQ$9,$AQ$10,$AQ$11,$AQ$12),"")</f>
        <v/>
      </c>
      <c r="C3140" s="237"/>
      <c r="D3140" s="237"/>
      <c r="E3140" s="237"/>
      <c r="F3140" s="237"/>
      <c r="G3140" s="237"/>
      <c r="H3140" s="233"/>
      <c r="I3140" s="233"/>
      <c r="J3140" s="233"/>
      <c r="K3140" s="233"/>
      <c r="L3140" s="233"/>
      <c r="M3140" s="245" t="str">
        <f ca="1">IF(OR(AND($B3133&lt;&gt;"",$B3140&lt;&gt;"",$D3151&lt;=$C3151),AND($B3135&lt;&gt;"",$B3142&lt;&gt;"",$H3151&lt;=$G3151)),"Invalid Lineup","")</f>
        <v/>
      </c>
      <c r="N3140" s="246"/>
      <c r="O3140" s="246"/>
      <c r="P3140" s="247"/>
      <c r="Q3140" s="40" t="str">
        <f>IF($L3140=$L3142,IF($K3140=$K3142,IF($J3140&lt;&gt;"",IF($J3140&gt;$J3142,"W","L"),""),IF($K3140&gt;$K3142,"W","L")),IF($L3140&gt;$L3142,"W","L"))</f>
        <v/>
      </c>
      <c r="R3140" s="14"/>
      <c r="S3140" s="14"/>
      <c r="T3140" s="14"/>
      <c r="U3140" s="14"/>
      <c r="V3140" s="14"/>
      <c r="W3140" s="14"/>
      <c r="X3140" s="7"/>
      <c r="Y3140" s="7"/>
      <c r="Z3140" s="14"/>
      <c r="AA3140" s="14"/>
      <c r="AB3140" s="14"/>
      <c r="AC3140" s="14"/>
      <c r="AD3140" s="14"/>
      <c r="AE3140" s="14"/>
      <c r="AF3140"/>
    </row>
    <row r="3141" spans="1:32" ht="12.75" customHeight="1" x14ac:dyDescent="0.25">
      <c r="A3141" s="260"/>
      <c r="B3141" s="238"/>
      <c r="C3141" s="239"/>
      <c r="D3141" s="239"/>
      <c r="E3141" s="239"/>
      <c r="F3141" s="239"/>
      <c r="G3141" s="239"/>
      <c r="H3141" s="234"/>
      <c r="I3141" s="234"/>
      <c r="J3141" s="234"/>
      <c r="K3141" s="234"/>
      <c r="L3141" s="234"/>
      <c r="M3141" s="245"/>
      <c r="N3141" s="246"/>
      <c r="O3141" s="246"/>
      <c r="P3141" s="247"/>
      <c r="Q3141" s="110" t="str">
        <f>IF($Q3140&lt;&gt;"",IF($Q3140="W",IF(SUM(IF($H3140&gt;$H3142,1,0),IF($I3140&gt;$I3142,1,0),IF($J3140&gt;$J3142,1,0),IF($K3140&gt;$K3142,1,0),IF($L3140&gt;$L3142,1,0))&lt;&gt;3,"Error",""),""),"")</f>
        <v/>
      </c>
      <c r="R3141" s="295" t="str">
        <f>$A3121</f>
        <v/>
      </c>
      <c r="S3141" s="295"/>
      <c r="T3141" s="295"/>
      <c r="U3141" s="295"/>
      <c r="V3141" s="295"/>
      <c r="W3141" s="295"/>
      <c r="X3141" s="219" t="str">
        <f>CONCATENATE("(",$B3120," vs ",$K3120,")")</f>
        <v>(G vs I)</v>
      </c>
      <c r="Y3141" s="219"/>
      <c r="Z3141" s="295" t="str">
        <f>$J3121</f>
        <v/>
      </c>
      <c r="AA3141" s="295"/>
      <c r="AB3141" s="295"/>
      <c r="AC3141" s="295"/>
      <c r="AD3141" s="295"/>
      <c r="AE3141" s="295"/>
      <c r="AF3141"/>
    </row>
    <row r="3142" spans="1:32" ht="12.75" customHeight="1" x14ac:dyDescent="0.25">
      <c r="A3142" s="259" t="str">
        <f>K3120</f>
        <v>I</v>
      </c>
      <c r="B3142" s="236" t="str">
        <f ca="1">IF(AND(OFFSET($AO$1,$L3120-1,8,1,1),$A3121&lt;&gt;"",$J3121&lt;&gt;""),CHOOSE($L3120,$AQ$1,$AQ$2,$AQ$3,$AQ$4,$AQ$5,$AQ$6,$AQ$7,$AQ$8,$AQ$9,$AQ$10,$AQ$11,$AQ$12),"")</f>
        <v/>
      </c>
      <c r="C3142" s="237"/>
      <c r="D3142" s="237"/>
      <c r="E3142" s="237"/>
      <c r="F3142" s="237"/>
      <c r="G3142" s="237"/>
      <c r="H3142" s="233"/>
      <c r="I3142" s="233"/>
      <c r="J3142" s="233"/>
      <c r="K3142" s="233"/>
      <c r="L3142" s="233"/>
      <c r="M3142" s="250" t="s">
        <v>169</v>
      </c>
      <c r="N3142" s="251"/>
      <c r="O3142" s="251"/>
      <c r="P3142" s="252"/>
      <c r="Q3142" s="40" t="str">
        <f>IF($Q3140&lt;&gt;"",IF($Q3140="W","L","W"),"")</f>
        <v/>
      </c>
      <c r="R3142"/>
      <c r="S3142"/>
      <c r="T3142"/>
      <c r="U3142"/>
      <c r="V3142"/>
      <c r="W3142"/>
      <c r="X3142"/>
      <c r="Y3142"/>
      <c r="Z3142"/>
      <c r="AA3142"/>
      <c r="AB3142"/>
      <c r="AC3142"/>
      <c r="AD3142"/>
      <c r="AE3142"/>
      <c r="AF3142"/>
    </row>
    <row r="3143" spans="1:32" ht="12.75" customHeight="1" x14ac:dyDescent="0.25">
      <c r="A3143" s="260"/>
      <c r="B3143" s="238"/>
      <c r="C3143" s="239"/>
      <c r="D3143" s="239"/>
      <c r="E3143" s="239"/>
      <c r="F3143" s="239"/>
      <c r="G3143" s="239"/>
      <c r="H3143" s="234"/>
      <c r="I3143" s="234"/>
      <c r="J3143" s="235"/>
      <c r="K3143" s="235"/>
      <c r="L3143" s="235"/>
      <c r="M3143" s="250"/>
      <c r="N3143" s="251"/>
      <c r="O3143" s="251"/>
      <c r="P3143" s="252"/>
      <c r="Q3143" s="110" t="str">
        <f>IF($Q3142&lt;&gt;"",IF($Q3142="W",IF(SUM(IF($H3142&gt;$H3140,1,0),IF($I3142&gt;$I3140,1,0),IF($J3142&gt;$J3140,1,0),IF($K3142&gt;$K3140,1,0),IF($L3142&gt;$L3140,1,0))&lt;&gt;3,"Error",""),""),"")</f>
        <v/>
      </c>
      <c r="R3143" t="str">
        <f>$A3138</f>
        <v>3rd Singles</v>
      </c>
      <c r="S3143"/>
      <c r="T3143"/>
      <c r="U3143"/>
      <c r="V3143"/>
      <c r="W3143"/>
      <c r="X3143"/>
      <c r="Y3143"/>
      <c r="Z3143"/>
      <c r="AA3143"/>
      <c r="AB3143"/>
      <c r="AC3143"/>
      <c r="AD3143"/>
      <c r="AE3143"/>
      <c r="AF3143"/>
    </row>
    <row r="3144" spans="1:32" ht="12.75" customHeight="1" x14ac:dyDescent="0.25">
      <c r="Q3144" s="6"/>
      <c r="R3144" s="47" t="s">
        <v>160</v>
      </c>
      <c r="S3144" s="86" t="s">
        <v>58</v>
      </c>
      <c r="T3144" s="87"/>
      <c r="U3144" s="87"/>
      <c r="V3144" s="87"/>
      <c r="W3144" s="87"/>
      <c r="X3144" s="88"/>
      <c r="Y3144" s="47">
        <v>1</v>
      </c>
      <c r="Z3144" s="47">
        <v>2</v>
      </c>
      <c r="AA3144" s="47">
        <v>3</v>
      </c>
      <c r="AB3144" s="47">
        <v>4</v>
      </c>
      <c r="AC3144" s="47">
        <v>5</v>
      </c>
      <c r="AD3144" s="89"/>
      <c r="AE3144" s="90"/>
      <c r="AF3144" s="91"/>
    </row>
    <row r="3145" spans="1:32" ht="12.75" customHeight="1" x14ac:dyDescent="0.25">
      <c r="A3145" s="15" t="s">
        <v>168</v>
      </c>
      <c r="H3145" s="110" t="str">
        <f ca="1">IF($Q3147&lt;&gt;"",IF(AND($B3147&lt;&gt;"Missing Player",$B3149&lt;&gt;"Missing Player"),IF(AND(AND($H3147&gt;-1,$H3149&gt;-1),OR($H3147&gt;10,$H3149&gt;10),ABS($H3147-$H3149)&gt;1,IF(OR($H3147&gt;11,$H3149&gt;11),ABS($H3147-$H3149)=2,TRUE),$H3147=INT($H3147),$H3149=INT($H3149)),"","Error"),""),"")</f>
        <v/>
      </c>
      <c r="I3145" s="110" t="str">
        <f ca="1">IF($Q3147&lt;&gt;"",IF(AND($B3147&lt;&gt;"Missing Player",$B3149&lt;&gt;"Missing Player"),IF(AND(AND($I3147&gt;-1,$I3149&gt;-1),OR($I3147&gt;10,$I3149&gt;10),ABS($I3147-$I3149)&gt;1,IF(OR($I3147&gt;11,$I3149&gt;11),ABS($I3147-$I3149)=2,TRUE),$I3147=INT($I3147),$I3149=INT($I3149)),"","Error"),""),"")</f>
        <v/>
      </c>
      <c r="J3145" s="110" t="str">
        <f ca="1">IF($Q3147&lt;&gt;"",IF(AND($B3147&lt;&gt;"Missing Player",$B3149&lt;&gt;"Missing Player"),IF(AND(AND($J3147&gt;-1,$J3149&gt;-1),OR($J3147&gt;10,$J3149&gt;10),ABS($J3147-$J3149)&gt;1,IF(OR($J3147&gt;11,$J3149&gt;11),ABS($J3147-$J3149)=2,TRUE),$J3147=INT($J3147),$J3149=INT($J3149)),"","Error"),""),"")</f>
        <v/>
      </c>
      <c r="K3145" s="110" t="str">
        <f ca="1">IF($Q3147&lt;&gt;"",IF(AND($K3147&lt;&gt;"",$K3149&lt;&gt;""), IF(AND(AND($K3147&gt;-1,$K3149&gt;-1),OR($K3147&gt;10,$K3149&gt;10),ABS($K3147-$K3149)&gt;1,IF(OR($K3147&gt;11,$K3149&gt;11),ABS($K3147-$K3149)=2,TRUE),$K3147=INT($K3147),$K3149=INT($K3149)),"","Error"),""),"")</f>
        <v/>
      </c>
      <c r="L3145" s="110" t="str">
        <f ca="1">IF($Q3147&lt;&gt;"",IF(AND($L3147&lt;&gt;"",$L3149&lt;&gt;""), IF(AND(AND($L3147&gt;-1,$L3149&gt;-1),OR($L3147&gt;10,$L3149&gt;10),ABS($L3147-$L3149)&gt;1,IF(OR($L3147&gt;11,$L3149&gt;11),ABS($L3147-$L3149)=2,TRUE),$L3147=INT($L3147),$L3149=INT($L3149)),"","Error"),""),"")</f>
        <v/>
      </c>
      <c r="Q3145" s="6"/>
      <c r="R3145" s="259" t="str">
        <f>$B3120</f>
        <v>G</v>
      </c>
      <c r="S3145" s="307" t="str">
        <f ca="1">IF($B3140&lt;&gt;"",$B3140,"")</f>
        <v/>
      </c>
      <c r="T3145" s="308"/>
      <c r="U3145" s="308"/>
      <c r="V3145" s="308"/>
      <c r="W3145" s="308"/>
      <c r="X3145" s="309"/>
      <c r="Y3145" s="284"/>
      <c r="Z3145" s="284"/>
      <c r="AA3145" s="284"/>
      <c r="AB3145" s="284"/>
      <c r="AC3145" s="284"/>
      <c r="AD3145" s="296"/>
      <c r="AE3145" s="290"/>
      <c r="AF3145" s="291"/>
    </row>
    <row r="3146" spans="1:32" ht="12.75" customHeight="1" x14ac:dyDescent="0.25">
      <c r="A3146" s="5" t="s">
        <v>160</v>
      </c>
      <c r="B3146" s="256" t="s">
        <v>58</v>
      </c>
      <c r="C3146" s="257"/>
      <c r="D3146" s="257"/>
      <c r="E3146" s="257"/>
      <c r="F3146" s="257"/>
      <c r="G3146" s="258"/>
      <c r="H3146" s="5">
        <v>1</v>
      </c>
      <c r="I3146" s="5">
        <v>2</v>
      </c>
      <c r="J3146" s="5">
        <v>3</v>
      </c>
      <c r="K3146" s="5">
        <v>4</v>
      </c>
      <c r="L3146" s="5">
        <v>5</v>
      </c>
      <c r="M3146" s="270"/>
      <c r="N3146" s="271"/>
      <c r="O3146" s="271"/>
      <c r="P3146" s="272"/>
      <c r="Q3146" s="6"/>
      <c r="R3146" s="285"/>
      <c r="S3146" s="310"/>
      <c r="T3146" s="311"/>
      <c r="U3146" s="311"/>
      <c r="V3146" s="311"/>
      <c r="W3146" s="311"/>
      <c r="X3146" s="312"/>
      <c r="Y3146" s="285"/>
      <c r="Z3146" s="285"/>
      <c r="AA3146" s="285"/>
      <c r="AB3146" s="285"/>
      <c r="AC3146" s="285"/>
      <c r="AD3146" s="292"/>
      <c r="AE3146" s="293"/>
      <c r="AF3146" s="294"/>
    </row>
    <row r="3147" spans="1:32" ht="12.75" customHeight="1" x14ac:dyDescent="0.25">
      <c r="A3147" s="259" t="str">
        <f>B3120</f>
        <v>G</v>
      </c>
      <c r="B3147" s="236" t="str">
        <f ca="1">IF(AND(OFFSET($AO$1,$C3120-1,8,1,1),$A3121&lt;&gt;"",$J3121&lt;&gt;""),CHOOSE($C3120,$AR$1,$AR$2,$AR$3,$AR$4,$AR$5,$AR$6,$AR$7,$AR$8,$AR$9,$AR$10,$AR$11,$AR$12),"")</f>
        <v/>
      </c>
      <c r="C3147" s="237"/>
      <c r="D3147" s="237"/>
      <c r="E3147" s="237"/>
      <c r="F3147" s="237"/>
      <c r="G3147" s="237"/>
      <c r="H3147" s="233"/>
      <c r="I3147" s="233"/>
      <c r="J3147" s="233"/>
      <c r="K3147" s="233"/>
      <c r="L3147" s="233" t="str">
        <f ca="1">IF(AND($B3147&lt;&gt;"",$Q3126&lt;&gt;""),IF($B3147="Missing Player",0,IF($B3149="Missing Player",11,"")),"")</f>
        <v/>
      </c>
      <c r="M3147" s="245" t="str">
        <f ca="1">IF(OR(AND($B3140&lt;&gt;"",$B3147&lt;&gt;"",$E3151&lt;=$D3151),AND($B3142&lt;&gt;"",$B3149&lt;&gt;"",$I3151&lt;=$H3151)),"Invalid Lineup","")</f>
        <v/>
      </c>
      <c r="N3147" s="246"/>
      <c r="O3147" s="246"/>
      <c r="P3147" s="247"/>
      <c r="Q3147" s="40" t="str">
        <f ca="1">IF($L3147=$L3149,IF($K3147=$K3149,IF($J3147&lt;&gt;"",IF($J3147&gt;$J3149,"W","L"),""),IF($K3147&gt;$K3149,"W","L")),IF($L3147&gt;$L3149,"W","L"))</f>
        <v/>
      </c>
      <c r="R3147" s="259" t="str">
        <f>$K3120</f>
        <v>I</v>
      </c>
      <c r="S3147" s="307" t="str">
        <f ca="1">IF($B3142&lt;&gt;"",$B3142,"")</f>
        <v/>
      </c>
      <c r="T3147" s="308"/>
      <c r="U3147" s="308"/>
      <c r="V3147" s="308"/>
      <c r="W3147" s="308"/>
      <c r="X3147" s="309"/>
      <c r="Y3147" s="284"/>
      <c r="Z3147" s="284"/>
      <c r="AA3147" s="284"/>
      <c r="AB3147" s="284"/>
      <c r="AC3147" s="297"/>
      <c r="AD3147" s="289" t="s">
        <v>169</v>
      </c>
      <c r="AE3147" s="290"/>
      <c r="AF3147" s="291"/>
    </row>
    <row r="3148" spans="1:32" ht="12.75" customHeight="1" x14ac:dyDescent="0.25">
      <c r="A3148" s="260"/>
      <c r="B3148" s="238"/>
      <c r="C3148" s="239"/>
      <c r="D3148" s="239"/>
      <c r="E3148" s="239"/>
      <c r="F3148" s="239"/>
      <c r="G3148" s="239"/>
      <c r="H3148" s="234"/>
      <c r="I3148" s="234"/>
      <c r="J3148" s="234"/>
      <c r="K3148" s="234"/>
      <c r="L3148" s="234"/>
      <c r="M3148" s="245"/>
      <c r="N3148" s="246"/>
      <c r="O3148" s="246"/>
      <c r="P3148" s="247"/>
      <c r="Q3148" s="110" t="str">
        <f ca="1">IF($Q3147&lt;&gt;"",IF($B3149&lt;&gt;"Missing Player",IF($Q3147="W",IF(SUM(IF($H3147&gt;$H3149,1,0),IF($I3147&gt;$I3149,1,0),IF($J3147&gt;$J3149,1,0),IF($K3147&gt;$K3149,1,0),IF($L3147&gt;$L3149,1,0))&lt;&gt;3,"Error",""),""),""),"")</f>
        <v/>
      </c>
      <c r="R3148" s="285"/>
      <c r="S3148" s="310"/>
      <c r="T3148" s="311"/>
      <c r="U3148" s="311"/>
      <c r="V3148" s="311"/>
      <c r="W3148" s="311"/>
      <c r="X3148" s="312"/>
      <c r="Y3148" s="285"/>
      <c r="Z3148" s="285"/>
      <c r="AA3148" s="285"/>
      <c r="AB3148" s="285"/>
      <c r="AC3148" s="285"/>
      <c r="AD3148" s="292"/>
      <c r="AE3148" s="293"/>
      <c r="AF3148" s="294"/>
    </row>
    <row r="3149" spans="1:32" ht="12.75" customHeight="1" x14ac:dyDescent="0.25">
      <c r="A3149" s="259" t="str">
        <f>K3120</f>
        <v>I</v>
      </c>
      <c r="B3149" s="236" t="str">
        <f ca="1">IF(AND(OFFSET($AO$1,$L3120-1,8,1,1),$A3121&lt;&gt;"",$J3121&lt;&gt;""),CHOOSE($L3120,$AR$1,$AR$2,$AR$3,$AR$4,$AR$5,$AR$6,$AR$7,$AR$8,$AR$9,$AR$10,$AR$11,$AR$12),"")</f>
        <v/>
      </c>
      <c r="C3149" s="237"/>
      <c r="D3149" s="237"/>
      <c r="E3149" s="237"/>
      <c r="F3149" s="237"/>
      <c r="G3149" s="237"/>
      <c r="H3149" s="233"/>
      <c r="I3149" s="233"/>
      <c r="J3149" s="233"/>
      <c r="K3149" s="233"/>
      <c r="L3149" s="233" t="str">
        <f ca="1">IF(AND($B3149&lt;&gt;"",$Q3126&lt;&gt;""),IF($B3149="Missing Player",0,IF($B3147="Missing Player",11,"")),"")</f>
        <v/>
      </c>
      <c r="M3149" s="250" t="s">
        <v>169</v>
      </c>
      <c r="N3149" s="251"/>
      <c r="O3149" s="251"/>
      <c r="P3149" s="252"/>
      <c r="Q3149" s="40" t="str">
        <f ca="1">IF($Q3147&lt;&gt;"",IF($Q3147="W","L","W"),"")</f>
        <v/>
      </c>
      <c r="R3149" s="94"/>
      <c r="S3149" s="84"/>
      <c r="T3149" s="84"/>
      <c r="U3149" s="84"/>
      <c r="V3149" s="84"/>
      <c r="W3149" s="84"/>
      <c r="X3149" s="84"/>
      <c r="Y3149" s="93"/>
      <c r="Z3149" s="93"/>
      <c r="AA3149" s="93"/>
      <c r="AB3149" s="93"/>
      <c r="AC3149" s="93"/>
      <c r="AD3149" s="92"/>
      <c r="AE3149" s="93"/>
      <c r="AF3149" s="93"/>
    </row>
    <row r="3150" spans="1:32" ht="12.75" customHeight="1" x14ac:dyDescent="0.25">
      <c r="A3150" s="260"/>
      <c r="B3150" s="238"/>
      <c r="C3150" s="239"/>
      <c r="D3150" s="239"/>
      <c r="E3150" s="239"/>
      <c r="F3150" s="239"/>
      <c r="G3150" s="239"/>
      <c r="H3150" s="234"/>
      <c r="I3150" s="234"/>
      <c r="J3150" s="235"/>
      <c r="K3150" s="235"/>
      <c r="L3150" s="235"/>
      <c r="M3150" s="250"/>
      <c r="N3150" s="251"/>
      <c r="O3150" s="251"/>
      <c r="P3150" s="252"/>
      <c r="Q3150" s="110" t="str">
        <f ca="1">IF($Q3149&lt;&gt;"",IF($B3147&lt;&gt;"Missing Player",IF($Q3149="W",IF(SUM(IF($H3149&gt;$H3147,1,0),IF($I3149&gt;$I3147,1,0),IF($J3149&gt;$J3147,1,0),IF($K3149&gt;$K3147,1,0),IF($L3149&gt;$L3147,1,0))&lt;&gt;3,"Error",""),""),""),"")</f>
        <v/>
      </c>
      <c r="R3150" s="85"/>
      <c r="S3150" s="95"/>
      <c r="T3150" s="95"/>
      <c r="U3150" s="95"/>
      <c r="V3150" s="95"/>
      <c r="W3150" s="95"/>
      <c r="X3150" s="95"/>
      <c r="Y3150" s="85"/>
      <c r="Z3150" s="85"/>
      <c r="AA3150" s="85"/>
      <c r="AB3150" s="85"/>
      <c r="AC3150" s="85"/>
      <c r="AD3150" s="85"/>
      <c r="AE3150" s="85"/>
      <c r="AF3150" s="85"/>
    </row>
    <row r="3151" spans="1:32" ht="12.75" customHeight="1" x14ac:dyDescent="0.25">
      <c r="B3151" s="111" t="str">
        <f ca="1">IF(ISERROR(VLOOKUP($B3126&amp;"("&amp;$B3120&amp;")",Players!$S$4:$T$132,2,FALSE)),"",VLOOKUP($B3126&amp;"("&amp;$B3120&amp;")",Players!$S$4:$T$132,2,FALSE))</f>
        <v>G1</v>
      </c>
      <c r="C3151" s="111" t="str">
        <f ca="1">IF(ISERROR(VLOOKUP($B3133&amp;"("&amp;$B3120&amp;")",Players!$S$4:$T$132,2,FALSE)),"",VLOOKUP($B3133&amp;"("&amp;$B3120&amp;")",Players!$S$4:$T$132,2,FALSE))</f>
        <v>G1</v>
      </c>
      <c r="D3151" s="111" t="str">
        <f ca="1">IF(ISERROR(VLOOKUP($B3140&amp;"("&amp;$B3120&amp;")",Players!$S$4:$T$132,2,FALSE)),"",VLOOKUP($B3140&amp;"("&amp;$B3120&amp;")",Players!$S$4:$T$132,2,FALSE))</f>
        <v>G1</v>
      </c>
      <c r="E3151" s="111" t="str">
        <f ca="1">IF(ISERROR(VLOOKUP($B3147&amp;"("&amp;$B3120&amp;")",Players!$S$4:$T$132,2,FALSE)),"",VLOOKUP($B3147&amp;"("&amp;$B3120&amp;")",Players!$S$4:$T$132,2,FALSE))</f>
        <v>G1</v>
      </c>
      <c r="F3151" s="111" t="str">
        <f ca="1">IF(ISERROR(VLOOKUP($B3128&amp;"("&amp;$K3120&amp;")",Players!$S$4:$T$132,2,FALSE)),"",VLOOKUP($B3128&amp;"("&amp;$K3120&amp;")",Players!$S$4:$T$132,2,FALSE))</f>
        <v>I1</v>
      </c>
      <c r="G3151" s="111" t="str">
        <f ca="1">IF(ISERROR(VLOOKUP($B3135&amp;"("&amp;$K3120&amp;")",Players!$S$4:$T$132,2,FALSE)),"",VLOOKUP($B3135&amp;"("&amp;$K3120&amp;")",Players!$S$4:$T$132,2,FALSE))</f>
        <v>I1</v>
      </c>
      <c r="H3151" s="111" t="str">
        <f ca="1">IF(ISERROR(VLOOKUP($B3142&amp;"("&amp;$K3120&amp;")",Players!$S$4:$T$132,2,FALSE)),"",VLOOKUP($B3142&amp;"("&amp;$K3120&amp;")",Players!$S$4:$T$132,2,FALSE))</f>
        <v>I1</v>
      </c>
      <c r="I3151" s="111" t="str">
        <f ca="1">IF(ISERROR(VLOOKUP($B3149&amp;"("&amp;$K3120&amp;")",Players!$S$4:$T$132,2,FALSE)),"",VLOOKUP($B3149&amp;"("&amp;$K3120&amp;")",Players!$S$4:$T$132,2,FALSE))</f>
        <v>I1</v>
      </c>
      <c r="Q3151" s="6"/>
      <c r="R3151" s="37"/>
      <c r="S3151" s="95"/>
      <c r="T3151" s="95"/>
      <c r="U3151" s="95"/>
      <c r="V3151" s="95"/>
      <c r="W3151" s="95"/>
      <c r="X3151" s="95"/>
      <c r="Y3151" s="85"/>
      <c r="Z3151" s="85"/>
      <c r="AA3151" s="85"/>
      <c r="AB3151" s="85"/>
      <c r="AC3151" s="96"/>
      <c r="AD3151" s="97"/>
      <c r="AE3151" s="85"/>
      <c r="AF3151" s="85"/>
    </row>
    <row r="3152" spans="1:32" ht="12.75" customHeight="1" x14ac:dyDescent="0.25">
      <c r="A3152" s="15" t="s">
        <v>157</v>
      </c>
      <c r="H3152" s="110" t="str">
        <f ca="1">IF($Q3154&lt;&gt;"",IF(AND($B3155&lt;&gt;"Missing Player",$B3157&lt;&gt;"Missing Player"),IF(AND(AND($H3154&gt;-1,$H3156&gt;-1),OR($H3154&gt;10,$H3156&gt;10),ABS($H3154-$H3156)&gt;1,IF(OR($H3154&gt;11,$H3156&gt;11),ABS($H3154-$H3156)=2,TRUE),$H3154=INT($H3154),$H3156=INT($H3156)),"","Error"),""),"")</f>
        <v/>
      </c>
      <c r="I3152" s="110" t="str">
        <f ca="1">IF($Q3154&lt;&gt;"",IF(AND($B3155&lt;&gt;"Missing Player",$B3157&lt;&gt;"Missing Player"),IF(AND(AND($I3154&gt;-1,$I3156&gt;-1),OR($I3154&gt;10,$I3156&gt;10),ABS($I3154-$I3156)&gt;1,IF(OR($I3154&gt;11,$I3156&gt;11),ABS($I3154-$I3156)=2,TRUE),$I3154=INT($I3154),$I3156=INT($I3156)),"","Error"),""),"")</f>
        <v/>
      </c>
      <c r="J3152" s="110" t="str">
        <f ca="1">IF($Q3154&lt;&gt;"",IF(AND($B3155&lt;&gt;"Missing Player",$B3157&lt;&gt;"Missing Player"),IF(AND(AND($J3154&gt;-1,$J3156&gt;-1),OR($J3154&gt;10,$J3156&gt;10),ABS($J3154-$J3156)&gt;1,IF(OR($J3154&gt;11,$J3156&gt;11),ABS($J3154-$J3156)=2,TRUE),$J3154=INT($J3154),$J3156=INT($J3156)),"","Error"),""),"")</f>
        <v/>
      </c>
      <c r="K3152" s="110" t="str">
        <f ca="1">IF($Q3154&lt;&gt;"",IF(AND($K3154&lt;&gt;"",$K3156&lt;&gt;""), IF(AND(AND($K3154&gt;-1,$K3156&gt;-1),OR($K3154&gt;10,$K3156&gt;10),ABS($K3154-$K3156)&gt;1,IF(OR($K3154&gt;11,$K3156&gt;11),ABS($K3154-$K3156)=2,TRUE),$K3154=INT($K3154),$K3156=INT($K3156)),"","Error"),""),"")</f>
        <v/>
      </c>
      <c r="L3152" s="110" t="str">
        <f ca="1">IF($Q3154&lt;&gt;"",IF(AND($L3154&lt;&gt;"",$L3156&lt;&gt;""), IF(AND(AND($L3154&gt;-1,$L3156&gt;-1),OR($L3154&gt;10,$L3156&gt;10),ABS($L3154-$L3156)&gt;1,IF(OR($L3154&gt;11,$L3156&gt;11),ABS($L3154-$L3156)=2,TRUE),$L3154=INT($L3154),$L3156=INT($L3156)),"","Error"),""),"")</f>
        <v/>
      </c>
      <c r="Q3152" s="6"/>
      <c r="R3152" s="85"/>
      <c r="S3152" s="95"/>
      <c r="T3152" s="95"/>
      <c r="U3152" s="95"/>
      <c r="V3152" s="95"/>
      <c r="W3152" s="95"/>
      <c r="X3152" s="95"/>
      <c r="Y3152" s="85"/>
      <c r="Z3152" s="85"/>
      <c r="AA3152" s="85"/>
      <c r="AB3152" s="85"/>
      <c r="AC3152" s="85"/>
      <c r="AD3152" s="85"/>
      <c r="AE3152" s="85"/>
      <c r="AF3152" s="85"/>
    </row>
    <row r="3153" spans="1:32" ht="12.75" customHeight="1" x14ac:dyDescent="0.25">
      <c r="A3153" s="5" t="s">
        <v>160</v>
      </c>
      <c r="B3153" s="256" t="s">
        <v>58</v>
      </c>
      <c r="C3153" s="257"/>
      <c r="D3153" s="257"/>
      <c r="E3153" s="257"/>
      <c r="F3153" s="257"/>
      <c r="G3153" s="258"/>
      <c r="H3153" s="5">
        <v>1</v>
      </c>
      <c r="I3153" s="5">
        <v>2</v>
      </c>
      <c r="J3153" s="5">
        <v>3</v>
      </c>
      <c r="K3153" s="5">
        <v>4</v>
      </c>
      <c r="L3153" s="5">
        <v>5</v>
      </c>
      <c r="M3153" s="270"/>
      <c r="N3153" s="271"/>
      <c r="O3153" s="271"/>
      <c r="P3153" s="272"/>
      <c r="Q3153" s="6"/>
      <c r="T3153" s="7"/>
    </row>
    <row r="3154" spans="1:32" ht="12.75" customHeight="1" x14ac:dyDescent="0.25">
      <c r="A3154" s="259" t="str">
        <f>B3120</f>
        <v>G</v>
      </c>
      <c r="B3154" s="230" t="str">
        <f ca="1">IF($B3126&lt;&gt;"",$B3126,"")</f>
        <v/>
      </c>
      <c r="C3154" s="231"/>
      <c r="D3154" s="231"/>
      <c r="E3154" s="231"/>
      <c r="F3154" s="231"/>
      <c r="G3154" s="232"/>
      <c r="H3154" s="233"/>
      <c r="I3154" s="233"/>
      <c r="J3154" s="233"/>
      <c r="K3154" s="233"/>
      <c r="L3154" s="233" t="str">
        <f ca="1">IF($B3147&lt;&gt;"",IF(AND($B3147="Missing Player",$G3158=2,$J3158=2),0,IF(AND($B3149="Missing Player",$G3158=2,$J3158=2),11,"")),"")</f>
        <v/>
      </c>
      <c r="M3154" s="245" t="str">
        <f ca="1">IF(OR(AND($B3154&lt;&gt;"",$B3155&lt;&gt;"",$B3154=$B3155),AND($B3156&lt;&gt;"",$B3157&lt;&gt;"",$B3156=$B3157)),"Invalid Partner","")</f>
        <v/>
      </c>
      <c r="N3154" s="246"/>
      <c r="O3154" s="246"/>
      <c r="P3154" s="247"/>
      <c r="Q3154" s="37" t="str">
        <f ca="1">IF(L3154=L3156,IF(K3154=K3156,IF(J3154&lt;&gt;"",IF(J3154&gt;J3156,"W","L"),""),IF(K3154&gt;K3156,"W","L")),IF(L3154&gt;L3156,"W","L"))</f>
        <v/>
      </c>
      <c r="T3154" s="7"/>
    </row>
    <row r="3155" spans="1:32" ht="12.75" customHeight="1" x14ac:dyDescent="0.25">
      <c r="A3155" s="260"/>
      <c r="B3155" s="266" t="str">
        <f ca="1">IF($B3147="Missing Player",$B3147,"")</f>
        <v/>
      </c>
      <c r="C3155" s="267"/>
      <c r="D3155" s="267"/>
      <c r="E3155" s="267"/>
      <c r="F3155" s="267"/>
      <c r="G3155" s="268"/>
      <c r="H3155" s="234"/>
      <c r="I3155" s="234"/>
      <c r="J3155" s="234"/>
      <c r="K3155" s="234"/>
      <c r="L3155" s="234"/>
      <c r="M3155" s="245"/>
      <c r="N3155" s="246"/>
      <c r="O3155" s="246"/>
      <c r="P3155" s="247"/>
      <c r="Q3155" s="110" t="str">
        <f ca="1">IF($Q3154&lt;&gt;"",IF($B3157&lt;&gt;"Missing Player",IF($Q3154="W",IF(SUM(IF($H3154&gt;$H3156,1,0),IF($I3154&gt;$I3156,1,0),IF($J3154&gt;$J3156,1,0),IF($K3154&gt;$K3156,1,0),IF($L3154&gt;$L3156,1,0))&lt;&gt;3,"Error",""),""),""),"")</f>
        <v/>
      </c>
      <c r="R3155" s="295" t="str">
        <f>$A3121</f>
        <v/>
      </c>
      <c r="S3155" s="295"/>
      <c r="T3155" s="295"/>
      <c r="U3155" s="295"/>
      <c r="V3155" s="295"/>
      <c r="W3155" s="295"/>
      <c r="X3155" s="219" t="str">
        <f>CONCATENATE("(",$B3120," vs ",$K3120,")")</f>
        <v>(G vs I)</v>
      </c>
      <c r="Y3155" s="219"/>
      <c r="Z3155" s="295" t="str">
        <f>$J3121</f>
        <v/>
      </c>
      <c r="AA3155" s="295"/>
      <c r="AB3155" s="295"/>
      <c r="AC3155" s="295"/>
      <c r="AD3155" s="295"/>
      <c r="AE3155" s="295"/>
      <c r="AF3155"/>
    </row>
    <row r="3156" spans="1:32" ht="12.75" customHeight="1" x14ac:dyDescent="0.25">
      <c r="A3156" s="265" t="str">
        <f>K3120</f>
        <v>I</v>
      </c>
      <c r="B3156" s="230" t="str">
        <f ca="1">IF($B3128&lt;&gt;"",$B3128,"")</f>
        <v/>
      </c>
      <c r="C3156" s="231"/>
      <c r="D3156" s="231"/>
      <c r="E3156" s="231"/>
      <c r="F3156" s="231"/>
      <c r="G3156" s="232"/>
      <c r="H3156" s="233"/>
      <c r="I3156" s="233"/>
      <c r="J3156" s="233"/>
      <c r="K3156" s="233"/>
      <c r="L3156" s="233" t="str">
        <f ca="1">IF($B3149&lt;&gt;"",IF(AND($B3149="Missing Player",$G3158=2,$J3158=2),0,IF(AND($B3147="Missing Player",$G3158=2,$J3158=2),11,"")),"")</f>
        <v/>
      </c>
      <c r="M3156" s="250" t="s">
        <v>169</v>
      </c>
      <c r="N3156" s="251"/>
      <c r="O3156" s="251"/>
      <c r="P3156" s="252"/>
      <c r="Q3156" s="37" t="str">
        <f ca="1">IF(Q3154&lt;&gt;"",IF(Q3154="W","L","W"),"")</f>
        <v/>
      </c>
      <c r="R3156"/>
      <c r="S3156"/>
      <c r="T3156"/>
      <c r="U3156"/>
      <c r="V3156"/>
      <c r="W3156"/>
      <c r="X3156"/>
      <c r="Y3156"/>
      <c r="Z3156"/>
      <c r="AA3156"/>
      <c r="AB3156"/>
      <c r="AC3156"/>
      <c r="AD3156"/>
      <c r="AE3156"/>
      <c r="AF3156"/>
    </row>
    <row r="3157" spans="1:32" ht="12.75" customHeight="1" x14ac:dyDescent="0.25">
      <c r="A3157" s="260"/>
      <c r="B3157" s="266" t="str">
        <f ca="1">IF($B3149="Missing Player",$B3149,"")</f>
        <v/>
      </c>
      <c r="C3157" s="267"/>
      <c r="D3157" s="267"/>
      <c r="E3157" s="267"/>
      <c r="F3157" s="267"/>
      <c r="G3157" s="268"/>
      <c r="H3157" s="234"/>
      <c r="I3157" s="234"/>
      <c r="J3157" s="235"/>
      <c r="K3157" s="235"/>
      <c r="L3157" s="235"/>
      <c r="M3157" s="250"/>
      <c r="N3157" s="251"/>
      <c r="O3157" s="251"/>
      <c r="P3157" s="252"/>
      <c r="Q3157" s="110" t="str">
        <f ca="1">IF($Q3156&lt;&gt;"",IF($B3155&lt;&gt;"Missing Player",IF($Q3156="W",IF(SUM(IF($H3156&gt;$H3154,1,0),IF($I3156&gt;$I3154,1,0),IF($J3156&gt;$J3154,1,0),IF($K3156&gt;$K3154,1,0),IF($L3156&gt;$L3154,1,0))&lt;&gt;3,"Error",""),""),""),"")</f>
        <v/>
      </c>
      <c r="R3157" t="str">
        <f>A3145</f>
        <v>4th Singles</v>
      </c>
      <c r="S3157"/>
      <c r="T3157"/>
      <c r="U3157"/>
      <c r="V3157"/>
      <c r="W3157"/>
      <c r="X3157"/>
      <c r="Y3157"/>
      <c r="Z3157"/>
      <c r="AA3157"/>
      <c r="AB3157"/>
      <c r="AC3157"/>
      <c r="AD3157"/>
      <c r="AE3157"/>
      <c r="AF3157"/>
    </row>
    <row r="3158" spans="1:32" ht="12.75" customHeight="1" x14ac:dyDescent="0.25">
      <c r="G3158" s="53">
        <f ca="1">COUNTIF($Q3126:$Q3126,"W")+COUNTIF($Q3133:$Q3133,"W")+COUNTIF($Q3140:$Q3140,"W")+COUNTIF($Q3147:$Q3147,"W")</f>
        <v>0</v>
      </c>
      <c r="J3158" s="53">
        <f ca="1">COUNTIF($Q3128:$Q3128,"W")+COUNTIF($Q3135:$Q3135,"W")+COUNTIF($Q3142:$Q3142,"W")+COUNTIF($Q3149:$Q3149,"W")</f>
        <v>0</v>
      </c>
      <c r="R3158" s="47" t="s">
        <v>160</v>
      </c>
      <c r="S3158" s="304" t="s">
        <v>58</v>
      </c>
      <c r="T3158" s="305"/>
      <c r="U3158" s="305"/>
      <c r="V3158" s="305"/>
      <c r="W3158" s="305"/>
      <c r="X3158" s="306"/>
      <c r="Y3158" s="47">
        <v>1</v>
      </c>
      <c r="Z3158" s="47">
        <v>2</v>
      </c>
      <c r="AA3158" s="47">
        <v>3</v>
      </c>
      <c r="AB3158" s="47">
        <v>4</v>
      </c>
      <c r="AC3158" s="47">
        <v>5</v>
      </c>
      <c r="AD3158" s="286"/>
      <c r="AE3158" s="287"/>
      <c r="AF3158" s="288"/>
    </row>
    <row r="3159" spans="1:32" ht="12.75" customHeight="1" thickBot="1" x14ac:dyDescent="0.3">
      <c r="F3159" s="212" t="s">
        <v>170</v>
      </c>
      <c r="G3159" s="212"/>
      <c r="H3159" s="212"/>
      <c r="I3159" s="212"/>
      <c r="J3159" s="212"/>
      <c r="K3159" s="212"/>
      <c r="R3159" s="259" t="str">
        <f>B3120</f>
        <v>G</v>
      </c>
      <c r="S3159" s="307" t="str">
        <f ca="1">IF($B3147&lt;&gt;"",$B3147,"")</f>
        <v/>
      </c>
      <c r="T3159" s="308"/>
      <c r="U3159" s="308"/>
      <c r="V3159" s="308"/>
      <c r="W3159" s="308"/>
      <c r="X3159" s="309"/>
      <c r="Y3159" s="284"/>
      <c r="Z3159" s="284"/>
      <c r="AA3159" s="297"/>
      <c r="AB3159" s="297"/>
      <c r="AC3159" s="297"/>
      <c r="AD3159" s="296"/>
      <c r="AE3159" s="298"/>
      <c r="AF3159" s="299"/>
    </row>
    <row r="3160" spans="1:32" ht="12.75" customHeight="1" x14ac:dyDescent="0.25">
      <c r="A3160" s="16"/>
      <c r="B3160" s="16"/>
      <c r="C3160" s="16"/>
      <c r="D3160" s="16"/>
      <c r="E3160" s="16"/>
      <c r="G3160" s="261" t="str">
        <f>B3120</f>
        <v>G</v>
      </c>
      <c r="H3160" s="262"/>
      <c r="I3160" s="263" t="str">
        <f>K3120</f>
        <v>I</v>
      </c>
      <c r="J3160" s="264"/>
      <c r="L3160" s="16"/>
      <c r="M3160" s="16"/>
      <c r="N3160" s="16"/>
      <c r="O3160" s="16"/>
      <c r="P3160" s="16"/>
      <c r="R3160" s="260"/>
      <c r="S3160" s="310"/>
      <c r="T3160" s="311"/>
      <c r="U3160" s="311"/>
      <c r="V3160" s="311"/>
      <c r="W3160" s="311"/>
      <c r="X3160" s="312"/>
      <c r="Y3160" s="285"/>
      <c r="Z3160" s="285"/>
      <c r="AA3160" s="303"/>
      <c r="AB3160" s="303"/>
      <c r="AC3160" s="303"/>
      <c r="AD3160" s="300"/>
      <c r="AE3160" s="301"/>
      <c r="AF3160" s="302"/>
    </row>
    <row r="3161" spans="1:32" ht="12.75" customHeight="1" thickBot="1" x14ac:dyDescent="0.3">
      <c r="A3161" s="2" t="s">
        <v>160</v>
      </c>
      <c r="B3161" s="40" t="str">
        <f>B3120</f>
        <v>G</v>
      </c>
      <c r="C3161" s="3" t="s">
        <v>158</v>
      </c>
      <c r="F3161" s="53" t="str">
        <f>CONCATENATE($B3120,"-",$K3120)</f>
        <v>G-I</v>
      </c>
      <c r="G3161" s="240" t="str">
        <f ca="1">IF(OR(Q3126&lt;&gt;"",Q3133&lt;&gt;"",Q3140&lt;&gt;"",Q3147&lt;&gt;"",Q3154&lt;&gt;""),COUNTIF(Q3126:Q3126,"W")+COUNTIF(Q3133:Q3133,"W")+COUNTIF(Q3140:Q3140,"W")+COUNTIF(Q3147:Q3147,"W")+COUNTIF(Q3154:Q3154,"W"),"")</f>
        <v/>
      </c>
      <c r="H3161" s="241"/>
      <c r="I3161" s="242" t="str">
        <f ca="1">IF(OR(Q3128&lt;&gt;"",Q3135&lt;&gt;"",Q3142&lt;&gt;"",Q3149&lt;&gt;"",Q3156&lt;&gt;""),COUNTIF(Q3128:Q3128,"W")+COUNTIF(Q3135:Q3135,"W")+COUNTIF(Q3142:Q3142,"W")+COUNTIF(Q3149:Q3149,"W")+COUNTIF(Q3156:Q3156,"W"),"")</f>
        <v/>
      </c>
      <c r="J3161" s="243"/>
      <c r="L3161" s="2" t="s">
        <v>160</v>
      </c>
      <c r="M3161" s="40" t="str">
        <f>K3120</f>
        <v>I</v>
      </c>
      <c r="N3161" s="3" t="s">
        <v>158</v>
      </c>
      <c r="R3161" s="259" t="str">
        <f>K3120</f>
        <v>I</v>
      </c>
      <c r="S3161" s="307" t="str">
        <f ca="1">IF($B3149&lt;&gt;"",$B3149,"")</f>
        <v/>
      </c>
      <c r="T3161" s="308"/>
      <c r="U3161" s="308"/>
      <c r="V3161" s="308"/>
      <c r="W3161" s="308"/>
      <c r="X3161" s="309"/>
      <c r="Y3161" s="284"/>
      <c r="Z3161" s="284"/>
      <c r="AA3161" s="297"/>
      <c r="AB3161" s="297"/>
      <c r="AC3161" s="297"/>
      <c r="AD3161" s="289" t="s">
        <v>169</v>
      </c>
      <c r="AE3161" s="290"/>
      <c r="AF3161" s="291"/>
    </row>
    <row r="3162" spans="1:32" ht="12.75" customHeight="1" x14ac:dyDescent="0.35">
      <c r="F3162" s="18" t="s">
        <v>403</v>
      </c>
      <c r="G3162" s="17"/>
      <c r="H3162" s="17"/>
      <c r="I3162" s="17"/>
      <c r="J3162" s="17"/>
      <c r="R3162" s="285"/>
      <c r="S3162" s="310"/>
      <c r="T3162" s="311"/>
      <c r="U3162" s="311"/>
      <c r="V3162" s="311"/>
      <c r="W3162" s="311"/>
      <c r="X3162" s="312"/>
      <c r="Y3162" s="285"/>
      <c r="Z3162" s="285"/>
      <c r="AA3162" s="285"/>
      <c r="AB3162" s="285"/>
      <c r="AC3162" s="285"/>
      <c r="AD3162" s="292"/>
      <c r="AE3162" s="293"/>
      <c r="AF3162" s="294"/>
    </row>
    <row r="3163" spans="1:32" ht="12.75" customHeight="1" x14ac:dyDescent="0.25">
      <c r="R3163" s="1"/>
      <c r="S3163" s="11"/>
      <c r="T3163" s="11"/>
      <c r="U3163" s="11"/>
      <c r="V3163" s="11"/>
      <c r="W3163" s="11"/>
    </row>
    <row r="3164" spans="1:32" ht="12.75" customHeight="1" x14ac:dyDescent="0.25">
      <c r="F3164" s="212"/>
      <c r="G3164" s="212"/>
      <c r="H3164" s="212"/>
      <c r="I3164" s="212"/>
      <c r="R3164" s="1"/>
      <c r="S3164" s="11"/>
      <c r="T3164" s="11"/>
      <c r="U3164" s="11"/>
      <c r="V3164" s="11"/>
      <c r="W3164" s="11"/>
    </row>
    <row r="3165" spans="1:32" ht="12.75" customHeight="1" x14ac:dyDescent="0.25">
      <c r="F3165" s="212"/>
      <c r="G3165" s="212"/>
      <c r="H3165" s="212"/>
      <c r="I3165" s="212"/>
      <c r="R3165" s="1"/>
      <c r="S3165" s="11"/>
      <c r="T3165" s="11"/>
      <c r="U3165" s="11"/>
      <c r="V3165" s="11"/>
      <c r="W3165" s="11"/>
    </row>
    <row r="3166" spans="1:32" ht="12.75" customHeight="1" x14ac:dyDescent="0.25">
      <c r="K3166" s="219" t="s">
        <v>176</v>
      </c>
      <c r="L3166" s="219"/>
      <c r="M3166" s="219"/>
      <c r="N3166" s="219"/>
      <c r="O3166" s="219"/>
      <c r="P3166" s="219"/>
      <c r="R3166" s="1"/>
      <c r="S3166" s="11"/>
      <c r="T3166" s="11"/>
      <c r="U3166" s="11"/>
      <c r="V3166" s="11"/>
      <c r="W3166" s="11"/>
    </row>
    <row r="3167" spans="1:32" ht="12.75" customHeight="1" x14ac:dyDescent="0.25">
      <c r="A3167" s="9" t="s">
        <v>161</v>
      </c>
      <c r="B3167"/>
      <c r="C3167"/>
      <c r="D3167" t="str">
        <f>Draw!$B$1</f>
        <v>Enter Division Name</v>
      </c>
      <c r="E3167"/>
      <c r="F3167" s="6"/>
      <c r="G3167" s="6"/>
      <c r="H3167" s="6"/>
      <c r="I3167"/>
      <c r="J3167"/>
      <c r="K3167"/>
      <c r="L3167"/>
      <c r="M3167" s="219"/>
      <c r="N3167" s="219"/>
      <c r="O3167" s="219"/>
      <c r="P3167" s="219"/>
      <c r="R3167" s="1"/>
      <c r="S3167" s="11"/>
      <c r="T3167" s="11"/>
      <c r="U3167" s="11"/>
      <c r="V3167" s="11"/>
      <c r="W3167" s="11"/>
    </row>
    <row r="3168" spans="1:32" ht="12.75" customHeight="1" x14ac:dyDescent="0.25">
      <c r="A3168" s="2" t="s">
        <v>162</v>
      </c>
      <c r="D3168" t="str">
        <f>Draw!$D$1</f>
        <v>Enter Hosting Location (City, ST)</v>
      </c>
      <c r="J3168" t="str">
        <f ca="1">$J$6</f>
        <v>[NCTTA Teams Template (v3.4).xlsx]</v>
      </c>
      <c r="R3168" s="1"/>
      <c r="S3168" s="11"/>
      <c r="T3168" s="11"/>
      <c r="U3168" s="11"/>
      <c r="V3168" s="11"/>
      <c r="W3168" s="11"/>
    </row>
    <row r="3169" spans="1:32" ht="12.75" customHeight="1" x14ac:dyDescent="0.25">
      <c r="A3169" s="2" t="s">
        <v>163</v>
      </c>
      <c r="D3169" s="275" t="str">
        <f>Draw!$P$1</f>
        <v>Enter Date</v>
      </c>
      <c r="E3169" s="275"/>
      <c r="F3169" s="275"/>
      <c r="G3169" s="275"/>
      <c r="J3169" s="244" t="str">
        <f>CHOOSE(Draw!$T$1,"Round 11, Match 3","","","","","","","","","","")</f>
        <v>Round 11, Match 3</v>
      </c>
      <c r="K3169" s="244"/>
      <c r="L3169" s="244"/>
      <c r="M3169" s="277" t="str">
        <f>IF(AND($J3169&lt;&gt;"",Draw!$AC$10&lt;&gt;"",Draw!$AC$13&lt;&gt;""),Draw!$AC$10+TIME(0,VALUE(MID($J3169,7,FIND(",",$J3169)-FIND(" ",$J3169)-1)-1)*Draw!$AC$13,0),"")</f>
        <v/>
      </c>
      <c r="N3169" s="277"/>
      <c r="O3169" s="125" t="str">
        <f>$F3212</f>
        <v>F-J</v>
      </c>
      <c r="R3169" s="1"/>
      <c r="S3169" s="11"/>
      <c r="T3169" s="11"/>
      <c r="U3169" s="11"/>
      <c r="V3169" s="11"/>
      <c r="W3169" s="11"/>
    </row>
    <row r="3170" spans="1:32" ht="12.75" customHeight="1" x14ac:dyDescent="0.25">
      <c r="A3170" s="6"/>
      <c r="B3170"/>
      <c r="C3170"/>
      <c r="D3170"/>
      <c r="E3170"/>
      <c r="F3170" s="6"/>
      <c r="G3170" s="6"/>
      <c r="H3170" s="11"/>
      <c r="I3170" s="6"/>
      <c r="J3170"/>
      <c r="K3170"/>
      <c r="L3170"/>
      <c r="M3170"/>
      <c r="N3170"/>
      <c r="O3170" s="269" t="str">
        <f>IF(OR(AND(VLOOKUP($B3171,$AM$1:$AX$12,12,FALSE)="C",VLOOKUP($K3171,$AM$1:$AX$12,12,FALSE)="C"),AND(VLOOKUP($B3171,$AM$1:$AX$12,12,FALSE)="W",VLOOKUP($K3171,$AM$1:$AX$12,12,FALSE)="W")),"Official",IF(AND($A3172="",$J3172=""),"","Scrimmage"))</f>
        <v/>
      </c>
      <c r="P3170" s="269"/>
      <c r="R3170" s="1"/>
      <c r="S3170" s="11"/>
      <c r="T3170" s="11"/>
      <c r="U3170" s="11"/>
      <c r="V3170" s="11"/>
      <c r="W3170" s="11"/>
    </row>
    <row r="3171" spans="1:32" ht="12.75" customHeight="1" x14ac:dyDescent="0.25">
      <c r="A3171" s="12" t="s">
        <v>160</v>
      </c>
      <c r="B3171" s="98" t="str">
        <f>CHOOSE(Draw!$T$1,"F","F","H","H","I","I","I","I","I","I","H")</f>
        <v>F</v>
      </c>
      <c r="C3171" s="109">
        <f>VLOOKUP($B3171,$AM$1:$AN$12,2)</f>
        <v>6</v>
      </c>
      <c r="D3171" s="10"/>
      <c r="E3171" s="10"/>
      <c r="F3171" s="8"/>
      <c r="H3171" s="1" t="s">
        <v>164</v>
      </c>
      <c r="J3171" s="12" t="s">
        <v>160</v>
      </c>
      <c r="K3171" s="98" t="str">
        <f>CHOOSE(Draw!$T$1,"J","I","I","L","L","L","L","L","L","L","L")</f>
        <v>J</v>
      </c>
      <c r="L3171" s="109">
        <f>VLOOKUP($K3171,$AM$1:$AN$12,2)</f>
        <v>10</v>
      </c>
      <c r="M3171" s="10"/>
      <c r="N3171" s="10"/>
      <c r="O3171" s="13"/>
      <c r="R3171" s="1"/>
      <c r="S3171" s="11"/>
      <c r="T3171" s="11"/>
      <c r="U3171" s="11"/>
      <c r="V3171" s="11"/>
      <c r="W3171" s="11"/>
    </row>
    <row r="3172" spans="1:32" ht="12.75" customHeight="1" x14ac:dyDescent="0.25">
      <c r="A3172" s="253" t="str">
        <f>IF(VLOOKUP($B3171,Draw!$A$4:$B$27,2)&lt;&gt;0,VLOOKUP($B3171,Draw!$A$4:$B$27,2),"")</f>
        <v/>
      </c>
      <c r="B3172" s="254"/>
      <c r="C3172" s="254"/>
      <c r="D3172" s="254"/>
      <c r="E3172" s="254"/>
      <c r="F3172" s="255"/>
      <c r="G3172" s="273" t="s">
        <v>466</v>
      </c>
      <c r="H3172" s="249"/>
      <c r="I3172" s="274"/>
      <c r="J3172" s="253" t="str">
        <f>IF(VLOOKUP($K3171,Draw!$A$4:$B$27,2)&lt;&gt;0,VLOOKUP($K3171,Draw!$A$4:$B$27,2),"")</f>
        <v/>
      </c>
      <c r="K3172" s="254"/>
      <c r="L3172" s="254"/>
      <c r="M3172" s="254"/>
      <c r="N3172" s="254"/>
      <c r="O3172" s="255"/>
      <c r="P3172"/>
      <c r="R3172" s="1"/>
      <c r="S3172" s="11"/>
      <c r="T3172" s="11"/>
      <c r="U3172" s="11"/>
      <c r="V3172" s="11"/>
      <c r="W3172" s="11"/>
    </row>
    <row r="3173" spans="1:32" ht="12.75" customHeight="1" x14ac:dyDescent="0.25">
      <c r="A3173" s="6"/>
      <c r="B3173"/>
      <c r="C3173"/>
      <c r="D3173"/>
      <c r="E3173"/>
      <c r="F3173" s="6"/>
      <c r="G3173" s="248" t="str">
        <f>"Page "&amp;VALUE(RIGHT($G3172,LEN($G3172)-SEARCH("-",$G3172)))/2</f>
        <v>Page 63</v>
      </c>
      <c r="H3173" s="249"/>
      <c r="I3173" s="249"/>
      <c r="J3173"/>
      <c r="K3173"/>
      <c r="L3173"/>
      <c r="M3173"/>
      <c r="N3173"/>
      <c r="O3173"/>
      <c r="P3173"/>
      <c r="R3173" s="1"/>
      <c r="S3173" s="11"/>
      <c r="T3173" s="11"/>
      <c r="U3173" s="11"/>
      <c r="V3173" s="11"/>
      <c r="W3173" s="11"/>
      <c r="AF3173"/>
    </row>
    <row r="3174" spans="1:32" ht="12.75" customHeight="1" x14ac:dyDescent="0.25">
      <c r="A3174" s="276" t="s">
        <v>177</v>
      </c>
      <c r="B3174" s="276"/>
      <c r="C3174" s="276"/>
      <c r="D3174" s="276"/>
      <c r="E3174" s="276"/>
      <c r="F3174" s="276"/>
      <c r="G3174" s="276"/>
      <c r="H3174" s="276"/>
      <c r="I3174" s="276"/>
      <c r="J3174" s="276"/>
      <c r="K3174" s="276"/>
      <c r="L3174" s="276"/>
      <c r="M3174" s="276"/>
      <c r="N3174" s="276"/>
      <c r="O3174" s="276"/>
      <c r="P3174" s="276"/>
      <c r="Q3174" s="6"/>
      <c r="R3174" s="1"/>
      <c r="S3174" s="11"/>
      <c r="T3174" s="11"/>
      <c r="U3174" s="11"/>
      <c r="V3174" s="11"/>
      <c r="W3174" s="11"/>
      <c r="AF3174" s="14"/>
    </row>
    <row r="3175" spans="1:32" ht="12.75" customHeight="1" x14ac:dyDescent="0.25">
      <c r="A3175" s="15" t="s">
        <v>165</v>
      </c>
      <c r="H3175" s="110" t="str">
        <f>IF($Q3177&lt;&gt;"",IF(AND(AND($H3177&gt;-1,$H3179&gt;-1),OR($H3177&gt;10,$H3179&gt;10),ABS($H3177-$H3179)&gt;1,IF(OR($H3177&gt;11,$H3179&gt;11),ABS($H3177-$H3179)=2,TRUE),$H3177=INT($H3177),$H3179=INT($H3179)),"","Error"),"")</f>
        <v/>
      </c>
      <c r="I3175" s="110" t="str">
        <f>IF($Q3177&lt;&gt;"",IF(AND(AND($I3177&gt;-1,$I3179&gt;-1),OR($I3177&gt;10,$I3179&gt;10),ABS($I3177-$I3179)&gt;1,IF(OR($I3177&gt;11,$I3179&gt;11),ABS($I3177-$I3179)=2,TRUE),$I3177=INT($I3177),$I3179=INT($I3179)),"","Error"),"")</f>
        <v/>
      </c>
      <c r="J3175" s="110" t="str">
        <f>IF($Q3177&lt;&gt;"",IF(AND(AND($J3177&gt;-1,$J3179&gt;-1),OR($J3177&gt;10,$J3179&gt;10),ABS($J3177-$J3179)&gt;1,IF(OR($J3177&gt;11,$J3179&gt;11),ABS($J3177-$J3179)=2,TRUE),$J3177=INT($J3177),$J3179=INT($J3179)),"","Error"),"")</f>
        <v/>
      </c>
      <c r="K3175" s="110" t="str">
        <f>IF($Q3177&lt;&gt;"",IF(AND($K3177&lt;&gt;"",$K3179&lt;&gt;""), IF(AND(AND($K3177&gt;-1,$K3179&gt;-1),OR($K3177&gt;10,$K3179&gt;10),ABS($K3177-$K3179)&gt;1,IF(OR($K3177&gt;11,$K3179&gt;11),ABS($K3177-$K3179)=2,TRUE),$K3177=INT($K3177),$K3179=INT($K3179)),"","Error"),""),"")</f>
        <v/>
      </c>
      <c r="L3175" s="110" t="str">
        <f>IF($Q3177&lt;&gt;"",IF(AND($L3177&lt;&gt;"",$L3179&lt;&gt;""), IF(AND(AND($L3177&gt;-1,$L3179&gt;-1),OR($L3177&gt;10,$L3179&gt;10),ABS($L3177-$L3179)&gt;1,IF(OR($L3177&gt;11,$L3179&gt;11),ABS($L3177-$L3179)=2,TRUE),$L3177=INT($L3177),$L3179=INT($L3179)),"","Error"),""),"")</f>
        <v/>
      </c>
      <c r="R3175" s="1"/>
      <c r="S3175" s="11"/>
      <c r="T3175" s="11"/>
      <c r="U3175" s="11"/>
      <c r="V3175" s="11"/>
      <c r="W3175" s="11"/>
    </row>
    <row r="3176" spans="1:32" ht="12.75" customHeight="1" x14ac:dyDescent="0.25">
      <c r="A3176" s="5" t="s">
        <v>160</v>
      </c>
      <c r="B3176" s="256" t="s">
        <v>58</v>
      </c>
      <c r="C3176" s="257"/>
      <c r="D3176" s="257"/>
      <c r="E3176" s="257"/>
      <c r="F3176" s="257"/>
      <c r="G3176" s="258"/>
      <c r="H3176" s="5">
        <v>1</v>
      </c>
      <c r="I3176" s="5">
        <v>2</v>
      </c>
      <c r="J3176" s="5">
        <v>3</v>
      </c>
      <c r="K3176" s="5">
        <v>4</v>
      </c>
      <c r="L3176" s="5">
        <v>5</v>
      </c>
      <c r="M3176" s="270"/>
      <c r="N3176" s="271"/>
      <c r="O3176" s="271"/>
      <c r="P3176" s="272"/>
      <c r="R3176" s="1"/>
      <c r="S3176" s="11"/>
      <c r="T3176" s="11"/>
      <c r="U3176" s="11"/>
      <c r="V3176" s="11"/>
      <c r="W3176" s="11"/>
    </row>
    <row r="3177" spans="1:32" ht="12.75" customHeight="1" x14ac:dyDescent="0.25">
      <c r="A3177" s="259" t="str">
        <f>B3171</f>
        <v>F</v>
      </c>
      <c r="B3177" s="236" t="str">
        <f ca="1">IF(AND(OFFSET($AO$1,$C3171-1,8,1,1),$A3172&lt;&gt;"",$J3172&lt;&gt;""),CHOOSE($C3171,$AO$1,$AO$2,$AO$3,$AO$4,$AO$5,$AO$6,$AO$7,$AO$8,$AO$9,$AO$10,$AO$11,$AO$12),"")</f>
        <v/>
      </c>
      <c r="C3177" s="237"/>
      <c r="D3177" s="237"/>
      <c r="E3177" s="237"/>
      <c r="F3177" s="237"/>
      <c r="G3177" s="237"/>
      <c r="H3177" s="233"/>
      <c r="I3177" s="233"/>
      <c r="J3177" s="233"/>
      <c r="K3177" s="233"/>
      <c r="L3177" s="233"/>
      <c r="M3177" s="281"/>
      <c r="N3177" s="282"/>
      <c r="O3177" s="282"/>
      <c r="P3177" s="283"/>
      <c r="Q3177" s="40" t="str">
        <f>IF($L3177=$L3179,IF($K3177=$K3179,IF($J3177&lt;&gt;"",IF($J3177&gt;$J3179,"W","L"),""),IF($K3177&gt;$K3179,"W","L")),IF($L3177&gt;$L3179,"W","L"))</f>
        <v/>
      </c>
      <c r="R3177" s="1"/>
      <c r="S3177" s="11"/>
      <c r="T3177" s="11"/>
      <c r="U3177" s="11"/>
      <c r="V3177" s="11"/>
      <c r="W3177" s="11"/>
    </row>
    <row r="3178" spans="1:32" ht="12.75" customHeight="1" x14ac:dyDescent="0.25">
      <c r="A3178" s="260"/>
      <c r="B3178" s="238"/>
      <c r="C3178" s="239"/>
      <c r="D3178" s="239"/>
      <c r="E3178" s="239"/>
      <c r="F3178" s="239"/>
      <c r="G3178" s="239"/>
      <c r="H3178" s="234"/>
      <c r="I3178" s="234"/>
      <c r="J3178" s="234"/>
      <c r="K3178" s="234"/>
      <c r="L3178" s="234"/>
      <c r="M3178" s="281"/>
      <c r="N3178" s="282"/>
      <c r="O3178" s="282"/>
      <c r="P3178" s="283"/>
      <c r="Q3178" s="110" t="str">
        <f>IF($Q3177&lt;&gt;"",IF($Q3177="W",IF(SUM(IF($H3177&gt;$H3179,1,0),IF($I3177&gt;$I3179,1,0),IF($J3177&gt;$J3179,1,0),IF($K3177&gt;$K3179,1,0),IF($L3177&gt;$L3179,1,0))&lt;&gt;3,"Error",""),""),"")</f>
        <v/>
      </c>
      <c r="R3178" s="295" t="str">
        <f>$A3172</f>
        <v/>
      </c>
      <c r="S3178" s="295"/>
      <c r="T3178" s="295"/>
      <c r="U3178" s="295"/>
      <c r="V3178" s="295"/>
      <c r="W3178" s="295"/>
      <c r="X3178" s="219" t="str">
        <f>CONCATENATE("(",$B3171," vs ",$K3171,")")</f>
        <v>(F vs J)</v>
      </c>
      <c r="Y3178" s="219"/>
      <c r="Z3178" s="295" t="str">
        <f>$J3172</f>
        <v/>
      </c>
      <c r="AA3178" s="295"/>
      <c r="AB3178" s="295"/>
      <c r="AC3178" s="295"/>
      <c r="AD3178" s="295"/>
      <c r="AE3178" s="295"/>
      <c r="AF3178"/>
    </row>
    <row r="3179" spans="1:32" ht="12.75" customHeight="1" x14ac:dyDescent="0.25">
      <c r="A3179" s="259" t="str">
        <f>K3171</f>
        <v>J</v>
      </c>
      <c r="B3179" s="236" t="str">
        <f ca="1">IF(AND(OFFSET($AO$1,$L3171-1,8,1,1),$A3172&lt;&gt;"",$J3172&lt;&gt;""),CHOOSE($L3171,$AO$1,$AO$2,$AO$3,$AO$4,$AO$5,$AO$6,$AO$7,$AO$8,$AO$9,$AO$10,$AO$11,$AO$12),"")</f>
        <v/>
      </c>
      <c r="C3179" s="237"/>
      <c r="D3179" s="237"/>
      <c r="E3179" s="237"/>
      <c r="F3179" s="237"/>
      <c r="G3179" s="237"/>
      <c r="H3179" s="233"/>
      <c r="I3179" s="233"/>
      <c r="J3179" s="233"/>
      <c r="K3179" s="233"/>
      <c r="L3179" s="233"/>
      <c r="M3179" s="250" t="s">
        <v>169</v>
      </c>
      <c r="N3179" s="251"/>
      <c r="O3179" s="251"/>
      <c r="P3179" s="252"/>
      <c r="Q3179" s="40" t="str">
        <f>IF($Q3177&lt;&gt;"",IF($Q3177="W","L","W"),"")</f>
        <v/>
      </c>
      <c r="R3179"/>
      <c r="S3179"/>
      <c r="T3179"/>
      <c r="U3179"/>
      <c r="V3179"/>
      <c r="W3179"/>
      <c r="X3179"/>
      <c r="Y3179"/>
      <c r="Z3179"/>
      <c r="AA3179"/>
      <c r="AB3179"/>
      <c r="AC3179"/>
      <c r="AD3179"/>
      <c r="AE3179"/>
      <c r="AF3179"/>
    </row>
    <row r="3180" spans="1:32" ht="12.75" customHeight="1" x14ac:dyDescent="0.25">
      <c r="A3180" s="260"/>
      <c r="B3180" s="238"/>
      <c r="C3180" s="239"/>
      <c r="D3180" s="239"/>
      <c r="E3180" s="239"/>
      <c r="F3180" s="239"/>
      <c r="G3180" s="239"/>
      <c r="H3180" s="234"/>
      <c r="I3180" s="234"/>
      <c r="J3180" s="235"/>
      <c r="K3180" s="235"/>
      <c r="L3180" s="235"/>
      <c r="M3180" s="250"/>
      <c r="N3180" s="251"/>
      <c r="O3180" s="251"/>
      <c r="P3180" s="252"/>
      <c r="Q3180" s="110" t="str">
        <f>IF($Q3179&lt;&gt;"",IF($Q3179="W",IF(SUM(IF($H3179&gt;$H3177,1,0),IF($I3179&gt;$I3177,1,0),IF($J3179&gt;$J3177,1,0),IF($K3179&gt;$K3177,1,0),IF($L3179&gt;$L3177,1,0))&lt;&gt;3,"Error",""),""),"")</f>
        <v/>
      </c>
      <c r="R3180" t="str">
        <f>$A3182</f>
        <v>2nd Singles</v>
      </c>
      <c r="S3180"/>
      <c r="T3180"/>
      <c r="U3180"/>
      <c r="V3180"/>
      <c r="W3180"/>
      <c r="X3180"/>
      <c r="Y3180"/>
      <c r="Z3180"/>
      <c r="AA3180"/>
      <c r="AB3180"/>
      <c r="AC3180"/>
      <c r="AD3180"/>
      <c r="AE3180"/>
      <c r="AF3180"/>
    </row>
    <row r="3181" spans="1:32" ht="12.75" customHeight="1" x14ac:dyDescent="0.25">
      <c r="Q3181" s="6"/>
      <c r="R3181" s="47" t="s">
        <v>160</v>
      </c>
      <c r="S3181" s="304" t="s">
        <v>58</v>
      </c>
      <c r="T3181" s="305"/>
      <c r="U3181" s="305"/>
      <c r="V3181" s="305"/>
      <c r="W3181" s="305"/>
      <c r="X3181" s="306"/>
      <c r="Y3181" s="47">
        <v>1</v>
      </c>
      <c r="Z3181" s="47">
        <v>2</v>
      </c>
      <c r="AA3181" s="47">
        <v>3</v>
      </c>
      <c r="AB3181" s="47">
        <v>4</v>
      </c>
      <c r="AC3181" s="47">
        <v>5</v>
      </c>
      <c r="AD3181" s="286"/>
      <c r="AE3181" s="287"/>
      <c r="AF3181" s="288"/>
    </row>
    <row r="3182" spans="1:32" ht="12.75" customHeight="1" x14ac:dyDescent="0.25">
      <c r="A3182" s="15" t="s">
        <v>166</v>
      </c>
      <c r="H3182" s="110" t="str">
        <f>IF($Q3184&lt;&gt;"",IF(AND(AND($H3184&gt;-1,$H3186&gt;-1),OR($H3184&gt;10,$H3186&gt;10),ABS($H3184-$H3186)&gt;1,IF(OR($H3184&gt;11,$H3186&gt;11),ABS($H3184-$H3186)=2,TRUE),$H3184=INT($H3184),$H3186=INT($H3186)),"","Error"),"")</f>
        <v/>
      </c>
      <c r="I3182" s="110" t="str">
        <f>IF($Q3184&lt;&gt;"",IF(AND(AND($I3184&gt;-1,$I3186&gt;-1),OR($I3184&gt;10,$I3186&gt;10),ABS($I3184-$I3186)&gt;1,IF(OR($I3184&gt;11,$I3186&gt;11),ABS($I3184-$I3186)=2,TRUE),$I3184=INT($I3184),$I3186=INT($I3186)),"","Error"),"")</f>
        <v/>
      </c>
      <c r="J3182" s="110" t="str">
        <f>IF($Q3184&lt;&gt;"",IF(AND(AND($J3184&gt;-1,$J3186&gt;-1),OR($J3184&gt;10,$J3186&gt;10),ABS($J3184-$J3186)&gt;1,IF(OR($J3184&gt;11,$J3186&gt;11),ABS($J3184-$J3186)=2,TRUE),$J3184=INT($J3184),$J3186=INT($J3186)),"","Error"),"")</f>
        <v/>
      </c>
      <c r="K3182" s="110" t="str">
        <f>IF($Q3184&lt;&gt;"",IF(AND($K3184&lt;&gt;"",$K3186&lt;&gt;""), IF(AND(AND($K3184&gt;-1,$K3186&gt;-1),OR($K3184&gt;10,$K3186&gt;10),ABS($K3184-$K3186)&gt;1,IF(OR($K3184&gt;11,$K3186&gt;11),ABS($K3184-$K3186)=2,TRUE),$K3184=INT($K3184),$K3186=INT($K3186)),"","Error"),""),"")</f>
        <v/>
      </c>
      <c r="L3182" s="110" t="str">
        <f>IF($Q3184&lt;&gt;"",IF(AND($L3184&lt;&gt;"",$L3186&lt;&gt;""), IF(AND(AND($L3184&gt;-1,$L3186&gt;-1),OR($L3184&gt;10,$L3186&gt;10),ABS($L3184-$L3186)&gt;1,IF(OR($L3184&gt;11,$L3186&gt;11),ABS($L3184-$L3186)=2,TRUE),$L3184=INT($L3184),$L3186=INT($L3186)),"","Error"),""),"")</f>
        <v/>
      </c>
      <c r="Q3182" s="6"/>
      <c r="R3182" s="259" t="str">
        <f>$B3171</f>
        <v>F</v>
      </c>
      <c r="S3182" s="307" t="str">
        <f ca="1">IF($B3184&lt;&gt;"",$B3184,"")</f>
        <v/>
      </c>
      <c r="T3182" s="308"/>
      <c r="U3182" s="308"/>
      <c r="V3182" s="308"/>
      <c r="W3182" s="308"/>
      <c r="X3182" s="309"/>
      <c r="Y3182" s="284"/>
      <c r="Z3182" s="284"/>
      <c r="AA3182" s="284"/>
      <c r="AB3182" s="284"/>
      <c r="AC3182" s="284"/>
      <c r="AD3182" s="296"/>
      <c r="AE3182" s="290"/>
      <c r="AF3182" s="291"/>
    </row>
    <row r="3183" spans="1:32" ht="12.75" customHeight="1" x14ac:dyDescent="0.25">
      <c r="A3183" s="5" t="s">
        <v>160</v>
      </c>
      <c r="B3183" s="256" t="s">
        <v>58</v>
      </c>
      <c r="C3183" s="257"/>
      <c r="D3183" s="257"/>
      <c r="E3183" s="257"/>
      <c r="F3183" s="257"/>
      <c r="G3183" s="258"/>
      <c r="H3183" s="5">
        <v>1</v>
      </c>
      <c r="I3183" s="5">
        <v>2</v>
      </c>
      <c r="J3183" s="5">
        <v>3</v>
      </c>
      <c r="K3183" s="5">
        <v>4</v>
      </c>
      <c r="L3183" s="5">
        <v>5</v>
      </c>
      <c r="M3183" s="270"/>
      <c r="N3183" s="271"/>
      <c r="O3183" s="271"/>
      <c r="P3183" s="272"/>
      <c r="Q3183" s="6"/>
      <c r="R3183" s="285"/>
      <c r="S3183" s="310"/>
      <c r="T3183" s="311"/>
      <c r="U3183" s="311"/>
      <c r="V3183" s="311"/>
      <c r="W3183" s="311"/>
      <c r="X3183" s="312"/>
      <c r="Y3183" s="285"/>
      <c r="Z3183" s="285"/>
      <c r="AA3183" s="285"/>
      <c r="AB3183" s="285"/>
      <c r="AC3183" s="285"/>
      <c r="AD3183" s="292"/>
      <c r="AE3183" s="293"/>
      <c r="AF3183" s="294"/>
    </row>
    <row r="3184" spans="1:32" ht="12.75" customHeight="1" x14ac:dyDescent="0.25">
      <c r="A3184" s="259" t="str">
        <f>B3171</f>
        <v>F</v>
      </c>
      <c r="B3184" s="236" t="str">
        <f ca="1">IF(AND(OFFSET($AO$1,$C3171-1,8,1,1),$A3172&lt;&gt;"",$J3172&lt;&gt;""),CHOOSE($C3171,$AP$1,$AP$2,$AP$3,$AP$4,$AP$5,$AP$6,$AP$7,$AP$8,$AP$9,$AP$10,$AP$11,$AP$12),"")</f>
        <v/>
      </c>
      <c r="C3184" s="237"/>
      <c r="D3184" s="237"/>
      <c r="E3184" s="237"/>
      <c r="F3184" s="237"/>
      <c r="G3184" s="237"/>
      <c r="H3184" s="233"/>
      <c r="I3184" s="233"/>
      <c r="J3184" s="233"/>
      <c r="K3184" s="233"/>
      <c r="L3184" s="233"/>
      <c r="M3184" s="245" t="str">
        <f ca="1">IF(OR(AND($B3177&lt;&gt;"",$B3184&lt;&gt;"",$C3202&lt;=$B3202),AND($B3179&lt;&gt;"",$B3186&lt;&gt;"",$G3202&lt;=$F3202)),"Invalid Lineup","")</f>
        <v/>
      </c>
      <c r="N3184" s="246"/>
      <c r="O3184" s="246"/>
      <c r="P3184" s="247"/>
      <c r="Q3184" s="40" t="str">
        <f>IF($L3184=$L3186,IF($K3184=$K3186,IF($J3184&lt;&gt;"",IF($J3184&gt;$J3186,"W","L"),""),IF($K3184&gt;$K3186,"W","L")),IF($L3184&gt;$L3186,"W","L"))</f>
        <v/>
      </c>
      <c r="R3184" s="259" t="str">
        <f>$K3171</f>
        <v>J</v>
      </c>
      <c r="S3184" s="307" t="str">
        <f ca="1">IF($B3186&lt;&gt;"",$B3186,"")</f>
        <v/>
      </c>
      <c r="T3184" s="308"/>
      <c r="U3184" s="308"/>
      <c r="V3184" s="308"/>
      <c r="W3184" s="308"/>
      <c r="X3184" s="309"/>
      <c r="Y3184" s="284"/>
      <c r="Z3184" s="284"/>
      <c r="AA3184" s="284"/>
      <c r="AB3184" s="284"/>
      <c r="AC3184" s="297"/>
      <c r="AD3184" s="289" t="s">
        <v>169</v>
      </c>
      <c r="AE3184" s="290"/>
      <c r="AF3184" s="291"/>
    </row>
    <row r="3185" spans="1:32" ht="12.75" customHeight="1" x14ac:dyDescent="0.25">
      <c r="A3185" s="260"/>
      <c r="B3185" s="238"/>
      <c r="C3185" s="239"/>
      <c r="D3185" s="239"/>
      <c r="E3185" s="239"/>
      <c r="F3185" s="239"/>
      <c r="G3185" s="239"/>
      <c r="H3185" s="234"/>
      <c r="I3185" s="234"/>
      <c r="J3185" s="234"/>
      <c r="K3185" s="234"/>
      <c r="L3185" s="234"/>
      <c r="M3185" s="245"/>
      <c r="N3185" s="246"/>
      <c r="O3185" s="246"/>
      <c r="P3185" s="247"/>
      <c r="Q3185" s="110" t="str">
        <f>IF($Q3184&lt;&gt;"",IF($Q3184="W",IF(SUM(IF($H3184&gt;$H3186,1,0),IF($I3184&gt;$I3186,1,0),IF($J3184&gt;$J3186,1,0),IF($K3184&gt;$K3186,1,0),IF($L3184&gt;$L3186,1,0))&lt;&gt;3,"Error",""),""),"")</f>
        <v/>
      </c>
      <c r="R3185" s="285"/>
      <c r="S3185" s="310"/>
      <c r="T3185" s="311"/>
      <c r="U3185" s="311"/>
      <c r="V3185" s="311"/>
      <c r="W3185" s="311"/>
      <c r="X3185" s="312"/>
      <c r="Y3185" s="285"/>
      <c r="Z3185" s="285"/>
      <c r="AA3185" s="285"/>
      <c r="AB3185" s="285"/>
      <c r="AC3185" s="285"/>
      <c r="AD3185" s="292"/>
      <c r="AE3185" s="293"/>
      <c r="AF3185" s="294"/>
    </row>
    <row r="3186" spans="1:32" ht="12.75" customHeight="1" x14ac:dyDescent="0.25">
      <c r="A3186" s="259" t="str">
        <f>K3171</f>
        <v>J</v>
      </c>
      <c r="B3186" s="236" t="str">
        <f ca="1">IF(AND(OFFSET($AO$1,$L3171-1,8,1,1),$A3172&lt;&gt;"",$J3172&lt;&gt;""),CHOOSE($L3171,$AP$1,$AP$2,$AP$3,$AP$4,$AP$5,$AP$6,$AP$7,$AP$8,$AP$9,$AP$10,$AP$11,$AP$12),"")</f>
        <v/>
      </c>
      <c r="C3186" s="237"/>
      <c r="D3186" s="237"/>
      <c r="E3186" s="237"/>
      <c r="F3186" s="237"/>
      <c r="G3186" s="237"/>
      <c r="H3186" s="233"/>
      <c r="I3186" s="233"/>
      <c r="J3186" s="233"/>
      <c r="K3186" s="233"/>
      <c r="L3186" s="233"/>
      <c r="M3186" s="250" t="s">
        <v>169</v>
      </c>
      <c r="N3186" s="251"/>
      <c r="O3186" s="251"/>
      <c r="P3186" s="252"/>
      <c r="Q3186" s="40" t="str">
        <f>IF($Q3184&lt;&gt;"",IF($Q3184="W","L","W"),"")</f>
        <v/>
      </c>
      <c r="R3186" s="14"/>
      <c r="S3186" s="14"/>
      <c r="T3186" s="14"/>
      <c r="U3186" s="14"/>
      <c r="V3186" s="14"/>
      <c r="W3186" s="14"/>
      <c r="X3186" s="7"/>
      <c r="Y3186" s="7"/>
      <c r="Z3186" s="14"/>
      <c r="AA3186" s="14"/>
      <c r="AB3186" s="14"/>
      <c r="AC3186" s="14"/>
      <c r="AD3186" s="14"/>
      <c r="AE3186" s="14"/>
      <c r="AF3186"/>
    </row>
    <row r="3187" spans="1:32" ht="12.75" customHeight="1" x14ac:dyDescent="0.25">
      <c r="A3187" s="260"/>
      <c r="B3187" s="238"/>
      <c r="C3187" s="239"/>
      <c r="D3187" s="239"/>
      <c r="E3187" s="239"/>
      <c r="F3187" s="239"/>
      <c r="G3187" s="239"/>
      <c r="H3187" s="234"/>
      <c r="I3187" s="234"/>
      <c r="J3187" s="235"/>
      <c r="K3187" s="235"/>
      <c r="L3187" s="235"/>
      <c r="M3187" s="250"/>
      <c r="N3187" s="251"/>
      <c r="O3187" s="251"/>
      <c r="P3187" s="252"/>
      <c r="Q3187" s="110" t="str">
        <f>IF($Q3186&lt;&gt;"",IF($Q3186="W",IF(SUM(IF($H3186&gt;$H3184,1,0),IF($I3186&gt;$I3184,1,0),IF($J3186&gt;$J3184,1,0),IF($K3186&gt;$K3184,1,0),IF($L3186&gt;$L3184,1,0))&lt;&gt;3,"Error",""),""),"")</f>
        <v/>
      </c>
      <c r="R3187" s="14"/>
      <c r="S3187" s="14"/>
      <c r="T3187" s="14"/>
      <c r="U3187" s="14"/>
      <c r="V3187" s="14"/>
      <c r="W3187" s="14"/>
      <c r="X3187" s="7"/>
      <c r="Y3187" s="7"/>
      <c r="Z3187" s="14"/>
      <c r="AA3187" s="14"/>
      <c r="AB3187" s="14"/>
      <c r="AC3187" s="14"/>
      <c r="AD3187" s="14"/>
      <c r="AE3187" s="14"/>
      <c r="AF3187"/>
    </row>
    <row r="3188" spans="1:32" ht="12.75" customHeight="1" x14ac:dyDescent="0.25">
      <c r="Q3188" s="6"/>
      <c r="R3188" s="14"/>
      <c r="S3188" s="14"/>
      <c r="T3188" s="14"/>
      <c r="U3188" s="14"/>
      <c r="V3188" s="14"/>
      <c r="W3188" s="14"/>
      <c r="X3188" s="7"/>
      <c r="Y3188" s="7"/>
      <c r="Z3188" s="14"/>
      <c r="AA3188" s="14"/>
      <c r="AB3188" s="14"/>
      <c r="AC3188" s="14"/>
      <c r="AD3188" s="14"/>
      <c r="AE3188" s="14"/>
      <c r="AF3188"/>
    </row>
    <row r="3189" spans="1:32" ht="12.75" customHeight="1" x14ac:dyDescent="0.25">
      <c r="A3189" s="15" t="s">
        <v>167</v>
      </c>
      <c r="H3189" s="110" t="str">
        <f>IF($Q3191&lt;&gt;"",IF(AND(AND($H3191&gt;-1,$H3193&gt;-1),OR($H3191&gt;10,$H3193&gt;10),ABS($H3191-$H3193)&gt;1,IF(OR($H3191&gt;11,$H3193&gt;11),ABS($H3191-$H3193)=2,TRUE),$H3191=INT($H3191),$H3193=INT($H3193)),"","Error"),"")</f>
        <v/>
      </c>
      <c r="I3189" s="110" t="str">
        <f>IF($Q3191&lt;&gt;"",IF(AND(AND($I3191&gt;-1,$I3193&gt;-1),OR($I3191&gt;10,$I3193&gt;10),ABS($I3191-$I3193)&gt;1,IF(OR($I3191&gt;11,$I3193&gt;11),ABS($I3191-$I3193)=2,TRUE),$I3191=INT($I3191),$I3193=INT($I3193)),"","Error"),"")</f>
        <v/>
      </c>
      <c r="J3189" s="110" t="str">
        <f>IF($Q3191&lt;&gt;"",IF(AND(AND($J3191&gt;-1,$J3193&gt;-1),OR($J3191&gt;10,$J3193&gt;10),ABS($J3191-$J3193)&gt;1,IF(OR($J3191&gt;11,$J3193&gt;11),ABS($J3191-$J3193)=2,TRUE),$J3191=INT($J3191),$J3193=INT($J3193)),"","Error"),"")</f>
        <v/>
      </c>
      <c r="K3189" s="110" t="str">
        <f>IF($Q3191&lt;&gt;"",IF(AND($K3191&lt;&gt;"",$K3193&lt;&gt;""), IF(AND(AND($K3191&gt;-1,$K3193&gt;-1),OR($K3191&gt;10,$K3193&gt;10),ABS($K3191-$K3193)&gt;1,IF(OR($K3191&gt;11,$K3193&gt;11),ABS($K3191-$K3193)=2,TRUE),$K3191=INT($K3191),$K3193=INT($K3193)),"","Error"),""),"")</f>
        <v/>
      </c>
      <c r="L3189" s="110" t="str">
        <f>IF($Q3191&lt;&gt;"",IF(AND($L3191&lt;&gt;"",$L3193&lt;&gt;""), IF(AND(AND($L3191&gt;-1,$L3193&gt;-1),OR($L3191&gt;10,$L3193&gt;10),ABS($L3191-$L3193)&gt;1,IF(OR($L3191&gt;11,$L3193&gt;11),ABS($L3191-$L3193)=2,TRUE),$L3191=INT($L3191),$L3193=INT($L3193)),"","Error"),""),"")</f>
        <v/>
      </c>
      <c r="Q3189" s="6"/>
      <c r="R3189" s="14"/>
      <c r="S3189" s="14"/>
      <c r="T3189" s="14"/>
      <c r="U3189" s="14"/>
      <c r="V3189" s="14"/>
      <c r="W3189" s="14"/>
      <c r="X3189" s="7"/>
      <c r="Y3189" s="7"/>
      <c r="Z3189" s="14"/>
      <c r="AA3189" s="14"/>
      <c r="AB3189" s="14"/>
      <c r="AC3189" s="14"/>
      <c r="AD3189" s="14"/>
      <c r="AE3189" s="14"/>
      <c r="AF3189"/>
    </row>
    <row r="3190" spans="1:32" ht="12.75" customHeight="1" x14ac:dyDescent="0.25">
      <c r="A3190" s="5" t="s">
        <v>160</v>
      </c>
      <c r="B3190" s="256" t="s">
        <v>58</v>
      </c>
      <c r="C3190" s="257"/>
      <c r="D3190" s="257"/>
      <c r="E3190" s="257"/>
      <c r="F3190" s="257"/>
      <c r="G3190" s="258"/>
      <c r="H3190" s="5">
        <v>1</v>
      </c>
      <c r="I3190" s="5">
        <v>2</v>
      </c>
      <c r="J3190" s="5">
        <v>3</v>
      </c>
      <c r="K3190" s="5">
        <v>4</v>
      </c>
      <c r="L3190" s="5">
        <v>5</v>
      </c>
      <c r="M3190" s="270"/>
      <c r="N3190" s="271"/>
      <c r="O3190" s="271"/>
      <c r="P3190" s="272"/>
      <c r="Q3190" s="6"/>
      <c r="R3190" s="14"/>
      <c r="S3190" s="14"/>
      <c r="T3190" s="14"/>
      <c r="U3190" s="14"/>
      <c r="V3190" s="14"/>
      <c r="W3190" s="14"/>
      <c r="X3190" s="7"/>
      <c r="Y3190" s="7"/>
      <c r="Z3190" s="14"/>
      <c r="AA3190" s="14"/>
      <c r="AB3190" s="14"/>
      <c r="AC3190" s="14"/>
      <c r="AD3190" s="14"/>
      <c r="AE3190" s="14"/>
      <c r="AF3190"/>
    </row>
    <row r="3191" spans="1:32" ht="12.75" customHeight="1" x14ac:dyDescent="0.25">
      <c r="A3191" s="259" t="str">
        <f>B3171</f>
        <v>F</v>
      </c>
      <c r="B3191" s="236" t="str">
        <f ca="1">IF(AND(OFFSET($AO$1,$C3171-1,8,1,1),$A3172&lt;&gt;"",$J3172&lt;&gt;""),CHOOSE($C3171,$AQ$1,$AQ$2,$AQ$3,$AQ$4,$AQ$5,$AQ$6,$AQ$7,$AQ$8,$AQ$9,$AQ$10,$AQ$11,$AQ$12),"")</f>
        <v/>
      </c>
      <c r="C3191" s="237"/>
      <c r="D3191" s="237"/>
      <c r="E3191" s="237"/>
      <c r="F3191" s="237"/>
      <c r="G3191" s="237"/>
      <c r="H3191" s="233"/>
      <c r="I3191" s="233"/>
      <c r="J3191" s="233"/>
      <c r="K3191" s="233"/>
      <c r="L3191" s="233"/>
      <c r="M3191" s="245" t="str">
        <f ca="1">IF(OR(AND($B3184&lt;&gt;"",$B3191&lt;&gt;"",$D3202&lt;=$C3202),AND($B3186&lt;&gt;"",$B3193&lt;&gt;"",$H3202&lt;=$G3202)),"Invalid Lineup","")</f>
        <v/>
      </c>
      <c r="N3191" s="246"/>
      <c r="O3191" s="246"/>
      <c r="P3191" s="247"/>
      <c r="Q3191" s="40" t="str">
        <f>IF($L3191=$L3193,IF($K3191=$K3193,IF($J3191&lt;&gt;"",IF($J3191&gt;$J3193,"W","L"),""),IF($K3191&gt;$K3193,"W","L")),IF($L3191&gt;$L3193,"W","L"))</f>
        <v/>
      </c>
      <c r="R3191" s="14"/>
      <c r="S3191" s="14"/>
      <c r="T3191" s="14"/>
      <c r="U3191" s="14"/>
      <c r="V3191" s="14"/>
      <c r="W3191" s="14"/>
      <c r="X3191" s="7"/>
      <c r="Y3191" s="7"/>
      <c r="Z3191" s="14"/>
      <c r="AA3191" s="14"/>
      <c r="AB3191" s="14"/>
      <c r="AC3191" s="14"/>
      <c r="AD3191" s="14"/>
      <c r="AE3191" s="14"/>
      <c r="AF3191"/>
    </row>
    <row r="3192" spans="1:32" ht="12.75" customHeight="1" x14ac:dyDescent="0.25">
      <c r="A3192" s="260"/>
      <c r="B3192" s="238"/>
      <c r="C3192" s="239"/>
      <c r="D3192" s="239"/>
      <c r="E3192" s="239"/>
      <c r="F3192" s="239"/>
      <c r="G3192" s="239"/>
      <c r="H3192" s="234"/>
      <c r="I3192" s="234"/>
      <c r="J3192" s="234"/>
      <c r="K3192" s="234"/>
      <c r="L3192" s="234"/>
      <c r="M3192" s="245"/>
      <c r="N3192" s="246"/>
      <c r="O3192" s="246"/>
      <c r="P3192" s="247"/>
      <c r="Q3192" s="110" t="str">
        <f>IF($Q3191&lt;&gt;"",IF($Q3191="W",IF(SUM(IF($H3191&gt;$H3193,1,0),IF($I3191&gt;$I3193,1,0),IF($J3191&gt;$J3193,1,0),IF($K3191&gt;$K3193,1,0),IF($L3191&gt;$L3193,1,0))&lt;&gt;3,"Error",""),""),"")</f>
        <v/>
      </c>
      <c r="R3192" s="295" t="str">
        <f>$A3172</f>
        <v/>
      </c>
      <c r="S3192" s="295"/>
      <c r="T3192" s="295"/>
      <c r="U3192" s="295"/>
      <c r="V3192" s="295"/>
      <c r="W3192" s="295"/>
      <c r="X3192" s="219" t="str">
        <f>CONCATENATE("(",$B3171," vs ",$K3171,")")</f>
        <v>(F vs J)</v>
      </c>
      <c r="Y3192" s="219"/>
      <c r="Z3192" s="295" t="str">
        <f>$J3172</f>
        <v/>
      </c>
      <c r="AA3192" s="295"/>
      <c r="AB3192" s="295"/>
      <c r="AC3192" s="295"/>
      <c r="AD3192" s="295"/>
      <c r="AE3192" s="295"/>
      <c r="AF3192"/>
    </row>
    <row r="3193" spans="1:32" ht="12.75" customHeight="1" x14ac:dyDescent="0.25">
      <c r="A3193" s="259" t="str">
        <f>K3171</f>
        <v>J</v>
      </c>
      <c r="B3193" s="236" t="str">
        <f ca="1">IF(AND(OFFSET($AO$1,$L3171-1,8,1,1),$A3172&lt;&gt;"",$J3172&lt;&gt;""),CHOOSE($L3171,$AQ$1,$AQ$2,$AQ$3,$AQ$4,$AQ$5,$AQ$6,$AQ$7,$AQ$8,$AQ$9,$AQ$10,$AQ$11,$AQ$12),"")</f>
        <v/>
      </c>
      <c r="C3193" s="237"/>
      <c r="D3193" s="237"/>
      <c r="E3193" s="237"/>
      <c r="F3193" s="237"/>
      <c r="G3193" s="237"/>
      <c r="H3193" s="233"/>
      <c r="I3193" s="233"/>
      <c r="J3193" s="233"/>
      <c r="K3193" s="233"/>
      <c r="L3193" s="233"/>
      <c r="M3193" s="250" t="s">
        <v>169</v>
      </c>
      <c r="N3193" s="251"/>
      <c r="O3193" s="251"/>
      <c r="P3193" s="252"/>
      <c r="Q3193" s="40" t="str">
        <f>IF($Q3191&lt;&gt;"",IF($Q3191="W","L","W"),"")</f>
        <v/>
      </c>
      <c r="R3193"/>
      <c r="S3193"/>
      <c r="T3193"/>
      <c r="U3193"/>
      <c r="V3193"/>
      <c r="W3193"/>
      <c r="X3193"/>
      <c r="Y3193"/>
      <c r="Z3193"/>
      <c r="AA3193"/>
      <c r="AB3193"/>
      <c r="AC3193"/>
      <c r="AD3193"/>
      <c r="AE3193"/>
      <c r="AF3193"/>
    </row>
    <row r="3194" spans="1:32" ht="12.75" customHeight="1" x14ac:dyDescent="0.25">
      <c r="A3194" s="260"/>
      <c r="B3194" s="238"/>
      <c r="C3194" s="239"/>
      <c r="D3194" s="239"/>
      <c r="E3194" s="239"/>
      <c r="F3194" s="239"/>
      <c r="G3194" s="239"/>
      <c r="H3194" s="234"/>
      <c r="I3194" s="234"/>
      <c r="J3194" s="235"/>
      <c r="K3194" s="235"/>
      <c r="L3194" s="235"/>
      <c r="M3194" s="250"/>
      <c r="N3194" s="251"/>
      <c r="O3194" s="251"/>
      <c r="P3194" s="252"/>
      <c r="Q3194" s="110" t="str">
        <f>IF($Q3193&lt;&gt;"",IF($Q3193="W",IF(SUM(IF($H3193&gt;$H3191,1,0),IF($I3193&gt;$I3191,1,0),IF($J3193&gt;$J3191,1,0),IF($K3193&gt;$K3191,1,0),IF($L3193&gt;$L3191,1,0))&lt;&gt;3,"Error",""),""),"")</f>
        <v/>
      </c>
      <c r="R3194" t="str">
        <f>$A3189</f>
        <v>3rd Singles</v>
      </c>
      <c r="S3194"/>
      <c r="T3194"/>
      <c r="U3194"/>
      <c r="V3194"/>
      <c r="W3194"/>
      <c r="X3194"/>
      <c r="Y3194"/>
      <c r="Z3194"/>
      <c r="AA3194"/>
      <c r="AB3194"/>
      <c r="AC3194"/>
      <c r="AD3194"/>
      <c r="AE3194"/>
      <c r="AF3194"/>
    </row>
    <row r="3195" spans="1:32" ht="12.75" customHeight="1" x14ac:dyDescent="0.25">
      <c r="Q3195" s="6"/>
      <c r="R3195" s="47" t="s">
        <v>160</v>
      </c>
      <c r="S3195" s="86" t="s">
        <v>58</v>
      </c>
      <c r="T3195" s="87"/>
      <c r="U3195" s="87"/>
      <c r="V3195" s="87"/>
      <c r="W3195" s="87"/>
      <c r="X3195" s="88"/>
      <c r="Y3195" s="47">
        <v>1</v>
      </c>
      <c r="Z3195" s="47">
        <v>2</v>
      </c>
      <c r="AA3195" s="47">
        <v>3</v>
      </c>
      <c r="AB3195" s="47">
        <v>4</v>
      </c>
      <c r="AC3195" s="47">
        <v>5</v>
      </c>
      <c r="AD3195" s="89"/>
      <c r="AE3195" s="90"/>
      <c r="AF3195" s="91"/>
    </row>
    <row r="3196" spans="1:32" ht="12.75" customHeight="1" x14ac:dyDescent="0.25">
      <c r="A3196" s="15" t="s">
        <v>168</v>
      </c>
      <c r="H3196" s="110" t="str">
        <f ca="1">IF($Q3198&lt;&gt;"",IF(AND($B3198&lt;&gt;"Missing Player",$B3200&lt;&gt;"Missing Player"),IF(AND(AND($H3198&gt;-1,$H3200&gt;-1),OR($H3198&gt;10,$H3200&gt;10),ABS($H3198-$H3200)&gt;1,IF(OR($H3198&gt;11,$H3200&gt;11),ABS($H3198-$H3200)=2,TRUE),$H3198=INT($H3198),$H3200=INT($H3200)),"","Error"),""),"")</f>
        <v/>
      </c>
      <c r="I3196" s="110" t="str">
        <f ca="1">IF($Q3198&lt;&gt;"",IF(AND($B3198&lt;&gt;"Missing Player",$B3200&lt;&gt;"Missing Player"),IF(AND(AND($I3198&gt;-1,$I3200&gt;-1),OR($I3198&gt;10,$I3200&gt;10),ABS($I3198-$I3200)&gt;1,IF(OR($I3198&gt;11,$I3200&gt;11),ABS($I3198-$I3200)=2,TRUE),$I3198=INT($I3198),$I3200=INT($I3200)),"","Error"),""),"")</f>
        <v/>
      </c>
      <c r="J3196" s="110" t="str">
        <f ca="1">IF($Q3198&lt;&gt;"",IF(AND($B3198&lt;&gt;"Missing Player",$B3200&lt;&gt;"Missing Player"),IF(AND(AND($J3198&gt;-1,$J3200&gt;-1),OR($J3198&gt;10,$J3200&gt;10),ABS($J3198-$J3200)&gt;1,IF(OR($J3198&gt;11,$J3200&gt;11),ABS($J3198-$J3200)=2,TRUE),$J3198=INT($J3198),$J3200=INT($J3200)),"","Error"),""),"")</f>
        <v/>
      </c>
      <c r="K3196" s="110" t="str">
        <f ca="1">IF($Q3198&lt;&gt;"",IF(AND($K3198&lt;&gt;"",$K3200&lt;&gt;""), IF(AND(AND($K3198&gt;-1,$K3200&gt;-1),OR($K3198&gt;10,$K3200&gt;10),ABS($K3198-$K3200)&gt;1,IF(OR($K3198&gt;11,$K3200&gt;11),ABS($K3198-$K3200)=2,TRUE),$K3198=INT($K3198),$K3200=INT($K3200)),"","Error"),""),"")</f>
        <v/>
      </c>
      <c r="L3196" s="110" t="str">
        <f ca="1">IF($Q3198&lt;&gt;"",IF(AND($L3198&lt;&gt;"",$L3200&lt;&gt;""), IF(AND(AND($L3198&gt;-1,$L3200&gt;-1),OR($L3198&gt;10,$L3200&gt;10),ABS($L3198-$L3200)&gt;1,IF(OR($L3198&gt;11,$L3200&gt;11),ABS($L3198-$L3200)=2,TRUE),$L3198=INT($L3198),$L3200=INT($L3200)),"","Error"),""),"")</f>
        <v/>
      </c>
      <c r="Q3196" s="6"/>
      <c r="R3196" s="259" t="str">
        <f>$B3171</f>
        <v>F</v>
      </c>
      <c r="S3196" s="307" t="str">
        <f ca="1">IF($B3191&lt;&gt;"",$B3191,"")</f>
        <v/>
      </c>
      <c r="T3196" s="308"/>
      <c r="U3196" s="308"/>
      <c r="V3196" s="308"/>
      <c r="W3196" s="308"/>
      <c r="X3196" s="309"/>
      <c r="Y3196" s="284"/>
      <c r="Z3196" s="284"/>
      <c r="AA3196" s="284"/>
      <c r="AB3196" s="284"/>
      <c r="AC3196" s="284"/>
      <c r="AD3196" s="296"/>
      <c r="AE3196" s="290"/>
      <c r="AF3196" s="291"/>
    </row>
    <row r="3197" spans="1:32" ht="12.75" customHeight="1" x14ac:dyDescent="0.25">
      <c r="A3197" s="5" t="s">
        <v>160</v>
      </c>
      <c r="B3197" s="256" t="s">
        <v>58</v>
      </c>
      <c r="C3197" s="257"/>
      <c r="D3197" s="257"/>
      <c r="E3197" s="257"/>
      <c r="F3197" s="257"/>
      <c r="G3197" s="258"/>
      <c r="H3197" s="5">
        <v>1</v>
      </c>
      <c r="I3197" s="5">
        <v>2</v>
      </c>
      <c r="J3197" s="5">
        <v>3</v>
      </c>
      <c r="K3197" s="5">
        <v>4</v>
      </c>
      <c r="L3197" s="5">
        <v>5</v>
      </c>
      <c r="M3197" s="270"/>
      <c r="N3197" s="271"/>
      <c r="O3197" s="271"/>
      <c r="P3197" s="272"/>
      <c r="Q3197" s="6"/>
      <c r="R3197" s="285"/>
      <c r="S3197" s="310"/>
      <c r="T3197" s="311"/>
      <c r="U3197" s="311"/>
      <c r="V3197" s="311"/>
      <c r="W3197" s="311"/>
      <c r="X3197" s="312"/>
      <c r="Y3197" s="285"/>
      <c r="Z3197" s="285"/>
      <c r="AA3197" s="285"/>
      <c r="AB3197" s="285"/>
      <c r="AC3197" s="285"/>
      <c r="AD3197" s="292"/>
      <c r="AE3197" s="293"/>
      <c r="AF3197" s="294"/>
    </row>
    <row r="3198" spans="1:32" ht="12.75" customHeight="1" x14ac:dyDescent="0.25">
      <c r="A3198" s="259" t="str">
        <f>B3171</f>
        <v>F</v>
      </c>
      <c r="B3198" s="236" t="str">
        <f ca="1">IF(AND(OFFSET($AO$1,$C3171-1,8,1,1),$A3172&lt;&gt;"",$J3172&lt;&gt;""),CHOOSE($C3171,$AR$1,$AR$2,$AR$3,$AR$4,$AR$5,$AR$6,$AR$7,$AR$8,$AR$9,$AR$10,$AR$11,$AR$12),"")</f>
        <v/>
      </c>
      <c r="C3198" s="237"/>
      <c r="D3198" s="237"/>
      <c r="E3198" s="237"/>
      <c r="F3198" s="237"/>
      <c r="G3198" s="237"/>
      <c r="H3198" s="233"/>
      <c r="I3198" s="233"/>
      <c r="J3198" s="233"/>
      <c r="K3198" s="233"/>
      <c r="L3198" s="233" t="str">
        <f ca="1">IF(AND($B3198&lt;&gt;"",$Q3177&lt;&gt;""),IF($B3198="Missing Player",0,IF($B3200="Missing Player",11,"")),"")</f>
        <v/>
      </c>
      <c r="M3198" s="245" t="str">
        <f ca="1">IF(OR(AND($B3191&lt;&gt;"",$B3198&lt;&gt;"",$E3202&lt;=$D3202),AND($B3193&lt;&gt;"",$B3200&lt;&gt;"",$I3202&lt;=$H3202)),"Invalid Lineup","")</f>
        <v/>
      </c>
      <c r="N3198" s="246"/>
      <c r="O3198" s="246"/>
      <c r="P3198" s="247"/>
      <c r="Q3198" s="40" t="str">
        <f ca="1">IF($L3198=$L3200,IF($K3198=$K3200,IF($J3198&lt;&gt;"",IF($J3198&gt;$J3200,"W","L"),""),IF($K3198&gt;$K3200,"W","L")),IF($L3198&gt;$L3200,"W","L"))</f>
        <v/>
      </c>
      <c r="R3198" s="259" t="str">
        <f>$K3171</f>
        <v>J</v>
      </c>
      <c r="S3198" s="307" t="str">
        <f ca="1">IF($B3193&lt;&gt;"",$B3193,"")</f>
        <v/>
      </c>
      <c r="T3198" s="308"/>
      <c r="U3198" s="308"/>
      <c r="V3198" s="308"/>
      <c r="W3198" s="308"/>
      <c r="X3198" s="309"/>
      <c r="Y3198" s="284"/>
      <c r="Z3198" s="284"/>
      <c r="AA3198" s="284"/>
      <c r="AB3198" s="284"/>
      <c r="AC3198" s="297"/>
      <c r="AD3198" s="289" t="s">
        <v>169</v>
      </c>
      <c r="AE3198" s="290"/>
      <c r="AF3198" s="291"/>
    </row>
    <row r="3199" spans="1:32" ht="12.75" customHeight="1" x14ac:dyDescent="0.25">
      <c r="A3199" s="260"/>
      <c r="B3199" s="238"/>
      <c r="C3199" s="239"/>
      <c r="D3199" s="239"/>
      <c r="E3199" s="239"/>
      <c r="F3199" s="239"/>
      <c r="G3199" s="239"/>
      <c r="H3199" s="234"/>
      <c r="I3199" s="234"/>
      <c r="J3199" s="234"/>
      <c r="K3199" s="234"/>
      <c r="L3199" s="234"/>
      <c r="M3199" s="245"/>
      <c r="N3199" s="246"/>
      <c r="O3199" s="246"/>
      <c r="P3199" s="247"/>
      <c r="Q3199" s="110" t="str">
        <f ca="1">IF($Q3198&lt;&gt;"",IF($B3200&lt;&gt;"Missing Player",IF($Q3198="W",IF(SUM(IF($H3198&gt;$H3200,1,0),IF($I3198&gt;$I3200,1,0),IF($J3198&gt;$J3200,1,0),IF($K3198&gt;$K3200,1,0),IF($L3198&gt;$L3200,1,0))&lt;&gt;3,"Error",""),""),""),"")</f>
        <v/>
      </c>
      <c r="R3199" s="285"/>
      <c r="S3199" s="310"/>
      <c r="T3199" s="311"/>
      <c r="U3199" s="311"/>
      <c r="V3199" s="311"/>
      <c r="W3199" s="311"/>
      <c r="X3199" s="312"/>
      <c r="Y3199" s="285"/>
      <c r="Z3199" s="285"/>
      <c r="AA3199" s="285"/>
      <c r="AB3199" s="285"/>
      <c r="AC3199" s="285"/>
      <c r="AD3199" s="292"/>
      <c r="AE3199" s="293"/>
      <c r="AF3199" s="294"/>
    </row>
    <row r="3200" spans="1:32" ht="12.75" customHeight="1" x14ac:dyDescent="0.25">
      <c r="A3200" s="259" t="str">
        <f>K3171</f>
        <v>J</v>
      </c>
      <c r="B3200" s="236" t="str">
        <f ca="1">IF(AND(OFFSET($AO$1,$L3171-1,8,1,1),$A3172&lt;&gt;"",$J3172&lt;&gt;""),CHOOSE($L3171,$AR$1,$AR$2,$AR$3,$AR$4,$AR$5,$AR$6,$AR$7,$AR$8,$AR$9,$AR$10,$AR$11,$AR$12),"")</f>
        <v/>
      </c>
      <c r="C3200" s="237"/>
      <c r="D3200" s="237"/>
      <c r="E3200" s="237"/>
      <c r="F3200" s="237"/>
      <c r="G3200" s="237"/>
      <c r="H3200" s="233"/>
      <c r="I3200" s="233"/>
      <c r="J3200" s="233"/>
      <c r="K3200" s="233"/>
      <c r="L3200" s="233" t="str">
        <f ca="1">IF(AND($B3200&lt;&gt;"",$Q3177&lt;&gt;""),IF($B3200="Missing Player",0,IF($B3198="Missing Player",11,"")),"")</f>
        <v/>
      </c>
      <c r="M3200" s="250" t="s">
        <v>169</v>
      </c>
      <c r="N3200" s="251"/>
      <c r="O3200" s="251"/>
      <c r="P3200" s="252"/>
      <c r="Q3200" s="40" t="str">
        <f ca="1">IF($Q3198&lt;&gt;"",IF($Q3198="W","L","W"),"")</f>
        <v/>
      </c>
      <c r="R3200" s="94"/>
      <c r="S3200" s="84"/>
      <c r="T3200" s="84"/>
      <c r="U3200" s="84"/>
      <c r="V3200" s="84"/>
      <c r="W3200" s="84"/>
      <c r="X3200" s="84"/>
      <c r="Y3200" s="93"/>
      <c r="Z3200" s="93"/>
      <c r="AA3200" s="93"/>
      <c r="AB3200" s="93"/>
      <c r="AC3200" s="93"/>
      <c r="AD3200" s="92"/>
      <c r="AE3200" s="93"/>
      <c r="AF3200" s="93"/>
    </row>
    <row r="3201" spans="1:32" ht="12.75" customHeight="1" x14ac:dyDescent="0.25">
      <c r="A3201" s="260"/>
      <c r="B3201" s="238"/>
      <c r="C3201" s="239"/>
      <c r="D3201" s="239"/>
      <c r="E3201" s="239"/>
      <c r="F3201" s="239"/>
      <c r="G3201" s="239"/>
      <c r="H3201" s="234"/>
      <c r="I3201" s="234"/>
      <c r="J3201" s="235"/>
      <c r="K3201" s="235"/>
      <c r="L3201" s="235"/>
      <c r="M3201" s="250"/>
      <c r="N3201" s="251"/>
      <c r="O3201" s="251"/>
      <c r="P3201" s="252"/>
      <c r="Q3201" s="110" t="str">
        <f ca="1">IF($Q3200&lt;&gt;"",IF($B3198&lt;&gt;"Missing Player",IF($Q3200="W",IF(SUM(IF($H3200&gt;$H3198,1,0),IF($I3200&gt;$I3198,1,0),IF($J3200&gt;$J3198,1,0),IF($K3200&gt;$K3198,1,0),IF($L3200&gt;$L3198,1,0))&lt;&gt;3,"Error",""),""),""),"")</f>
        <v/>
      </c>
      <c r="R3201" s="85"/>
      <c r="S3201" s="95"/>
      <c r="T3201" s="95"/>
      <c r="U3201" s="95"/>
      <c r="V3201" s="95"/>
      <c r="W3201" s="95"/>
      <c r="X3201" s="95"/>
      <c r="Y3201" s="85"/>
      <c r="Z3201" s="85"/>
      <c r="AA3201" s="85"/>
      <c r="AB3201" s="85"/>
      <c r="AC3201" s="85"/>
      <c r="AD3201" s="85"/>
      <c r="AE3201" s="85"/>
      <c r="AF3201" s="85"/>
    </row>
    <row r="3202" spans="1:32" ht="12.75" customHeight="1" x14ac:dyDescent="0.25">
      <c r="B3202" s="111" t="str">
        <f ca="1">IF(ISERROR(VLOOKUP($B3177&amp;"("&amp;$B3171&amp;")",Players!$S$4:$T$132,2,FALSE)),"",VLOOKUP($B3177&amp;"("&amp;$B3171&amp;")",Players!$S$4:$T$132,2,FALSE))</f>
        <v>F1</v>
      </c>
      <c r="C3202" s="111" t="str">
        <f ca="1">IF(ISERROR(VLOOKUP($B3184&amp;"("&amp;$B3171&amp;")",Players!$S$4:$T$132,2,FALSE)),"",VLOOKUP($B3184&amp;"("&amp;$B3171&amp;")",Players!$S$4:$T$132,2,FALSE))</f>
        <v>F1</v>
      </c>
      <c r="D3202" s="111" t="str">
        <f ca="1">IF(ISERROR(VLOOKUP($B3191&amp;"("&amp;$B3171&amp;")",Players!$S$4:$T$132,2,FALSE)),"",VLOOKUP($B3191&amp;"("&amp;$B3171&amp;")",Players!$S$4:$T$132,2,FALSE))</f>
        <v>F1</v>
      </c>
      <c r="E3202" s="111" t="str">
        <f ca="1">IF(ISERROR(VLOOKUP($B3198&amp;"("&amp;$B3171&amp;")",Players!$S$4:$T$132,2,FALSE)),"",VLOOKUP($B3198&amp;"("&amp;$B3171&amp;")",Players!$S$4:$T$132,2,FALSE))</f>
        <v>F1</v>
      </c>
      <c r="F3202" s="111" t="str">
        <f ca="1">IF(ISERROR(VLOOKUP($B3179&amp;"("&amp;$K3171&amp;")",Players!$S$4:$T$132,2,FALSE)),"",VLOOKUP($B3179&amp;"("&amp;$K3171&amp;")",Players!$S$4:$T$132,2,FALSE))</f>
        <v>J1</v>
      </c>
      <c r="G3202" s="111" t="str">
        <f ca="1">IF(ISERROR(VLOOKUP($B3186&amp;"("&amp;$K3171&amp;")",Players!$S$4:$T$132,2,FALSE)),"",VLOOKUP($B3186&amp;"("&amp;$K3171&amp;")",Players!$S$4:$T$132,2,FALSE))</f>
        <v>J1</v>
      </c>
      <c r="H3202" s="111" t="str">
        <f ca="1">IF(ISERROR(VLOOKUP($B3193&amp;"("&amp;$K3171&amp;")",Players!$S$4:$T$132,2,FALSE)),"",VLOOKUP($B3193&amp;"("&amp;$K3171&amp;")",Players!$S$4:$T$132,2,FALSE))</f>
        <v>J1</v>
      </c>
      <c r="I3202" s="111" t="str">
        <f ca="1">IF(ISERROR(VLOOKUP($B3200&amp;"("&amp;$K3171&amp;")",Players!$S$4:$T$132,2,FALSE)),"",VLOOKUP($B3200&amp;"("&amp;$K3171&amp;")",Players!$S$4:$T$132,2,FALSE))</f>
        <v>J1</v>
      </c>
      <c r="Q3202" s="6"/>
      <c r="R3202" s="37"/>
      <c r="S3202" s="95"/>
      <c r="T3202" s="95"/>
      <c r="U3202" s="95"/>
      <c r="V3202" s="95"/>
      <c r="W3202" s="95"/>
      <c r="X3202" s="95"/>
      <c r="Y3202" s="85"/>
      <c r="Z3202" s="85"/>
      <c r="AA3202" s="85"/>
      <c r="AB3202" s="85"/>
      <c r="AC3202" s="96"/>
      <c r="AD3202" s="97"/>
      <c r="AE3202" s="85"/>
      <c r="AF3202" s="85"/>
    </row>
    <row r="3203" spans="1:32" ht="12.75" customHeight="1" x14ac:dyDescent="0.25">
      <c r="A3203" s="15" t="s">
        <v>157</v>
      </c>
      <c r="H3203" s="110" t="str">
        <f ca="1">IF($Q3205&lt;&gt;"",IF(AND($B3206&lt;&gt;"Missing Player",$B3208&lt;&gt;"Missing Player"),IF(AND(AND($H3205&gt;-1,$H3207&gt;-1),OR($H3205&gt;10,$H3207&gt;10),ABS($H3205-$H3207)&gt;1,IF(OR($H3205&gt;11,$H3207&gt;11),ABS($H3205-$H3207)=2,TRUE),$H3205=INT($H3205),$H3207=INT($H3207)),"","Error"),""),"")</f>
        <v/>
      </c>
      <c r="I3203" s="110" t="str">
        <f ca="1">IF($Q3205&lt;&gt;"",IF(AND($B3206&lt;&gt;"Missing Player",$B3208&lt;&gt;"Missing Player"),IF(AND(AND($I3205&gt;-1,$I3207&gt;-1),OR($I3205&gt;10,$I3207&gt;10),ABS($I3205-$I3207)&gt;1,IF(OR($I3205&gt;11,$I3207&gt;11),ABS($I3205-$I3207)=2,TRUE),$I3205=INT($I3205),$I3207=INT($I3207)),"","Error"),""),"")</f>
        <v/>
      </c>
      <c r="J3203" s="110" t="str">
        <f ca="1">IF($Q3205&lt;&gt;"",IF(AND($B3206&lt;&gt;"Missing Player",$B3208&lt;&gt;"Missing Player"),IF(AND(AND($J3205&gt;-1,$J3207&gt;-1),OR($J3205&gt;10,$J3207&gt;10),ABS($J3205-$J3207)&gt;1,IF(OR($J3205&gt;11,$J3207&gt;11),ABS($J3205-$J3207)=2,TRUE),$J3205=INT($J3205),$J3207=INT($J3207)),"","Error"),""),"")</f>
        <v/>
      </c>
      <c r="K3203" s="110" t="str">
        <f ca="1">IF($Q3205&lt;&gt;"",IF(AND($K3205&lt;&gt;"",$K3207&lt;&gt;""), IF(AND(AND($K3205&gt;-1,$K3207&gt;-1),OR($K3205&gt;10,$K3207&gt;10),ABS($K3205-$K3207)&gt;1,IF(OR($K3205&gt;11,$K3207&gt;11),ABS($K3205-$K3207)=2,TRUE),$K3205=INT($K3205),$K3207=INT($K3207)),"","Error"),""),"")</f>
        <v/>
      </c>
      <c r="L3203" s="110" t="str">
        <f ca="1">IF($Q3205&lt;&gt;"",IF(AND($L3205&lt;&gt;"",$L3207&lt;&gt;""), IF(AND(AND($L3205&gt;-1,$L3207&gt;-1),OR($L3205&gt;10,$L3207&gt;10),ABS($L3205-$L3207)&gt;1,IF(OR($L3205&gt;11,$L3207&gt;11),ABS($L3205-$L3207)=2,TRUE),$L3205=INT($L3205),$L3207=INT($L3207)),"","Error"),""),"")</f>
        <v/>
      </c>
      <c r="Q3203" s="6"/>
      <c r="R3203" s="85"/>
      <c r="S3203" s="95"/>
      <c r="T3203" s="95"/>
      <c r="U3203" s="95"/>
      <c r="V3203" s="95"/>
      <c r="W3203" s="95"/>
      <c r="X3203" s="95"/>
      <c r="Y3203" s="85"/>
      <c r="Z3203" s="85"/>
      <c r="AA3203" s="85"/>
      <c r="AB3203" s="85"/>
      <c r="AC3203" s="85"/>
      <c r="AD3203" s="85"/>
      <c r="AE3203" s="85"/>
      <c r="AF3203" s="85"/>
    </row>
    <row r="3204" spans="1:32" ht="12.75" customHeight="1" x14ac:dyDescent="0.25">
      <c r="A3204" s="5" t="s">
        <v>160</v>
      </c>
      <c r="B3204" s="256" t="s">
        <v>58</v>
      </c>
      <c r="C3204" s="257"/>
      <c r="D3204" s="257"/>
      <c r="E3204" s="257"/>
      <c r="F3204" s="257"/>
      <c r="G3204" s="258"/>
      <c r="H3204" s="5">
        <v>1</v>
      </c>
      <c r="I3204" s="5">
        <v>2</v>
      </c>
      <c r="J3204" s="5">
        <v>3</v>
      </c>
      <c r="K3204" s="5">
        <v>4</v>
      </c>
      <c r="L3204" s="5">
        <v>5</v>
      </c>
      <c r="M3204" s="270"/>
      <c r="N3204" s="271"/>
      <c r="O3204" s="271"/>
      <c r="P3204" s="272"/>
      <c r="Q3204" s="6"/>
      <c r="T3204" s="7"/>
    </row>
    <row r="3205" spans="1:32" ht="12.75" customHeight="1" x14ac:dyDescent="0.25">
      <c r="A3205" s="259" t="str">
        <f>B3171</f>
        <v>F</v>
      </c>
      <c r="B3205" s="230" t="str">
        <f ca="1">IF($B3177&lt;&gt;"",$B3177,"")</f>
        <v/>
      </c>
      <c r="C3205" s="231"/>
      <c r="D3205" s="231"/>
      <c r="E3205" s="231"/>
      <c r="F3205" s="231"/>
      <c r="G3205" s="232"/>
      <c r="H3205" s="233"/>
      <c r="I3205" s="233"/>
      <c r="J3205" s="233"/>
      <c r="K3205" s="233"/>
      <c r="L3205" s="233" t="str">
        <f ca="1">IF($B3198&lt;&gt;"",IF(AND($B3198="Missing Player",$G3209=2,$J3209=2),0,IF(AND($B3200="Missing Player",$G3209=2,$J3209=2),11,"")),"")</f>
        <v/>
      </c>
      <c r="M3205" s="245" t="str">
        <f ca="1">IF(OR(AND($B3205&lt;&gt;"",$B3206&lt;&gt;"",$B3205=$B3206),AND($B3207&lt;&gt;"",$B3208&lt;&gt;"",$B3207=$B3208)),"Invalid Partner","")</f>
        <v/>
      </c>
      <c r="N3205" s="246"/>
      <c r="O3205" s="246"/>
      <c r="P3205" s="247"/>
      <c r="Q3205" s="37" t="str">
        <f ca="1">IF(L3205=L3207,IF(K3205=K3207,IF(J3205&lt;&gt;"",IF(J3205&gt;J3207,"W","L"),""),IF(K3205&gt;K3207,"W","L")),IF(L3205&gt;L3207,"W","L"))</f>
        <v/>
      </c>
      <c r="T3205" s="7"/>
    </row>
    <row r="3206" spans="1:32" ht="12.75" customHeight="1" x14ac:dyDescent="0.25">
      <c r="A3206" s="260"/>
      <c r="B3206" s="266" t="str">
        <f ca="1">IF($B3198="Missing Player",$B3198,"")</f>
        <v/>
      </c>
      <c r="C3206" s="267"/>
      <c r="D3206" s="267"/>
      <c r="E3206" s="267"/>
      <c r="F3206" s="267"/>
      <c r="G3206" s="268"/>
      <c r="H3206" s="234"/>
      <c r="I3206" s="234"/>
      <c r="J3206" s="234"/>
      <c r="K3206" s="234"/>
      <c r="L3206" s="234"/>
      <c r="M3206" s="245"/>
      <c r="N3206" s="246"/>
      <c r="O3206" s="246"/>
      <c r="P3206" s="247"/>
      <c r="Q3206" s="110" t="str">
        <f ca="1">IF($Q3205&lt;&gt;"",IF($B3208&lt;&gt;"Missing Player",IF($Q3205="W",IF(SUM(IF($H3205&gt;$H3207,1,0),IF($I3205&gt;$I3207,1,0),IF($J3205&gt;$J3207,1,0),IF($K3205&gt;$K3207,1,0),IF($L3205&gt;$L3207,1,0))&lt;&gt;3,"Error",""),""),""),"")</f>
        <v/>
      </c>
      <c r="R3206" s="295" t="str">
        <f>$A3172</f>
        <v/>
      </c>
      <c r="S3206" s="295"/>
      <c r="T3206" s="295"/>
      <c r="U3206" s="295"/>
      <c r="V3206" s="295"/>
      <c r="W3206" s="295"/>
      <c r="X3206" s="219" t="str">
        <f>CONCATENATE("(",$B3171," vs ",$K3171,")")</f>
        <v>(F vs J)</v>
      </c>
      <c r="Y3206" s="219"/>
      <c r="Z3206" s="295" t="str">
        <f>$J3172</f>
        <v/>
      </c>
      <c r="AA3206" s="295"/>
      <c r="AB3206" s="295"/>
      <c r="AC3206" s="295"/>
      <c r="AD3206" s="295"/>
      <c r="AE3206" s="295"/>
      <c r="AF3206"/>
    </row>
    <row r="3207" spans="1:32" ht="12.75" customHeight="1" x14ac:dyDescent="0.25">
      <c r="A3207" s="265" t="str">
        <f>K3171</f>
        <v>J</v>
      </c>
      <c r="B3207" s="230" t="str">
        <f ca="1">IF($B3179&lt;&gt;"",$B3179,"")</f>
        <v/>
      </c>
      <c r="C3207" s="231"/>
      <c r="D3207" s="231"/>
      <c r="E3207" s="231"/>
      <c r="F3207" s="231"/>
      <c r="G3207" s="232"/>
      <c r="H3207" s="233"/>
      <c r="I3207" s="233"/>
      <c r="J3207" s="233"/>
      <c r="K3207" s="233"/>
      <c r="L3207" s="233" t="str">
        <f ca="1">IF($B3200&lt;&gt;"",IF(AND($B3200="Missing Player",$G3209=2,$J3209=2),0,IF(AND($B3198="Missing Player",$G3209=2,$J3209=2),11,"")),"")</f>
        <v/>
      </c>
      <c r="M3207" s="250" t="s">
        <v>169</v>
      </c>
      <c r="N3207" s="251"/>
      <c r="O3207" s="251"/>
      <c r="P3207" s="252"/>
      <c r="Q3207" s="37" t="str">
        <f ca="1">IF(Q3205&lt;&gt;"",IF(Q3205="W","L","W"),"")</f>
        <v/>
      </c>
      <c r="R3207"/>
      <c r="S3207"/>
      <c r="T3207"/>
      <c r="U3207"/>
      <c r="V3207"/>
      <c r="W3207"/>
      <c r="X3207"/>
      <c r="Y3207"/>
      <c r="Z3207"/>
      <c r="AA3207"/>
      <c r="AB3207"/>
      <c r="AC3207"/>
      <c r="AD3207"/>
      <c r="AE3207"/>
      <c r="AF3207"/>
    </row>
    <row r="3208" spans="1:32" ht="12.75" customHeight="1" x14ac:dyDescent="0.25">
      <c r="A3208" s="260"/>
      <c r="B3208" s="266" t="str">
        <f ca="1">IF($B3200="Missing Player",$B3200,"")</f>
        <v/>
      </c>
      <c r="C3208" s="267"/>
      <c r="D3208" s="267"/>
      <c r="E3208" s="267"/>
      <c r="F3208" s="267"/>
      <c r="G3208" s="268"/>
      <c r="H3208" s="234"/>
      <c r="I3208" s="234"/>
      <c r="J3208" s="235"/>
      <c r="K3208" s="235"/>
      <c r="L3208" s="235"/>
      <c r="M3208" s="250"/>
      <c r="N3208" s="251"/>
      <c r="O3208" s="251"/>
      <c r="P3208" s="252"/>
      <c r="Q3208" s="110" t="str">
        <f ca="1">IF($Q3207&lt;&gt;"",IF($B3206&lt;&gt;"Missing Player",IF($Q3207="W",IF(SUM(IF($H3207&gt;$H3205,1,0),IF($I3207&gt;$I3205,1,0),IF($J3207&gt;$J3205,1,0),IF($K3207&gt;$K3205,1,0),IF($L3207&gt;$L3205,1,0))&lt;&gt;3,"Error",""),""),""),"")</f>
        <v/>
      </c>
      <c r="R3208" t="str">
        <f>A3196</f>
        <v>4th Singles</v>
      </c>
      <c r="S3208"/>
      <c r="T3208"/>
      <c r="U3208"/>
      <c r="V3208"/>
      <c r="W3208"/>
      <c r="X3208"/>
      <c r="Y3208"/>
      <c r="Z3208"/>
      <c r="AA3208"/>
      <c r="AB3208"/>
      <c r="AC3208"/>
      <c r="AD3208"/>
      <c r="AE3208"/>
      <c r="AF3208"/>
    </row>
    <row r="3209" spans="1:32" ht="12.75" customHeight="1" x14ac:dyDescent="0.25">
      <c r="G3209" s="53">
        <f ca="1">COUNTIF($Q3177:$Q3177,"W")+COUNTIF($Q3184:$Q3184,"W")+COUNTIF($Q3191:$Q3191,"W")+COUNTIF($Q3198:$Q3198,"W")</f>
        <v>0</v>
      </c>
      <c r="J3209" s="53">
        <f ca="1">COUNTIF($Q3179:$Q3179,"W")+COUNTIF($Q3186:$Q3186,"W")+COUNTIF($Q3193:$Q3193,"W")+COUNTIF($Q3200:$Q3200,"W")</f>
        <v>0</v>
      </c>
      <c r="R3209" s="47" t="s">
        <v>160</v>
      </c>
      <c r="S3209" s="304" t="s">
        <v>58</v>
      </c>
      <c r="T3209" s="305"/>
      <c r="U3209" s="305"/>
      <c r="V3209" s="305"/>
      <c r="W3209" s="305"/>
      <c r="X3209" s="306"/>
      <c r="Y3209" s="47">
        <v>1</v>
      </c>
      <c r="Z3209" s="47">
        <v>2</v>
      </c>
      <c r="AA3209" s="47">
        <v>3</v>
      </c>
      <c r="AB3209" s="47">
        <v>4</v>
      </c>
      <c r="AC3209" s="47">
        <v>5</v>
      </c>
      <c r="AD3209" s="286"/>
      <c r="AE3209" s="287"/>
      <c r="AF3209" s="288"/>
    </row>
    <row r="3210" spans="1:32" ht="12.75" customHeight="1" thickBot="1" x14ac:dyDescent="0.3">
      <c r="F3210" s="212" t="s">
        <v>170</v>
      </c>
      <c r="G3210" s="212"/>
      <c r="H3210" s="212"/>
      <c r="I3210" s="212"/>
      <c r="J3210" s="212"/>
      <c r="K3210" s="212"/>
      <c r="R3210" s="259" t="str">
        <f>B3171</f>
        <v>F</v>
      </c>
      <c r="S3210" s="307" t="str">
        <f ca="1">IF($B3198&lt;&gt;"",$B3198,"")</f>
        <v/>
      </c>
      <c r="T3210" s="308"/>
      <c r="U3210" s="308"/>
      <c r="V3210" s="308"/>
      <c r="W3210" s="308"/>
      <c r="X3210" s="309"/>
      <c r="Y3210" s="284"/>
      <c r="Z3210" s="284"/>
      <c r="AA3210" s="297"/>
      <c r="AB3210" s="297"/>
      <c r="AC3210" s="297"/>
      <c r="AD3210" s="296"/>
      <c r="AE3210" s="298"/>
      <c r="AF3210" s="299"/>
    </row>
    <row r="3211" spans="1:32" ht="12.75" customHeight="1" x14ac:dyDescent="0.25">
      <c r="A3211" s="16"/>
      <c r="B3211" s="16"/>
      <c r="C3211" s="16"/>
      <c r="D3211" s="16"/>
      <c r="E3211" s="16"/>
      <c r="G3211" s="261" t="str">
        <f>B3171</f>
        <v>F</v>
      </c>
      <c r="H3211" s="262"/>
      <c r="I3211" s="263" t="str">
        <f>K3171</f>
        <v>J</v>
      </c>
      <c r="J3211" s="264"/>
      <c r="L3211" s="16"/>
      <c r="M3211" s="16"/>
      <c r="N3211" s="16"/>
      <c r="O3211" s="16"/>
      <c r="P3211" s="16"/>
      <c r="R3211" s="260"/>
      <c r="S3211" s="310"/>
      <c r="T3211" s="311"/>
      <c r="U3211" s="311"/>
      <c r="V3211" s="311"/>
      <c r="W3211" s="311"/>
      <c r="X3211" s="312"/>
      <c r="Y3211" s="285"/>
      <c r="Z3211" s="285"/>
      <c r="AA3211" s="303"/>
      <c r="AB3211" s="303"/>
      <c r="AC3211" s="303"/>
      <c r="AD3211" s="300"/>
      <c r="AE3211" s="301"/>
      <c r="AF3211" s="302"/>
    </row>
    <row r="3212" spans="1:32" ht="12.75" customHeight="1" thickBot="1" x14ac:dyDescent="0.3">
      <c r="A3212" s="2" t="s">
        <v>160</v>
      </c>
      <c r="B3212" s="40" t="str">
        <f>B3171</f>
        <v>F</v>
      </c>
      <c r="C3212" s="3" t="s">
        <v>158</v>
      </c>
      <c r="F3212" s="53" t="str">
        <f>CONCATENATE($B3171,"-",$K3171)</f>
        <v>F-J</v>
      </c>
      <c r="G3212" s="240" t="str">
        <f ca="1">IF(OR(Q3177&lt;&gt;"",Q3184&lt;&gt;"",Q3191&lt;&gt;"",Q3198&lt;&gt;"",Q3205&lt;&gt;""),COUNTIF(Q3177:Q3177,"W")+COUNTIF(Q3184:Q3184,"W")+COUNTIF(Q3191:Q3191,"W")+COUNTIF(Q3198:Q3198,"W")+COUNTIF(Q3205:Q3205,"W"),"")</f>
        <v/>
      </c>
      <c r="H3212" s="241"/>
      <c r="I3212" s="242" t="str">
        <f ca="1">IF(OR(Q3179&lt;&gt;"",Q3186&lt;&gt;"",Q3193&lt;&gt;"",Q3200&lt;&gt;"",Q3207&lt;&gt;""),COUNTIF(Q3179:Q3179,"W")+COUNTIF(Q3186:Q3186,"W")+COUNTIF(Q3193:Q3193,"W")+COUNTIF(Q3200:Q3200,"W")+COUNTIF(Q3207:Q3207,"W"),"")</f>
        <v/>
      </c>
      <c r="J3212" s="243"/>
      <c r="L3212" s="2" t="s">
        <v>160</v>
      </c>
      <c r="M3212" s="40" t="str">
        <f>K3171</f>
        <v>J</v>
      </c>
      <c r="N3212" s="3" t="s">
        <v>158</v>
      </c>
      <c r="R3212" s="259" t="str">
        <f>K3171</f>
        <v>J</v>
      </c>
      <c r="S3212" s="307" t="str">
        <f ca="1">IF($B3200&lt;&gt;"",$B3200,"")</f>
        <v/>
      </c>
      <c r="T3212" s="308"/>
      <c r="U3212" s="308"/>
      <c r="V3212" s="308"/>
      <c r="W3212" s="308"/>
      <c r="X3212" s="309"/>
      <c r="Y3212" s="284"/>
      <c r="Z3212" s="284"/>
      <c r="AA3212" s="297"/>
      <c r="AB3212" s="297"/>
      <c r="AC3212" s="297"/>
      <c r="AD3212" s="289" t="s">
        <v>169</v>
      </c>
      <c r="AE3212" s="290"/>
      <c r="AF3212" s="291"/>
    </row>
    <row r="3213" spans="1:32" ht="12.75" customHeight="1" x14ac:dyDescent="0.35">
      <c r="F3213" s="18" t="s">
        <v>403</v>
      </c>
      <c r="G3213" s="17"/>
      <c r="H3213" s="17"/>
      <c r="I3213" s="17"/>
      <c r="J3213" s="17"/>
      <c r="R3213" s="285"/>
      <c r="S3213" s="310"/>
      <c r="T3213" s="311"/>
      <c r="U3213" s="311"/>
      <c r="V3213" s="311"/>
      <c r="W3213" s="311"/>
      <c r="X3213" s="312"/>
      <c r="Y3213" s="285"/>
      <c r="Z3213" s="285"/>
      <c r="AA3213" s="285"/>
      <c r="AB3213" s="285"/>
      <c r="AC3213" s="285"/>
      <c r="AD3213" s="292"/>
      <c r="AE3213" s="293"/>
      <c r="AF3213" s="294"/>
    </row>
    <row r="3214" spans="1:32" ht="12.75" customHeight="1" x14ac:dyDescent="0.25">
      <c r="R3214" s="1"/>
      <c r="S3214" s="11"/>
      <c r="T3214" s="11"/>
      <c r="U3214" s="11"/>
      <c r="V3214" s="11"/>
      <c r="W3214" s="11"/>
    </row>
    <row r="3215" spans="1:32" ht="12.75" customHeight="1" x14ac:dyDescent="0.25">
      <c r="F3215" s="212"/>
      <c r="G3215" s="212"/>
      <c r="H3215" s="212"/>
      <c r="I3215" s="212"/>
      <c r="R3215" s="1"/>
      <c r="S3215" s="11"/>
      <c r="T3215" s="11"/>
      <c r="U3215" s="11"/>
      <c r="V3215" s="11"/>
      <c r="W3215" s="11"/>
    </row>
    <row r="3216" spans="1:32" ht="12.75" customHeight="1" x14ac:dyDescent="0.25">
      <c r="F3216" s="212"/>
      <c r="G3216" s="212"/>
      <c r="H3216" s="212"/>
      <c r="I3216" s="212"/>
      <c r="R3216" s="1"/>
      <c r="S3216" s="11"/>
      <c r="T3216" s="11"/>
      <c r="U3216" s="11"/>
      <c r="V3216" s="11"/>
      <c r="W3216" s="11"/>
    </row>
    <row r="3217" spans="1:32" ht="12.75" customHeight="1" x14ac:dyDescent="0.25">
      <c r="K3217" s="219" t="s">
        <v>176</v>
      </c>
      <c r="L3217" s="219"/>
      <c r="M3217" s="219"/>
      <c r="N3217" s="219"/>
      <c r="O3217" s="219"/>
      <c r="P3217" s="219"/>
      <c r="R3217" s="1"/>
      <c r="S3217" s="11"/>
      <c r="T3217" s="11"/>
      <c r="U3217" s="11"/>
      <c r="V3217" s="11"/>
      <c r="W3217" s="11"/>
    </row>
    <row r="3218" spans="1:32" ht="12.75" customHeight="1" x14ac:dyDescent="0.25">
      <c r="A3218" s="9" t="s">
        <v>161</v>
      </c>
      <c r="B3218"/>
      <c r="C3218"/>
      <c r="D3218" t="str">
        <f>Draw!$B$1</f>
        <v>Enter Division Name</v>
      </c>
      <c r="E3218"/>
      <c r="F3218" s="6"/>
      <c r="G3218" s="6"/>
      <c r="H3218" s="6"/>
      <c r="I3218"/>
      <c r="J3218"/>
      <c r="K3218"/>
      <c r="L3218"/>
      <c r="M3218" s="219"/>
      <c r="N3218" s="219"/>
      <c r="O3218" s="219"/>
      <c r="P3218" s="219"/>
      <c r="R3218" s="1"/>
      <c r="S3218" s="11"/>
      <c r="T3218" s="11"/>
      <c r="U3218" s="11"/>
      <c r="V3218" s="11"/>
      <c r="W3218" s="11"/>
    </row>
    <row r="3219" spans="1:32" ht="12.75" customHeight="1" x14ac:dyDescent="0.25">
      <c r="A3219" s="2" t="s">
        <v>162</v>
      </c>
      <c r="D3219" t="str">
        <f>Draw!$D$1</f>
        <v>Enter Hosting Location (City, ST)</v>
      </c>
      <c r="J3219" t="str">
        <f ca="1">$J$6</f>
        <v>[NCTTA Teams Template (v3.4).xlsx]</v>
      </c>
      <c r="R3219" s="1"/>
      <c r="S3219" s="11"/>
      <c r="T3219" s="11"/>
      <c r="U3219" s="11"/>
      <c r="V3219" s="11"/>
      <c r="W3219" s="11"/>
    </row>
    <row r="3220" spans="1:32" ht="12.75" customHeight="1" x14ac:dyDescent="0.25">
      <c r="A3220" s="2" t="s">
        <v>163</v>
      </c>
      <c r="D3220" s="275" t="str">
        <f>Draw!$P$1</f>
        <v>Enter Date</v>
      </c>
      <c r="E3220" s="275"/>
      <c r="F3220" s="275"/>
      <c r="G3220" s="275"/>
      <c r="J3220" s="244" t="str">
        <f>CHOOSE(Draw!$T$1,"Round 11, Match 4","","","","","","","","","","")</f>
        <v>Round 11, Match 4</v>
      </c>
      <c r="K3220" s="244"/>
      <c r="L3220" s="244"/>
      <c r="M3220" s="277" t="str">
        <f>IF(AND($J3220&lt;&gt;"",Draw!$AC$10&lt;&gt;"",Draw!$AC$13&lt;&gt;""),Draw!$AC$10+TIME(0,VALUE(MID($J3220,7,FIND(",",$J3220)-FIND(" ",$J3220)-1)-1)*Draw!$AC$13,0),"")</f>
        <v/>
      </c>
      <c r="N3220" s="277"/>
      <c r="O3220" s="125" t="str">
        <f>$F3263</f>
        <v>E-K</v>
      </c>
      <c r="R3220" s="1"/>
      <c r="S3220" s="11"/>
      <c r="T3220" s="11"/>
      <c r="U3220" s="11"/>
      <c r="V3220" s="11"/>
      <c r="W3220" s="11"/>
    </row>
    <row r="3221" spans="1:32" ht="12.75" customHeight="1" x14ac:dyDescent="0.25">
      <c r="A3221" s="6"/>
      <c r="B3221"/>
      <c r="C3221"/>
      <c r="D3221"/>
      <c r="E3221"/>
      <c r="F3221" s="6"/>
      <c r="G3221" s="6"/>
      <c r="H3221" s="11"/>
      <c r="I3221" s="6"/>
      <c r="J3221"/>
      <c r="K3221"/>
      <c r="L3221"/>
      <c r="M3221"/>
      <c r="N3221"/>
      <c r="O3221" s="269" t="str">
        <f>IF(OR(AND(VLOOKUP($B3222,$AM$1:$AX$12,12,FALSE)="C",VLOOKUP($K3222,$AM$1:$AX$12,12,FALSE)="C"),AND(VLOOKUP($B3222,$AM$1:$AX$12,12,FALSE)="W",VLOOKUP($K3222,$AM$1:$AX$12,12,FALSE)="W")),"Official",IF(AND($A3223="",$J3223=""),"","Scrimmage"))</f>
        <v/>
      </c>
      <c r="P3221" s="269"/>
      <c r="R3221" s="1"/>
      <c r="S3221" s="11"/>
      <c r="T3221" s="11"/>
      <c r="U3221" s="11"/>
      <c r="V3221" s="11"/>
      <c r="W3221" s="11"/>
    </row>
    <row r="3222" spans="1:32" ht="12.75" customHeight="1" x14ac:dyDescent="0.25">
      <c r="A3222" s="12" t="s">
        <v>160</v>
      </c>
      <c r="B3222" s="98" t="str">
        <f>CHOOSE(Draw!$T$1,"E","F","H","I","J","J","J","J","J","J","I")</f>
        <v>E</v>
      </c>
      <c r="C3222" s="109">
        <f>VLOOKUP($B3222,$AM$1:$AN$12,2)</f>
        <v>5</v>
      </c>
      <c r="D3222" s="10"/>
      <c r="E3222" s="10"/>
      <c r="F3222" s="8"/>
      <c r="H3222" s="1" t="s">
        <v>164</v>
      </c>
      <c r="J3222" s="12" t="s">
        <v>160</v>
      </c>
      <c r="K3222" s="98" t="str">
        <f>CHOOSE(Draw!$T$1,"K","J","J","J","K","K","K","K","K","K","L")</f>
        <v>K</v>
      </c>
      <c r="L3222" s="109">
        <f>VLOOKUP($K3222,$AM$1:$AN$12,2)</f>
        <v>11</v>
      </c>
      <c r="M3222" s="10"/>
      <c r="N3222" s="10"/>
      <c r="O3222" s="13"/>
      <c r="R3222" s="1"/>
      <c r="S3222" s="11"/>
      <c r="T3222" s="11"/>
      <c r="U3222" s="11"/>
      <c r="V3222" s="11"/>
      <c r="W3222" s="11"/>
    </row>
    <row r="3223" spans="1:32" ht="12.75" customHeight="1" x14ac:dyDescent="0.25">
      <c r="A3223" s="253" t="str">
        <f>IF(VLOOKUP($B3222,Draw!$A$4:$B$27,2)&lt;&gt;0,VLOOKUP($B3222,Draw!$A$4:$B$27,2),"")</f>
        <v/>
      </c>
      <c r="B3223" s="254"/>
      <c r="C3223" s="254"/>
      <c r="D3223" s="254"/>
      <c r="E3223" s="254"/>
      <c r="F3223" s="255"/>
      <c r="G3223" s="273" t="s">
        <v>467</v>
      </c>
      <c r="H3223" s="249"/>
      <c r="I3223" s="274"/>
      <c r="J3223" s="253" t="str">
        <f>IF(VLOOKUP($K3222,Draw!$A$4:$B$27,2)&lt;&gt;0,VLOOKUP($K3222,Draw!$A$4:$B$27,2),"")</f>
        <v/>
      </c>
      <c r="K3223" s="254"/>
      <c r="L3223" s="254"/>
      <c r="M3223" s="254"/>
      <c r="N3223" s="254"/>
      <c r="O3223" s="255"/>
      <c r="P3223"/>
      <c r="R3223" s="1"/>
      <c r="S3223" s="11"/>
      <c r="T3223" s="11"/>
      <c r="U3223" s="11"/>
      <c r="V3223" s="11"/>
      <c r="W3223" s="11"/>
    </row>
    <row r="3224" spans="1:32" ht="12.75" customHeight="1" x14ac:dyDescent="0.25">
      <c r="A3224" s="6"/>
      <c r="B3224"/>
      <c r="C3224"/>
      <c r="D3224"/>
      <c r="E3224"/>
      <c r="F3224" s="6"/>
      <c r="G3224" s="248" t="str">
        <f>"Page "&amp;VALUE(RIGHT($G3223,LEN($G3223)-SEARCH("-",$G3223)))/2</f>
        <v>Page 64</v>
      </c>
      <c r="H3224" s="249"/>
      <c r="I3224" s="249"/>
      <c r="J3224"/>
      <c r="K3224"/>
      <c r="L3224"/>
      <c r="M3224"/>
      <c r="N3224"/>
      <c r="O3224"/>
      <c r="P3224"/>
      <c r="R3224" s="1"/>
      <c r="S3224" s="11"/>
      <c r="T3224" s="11"/>
      <c r="U3224" s="11"/>
      <c r="V3224" s="11"/>
      <c r="W3224" s="11"/>
      <c r="AF3224"/>
    </row>
    <row r="3225" spans="1:32" ht="12.75" customHeight="1" x14ac:dyDescent="0.25">
      <c r="A3225" s="276" t="s">
        <v>177</v>
      </c>
      <c r="B3225" s="276"/>
      <c r="C3225" s="276"/>
      <c r="D3225" s="276"/>
      <c r="E3225" s="276"/>
      <c r="F3225" s="276"/>
      <c r="G3225" s="276"/>
      <c r="H3225" s="276"/>
      <c r="I3225" s="276"/>
      <c r="J3225" s="276"/>
      <c r="K3225" s="276"/>
      <c r="L3225" s="276"/>
      <c r="M3225" s="276"/>
      <c r="N3225" s="276"/>
      <c r="O3225" s="276"/>
      <c r="P3225" s="276"/>
      <c r="Q3225" s="6"/>
      <c r="R3225" s="1"/>
      <c r="S3225" s="11"/>
      <c r="T3225" s="11"/>
      <c r="U3225" s="11"/>
      <c r="V3225" s="11"/>
      <c r="W3225" s="11"/>
      <c r="AF3225" s="14"/>
    </row>
    <row r="3226" spans="1:32" ht="12.75" customHeight="1" x14ac:dyDescent="0.25">
      <c r="A3226" s="15" t="s">
        <v>165</v>
      </c>
      <c r="H3226" s="110" t="str">
        <f>IF($Q3228&lt;&gt;"",IF(AND(AND($H3228&gt;-1,$H3230&gt;-1),OR($H3228&gt;10,$H3230&gt;10),ABS($H3228-$H3230)&gt;1,IF(OR($H3228&gt;11,$H3230&gt;11),ABS($H3228-$H3230)=2,TRUE),$H3228=INT($H3228),$H3230=INT($H3230)),"","Error"),"")</f>
        <v/>
      </c>
      <c r="I3226" s="110" t="str">
        <f>IF($Q3228&lt;&gt;"",IF(AND(AND($I3228&gt;-1,$I3230&gt;-1),OR($I3228&gt;10,$I3230&gt;10),ABS($I3228-$I3230)&gt;1,IF(OR($I3228&gt;11,$I3230&gt;11),ABS($I3228-$I3230)=2,TRUE),$I3228=INT($I3228),$I3230=INT($I3230)),"","Error"),"")</f>
        <v/>
      </c>
      <c r="J3226" s="110" t="str">
        <f>IF($Q3228&lt;&gt;"",IF(AND(AND($J3228&gt;-1,$J3230&gt;-1),OR($J3228&gt;10,$J3230&gt;10),ABS($J3228-$J3230)&gt;1,IF(OR($J3228&gt;11,$J3230&gt;11),ABS($J3228-$J3230)=2,TRUE),$J3228=INT($J3228),$J3230=INT($J3230)),"","Error"),"")</f>
        <v/>
      </c>
      <c r="K3226" s="110" t="str">
        <f>IF($Q3228&lt;&gt;"",IF(AND($K3228&lt;&gt;"",$K3230&lt;&gt;""), IF(AND(AND($K3228&gt;-1,$K3230&gt;-1),OR($K3228&gt;10,$K3230&gt;10),ABS($K3228-$K3230)&gt;1,IF(OR($K3228&gt;11,$K3230&gt;11),ABS($K3228-$K3230)=2,TRUE),$K3228=INT($K3228),$K3230=INT($K3230)),"","Error"),""),"")</f>
        <v/>
      </c>
      <c r="L3226" s="110" t="str">
        <f>IF($Q3228&lt;&gt;"",IF(AND($L3228&lt;&gt;"",$L3230&lt;&gt;""), IF(AND(AND($L3228&gt;-1,$L3230&gt;-1),OR($L3228&gt;10,$L3230&gt;10),ABS($L3228-$L3230)&gt;1,IF(OR($L3228&gt;11,$L3230&gt;11),ABS($L3228-$L3230)=2,TRUE),$L3228=INT($L3228),$L3230=INT($L3230)),"","Error"),""),"")</f>
        <v/>
      </c>
      <c r="R3226" s="1"/>
      <c r="S3226" s="11"/>
      <c r="T3226" s="11"/>
      <c r="U3226" s="11"/>
      <c r="V3226" s="11"/>
      <c r="W3226" s="11"/>
    </row>
    <row r="3227" spans="1:32" ht="12.75" customHeight="1" x14ac:dyDescent="0.25">
      <c r="A3227" s="5" t="s">
        <v>160</v>
      </c>
      <c r="B3227" s="256" t="s">
        <v>58</v>
      </c>
      <c r="C3227" s="257"/>
      <c r="D3227" s="257"/>
      <c r="E3227" s="257"/>
      <c r="F3227" s="257"/>
      <c r="G3227" s="258"/>
      <c r="H3227" s="5">
        <v>1</v>
      </c>
      <c r="I3227" s="5">
        <v>2</v>
      </c>
      <c r="J3227" s="5">
        <v>3</v>
      </c>
      <c r="K3227" s="5">
        <v>4</v>
      </c>
      <c r="L3227" s="5">
        <v>5</v>
      </c>
      <c r="M3227" s="270"/>
      <c r="N3227" s="271"/>
      <c r="O3227" s="271"/>
      <c r="P3227" s="272"/>
      <c r="R3227" s="1"/>
      <c r="S3227" s="11"/>
      <c r="T3227" s="11"/>
      <c r="U3227" s="11"/>
      <c r="V3227" s="11"/>
      <c r="W3227" s="11"/>
    </row>
    <row r="3228" spans="1:32" ht="12.75" customHeight="1" x14ac:dyDescent="0.25">
      <c r="A3228" s="259" t="str">
        <f>B3222</f>
        <v>E</v>
      </c>
      <c r="B3228" s="236" t="str">
        <f ca="1">IF(AND(OFFSET($AO$1,$C3222-1,8,1,1),$A3223&lt;&gt;"",$J3223&lt;&gt;""),CHOOSE($C3222,$AO$1,$AO$2,$AO$3,$AO$4,$AO$5,$AO$6,$AO$7,$AO$8,$AO$9,$AO$10,$AO$11,$AO$12),"")</f>
        <v/>
      </c>
      <c r="C3228" s="237"/>
      <c r="D3228" s="237"/>
      <c r="E3228" s="237"/>
      <c r="F3228" s="237"/>
      <c r="G3228" s="237"/>
      <c r="H3228" s="233"/>
      <c r="I3228" s="233"/>
      <c r="J3228" s="233"/>
      <c r="K3228" s="233"/>
      <c r="L3228" s="233"/>
      <c r="M3228" s="281"/>
      <c r="N3228" s="282"/>
      <c r="O3228" s="282"/>
      <c r="P3228" s="283"/>
      <c r="Q3228" s="40" t="str">
        <f>IF($L3228=$L3230,IF($K3228=$K3230,IF($J3228&lt;&gt;"",IF($J3228&gt;$J3230,"W","L"),""),IF($K3228&gt;$K3230,"W","L")),IF($L3228&gt;$L3230,"W","L"))</f>
        <v/>
      </c>
      <c r="R3228" s="1"/>
      <c r="S3228" s="11"/>
      <c r="T3228" s="11"/>
      <c r="U3228" s="11"/>
      <c r="V3228" s="11"/>
      <c r="W3228" s="11"/>
    </row>
    <row r="3229" spans="1:32" ht="12.75" customHeight="1" x14ac:dyDescent="0.25">
      <c r="A3229" s="260"/>
      <c r="B3229" s="238"/>
      <c r="C3229" s="239"/>
      <c r="D3229" s="239"/>
      <c r="E3229" s="239"/>
      <c r="F3229" s="239"/>
      <c r="G3229" s="239"/>
      <c r="H3229" s="234"/>
      <c r="I3229" s="234"/>
      <c r="J3229" s="234"/>
      <c r="K3229" s="234"/>
      <c r="L3229" s="234"/>
      <c r="M3229" s="281"/>
      <c r="N3229" s="282"/>
      <c r="O3229" s="282"/>
      <c r="P3229" s="283"/>
      <c r="Q3229" s="110" t="str">
        <f>IF($Q3228&lt;&gt;"",IF($Q3228="W",IF(SUM(IF($H3228&gt;$H3230,1,0),IF($I3228&gt;$I3230,1,0),IF($J3228&gt;$J3230,1,0),IF($K3228&gt;$K3230,1,0),IF($L3228&gt;$L3230,1,0))&lt;&gt;3,"Error",""),""),"")</f>
        <v/>
      </c>
      <c r="R3229" s="295" t="str">
        <f>$A3223</f>
        <v/>
      </c>
      <c r="S3229" s="295"/>
      <c r="T3229" s="295"/>
      <c r="U3229" s="295"/>
      <c r="V3229" s="295"/>
      <c r="W3229" s="295"/>
      <c r="X3229" s="219" t="str">
        <f>CONCATENATE("(",$B3222," vs ",$K3222,")")</f>
        <v>(E vs K)</v>
      </c>
      <c r="Y3229" s="219"/>
      <c r="Z3229" s="295" t="str">
        <f>$J3223</f>
        <v/>
      </c>
      <c r="AA3229" s="295"/>
      <c r="AB3229" s="295"/>
      <c r="AC3229" s="295"/>
      <c r="AD3229" s="295"/>
      <c r="AE3229" s="295"/>
      <c r="AF3229"/>
    </row>
    <row r="3230" spans="1:32" ht="12.75" customHeight="1" x14ac:dyDescent="0.25">
      <c r="A3230" s="259" t="str">
        <f>K3222</f>
        <v>K</v>
      </c>
      <c r="B3230" s="236" t="str">
        <f ca="1">IF(AND(OFFSET($AO$1,$L3222-1,8,1,1),$A3223&lt;&gt;"",$J3223&lt;&gt;""),CHOOSE($L3222,$AO$1,$AO$2,$AO$3,$AO$4,$AO$5,$AO$6,$AO$7,$AO$8,$AO$9,$AO$10,$AO$11,$AO$12),"")</f>
        <v/>
      </c>
      <c r="C3230" s="237"/>
      <c r="D3230" s="237"/>
      <c r="E3230" s="237"/>
      <c r="F3230" s="237"/>
      <c r="G3230" s="237"/>
      <c r="H3230" s="233"/>
      <c r="I3230" s="233"/>
      <c r="J3230" s="233"/>
      <c r="K3230" s="233"/>
      <c r="L3230" s="233"/>
      <c r="M3230" s="250" t="s">
        <v>169</v>
      </c>
      <c r="N3230" s="251"/>
      <c r="O3230" s="251"/>
      <c r="P3230" s="252"/>
      <c r="Q3230" s="40" t="str">
        <f>IF($Q3228&lt;&gt;"",IF($Q3228="W","L","W"),"")</f>
        <v/>
      </c>
      <c r="R3230"/>
      <c r="S3230"/>
      <c r="T3230"/>
      <c r="U3230"/>
      <c r="V3230"/>
      <c r="W3230"/>
      <c r="X3230"/>
      <c r="Y3230"/>
      <c r="Z3230"/>
      <c r="AA3230"/>
      <c r="AB3230"/>
      <c r="AC3230"/>
      <c r="AD3230"/>
      <c r="AE3230"/>
      <c r="AF3230"/>
    </row>
    <row r="3231" spans="1:32" ht="12.75" customHeight="1" x14ac:dyDescent="0.25">
      <c r="A3231" s="260"/>
      <c r="B3231" s="238"/>
      <c r="C3231" s="239"/>
      <c r="D3231" s="239"/>
      <c r="E3231" s="239"/>
      <c r="F3231" s="239"/>
      <c r="G3231" s="239"/>
      <c r="H3231" s="234"/>
      <c r="I3231" s="234"/>
      <c r="J3231" s="235"/>
      <c r="K3231" s="235"/>
      <c r="L3231" s="235"/>
      <c r="M3231" s="250"/>
      <c r="N3231" s="251"/>
      <c r="O3231" s="251"/>
      <c r="P3231" s="252"/>
      <c r="Q3231" s="110" t="str">
        <f>IF($Q3230&lt;&gt;"",IF($Q3230="W",IF(SUM(IF($H3230&gt;$H3228,1,0),IF($I3230&gt;$I3228,1,0),IF($J3230&gt;$J3228,1,0),IF($K3230&gt;$K3228,1,0),IF($L3230&gt;$L3228,1,0))&lt;&gt;3,"Error",""),""),"")</f>
        <v/>
      </c>
      <c r="R3231" t="str">
        <f>$A3233</f>
        <v>2nd Singles</v>
      </c>
      <c r="S3231"/>
      <c r="T3231"/>
      <c r="U3231"/>
      <c r="V3231"/>
      <c r="W3231"/>
      <c r="X3231"/>
      <c r="Y3231"/>
      <c r="Z3231"/>
      <c r="AA3231"/>
      <c r="AB3231"/>
      <c r="AC3231"/>
      <c r="AD3231"/>
      <c r="AE3231"/>
      <c r="AF3231"/>
    </row>
    <row r="3232" spans="1:32" ht="12.75" customHeight="1" x14ac:dyDescent="0.25">
      <c r="Q3232" s="6"/>
      <c r="R3232" s="47" t="s">
        <v>160</v>
      </c>
      <c r="S3232" s="304" t="s">
        <v>58</v>
      </c>
      <c r="T3232" s="305"/>
      <c r="U3232" s="305"/>
      <c r="V3232" s="305"/>
      <c r="W3232" s="305"/>
      <c r="X3232" s="306"/>
      <c r="Y3232" s="47">
        <v>1</v>
      </c>
      <c r="Z3232" s="47">
        <v>2</v>
      </c>
      <c r="AA3232" s="47">
        <v>3</v>
      </c>
      <c r="AB3232" s="47">
        <v>4</v>
      </c>
      <c r="AC3232" s="47">
        <v>5</v>
      </c>
      <c r="AD3232" s="286"/>
      <c r="AE3232" s="287"/>
      <c r="AF3232" s="288"/>
    </row>
    <row r="3233" spans="1:32" ht="12.75" customHeight="1" x14ac:dyDescent="0.25">
      <c r="A3233" s="15" t="s">
        <v>166</v>
      </c>
      <c r="H3233" s="110" t="str">
        <f>IF($Q3235&lt;&gt;"",IF(AND(AND($H3235&gt;-1,$H3237&gt;-1),OR($H3235&gt;10,$H3237&gt;10),ABS($H3235-$H3237)&gt;1,IF(OR($H3235&gt;11,$H3237&gt;11),ABS($H3235-$H3237)=2,TRUE),$H3235=INT($H3235),$H3237=INT($H3237)),"","Error"),"")</f>
        <v/>
      </c>
      <c r="I3233" s="110" t="str">
        <f>IF($Q3235&lt;&gt;"",IF(AND(AND($I3235&gt;-1,$I3237&gt;-1),OR($I3235&gt;10,$I3237&gt;10),ABS($I3235-$I3237)&gt;1,IF(OR($I3235&gt;11,$I3237&gt;11),ABS($I3235-$I3237)=2,TRUE),$I3235=INT($I3235),$I3237=INT($I3237)),"","Error"),"")</f>
        <v/>
      </c>
      <c r="J3233" s="110" t="str">
        <f>IF($Q3235&lt;&gt;"",IF(AND(AND($J3235&gt;-1,$J3237&gt;-1),OR($J3235&gt;10,$J3237&gt;10),ABS($J3235-$J3237)&gt;1,IF(OR($J3235&gt;11,$J3237&gt;11),ABS($J3235-$J3237)=2,TRUE),$J3235=INT($J3235),$J3237=INT($J3237)),"","Error"),"")</f>
        <v/>
      </c>
      <c r="K3233" s="110" t="str">
        <f>IF($Q3235&lt;&gt;"",IF(AND($K3235&lt;&gt;"",$K3237&lt;&gt;""), IF(AND(AND($K3235&gt;-1,$K3237&gt;-1),OR($K3235&gt;10,$K3237&gt;10),ABS($K3235-$K3237)&gt;1,IF(OR($K3235&gt;11,$K3237&gt;11),ABS($K3235-$K3237)=2,TRUE),$K3235=INT($K3235),$K3237=INT($K3237)),"","Error"),""),"")</f>
        <v/>
      </c>
      <c r="L3233" s="110" t="str">
        <f>IF($Q3235&lt;&gt;"",IF(AND($L3235&lt;&gt;"",$L3237&lt;&gt;""), IF(AND(AND($L3235&gt;-1,$L3237&gt;-1),OR($L3235&gt;10,$L3237&gt;10),ABS($L3235-$L3237)&gt;1,IF(OR($L3235&gt;11,$L3237&gt;11),ABS($L3235-$L3237)=2,TRUE),$L3235=INT($L3235),$L3237=INT($L3237)),"","Error"),""),"")</f>
        <v/>
      </c>
      <c r="Q3233" s="6"/>
      <c r="R3233" s="259" t="str">
        <f>$B3222</f>
        <v>E</v>
      </c>
      <c r="S3233" s="307" t="str">
        <f ca="1">IF($B3235&lt;&gt;"",$B3235,"")</f>
        <v/>
      </c>
      <c r="T3233" s="308"/>
      <c r="U3233" s="308"/>
      <c r="V3233" s="308"/>
      <c r="W3233" s="308"/>
      <c r="X3233" s="309"/>
      <c r="Y3233" s="284"/>
      <c r="Z3233" s="284"/>
      <c r="AA3233" s="284"/>
      <c r="AB3233" s="284"/>
      <c r="AC3233" s="284"/>
      <c r="AD3233" s="296"/>
      <c r="AE3233" s="290"/>
      <c r="AF3233" s="291"/>
    </row>
    <row r="3234" spans="1:32" ht="12.75" customHeight="1" x14ac:dyDescent="0.25">
      <c r="A3234" s="5" t="s">
        <v>160</v>
      </c>
      <c r="B3234" s="256" t="s">
        <v>58</v>
      </c>
      <c r="C3234" s="257"/>
      <c r="D3234" s="257"/>
      <c r="E3234" s="257"/>
      <c r="F3234" s="257"/>
      <c r="G3234" s="258"/>
      <c r="H3234" s="5">
        <v>1</v>
      </c>
      <c r="I3234" s="5">
        <v>2</v>
      </c>
      <c r="J3234" s="5">
        <v>3</v>
      </c>
      <c r="K3234" s="5">
        <v>4</v>
      </c>
      <c r="L3234" s="5">
        <v>5</v>
      </c>
      <c r="M3234" s="270"/>
      <c r="N3234" s="271"/>
      <c r="O3234" s="271"/>
      <c r="P3234" s="272"/>
      <c r="Q3234" s="6"/>
      <c r="R3234" s="285"/>
      <c r="S3234" s="310"/>
      <c r="T3234" s="311"/>
      <c r="U3234" s="311"/>
      <c r="V3234" s="311"/>
      <c r="W3234" s="311"/>
      <c r="X3234" s="312"/>
      <c r="Y3234" s="285"/>
      <c r="Z3234" s="285"/>
      <c r="AA3234" s="285"/>
      <c r="AB3234" s="285"/>
      <c r="AC3234" s="285"/>
      <c r="AD3234" s="292"/>
      <c r="AE3234" s="293"/>
      <c r="AF3234" s="294"/>
    </row>
    <row r="3235" spans="1:32" ht="12.75" customHeight="1" x14ac:dyDescent="0.25">
      <c r="A3235" s="259" t="str">
        <f>B3222</f>
        <v>E</v>
      </c>
      <c r="B3235" s="236" t="str">
        <f ca="1">IF(AND(OFFSET($AO$1,$C3222-1,8,1,1),$A3223&lt;&gt;"",$J3223&lt;&gt;""),CHOOSE($C3222,$AP$1,$AP$2,$AP$3,$AP$4,$AP$5,$AP$6,$AP$7,$AP$8,$AP$9,$AP$10,$AP$11,$AP$12),"")</f>
        <v/>
      </c>
      <c r="C3235" s="237"/>
      <c r="D3235" s="237"/>
      <c r="E3235" s="237"/>
      <c r="F3235" s="237"/>
      <c r="G3235" s="237"/>
      <c r="H3235" s="233"/>
      <c r="I3235" s="233"/>
      <c r="J3235" s="233"/>
      <c r="K3235" s="233"/>
      <c r="L3235" s="233"/>
      <c r="M3235" s="245" t="str">
        <f ca="1">IF(OR(AND($B3228&lt;&gt;"",$B3235&lt;&gt;"",$C3253&lt;=$B3253),AND($B3230&lt;&gt;"",$B3237&lt;&gt;"",$G3253&lt;=$F3253)),"Invalid Lineup","")</f>
        <v/>
      </c>
      <c r="N3235" s="246"/>
      <c r="O3235" s="246"/>
      <c r="P3235" s="247"/>
      <c r="Q3235" s="40" t="str">
        <f>IF($L3235=$L3237,IF($K3235=$K3237,IF($J3235&lt;&gt;"",IF($J3235&gt;$J3237,"W","L"),""),IF($K3235&gt;$K3237,"W","L")),IF($L3235&gt;$L3237,"W","L"))</f>
        <v/>
      </c>
      <c r="R3235" s="259" t="str">
        <f>$K3222</f>
        <v>K</v>
      </c>
      <c r="S3235" s="307" t="str">
        <f ca="1">IF($B3237&lt;&gt;"",$B3237,"")</f>
        <v/>
      </c>
      <c r="T3235" s="308"/>
      <c r="U3235" s="308"/>
      <c r="V3235" s="308"/>
      <c r="W3235" s="308"/>
      <c r="X3235" s="309"/>
      <c r="Y3235" s="284"/>
      <c r="Z3235" s="284"/>
      <c r="AA3235" s="284"/>
      <c r="AB3235" s="284"/>
      <c r="AC3235" s="297"/>
      <c r="AD3235" s="289" t="s">
        <v>169</v>
      </c>
      <c r="AE3235" s="290"/>
      <c r="AF3235" s="291"/>
    </row>
    <row r="3236" spans="1:32" ht="12.75" customHeight="1" x14ac:dyDescent="0.25">
      <c r="A3236" s="260"/>
      <c r="B3236" s="238"/>
      <c r="C3236" s="239"/>
      <c r="D3236" s="239"/>
      <c r="E3236" s="239"/>
      <c r="F3236" s="239"/>
      <c r="G3236" s="239"/>
      <c r="H3236" s="234"/>
      <c r="I3236" s="234"/>
      <c r="J3236" s="234"/>
      <c r="K3236" s="234"/>
      <c r="L3236" s="234"/>
      <c r="M3236" s="245"/>
      <c r="N3236" s="246"/>
      <c r="O3236" s="246"/>
      <c r="P3236" s="247"/>
      <c r="Q3236" s="110" t="str">
        <f>IF($Q3235&lt;&gt;"",IF($Q3235="W",IF(SUM(IF($H3235&gt;$H3237,1,0),IF($I3235&gt;$I3237,1,0),IF($J3235&gt;$J3237,1,0),IF($K3235&gt;$K3237,1,0),IF($L3235&gt;$L3237,1,0))&lt;&gt;3,"Error",""),""),"")</f>
        <v/>
      </c>
      <c r="R3236" s="285"/>
      <c r="S3236" s="310"/>
      <c r="T3236" s="311"/>
      <c r="U3236" s="311"/>
      <c r="V3236" s="311"/>
      <c r="W3236" s="311"/>
      <c r="X3236" s="312"/>
      <c r="Y3236" s="285"/>
      <c r="Z3236" s="285"/>
      <c r="AA3236" s="285"/>
      <c r="AB3236" s="285"/>
      <c r="AC3236" s="285"/>
      <c r="AD3236" s="292"/>
      <c r="AE3236" s="293"/>
      <c r="AF3236" s="294"/>
    </row>
    <row r="3237" spans="1:32" ht="12.75" customHeight="1" x14ac:dyDescent="0.25">
      <c r="A3237" s="259" t="str">
        <f>K3222</f>
        <v>K</v>
      </c>
      <c r="B3237" s="236" t="str">
        <f ca="1">IF(AND(OFFSET($AO$1,$L3222-1,8,1,1),$A3223&lt;&gt;"",$J3223&lt;&gt;""),CHOOSE($L3222,$AP$1,$AP$2,$AP$3,$AP$4,$AP$5,$AP$6,$AP$7,$AP$8,$AP$9,$AP$10,$AP$11,$AP$12),"")</f>
        <v/>
      </c>
      <c r="C3237" s="237"/>
      <c r="D3237" s="237"/>
      <c r="E3237" s="237"/>
      <c r="F3237" s="237"/>
      <c r="G3237" s="237"/>
      <c r="H3237" s="233"/>
      <c r="I3237" s="233"/>
      <c r="J3237" s="233"/>
      <c r="K3237" s="233"/>
      <c r="L3237" s="233"/>
      <c r="M3237" s="250" t="s">
        <v>169</v>
      </c>
      <c r="N3237" s="251"/>
      <c r="O3237" s="251"/>
      <c r="P3237" s="252"/>
      <c r="Q3237" s="40" t="str">
        <f>IF($Q3235&lt;&gt;"",IF($Q3235="W","L","W"),"")</f>
        <v/>
      </c>
      <c r="R3237" s="14"/>
      <c r="S3237" s="14"/>
      <c r="T3237" s="14"/>
      <c r="U3237" s="14"/>
      <c r="V3237" s="14"/>
      <c r="W3237" s="14"/>
      <c r="X3237" s="7"/>
      <c r="Y3237" s="7"/>
      <c r="Z3237" s="14"/>
      <c r="AA3237" s="14"/>
      <c r="AB3237" s="14"/>
      <c r="AC3237" s="14"/>
      <c r="AD3237" s="14"/>
      <c r="AE3237" s="14"/>
      <c r="AF3237"/>
    </row>
    <row r="3238" spans="1:32" ht="12.75" customHeight="1" x14ac:dyDescent="0.25">
      <c r="A3238" s="260"/>
      <c r="B3238" s="238"/>
      <c r="C3238" s="239"/>
      <c r="D3238" s="239"/>
      <c r="E3238" s="239"/>
      <c r="F3238" s="239"/>
      <c r="G3238" s="239"/>
      <c r="H3238" s="234"/>
      <c r="I3238" s="234"/>
      <c r="J3238" s="235"/>
      <c r="K3238" s="235"/>
      <c r="L3238" s="235"/>
      <c r="M3238" s="250"/>
      <c r="N3238" s="251"/>
      <c r="O3238" s="251"/>
      <c r="P3238" s="252"/>
      <c r="Q3238" s="110" t="str">
        <f>IF($Q3237&lt;&gt;"",IF($Q3237="W",IF(SUM(IF($H3237&gt;$H3235,1,0),IF($I3237&gt;$I3235,1,0),IF($J3237&gt;$J3235,1,0),IF($K3237&gt;$K3235,1,0),IF($L3237&gt;$L3235,1,0))&lt;&gt;3,"Error",""),""),"")</f>
        <v/>
      </c>
      <c r="R3238" s="14"/>
      <c r="S3238" s="14"/>
      <c r="T3238" s="14"/>
      <c r="U3238" s="14"/>
      <c r="V3238" s="14"/>
      <c r="W3238" s="14"/>
      <c r="X3238" s="7"/>
      <c r="Y3238" s="7"/>
      <c r="Z3238" s="14"/>
      <c r="AA3238" s="14"/>
      <c r="AB3238" s="14"/>
      <c r="AC3238" s="14"/>
      <c r="AD3238" s="14"/>
      <c r="AE3238" s="14"/>
      <c r="AF3238"/>
    </row>
    <row r="3239" spans="1:32" ht="12.75" customHeight="1" x14ac:dyDescent="0.25">
      <c r="Q3239" s="6"/>
      <c r="R3239" s="14"/>
      <c r="S3239" s="14"/>
      <c r="T3239" s="14"/>
      <c r="U3239" s="14"/>
      <c r="V3239" s="14"/>
      <c r="W3239" s="14"/>
      <c r="X3239" s="7"/>
      <c r="Y3239" s="7"/>
      <c r="Z3239" s="14"/>
      <c r="AA3239" s="14"/>
      <c r="AB3239" s="14"/>
      <c r="AC3239" s="14"/>
      <c r="AD3239" s="14"/>
      <c r="AE3239" s="14"/>
      <c r="AF3239"/>
    </row>
    <row r="3240" spans="1:32" ht="12.75" customHeight="1" x14ac:dyDescent="0.25">
      <c r="A3240" s="15" t="s">
        <v>167</v>
      </c>
      <c r="H3240" s="110" t="str">
        <f>IF($Q3242&lt;&gt;"",IF(AND(AND($H3242&gt;-1,$H3244&gt;-1),OR($H3242&gt;10,$H3244&gt;10),ABS($H3242-$H3244)&gt;1,IF(OR($H3242&gt;11,$H3244&gt;11),ABS($H3242-$H3244)=2,TRUE),$H3242=INT($H3242),$H3244=INT($H3244)),"","Error"),"")</f>
        <v/>
      </c>
      <c r="I3240" s="110" t="str">
        <f>IF($Q3242&lt;&gt;"",IF(AND(AND($I3242&gt;-1,$I3244&gt;-1),OR($I3242&gt;10,$I3244&gt;10),ABS($I3242-$I3244)&gt;1,IF(OR($I3242&gt;11,$I3244&gt;11),ABS($I3242-$I3244)=2,TRUE),$I3242=INT($I3242),$I3244=INT($I3244)),"","Error"),"")</f>
        <v/>
      </c>
      <c r="J3240" s="110" t="str">
        <f>IF($Q3242&lt;&gt;"",IF(AND(AND($J3242&gt;-1,$J3244&gt;-1),OR($J3242&gt;10,$J3244&gt;10),ABS($J3242-$J3244)&gt;1,IF(OR($J3242&gt;11,$J3244&gt;11),ABS($J3242-$J3244)=2,TRUE),$J3242=INT($J3242),$J3244=INT($J3244)),"","Error"),"")</f>
        <v/>
      </c>
      <c r="K3240" s="110" t="str">
        <f>IF($Q3242&lt;&gt;"",IF(AND($K3242&lt;&gt;"",$K3244&lt;&gt;""), IF(AND(AND($K3242&gt;-1,$K3244&gt;-1),OR($K3242&gt;10,$K3244&gt;10),ABS($K3242-$K3244)&gt;1,IF(OR($K3242&gt;11,$K3244&gt;11),ABS($K3242-$K3244)=2,TRUE),$K3242=INT($K3242),$K3244=INT($K3244)),"","Error"),""),"")</f>
        <v/>
      </c>
      <c r="L3240" s="110" t="str">
        <f>IF($Q3242&lt;&gt;"",IF(AND($L3242&lt;&gt;"",$L3244&lt;&gt;""), IF(AND(AND($L3242&gt;-1,$L3244&gt;-1),OR($L3242&gt;10,$L3244&gt;10),ABS($L3242-$L3244)&gt;1,IF(OR($L3242&gt;11,$L3244&gt;11),ABS($L3242-$L3244)=2,TRUE),$L3242=INT($L3242),$L3244=INT($L3244)),"","Error"),""),"")</f>
        <v/>
      </c>
      <c r="Q3240" s="6"/>
      <c r="R3240" s="14"/>
      <c r="S3240" s="14"/>
      <c r="T3240" s="14"/>
      <c r="U3240" s="14"/>
      <c r="V3240" s="14"/>
      <c r="W3240" s="14"/>
      <c r="X3240" s="7"/>
      <c r="Y3240" s="7"/>
      <c r="Z3240" s="14"/>
      <c r="AA3240" s="14"/>
      <c r="AB3240" s="14"/>
      <c r="AC3240" s="14"/>
      <c r="AD3240" s="14"/>
      <c r="AE3240" s="14"/>
      <c r="AF3240"/>
    </row>
    <row r="3241" spans="1:32" ht="12.75" customHeight="1" x14ac:dyDescent="0.25">
      <c r="A3241" s="5" t="s">
        <v>160</v>
      </c>
      <c r="B3241" s="256" t="s">
        <v>58</v>
      </c>
      <c r="C3241" s="257"/>
      <c r="D3241" s="257"/>
      <c r="E3241" s="257"/>
      <c r="F3241" s="257"/>
      <c r="G3241" s="258"/>
      <c r="H3241" s="5">
        <v>1</v>
      </c>
      <c r="I3241" s="5">
        <v>2</v>
      </c>
      <c r="J3241" s="5">
        <v>3</v>
      </c>
      <c r="K3241" s="5">
        <v>4</v>
      </c>
      <c r="L3241" s="5">
        <v>5</v>
      </c>
      <c r="M3241" s="270"/>
      <c r="N3241" s="271"/>
      <c r="O3241" s="271"/>
      <c r="P3241" s="272"/>
      <c r="Q3241" s="6"/>
      <c r="R3241" s="14"/>
      <c r="S3241" s="14"/>
      <c r="T3241" s="14"/>
      <c r="U3241" s="14"/>
      <c r="V3241" s="14"/>
      <c r="W3241" s="14"/>
      <c r="X3241" s="7"/>
      <c r="Y3241" s="7"/>
      <c r="Z3241" s="14"/>
      <c r="AA3241" s="14"/>
      <c r="AB3241" s="14"/>
      <c r="AC3241" s="14"/>
      <c r="AD3241" s="14"/>
      <c r="AE3241" s="14"/>
      <c r="AF3241"/>
    </row>
    <row r="3242" spans="1:32" ht="12.75" customHeight="1" x14ac:dyDescent="0.25">
      <c r="A3242" s="259" t="str">
        <f>B3222</f>
        <v>E</v>
      </c>
      <c r="B3242" s="236" t="str">
        <f ca="1">IF(AND(OFFSET($AO$1,$C3222-1,8,1,1),$A3223&lt;&gt;"",$J3223&lt;&gt;""),CHOOSE($C3222,$AQ$1,$AQ$2,$AQ$3,$AQ$4,$AQ$5,$AQ$6,$AQ$7,$AQ$8,$AQ$9,$AQ$10,$AQ$11,$AQ$12),"")</f>
        <v/>
      </c>
      <c r="C3242" s="237"/>
      <c r="D3242" s="237"/>
      <c r="E3242" s="237"/>
      <c r="F3242" s="237"/>
      <c r="G3242" s="237"/>
      <c r="H3242" s="233"/>
      <c r="I3242" s="233"/>
      <c r="J3242" s="233"/>
      <c r="K3242" s="233"/>
      <c r="L3242" s="233"/>
      <c r="M3242" s="245" t="str">
        <f ca="1">IF(OR(AND($B3235&lt;&gt;"",$B3242&lt;&gt;"",$D3253&lt;=$C3253),AND($B3237&lt;&gt;"",$B3244&lt;&gt;"",$H3253&lt;=$G3253)),"Invalid Lineup","")</f>
        <v/>
      </c>
      <c r="N3242" s="246"/>
      <c r="O3242" s="246"/>
      <c r="P3242" s="247"/>
      <c r="Q3242" s="40" t="str">
        <f>IF($L3242=$L3244,IF($K3242=$K3244,IF($J3242&lt;&gt;"",IF($J3242&gt;$J3244,"W","L"),""),IF($K3242&gt;$K3244,"W","L")),IF($L3242&gt;$L3244,"W","L"))</f>
        <v/>
      </c>
      <c r="R3242" s="14"/>
      <c r="S3242" s="14"/>
      <c r="T3242" s="14"/>
      <c r="U3242" s="14"/>
      <c r="V3242" s="14"/>
      <c r="W3242" s="14"/>
      <c r="X3242" s="7"/>
      <c r="Y3242" s="7"/>
      <c r="Z3242" s="14"/>
      <c r="AA3242" s="14"/>
      <c r="AB3242" s="14"/>
      <c r="AC3242" s="14"/>
      <c r="AD3242" s="14"/>
      <c r="AE3242" s="14"/>
      <c r="AF3242"/>
    </row>
    <row r="3243" spans="1:32" ht="12.75" customHeight="1" x14ac:dyDescent="0.25">
      <c r="A3243" s="260"/>
      <c r="B3243" s="238"/>
      <c r="C3243" s="239"/>
      <c r="D3243" s="239"/>
      <c r="E3243" s="239"/>
      <c r="F3243" s="239"/>
      <c r="G3243" s="239"/>
      <c r="H3243" s="234"/>
      <c r="I3243" s="234"/>
      <c r="J3243" s="234"/>
      <c r="K3243" s="234"/>
      <c r="L3243" s="234"/>
      <c r="M3243" s="245"/>
      <c r="N3243" s="246"/>
      <c r="O3243" s="246"/>
      <c r="P3243" s="247"/>
      <c r="Q3243" s="110" t="str">
        <f>IF($Q3242&lt;&gt;"",IF($Q3242="W",IF(SUM(IF($H3242&gt;$H3244,1,0),IF($I3242&gt;$I3244,1,0),IF($J3242&gt;$J3244,1,0),IF($K3242&gt;$K3244,1,0),IF($L3242&gt;$L3244,1,0))&lt;&gt;3,"Error",""),""),"")</f>
        <v/>
      </c>
      <c r="R3243" s="295" t="str">
        <f>$A3223</f>
        <v/>
      </c>
      <c r="S3243" s="295"/>
      <c r="T3243" s="295"/>
      <c r="U3243" s="295"/>
      <c r="V3243" s="295"/>
      <c r="W3243" s="295"/>
      <c r="X3243" s="219" t="str">
        <f>CONCATENATE("(",$B3222," vs ",$K3222,")")</f>
        <v>(E vs K)</v>
      </c>
      <c r="Y3243" s="219"/>
      <c r="Z3243" s="295" t="str">
        <f>$J3223</f>
        <v/>
      </c>
      <c r="AA3243" s="295"/>
      <c r="AB3243" s="295"/>
      <c r="AC3243" s="295"/>
      <c r="AD3243" s="295"/>
      <c r="AE3243" s="295"/>
      <c r="AF3243"/>
    </row>
    <row r="3244" spans="1:32" ht="12.75" customHeight="1" x14ac:dyDescent="0.25">
      <c r="A3244" s="259" t="str">
        <f>K3222</f>
        <v>K</v>
      </c>
      <c r="B3244" s="236" t="str">
        <f ca="1">IF(AND(OFFSET($AO$1,$L3222-1,8,1,1),$A3223&lt;&gt;"",$J3223&lt;&gt;""),CHOOSE($L3222,$AQ$1,$AQ$2,$AQ$3,$AQ$4,$AQ$5,$AQ$6,$AQ$7,$AQ$8,$AQ$9,$AQ$10,$AQ$11,$AQ$12),"")</f>
        <v/>
      </c>
      <c r="C3244" s="237"/>
      <c r="D3244" s="237"/>
      <c r="E3244" s="237"/>
      <c r="F3244" s="237"/>
      <c r="G3244" s="237"/>
      <c r="H3244" s="233"/>
      <c r="I3244" s="233"/>
      <c r="J3244" s="233"/>
      <c r="K3244" s="233"/>
      <c r="L3244" s="233"/>
      <c r="M3244" s="250" t="s">
        <v>169</v>
      </c>
      <c r="N3244" s="251"/>
      <c r="O3244" s="251"/>
      <c r="P3244" s="252"/>
      <c r="Q3244" s="40" t="str">
        <f>IF($Q3242&lt;&gt;"",IF($Q3242="W","L","W"),"")</f>
        <v/>
      </c>
      <c r="R3244"/>
      <c r="S3244"/>
      <c r="T3244"/>
      <c r="U3244"/>
      <c r="V3244"/>
      <c r="W3244"/>
      <c r="X3244"/>
      <c r="Y3244"/>
      <c r="Z3244"/>
      <c r="AA3244"/>
      <c r="AB3244"/>
      <c r="AC3244"/>
      <c r="AD3244"/>
      <c r="AE3244"/>
      <c r="AF3244"/>
    </row>
    <row r="3245" spans="1:32" ht="12.75" customHeight="1" x14ac:dyDescent="0.25">
      <c r="A3245" s="260"/>
      <c r="B3245" s="238"/>
      <c r="C3245" s="239"/>
      <c r="D3245" s="239"/>
      <c r="E3245" s="239"/>
      <c r="F3245" s="239"/>
      <c r="G3245" s="239"/>
      <c r="H3245" s="234"/>
      <c r="I3245" s="234"/>
      <c r="J3245" s="235"/>
      <c r="K3245" s="235"/>
      <c r="L3245" s="235"/>
      <c r="M3245" s="250"/>
      <c r="N3245" s="251"/>
      <c r="O3245" s="251"/>
      <c r="P3245" s="252"/>
      <c r="Q3245" s="110" t="str">
        <f>IF($Q3244&lt;&gt;"",IF($Q3244="W",IF(SUM(IF($H3244&gt;$H3242,1,0),IF($I3244&gt;$I3242,1,0),IF($J3244&gt;$J3242,1,0),IF($K3244&gt;$K3242,1,0),IF($L3244&gt;$L3242,1,0))&lt;&gt;3,"Error",""),""),"")</f>
        <v/>
      </c>
      <c r="R3245" t="str">
        <f>$A3240</f>
        <v>3rd Singles</v>
      </c>
      <c r="S3245"/>
      <c r="T3245"/>
      <c r="U3245"/>
      <c r="V3245"/>
      <c r="W3245"/>
      <c r="X3245"/>
      <c r="Y3245"/>
      <c r="Z3245"/>
      <c r="AA3245"/>
      <c r="AB3245"/>
      <c r="AC3245"/>
      <c r="AD3245"/>
      <c r="AE3245"/>
      <c r="AF3245"/>
    </row>
    <row r="3246" spans="1:32" ht="12.75" customHeight="1" x14ac:dyDescent="0.25">
      <c r="Q3246" s="6"/>
      <c r="R3246" s="47" t="s">
        <v>160</v>
      </c>
      <c r="S3246" s="86" t="s">
        <v>58</v>
      </c>
      <c r="T3246" s="87"/>
      <c r="U3246" s="87"/>
      <c r="V3246" s="87"/>
      <c r="W3246" s="87"/>
      <c r="X3246" s="88"/>
      <c r="Y3246" s="47">
        <v>1</v>
      </c>
      <c r="Z3246" s="47">
        <v>2</v>
      </c>
      <c r="AA3246" s="47">
        <v>3</v>
      </c>
      <c r="AB3246" s="47">
        <v>4</v>
      </c>
      <c r="AC3246" s="47">
        <v>5</v>
      </c>
      <c r="AD3246" s="89"/>
      <c r="AE3246" s="90"/>
      <c r="AF3246" s="91"/>
    </row>
    <row r="3247" spans="1:32" ht="12.75" customHeight="1" x14ac:dyDescent="0.25">
      <c r="A3247" s="15" t="s">
        <v>168</v>
      </c>
      <c r="H3247" s="110" t="str">
        <f ca="1">IF($Q3249&lt;&gt;"",IF(AND($B3249&lt;&gt;"Missing Player",$B3251&lt;&gt;"Missing Player"),IF(AND(AND($H3249&gt;-1,$H3251&gt;-1),OR($H3249&gt;10,$H3251&gt;10),ABS($H3249-$H3251)&gt;1,IF(OR($H3249&gt;11,$H3251&gt;11),ABS($H3249-$H3251)=2,TRUE),$H3249=INT($H3249),$H3251=INT($H3251)),"","Error"),""),"")</f>
        <v/>
      </c>
      <c r="I3247" s="110" t="str">
        <f ca="1">IF($Q3249&lt;&gt;"",IF(AND($B3249&lt;&gt;"Missing Player",$B3251&lt;&gt;"Missing Player"),IF(AND(AND($I3249&gt;-1,$I3251&gt;-1),OR($I3249&gt;10,$I3251&gt;10),ABS($I3249-$I3251)&gt;1,IF(OR($I3249&gt;11,$I3251&gt;11),ABS($I3249-$I3251)=2,TRUE),$I3249=INT($I3249),$I3251=INT($I3251)),"","Error"),""),"")</f>
        <v/>
      </c>
      <c r="J3247" s="110" t="str">
        <f ca="1">IF($Q3249&lt;&gt;"",IF(AND($B3249&lt;&gt;"Missing Player",$B3251&lt;&gt;"Missing Player"),IF(AND(AND($J3249&gt;-1,$J3251&gt;-1),OR($J3249&gt;10,$J3251&gt;10),ABS($J3249-$J3251)&gt;1,IF(OR($J3249&gt;11,$J3251&gt;11),ABS($J3249-$J3251)=2,TRUE),$J3249=INT($J3249),$J3251=INT($J3251)),"","Error"),""),"")</f>
        <v/>
      </c>
      <c r="K3247" s="110" t="str">
        <f ca="1">IF($Q3249&lt;&gt;"",IF(AND($K3249&lt;&gt;"",$K3251&lt;&gt;""), IF(AND(AND($K3249&gt;-1,$K3251&gt;-1),OR($K3249&gt;10,$K3251&gt;10),ABS($K3249-$K3251)&gt;1,IF(OR($K3249&gt;11,$K3251&gt;11),ABS($K3249-$K3251)=2,TRUE),$K3249=INT($K3249),$K3251=INT($K3251)),"","Error"),""),"")</f>
        <v/>
      </c>
      <c r="L3247" s="110" t="str">
        <f ca="1">IF($Q3249&lt;&gt;"",IF(AND($L3249&lt;&gt;"",$L3251&lt;&gt;""), IF(AND(AND($L3249&gt;-1,$L3251&gt;-1),OR($L3249&gt;10,$L3251&gt;10),ABS($L3249-$L3251)&gt;1,IF(OR($L3249&gt;11,$L3251&gt;11),ABS($L3249-$L3251)=2,TRUE),$L3249=INT($L3249),$L3251=INT($L3251)),"","Error"),""),"")</f>
        <v/>
      </c>
      <c r="Q3247" s="6"/>
      <c r="R3247" s="259" t="str">
        <f>$B3222</f>
        <v>E</v>
      </c>
      <c r="S3247" s="307" t="str">
        <f ca="1">IF($B3242&lt;&gt;"",$B3242,"")</f>
        <v/>
      </c>
      <c r="T3247" s="308"/>
      <c r="U3247" s="308"/>
      <c r="V3247" s="308"/>
      <c r="W3247" s="308"/>
      <c r="X3247" s="309"/>
      <c r="Y3247" s="284"/>
      <c r="Z3247" s="284"/>
      <c r="AA3247" s="284"/>
      <c r="AB3247" s="284"/>
      <c r="AC3247" s="284"/>
      <c r="AD3247" s="296"/>
      <c r="AE3247" s="290"/>
      <c r="AF3247" s="291"/>
    </row>
    <row r="3248" spans="1:32" ht="12.75" customHeight="1" x14ac:dyDescent="0.25">
      <c r="A3248" s="5" t="s">
        <v>160</v>
      </c>
      <c r="B3248" s="256" t="s">
        <v>58</v>
      </c>
      <c r="C3248" s="257"/>
      <c r="D3248" s="257"/>
      <c r="E3248" s="257"/>
      <c r="F3248" s="257"/>
      <c r="G3248" s="258"/>
      <c r="H3248" s="5">
        <v>1</v>
      </c>
      <c r="I3248" s="5">
        <v>2</v>
      </c>
      <c r="J3248" s="5">
        <v>3</v>
      </c>
      <c r="K3248" s="5">
        <v>4</v>
      </c>
      <c r="L3248" s="5">
        <v>5</v>
      </c>
      <c r="M3248" s="270"/>
      <c r="N3248" s="271"/>
      <c r="O3248" s="271"/>
      <c r="P3248" s="272"/>
      <c r="Q3248" s="6"/>
      <c r="R3248" s="285"/>
      <c r="S3248" s="310"/>
      <c r="T3248" s="311"/>
      <c r="U3248" s="311"/>
      <c r="V3248" s="311"/>
      <c r="W3248" s="311"/>
      <c r="X3248" s="312"/>
      <c r="Y3248" s="285"/>
      <c r="Z3248" s="285"/>
      <c r="AA3248" s="285"/>
      <c r="AB3248" s="285"/>
      <c r="AC3248" s="285"/>
      <c r="AD3248" s="292"/>
      <c r="AE3248" s="293"/>
      <c r="AF3248" s="294"/>
    </row>
    <row r="3249" spans="1:32" ht="12.75" customHeight="1" x14ac:dyDescent="0.25">
      <c r="A3249" s="259" t="str">
        <f>B3222</f>
        <v>E</v>
      </c>
      <c r="B3249" s="236" t="str">
        <f ca="1">IF(AND(OFFSET($AO$1,$C3222-1,8,1,1),$A3223&lt;&gt;"",$J3223&lt;&gt;""),CHOOSE($C3222,$AR$1,$AR$2,$AR$3,$AR$4,$AR$5,$AR$6,$AR$7,$AR$8,$AR$9,$AR$10,$AR$11,$AR$12),"")</f>
        <v/>
      </c>
      <c r="C3249" s="237"/>
      <c r="D3249" s="237"/>
      <c r="E3249" s="237"/>
      <c r="F3249" s="237"/>
      <c r="G3249" s="237"/>
      <c r="H3249" s="233"/>
      <c r="I3249" s="233"/>
      <c r="J3249" s="233"/>
      <c r="K3249" s="233"/>
      <c r="L3249" s="233" t="str">
        <f ca="1">IF(AND($B3249&lt;&gt;"",$Q3228&lt;&gt;""),IF($B3249="Missing Player",0,IF($B3251="Missing Player",11,"")),"")</f>
        <v/>
      </c>
      <c r="M3249" s="245" t="str">
        <f ca="1">IF(OR(AND($B3242&lt;&gt;"",$B3249&lt;&gt;"",$E3253&lt;=$D3253),AND($B3244&lt;&gt;"",$B3251&lt;&gt;"",$I3253&lt;=$H3253)),"Invalid Lineup","")</f>
        <v/>
      </c>
      <c r="N3249" s="246"/>
      <c r="O3249" s="246"/>
      <c r="P3249" s="247"/>
      <c r="Q3249" s="40" t="str">
        <f ca="1">IF($L3249=$L3251,IF($K3249=$K3251,IF($J3249&lt;&gt;"",IF($J3249&gt;$J3251,"W","L"),""),IF($K3249&gt;$K3251,"W","L")),IF($L3249&gt;$L3251,"W","L"))</f>
        <v/>
      </c>
      <c r="R3249" s="259" t="str">
        <f>$K3222</f>
        <v>K</v>
      </c>
      <c r="S3249" s="307" t="str">
        <f ca="1">IF($B3244&lt;&gt;"",$B3244,"")</f>
        <v/>
      </c>
      <c r="T3249" s="308"/>
      <c r="U3249" s="308"/>
      <c r="V3249" s="308"/>
      <c r="W3249" s="308"/>
      <c r="X3249" s="309"/>
      <c r="Y3249" s="284"/>
      <c r="Z3249" s="284"/>
      <c r="AA3249" s="284"/>
      <c r="AB3249" s="284"/>
      <c r="AC3249" s="297"/>
      <c r="AD3249" s="289" t="s">
        <v>169</v>
      </c>
      <c r="AE3249" s="290"/>
      <c r="AF3249" s="291"/>
    </row>
    <row r="3250" spans="1:32" ht="12.75" customHeight="1" x14ac:dyDescent="0.25">
      <c r="A3250" s="260"/>
      <c r="B3250" s="238"/>
      <c r="C3250" s="239"/>
      <c r="D3250" s="239"/>
      <c r="E3250" s="239"/>
      <c r="F3250" s="239"/>
      <c r="G3250" s="239"/>
      <c r="H3250" s="234"/>
      <c r="I3250" s="234"/>
      <c r="J3250" s="234"/>
      <c r="K3250" s="234"/>
      <c r="L3250" s="234"/>
      <c r="M3250" s="245"/>
      <c r="N3250" s="246"/>
      <c r="O3250" s="246"/>
      <c r="P3250" s="247"/>
      <c r="Q3250" s="110" t="str">
        <f ca="1">IF($Q3249&lt;&gt;"",IF($B3251&lt;&gt;"Missing Player",IF($Q3249="W",IF(SUM(IF($H3249&gt;$H3251,1,0),IF($I3249&gt;$I3251,1,0),IF($J3249&gt;$J3251,1,0),IF($K3249&gt;$K3251,1,0),IF($L3249&gt;$L3251,1,0))&lt;&gt;3,"Error",""),""),""),"")</f>
        <v/>
      </c>
      <c r="R3250" s="285"/>
      <c r="S3250" s="310"/>
      <c r="T3250" s="311"/>
      <c r="U3250" s="311"/>
      <c r="V3250" s="311"/>
      <c r="W3250" s="311"/>
      <c r="X3250" s="312"/>
      <c r="Y3250" s="285"/>
      <c r="Z3250" s="285"/>
      <c r="AA3250" s="285"/>
      <c r="AB3250" s="285"/>
      <c r="AC3250" s="285"/>
      <c r="AD3250" s="292"/>
      <c r="AE3250" s="293"/>
      <c r="AF3250" s="294"/>
    </row>
    <row r="3251" spans="1:32" ht="12.75" customHeight="1" x14ac:dyDescent="0.25">
      <c r="A3251" s="259" t="str">
        <f>K3222</f>
        <v>K</v>
      </c>
      <c r="B3251" s="236" t="str">
        <f ca="1">IF(AND(OFFSET($AO$1,$L3222-1,8,1,1),$A3223&lt;&gt;"",$J3223&lt;&gt;""),CHOOSE($L3222,$AR$1,$AR$2,$AR$3,$AR$4,$AR$5,$AR$6,$AR$7,$AR$8,$AR$9,$AR$10,$AR$11,$AR$12),"")</f>
        <v/>
      </c>
      <c r="C3251" s="237"/>
      <c r="D3251" s="237"/>
      <c r="E3251" s="237"/>
      <c r="F3251" s="237"/>
      <c r="G3251" s="237"/>
      <c r="H3251" s="233"/>
      <c r="I3251" s="233"/>
      <c r="J3251" s="233"/>
      <c r="K3251" s="233"/>
      <c r="L3251" s="233" t="str">
        <f ca="1">IF(AND($B3251&lt;&gt;"",$Q3228&lt;&gt;""),IF($B3251="Missing Player",0,IF($B3249="Missing Player",11,"")),"")</f>
        <v/>
      </c>
      <c r="M3251" s="250" t="s">
        <v>169</v>
      </c>
      <c r="N3251" s="251"/>
      <c r="O3251" s="251"/>
      <c r="P3251" s="252"/>
      <c r="Q3251" s="40" t="str">
        <f ca="1">IF($Q3249&lt;&gt;"",IF($Q3249="W","L","W"),"")</f>
        <v/>
      </c>
      <c r="R3251" s="94"/>
      <c r="S3251" s="84"/>
      <c r="T3251" s="84"/>
      <c r="U3251" s="84"/>
      <c r="V3251" s="84"/>
      <c r="W3251" s="84"/>
      <c r="X3251" s="84"/>
      <c r="Y3251" s="93"/>
      <c r="Z3251" s="93"/>
      <c r="AA3251" s="93"/>
      <c r="AB3251" s="93"/>
      <c r="AC3251" s="93"/>
      <c r="AD3251" s="92"/>
      <c r="AE3251" s="93"/>
      <c r="AF3251" s="93"/>
    </row>
    <row r="3252" spans="1:32" ht="12.75" customHeight="1" x14ac:dyDescent="0.25">
      <c r="A3252" s="260"/>
      <c r="B3252" s="238"/>
      <c r="C3252" s="239"/>
      <c r="D3252" s="239"/>
      <c r="E3252" s="239"/>
      <c r="F3252" s="239"/>
      <c r="G3252" s="239"/>
      <c r="H3252" s="234"/>
      <c r="I3252" s="234"/>
      <c r="J3252" s="235"/>
      <c r="K3252" s="235"/>
      <c r="L3252" s="235"/>
      <c r="M3252" s="250"/>
      <c r="N3252" s="251"/>
      <c r="O3252" s="251"/>
      <c r="P3252" s="252"/>
      <c r="Q3252" s="110" t="str">
        <f ca="1">IF($Q3251&lt;&gt;"",IF($B3249&lt;&gt;"Missing Player",IF($Q3251="W",IF(SUM(IF($H3251&gt;$H3249,1,0),IF($I3251&gt;$I3249,1,0),IF($J3251&gt;$J3249,1,0),IF($K3251&gt;$K3249,1,0),IF($L3251&gt;$L3249,1,0))&lt;&gt;3,"Error",""),""),""),"")</f>
        <v/>
      </c>
      <c r="R3252" s="85"/>
      <c r="S3252" s="95"/>
      <c r="T3252" s="95"/>
      <c r="U3252" s="95"/>
      <c r="V3252" s="95"/>
      <c r="W3252" s="95"/>
      <c r="X3252" s="95"/>
      <c r="Y3252" s="85"/>
      <c r="Z3252" s="85"/>
      <c r="AA3252" s="85"/>
      <c r="AB3252" s="85"/>
      <c r="AC3252" s="85"/>
      <c r="AD3252" s="85"/>
      <c r="AE3252" s="85"/>
      <c r="AF3252" s="85"/>
    </row>
    <row r="3253" spans="1:32" ht="12.75" customHeight="1" x14ac:dyDescent="0.25">
      <c r="B3253" s="111" t="str">
        <f ca="1">IF(ISERROR(VLOOKUP($B3228&amp;"("&amp;$B3222&amp;")",Players!$S$4:$T$132,2,FALSE)),"",VLOOKUP($B3228&amp;"("&amp;$B3222&amp;")",Players!$S$4:$T$132,2,FALSE))</f>
        <v>E1</v>
      </c>
      <c r="C3253" s="111" t="str">
        <f ca="1">IF(ISERROR(VLOOKUP($B3235&amp;"("&amp;$B3222&amp;")",Players!$S$4:$T$132,2,FALSE)),"",VLOOKUP($B3235&amp;"("&amp;$B3222&amp;")",Players!$S$4:$T$132,2,FALSE))</f>
        <v>E1</v>
      </c>
      <c r="D3253" s="111" t="str">
        <f ca="1">IF(ISERROR(VLOOKUP($B3242&amp;"("&amp;$B3222&amp;")",Players!$S$4:$T$132,2,FALSE)),"",VLOOKUP($B3242&amp;"("&amp;$B3222&amp;")",Players!$S$4:$T$132,2,FALSE))</f>
        <v>E1</v>
      </c>
      <c r="E3253" s="111" t="str">
        <f ca="1">IF(ISERROR(VLOOKUP($B3249&amp;"("&amp;$B3222&amp;")",Players!$S$4:$T$132,2,FALSE)),"",VLOOKUP($B3249&amp;"("&amp;$B3222&amp;")",Players!$S$4:$T$132,2,FALSE))</f>
        <v>E1</v>
      </c>
      <c r="F3253" s="111" t="str">
        <f ca="1">IF(ISERROR(VLOOKUP($B3230&amp;"("&amp;$K3222&amp;")",Players!$S$4:$T$132,2,FALSE)),"",VLOOKUP($B3230&amp;"("&amp;$K3222&amp;")",Players!$S$4:$T$132,2,FALSE))</f>
        <v>K1</v>
      </c>
      <c r="G3253" s="111" t="str">
        <f ca="1">IF(ISERROR(VLOOKUP($B3237&amp;"("&amp;$K3222&amp;")",Players!$S$4:$T$132,2,FALSE)),"",VLOOKUP($B3237&amp;"("&amp;$K3222&amp;")",Players!$S$4:$T$132,2,FALSE))</f>
        <v>K1</v>
      </c>
      <c r="H3253" s="111" t="str">
        <f ca="1">IF(ISERROR(VLOOKUP($B3244&amp;"("&amp;$K3222&amp;")",Players!$S$4:$T$132,2,FALSE)),"",VLOOKUP($B3244&amp;"("&amp;$K3222&amp;")",Players!$S$4:$T$132,2,FALSE))</f>
        <v>K1</v>
      </c>
      <c r="I3253" s="111" t="str">
        <f ca="1">IF(ISERROR(VLOOKUP($B3251&amp;"("&amp;$K3222&amp;")",Players!$S$4:$T$132,2,FALSE)),"",VLOOKUP($B3251&amp;"("&amp;$K3222&amp;")",Players!$S$4:$T$132,2,FALSE))</f>
        <v>K1</v>
      </c>
      <c r="Q3253" s="6"/>
      <c r="R3253" s="37"/>
      <c r="S3253" s="95"/>
      <c r="T3253" s="95"/>
      <c r="U3253" s="95"/>
      <c r="V3253" s="95"/>
      <c r="W3253" s="95"/>
      <c r="X3253" s="95"/>
      <c r="Y3253" s="85"/>
      <c r="Z3253" s="85"/>
      <c r="AA3253" s="85"/>
      <c r="AB3253" s="85"/>
      <c r="AC3253" s="96"/>
      <c r="AD3253" s="97"/>
      <c r="AE3253" s="85"/>
      <c r="AF3253" s="85"/>
    </row>
    <row r="3254" spans="1:32" ht="12.75" customHeight="1" x14ac:dyDescent="0.25">
      <c r="A3254" s="15" t="s">
        <v>157</v>
      </c>
      <c r="H3254" s="110" t="str">
        <f ca="1">IF($Q3256&lt;&gt;"",IF(AND($B3257&lt;&gt;"Missing Player",$B3259&lt;&gt;"Missing Player"),IF(AND(AND($H3256&gt;-1,$H3258&gt;-1),OR($H3256&gt;10,$H3258&gt;10),ABS($H3256-$H3258)&gt;1,IF(OR($H3256&gt;11,$H3258&gt;11),ABS($H3256-$H3258)=2,TRUE),$H3256=INT($H3256),$H3258=INT($H3258)),"","Error"),""),"")</f>
        <v/>
      </c>
      <c r="I3254" s="110" t="str">
        <f ca="1">IF($Q3256&lt;&gt;"",IF(AND($B3257&lt;&gt;"Missing Player",$B3259&lt;&gt;"Missing Player"),IF(AND(AND($I3256&gt;-1,$I3258&gt;-1),OR($I3256&gt;10,$I3258&gt;10),ABS($I3256-$I3258)&gt;1,IF(OR($I3256&gt;11,$I3258&gt;11),ABS($I3256-$I3258)=2,TRUE),$I3256=INT($I3256),$I3258=INT($I3258)),"","Error"),""),"")</f>
        <v/>
      </c>
      <c r="J3254" s="110" t="str">
        <f ca="1">IF($Q3256&lt;&gt;"",IF(AND($B3257&lt;&gt;"Missing Player",$B3259&lt;&gt;"Missing Player"),IF(AND(AND($J3256&gt;-1,$J3258&gt;-1),OR($J3256&gt;10,$J3258&gt;10),ABS($J3256-$J3258)&gt;1,IF(OR($J3256&gt;11,$J3258&gt;11),ABS($J3256-$J3258)=2,TRUE),$J3256=INT($J3256),$J3258=INT($J3258)),"","Error"),""),"")</f>
        <v/>
      </c>
      <c r="K3254" s="110" t="str">
        <f ca="1">IF($Q3256&lt;&gt;"",IF(AND($K3256&lt;&gt;"",$K3258&lt;&gt;""), IF(AND(AND($K3256&gt;-1,$K3258&gt;-1),OR($K3256&gt;10,$K3258&gt;10),ABS($K3256-$K3258)&gt;1,IF(OR($K3256&gt;11,$K3258&gt;11),ABS($K3256-$K3258)=2,TRUE),$K3256=INT($K3256),$K3258=INT($K3258)),"","Error"),""),"")</f>
        <v/>
      </c>
      <c r="L3254" s="110" t="str">
        <f ca="1">IF($Q3256&lt;&gt;"",IF(AND($L3256&lt;&gt;"",$L3258&lt;&gt;""), IF(AND(AND($L3256&gt;-1,$L3258&gt;-1),OR($L3256&gt;10,$L3258&gt;10),ABS($L3256-$L3258)&gt;1,IF(OR($L3256&gt;11,$L3258&gt;11),ABS($L3256-$L3258)=2,TRUE),$L3256=INT($L3256),$L3258=INT($L3258)),"","Error"),""),"")</f>
        <v/>
      </c>
      <c r="Q3254" s="6"/>
      <c r="R3254" s="85"/>
      <c r="S3254" s="95"/>
      <c r="T3254" s="95"/>
      <c r="U3254" s="95"/>
      <c r="V3254" s="95"/>
      <c r="W3254" s="95"/>
      <c r="X3254" s="95"/>
      <c r="Y3254" s="85"/>
      <c r="Z3254" s="85"/>
      <c r="AA3254" s="85"/>
      <c r="AB3254" s="85"/>
      <c r="AC3254" s="85"/>
      <c r="AD3254" s="85"/>
      <c r="AE3254" s="85"/>
      <c r="AF3254" s="85"/>
    </row>
    <row r="3255" spans="1:32" ht="12.75" customHeight="1" x14ac:dyDescent="0.25">
      <c r="A3255" s="5" t="s">
        <v>160</v>
      </c>
      <c r="B3255" s="256" t="s">
        <v>58</v>
      </c>
      <c r="C3255" s="257"/>
      <c r="D3255" s="257"/>
      <c r="E3255" s="257"/>
      <c r="F3255" s="257"/>
      <c r="G3255" s="258"/>
      <c r="H3255" s="5">
        <v>1</v>
      </c>
      <c r="I3255" s="5">
        <v>2</v>
      </c>
      <c r="J3255" s="5">
        <v>3</v>
      </c>
      <c r="K3255" s="5">
        <v>4</v>
      </c>
      <c r="L3255" s="5">
        <v>5</v>
      </c>
      <c r="M3255" s="270"/>
      <c r="N3255" s="271"/>
      <c r="O3255" s="271"/>
      <c r="P3255" s="272"/>
      <c r="Q3255" s="6"/>
      <c r="T3255" s="7"/>
    </row>
    <row r="3256" spans="1:32" ht="12.75" customHeight="1" x14ac:dyDescent="0.25">
      <c r="A3256" s="259" t="str">
        <f>B3222</f>
        <v>E</v>
      </c>
      <c r="B3256" s="230" t="str">
        <f ca="1">IF($B3228&lt;&gt;"",$B3228,"")</f>
        <v/>
      </c>
      <c r="C3256" s="231"/>
      <c r="D3256" s="231"/>
      <c r="E3256" s="231"/>
      <c r="F3256" s="231"/>
      <c r="G3256" s="232"/>
      <c r="H3256" s="233"/>
      <c r="I3256" s="233"/>
      <c r="J3256" s="233"/>
      <c r="K3256" s="233"/>
      <c r="L3256" s="233" t="str">
        <f ca="1">IF($B3249&lt;&gt;"",IF(AND($B3249="Missing Player",$G3260=2,$J3260=2),0,IF(AND($B3251="Missing Player",$G3260=2,$J3260=2),11,"")),"")</f>
        <v/>
      </c>
      <c r="M3256" s="245" t="str">
        <f ca="1">IF(OR(AND($B3256&lt;&gt;"",$B3257&lt;&gt;"",$B3256=$B3257),AND($B3258&lt;&gt;"",$B3259&lt;&gt;"",$B3258=$B3259)),"Invalid Partner","")</f>
        <v/>
      </c>
      <c r="N3256" s="246"/>
      <c r="O3256" s="246"/>
      <c r="P3256" s="247"/>
      <c r="Q3256" s="37" t="str">
        <f ca="1">IF(L3256=L3258,IF(K3256=K3258,IF(J3256&lt;&gt;"",IF(J3256&gt;J3258,"W","L"),""),IF(K3256&gt;K3258,"W","L")),IF(L3256&gt;L3258,"W","L"))</f>
        <v/>
      </c>
      <c r="T3256" s="7"/>
    </row>
    <row r="3257" spans="1:32" ht="12.75" customHeight="1" x14ac:dyDescent="0.25">
      <c r="A3257" s="260"/>
      <c r="B3257" s="266" t="str">
        <f ca="1">IF($B3249="Missing Player",$B3249,"")</f>
        <v/>
      </c>
      <c r="C3257" s="267"/>
      <c r="D3257" s="267"/>
      <c r="E3257" s="267"/>
      <c r="F3257" s="267"/>
      <c r="G3257" s="268"/>
      <c r="H3257" s="234"/>
      <c r="I3257" s="234"/>
      <c r="J3257" s="234"/>
      <c r="K3257" s="234"/>
      <c r="L3257" s="234"/>
      <c r="M3257" s="245"/>
      <c r="N3257" s="246"/>
      <c r="O3257" s="246"/>
      <c r="P3257" s="247"/>
      <c r="Q3257" s="110" t="str">
        <f ca="1">IF($Q3256&lt;&gt;"",IF($B3259&lt;&gt;"Missing Player",IF($Q3256="W",IF(SUM(IF($H3256&gt;$H3258,1,0),IF($I3256&gt;$I3258,1,0),IF($J3256&gt;$J3258,1,0),IF($K3256&gt;$K3258,1,0),IF($L3256&gt;$L3258,1,0))&lt;&gt;3,"Error",""),""),""),"")</f>
        <v/>
      </c>
      <c r="R3257" s="295" t="str">
        <f>$A3223</f>
        <v/>
      </c>
      <c r="S3257" s="295"/>
      <c r="T3257" s="295"/>
      <c r="U3257" s="295"/>
      <c r="V3257" s="295"/>
      <c r="W3257" s="295"/>
      <c r="X3257" s="219" t="str">
        <f>CONCATENATE("(",$B3222," vs ",$K3222,")")</f>
        <v>(E vs K)</v>
      </c>
      <c r="Y3257" s="219"/>
      <c r="Z3257" s="295" t="str">
        <f>$J3223</f>
        <v/>
      </c>
      <c r="AA3257" s="295"/>
      <c r="AB3257" s="295"/>
      <c r="AC3257" s="295"/>
      <c r="AD3257" s="295"/>
      <c r="AE3257" s="295"/>
      <c r="AF3257"/>
    </row>
    <row r="3258" spans="1:32" ht="12.75" customHeight="1" x14ac:dyDescent="0.25">
      <c r="A3258" s="265" t="str">
        <f>K3222</f>
        <v>K</v>
      </c>
      <c r="B3258" s="230" t="str">
        <f ca="1">IF($B3230&lt;&gt;"",$B3230,"")</f>
        <v/>
      </c>
      <c r="C3258" s="231"/>
      <c r="D3258" s="231"/>
      <c r="E3258" s="231"/>
      <c r="F3258" s="231"/>
      <c r="G3258" s="232"/>
      <c r="H3258" s="233"/>
      <c r="I3258" s="233"/>
      <c r="J3258" s="233"/>
      <c r="K3258" s="233"/>
      <c r="L3258" s="233" t="str">
        <f ca="1">IF($B3251&lt;&gt;"",IF(AND($B3251="Missing Player",$G3260=2,$J3260=2),0,IF(AND($B3249="Missing Player",$G3260=2,$J3260=2),11,"")),"")</f>
        <v/>
      </c>
      <c r="M3258" s="250" t="s">
        <v>169</v>
      </c>
      <c r="N3258" s="251"/>
      <c r="O3258" s="251"/>
      <c r="P3258" s="252"/>
      <c r="Q3258" s="37" t="str">
        <f ca="1">IF(Q3256&lt;&gt;"",IF(Q3256="W","L","W"),"")</f>
        <v/>
      </c>
      <c r="R3258"/>
      <c r="S3258"/>
      <c r="T3258"/>
      <c r="U3258"/>
      <c r="V3258"/>
      <c r="W3258"/>
      <c r="X3258"/>
      <c r="Y3258"/>
      <c r="Z3258"/>
      <c r="AA3258"/>
      <c r="AB3258"/>
      <c r="AC3258"/>
      <c r="AD3258"/>
      <c r="AE3258"/>
      <c r="AF3258"/>
    </row>
    <row r="3259" spans="1:32" ht="12.75" customHeight="1" x14ac:dyDescent="0.25">
      <c r="A3259" s="260"/>
      <c r="B3259" s="266" t="str">
        <f ca="1">IF($B3251="Missing Player",$B3251,"")</f>
        <v/>
      </c>
      <c r="C3259" s="267"/>
      <c r="D3259" s="267"/>
      <c r="E3259" s="267"/>
      <c r="F3259" s="267"/>
      <c r="G3259" s="268"/>
      <c r="H3259" s="234"/>
      <c r="I3259" s="234"/>
      <c r="J3259" s="235"/>
      <c r="K3259" s="235"/>
      <c r="L3259" s="235"/>
      <c r="M3259" s="250"/>
      <c r="N3259" s="251"/>
      <c r="O3259" s="251"/>
      <c r="P3259" s="252"/>
      <c r="Q3259" s="110" t="str">
        <f ca="1">IF($Q3258&lt;&gt;"",IF($B3257&lt;&gt;"Missing Player",IF($Q3258="W",IF(SUM(IF($H3258&gt;$H3256,1,0),IF($I3258&gt;$I3256,1,0),IF($J3258&gt;$J3256,1,0),IF($K3258&gt;$K3256,1,0),IF($L3258&gt;$L3256,1,0))&lt;&gt;3,"Error",""),""),""),"")</f>
        <v/>
      </c>
      <c r="R3259" t="str">
        <f>A3247</f>
        <v>4th Singles</v>
      </c>
      <c r="S3259"/>
      <c r="T3259"/>
      <c r="U3259"/>
      <c r="V3259"/>
      <c r="W3259"/>
      <c r="X3259"/>
      <c r="Y3259"/>
      <c r="Z3259"/>
      <c r="AA3259"/>
      <c r="AB3259"/>
      <c r="AC3259"/>
      <c r="AD3259"/>
      <c r="AE3259"/>
      <c r="AF3259"/>
    </row>
    <row r="3260" spans="1:32" ht="12.75" customHeight="1" x14ac:dyDescent="0.25">
      <c r="G3260" s="53">
        <f ca="1">COUNTIF($Q3228:$Q3228,"W")+COUNTIF($Q3235:$Q3235,"W")+COUNTIF($Q3242:$Q3242,"W")+COUNTIF($Q3249:$Q3249,"W")</f>
        <v>0</v>
      </c>
      <c r="J3260" s="53">
        <f ca="1">COUNTIF($Q3230:$Q3230,"W")+COUNTIF($Q3237:$Q3237,"W")+COUNTIF($Q3244:$Q3244,"W")+COUNTIF($Q3251:$Q3251,"W")</f>
        <v>0</v>
      </c>
      <c r="R3260" s="47" t="s">
        <v>160</v>
      </c>
      <c r="S3260" s="304" t="s">
        <v>58</v>
      </c>
      <c r="T3260" s="305"/>
      <c r="U3260" s="305"/>
      <c r="V3260" s="305"/>
      <c r="W3260" s="305"/>
      <c r="X3260" s="306"/>
      <c r="Y3260" s="47">
        <v>1</v>
      </c>
      <c r="Z3260" s="47">
        <v>2</v>
      </c>
      <c r="AA3260" s="47">
        <v>3</v>
      </c>
      <c r="AB3260" s="47">
        <v>4</v>
      </c>
      <c r="AC3260" s="47">
        <v>5</v>
      </c>
      <c r="AD3260" s="286"/>
      <c r="AE3260" s="287"/>
      <c r="AF3260" s="288"/>
    </row>
    <row r="3261" spans="1:32" ht="12.75" customHeight="1" thickBot="1" x14ac:dyDescent="0.3">
      <c r="F3261" s="212" t="s">
        <v>170</v>
      </c>
      <c r="G3261" s="212"/>
      <c r="H3261" s="212"/>
      <c r="I3261" s="212"/>
      <c r="J3261" s="212"/>
      <c r="K3261" s="212"/>
      <c r="R3261" s="259" t="str">
        <f>B3222</f>
        <v>E</v>
      </c>
      <c r="S3261" s="307" t="str">
        <f ca="1">IF($B3249&lt;&gt;"",$B3249,"")</f>
        <v/>
      </c>
      <c r="T3261" s="308"/>
      <c r="U3261" s="308"/>
      <c r="V3261" s="308"/>
      <c r="W3261" s="308"/>
      <c r="X3261" s="309"/>
      <c r="Y3261" s="284"/>
      <c r="Z3261" s="284"/>
      <c r="AA3261" s="297"/>
      <c r="AB3261" s="297"/>
      <c r="AC3261" s="297"/>
      <c r="AD3261" s="296"/>
      <c r="AE3261" s="298"/>
      <c r="AF3261" s="299"/>
    </row>
    <row r="3262" spans="1:32" ht="12.75" customHeight="1" x14ac:dyDescent="0.25">
      <c r="A3262" s="16"/>
      <c r="B3262" s="16"/>
      <c r="C3262" s="16"/>
      <c r="D3262" s="16"/>
      <c r="E3262" s="16"/>
      <c r="G3262" s="261" t="str">
        <f>B3222</f>
        <v>E</v>
      </c>
      <c r="H3262" s="262"/>
      <c r="I3262" s="263" t="str">
        <f>K3222</f>
        <v>K</v>
      </c>
      <c r="J3262" s="264"/>
      <c r="L3262" s="16"/>
      <c r="M3262" s="16"/>
      <c r="N3262" s="16"/>
      <c r="O3262" s="16"/>
      <c r="P3262" s="16"/>
      <c r="R3262" s="260"/>
      <c r="S3262" s="310"/>
      <c r="T3262" s="311"/>
      <c r="U3262" s="311"/>
      <c r="V3262" s="311"/>
      <c r="W3262" s="311"/>
      <c r="X3262" s="312"/>
      <c r="Y3262" s="285"/>
      <c r="Z3262" s="285"/>
      <c r="AA3262" s="303"/>
      <c r="AB3262" s="303"/>
      <c r="AC3262" s="303"/>
      <c r="AD3262" s="300"/>
      <c r="AE3262" s="301"/>
      <c r="AF3262" s="302"/>
    </row>
    <row r="3263" spans="1:32" ht="12.75" customHeight="1" thickBot="1" x14ac:dyDescent="0.3">
      <c r="A3263" s="2" t="s">
        <v>160</v>
      </c>
      <c r="B3263" s="40" t="str">
        <f>B3222</f>
        <v>E</v>
      </c>
      <c r="C3263" s="3" t="s">
        <v>158</v>
      </c>
      <c r="F3263" s="53" t="str">
        <f>CONCATENATE($B3222,"-",$K3222)</f>
        <v>E-K</v>
      </c>
      <c r="G3263" s="240" t="str">
        <f ca="1">IF(OR(Q3228&lt;&gt;"",Q3235&lt;&gt;"",Q3242&lt;&gt;"",Q3249&lt;&gt;"",Q3256&lt;&gt;""),COUNTIF(Q3228:Q3228,"W")+COUNTIF(Q3235:Q3235,"W")+COUNTIF(Q3242:Q3242,"W")+COUNTIF(Q3249:Q3249,"W")+COUNTIF(Q3256:Q3256,"W"),"")</f>
        <v/>
      </c>
      <c r="H3263" s="241"/>
      <c r="I3263" s="242" t="str">
        <f ca="1">IF(OR(Q3230&lt;&gt;"",Q3237&lt;&gt;"",Q3244&lt;&gt;"",Q3251&lt;&gt;"",Q3258&lt;&gt;""),COUNTIF(Q3230:Q3230,"W")+COUNTIF(Q3237:Q3237,"W")+COUNTIF(Q3244:Q3244,"W")+COUNTIF(Q3251:Q3251,"W")+COUNTIF(Q3258:Q3258,"W"),"")</f>
        <v/>
      </c>
      <c r="J3263" s="243"/>
      <c r="L3263" s="2" t="s">
        <v>160</v>
      </c>
      <c r="M3263" s="40" t="str">
        <f>K3222</f>
        <v>K</v>
      </c>
      <c r="N3263" s="3" t="s">
        <v>158</v>
      </c>
      <c r="R3263" s="259" t="str">
        <f>K3222</f>
        <v>K</v>
      </c>
      <c r="S3263" s="307" t="str">
        <f ca="1">IF($B3251&lt;&gt;"",$B3251,"")</f>
        <v/>
      </c>
      <c r="T3263" s="308"/>
      <c r="U3263" s="308"/>
      <c r="V3263" s="308"/>
      <c r="W3263" s="308"/>
      <c r="X3263" s="309"/>
      <c r="Y3263" s="284"/>
      <c r="Z3263" s="284"/>
      <c r="AA3263" s="297"/>
      <c r="AB3263" s="297"/>
      <c r="AC3263" s="297"/>
      <c r="AD3263" s="289" t="s">
        <v>169</v>
      </c>
      <c r="AE3263" s="290"/>
      <c r="AF3263" s="291"/>
    </row>
    <row r="3264" spans="1:32" ht="12.75" customHeight="1" x14ac:dyDescent="0.35">
      <c r="F3264" s="18" t="s">
        <v>403</v>
      </c>
      <c r="G3264" s="17"/>
      <c r="H3264" s="17"/>
      <c r="I3264" s="17"/>
      <c r="J3264" s="17"/>
      <c r="R3264" s="285"/>
      <c r="S3264" s="310"/>
      <c r="T3264" s="311"/>
      <c r="U3264" s="311"/>
      <c r="V3264" s="311"/>
      <c r="W3264" s="311"/>
      <c r="X3264" s="312"/>
      <c r="Y3264" s="285"/>
      <c r="Z3264" s="285"/>
      <c r="AA3264" s="285"/>
      <c r="AB3264" s="285"/>
      <c r="AC3264" s="285"/>
      <c r="AD3264" s="292"/>
      <c r="AE3264" s="293"/>
      <c r="AF3264" s="294"/>
    </row>
    <row r="3265" spans="1:32" ht="12.75" customHeight="1" x14ac:dyDescent="0.25">
      <c r="R3265" s="1"/>
      <c r="S3265" s="11"/>
      <c r="T3265" s="11"/>
      <c r="U3265" s="11"/>
      <c r="V3265" s="11"/>
      <c r="W3265" s="11"/>
    </row>
    <row r="3266" spans="1:32" ht="12.75" customHeight="1" x14ac:dyDescent="0.25">
      <c r="F3266" s="212"/>
      <c r="G3266" s="212"/>
      <c r="H3266" s="212"/>
      <c r="I3266" s="212"/>
      <c r="R3266" s="1"/>
      <c r="S3266" s="11"/>
      <c r="T3266" s="11"/>
      <c r="U3266" s="11"/>
      <c r="V3266" s="11"/>
      <c r="W3266" s="11"/>
    </row>
    <row r="3267" spans="1:32" ht="12.75" customHeight="1" x14ac:dyDescent="0.25">
      <c r="F3267" s="212"/>
      <c r="G3267" s="212"/>
      <c r="H3267" s="212"/>
      <c r="I3267" s="212"/>
      <c r="R3267" s="1"/>
      <c r="S3267" s="11"/>
      <c r="T3267" s="11"/>
      <c r="U3267" s="11"/>
      <c r="V3267" s="11"/>
      <c r="W3267" s="11"/>
    </row>
    <row r="3268" spans="1:32" ht="12.75" customHeight="1" x14ac:dyDescent="0.25">
      <c r="K3268" s="219" t="s">
        <v>176</v>
      </c>
      <c r="L3268" s="219"/>
      <c r="M3268" s="219"/>
      <c r="N3268" s="219"/>
      <c r="O3268" s="219"/>
      <c r="P3268" s="219"/>
      <c r="R3268" s="1"/>
      <c r="S3268" s="11"/>
      <c r="T3268" s="11"/>
      <c r="U3268" s="11"/>
      <c r="V3268" s="11"/>
      <c r="W3268" s="11"/>
    </row>
    <row r="3269" spans="1:32" ht="12.75" customHeight="1" x14ac:dyDescent="0.25">
      <c r="A3269" s="9" t="s">
        <v>161</v>
      </c>
      <c r="B3269"/>
      <c r="C3269"/>
      <c r="D3269" t="str">
        <f>Draw!$B$1</f>
        <v>Enter Division Name</v>
      </c>
      <c r="E3269"/>
      <c r="F3269" s="6"/>
      <c r="G3269" s="6"/>
      <c r="H3269" s="6"/>
      <c r="I3269"/>
      <c r="J3269"/>
      <c r="K3269"/>
      <c r="L3269"/>
      <c r="M3269" s="219"/>
      <c r="N3269" s="219"/>
      <c r="O3269" s="219"/>
      <c r="P3269" s="219"/>
      <c r="R3269" s="1"/>
      <c r="S3269" s="11"/>
      <c r="T3269" s="11"/>
      <c r="U3269" s="11"/>
      <c r="V3269" s="11"/>
      <c r="W3269" s="11"/>
    </row>
    <row r="3270" spans="1:32" ht="12.75" customHeight="1" x14ac:dyDescent="0.25">
      <c r="A3270" s="2" t="s">
        <v>162</v>
      </c>
      <c r="D3270" t="str">
        <f>Draw!$D$1</f>
        <v>Enter Hosting Location (City, ST)</v>
      </c>
      <c r="J3270" t="str">
        <f ca="1">$J$6</f>
        <v>[NCTTA Teams Template (v3.4).xlsx]</v>
      </c>
      <c r="R3270" s="1"/>
      <c r="S3270" s="11"/>
      <c r="T3270" s="11"/>
      <c r="U3270" s="11"/>
      <c r="V3270" s="11"/>
      <c r="W3270" s="11"/>
    </row>
    <row r="3271" spans="1:32" ht="12.75" customHeight="1" x14ac:dyDescent="0.25">
      <c r="A3271" s="2" t="s">
        <v>163</v>
      </c>
      <c r="D3271" s="275" t="str">
        <f>Draw!$P$1</f>
        <v>Enter Date</v>
      </c>
      <c r="E3271" s="275"/>
      <c r="F3271" s="275"/>
      <c r="G3271" s="275"/>
      <c r="J3271" s="244" t="str">
        <f>CHOOSE(Draw!$T$1,"Round 11, Match 5","","","","","","","","","","")</f>
        <v>Round 11, Match 5</v>
      </c>
      <c r="K3271" s="244"/>
      <c r="L3271" s="244"/>
      <c r="M3271" s="277" t="str">
        <f>IF(AND($J3271&lt;&gt;"",Draw!$AC$10&lt;&gt;"",Draw!$AC$13&lt;&gt;""),Draw!$AC$10+TIME(0,VALUE(MID($J3271,7,FIND(",",$J3271)-FIND(" ",$J3271)-1)-1)*Draw!$AC$13,0),"")</f>
        <v/>
      </c>
      <c r="N3271" s="277"/>
      <c r="O3271" s="125" t="str">
        <f>$F3314</f>
        <v>D-L</v>
      </c>
      <c r="R3271" s="1"/>
      <c r="S3271" s="11"/>
      <c r="T3271" s="11"/>
      <c r="U3271" s="11"/>
      <c r="V3271" s="11"/>
      <c r="W3271" s="11"/>
    </row>
    <row r="3272" spans="1:32" ht="12.75" customHeight="1" x14ac:dyDescent="0.25">
      <c r="A3272" s="6"/>
      <c r="B3272"/>
      <c r="C3272"/>
      <c r="D3272"/>
      <c r="E3272"/>
      <c r="F3272" s="6"/>
      <c r="G3272" s="6"/>
      <c r="H3272" s="11"/>
      <c r="I3272" s="6"/>
      <c r="J3272"/>
      <c r="K3272"/>
      <c r="L3272"/>
      <c r="M3272"/>
      <c r="N3272"/>
      <c r="O3272" s="269" t="str">
        <f>IF(OR(AND(VLOOKUP($B3273,$AM$1:$AX$12,12,FALSE)="C",VLOOKUP($K3273,$AM$1:$AX$12,12,FALSE)="C"),AND(VLOOKUP($B3273,$AM$1:$AX$12,12,FALSE)="W",VLOOKUP($K3273,$AM$1:$AX$12,12,FALSE)="W")),"Official",IF(AND($A3274="",$J3274=""),"","Scrimmage"))</f>
        <v/>
      </c>
      <c r="P3272" s="269"/>
      <c r="R3272" s="1"/>
      <c r="S3272" s="11"/>
      <c r="T3272" s="11"/>
      <c r="U3272" s="11"/>
      <c r="V3272" s="11"/>
      <c r="W3272" s="11"/>
    </row>
    <row r="3273" spans="1:32" ht="12.75" customHeight="1" x14ac:dyDescent="0.25">
      <c r="A3273" s="12" t="s">
        <v>160</v>
      </c>
      <c r="B3273" s="98" t="str">
        <f>CHOOSE(Draw!$T$1,"D","F","H","I","J","J","J","J","J","J","J")</f>
        <v>D</v>
      </c>
      <c r="C3273" s="109">
        <f>VLOOKUP($B3273,$AM$1:$AN$12,2)</f>
        <v>4</v>
      </c>
      <c r="D3273" s="10"/>
      <c r="E3273" s="10"/>
      <c r="F3273" s="8"/>
      <c r="H3273" s="1" t="s">
        <v>164</v>
      </c>
      <c r="J3273" s="12" t="s">
        <v>160</v>
      </c>
      <c r="K3273" s="98" t="str">
        <f>CHOOSE(Draw!$T$1,"L","K","K","K","L","L","L","L","L","L","L")</f>
        <v>L</v>
      </c>
      <c r="L3273" s="109">
        <f>VLOOKUP($K3273,$AM$1:$AN$12,2)</f>
        <v>12</v>
      </c>
      <c r="M3273" s="10"/>
      <c r="N3273" s="10"/>
      <c r="O3273" s="13"/>
      <c r="R3273" s="1"/>
      <c r="S3273" s="11"/>
      <c r="T3273" s="11"/>
      <c r="U3273" s="11"/>
      <c r="V3273" s="11"/>
      <c r="W3273" s="11"/>
    </row>
    <row r="3274" spans="1:32" ht="12.75" customHeight="1" x14ac:dyDescent="0.25">
      <c r="A3274" s="253" t="str">
        <f>IF(VLOOKUP($B3273,Draw!$A$4:$B$27,2)&lt;&gt;0,VLOOKUP($B3273,Draw!$A$4:$B$27,2),"")</f>
        <v/>
      </c>
      <c r="B3274" s="254"/>
      <c r="C3274" s="254"/>
      <c r="D3274" s="254"/>
      <c r="E3274" s="254"/>
      <c r="F3274" s="255"/>
      <c r="G3274" s="273" t="s">
        <v>468</v>
      </c>
      <c r="H3274" s="249"/>
      <c r="I3274" s="274"/>
      <c r="J3274" s="253" t="str">
        <f>IF(VLOOKUP($K3273,Draw!$A$4:$B$27,2)&lt;&gt;0,VLOOKUP($K3273,Draw!$A$4:$B$27,2),"")</f>
        <v/>
      </c>
      <c r="K3274" s="254"/>
      <c r="L3274" s="254"/>
      <c r="M3274" s="254"/>
      <c r="N3274" s="254"/>
      <c r="O3274" s="255"/>
      <c r="P3274"/>
      <c r="R3274" s="1"/>
      <c r="S3274" s="11"/>
      <c r="T3274" s="11"/>
      <c r="U3274" s="11"/>
      <c r="V3274" s="11"/>
      <c r="W3274" s="11"/>
    </row>
    <row r="3275" spans="1:32" ht="12.75" customHeight="1" x14ac:dyDescent="0.25">
      <c r="A3275" s="6"/>
      <c r="B3275"/>
      <c r="C3275"/>
      <c r="D3275"/>
      <c r="E3275"/>
      <c r="F3275" s="6"/>
      <c r="G3275" s="248" t="str">
        <f>"Page "&amp;VALUE(RIGHT($G3274,LEN($G3274)-SEARCH("-",$G3274)))/2</f>
        <v>Page 65</v>
      </c>
      <c r="H3275" s="249"/>
      <c r="I3275" s="249"/>
      <c r="J3275"/>
      <c r="K3275"/>
      <c r="L3275"/>
      <c r="M3275"/>
      <c r="N3275"/>
      <c r="O3275"/>
      <c r="P3275"/>
      <c r="R3275" s="1"/>
      <c r="S3275" s="11"/>
      <c r="T3275" s="11"/>
      <c r="U3275" s="11"/>
      <c r="V3275" s="11"/>
      <c r="W3275" s="11"/>
      <c r="AF3275"/>
    </row>
    <row r="3276" spans="1:32" ht="12.75" customHeight="1" x14ac:dyDescent="0.25">
      <c r="A3276" s="276" t="s">
        <v>177</v>
      </c>
      <c r="B3276" s="276"/>
      <c r="C3276" s="276"/>
      <c r="D3276" s="276"/>
      <c r="E3276" s="276"/>
      <c r="F3276" s="276"/>
      <c r="G3276" s="276"/>
      <c r="H3276" s="276"/>
      <c r="I3276" s="276"/>
      <c r="J3276" s="276"/>
      <c r="K3276" s="276"/>
      <c r="L3276" s="276"/>
      <c r="M3276" s="276"/>
      <c r="N3276" s="276"/>
      <c r="O3276" s="276"/>
      <c r="P3276" s="276"/>
      <c r="Q3276" s="6"/>
      <c r="R3276" s="1"/>
      <c r="S3276" s="11"/>
      <c r="T3276" s="11"/>
      <c r="U3276" s="11"/>
      <c r="V3276" s="11"/>
      <c r="W3276" s="11"/>
      <c r="AF3276" s="14"/>
    </row>
    <row r="3277" spans="1:32" ht="12.75" customHeight="1" x14ac:dyDescent="0.25">
      <c r="A3277" s="15" t="s">
        <v>165</v>
      </c>
      <c r="H3277" s="110" t="str">
        <f>IF($Q3279&lt;&gt;"",IF(AND(AND($H3279&gt;-1,$H3281&gt;-1),OR($H3279&gt;10,$H3281&gt;10),ABS($H3279-$H3281)&gt;1,IF(OR($H3279&gt;11,$H3281&gt;11),ABS($H3279-$H3281)=2,TRUE),$H3279=INT($H3279),$H3281=INT($H3281)),"","Error"),"")</f>
        <v/>
      </c>
      <c r="I3277" s="110" t="str">
        <f>IF($Q3279&lt;&gt;"",IF(AND(AND($I3279&gt;-1,$I3281&gt;-1),OR($I3279&gt;10,$I3281&gt;10),ABS($I3279-$I3281)&gt;1,IF(OR($I3279&gt;11,$I3281&gt;11),ABS($I3279-$I3281)=2,TRUE),$I3279=INT($I3279),$I3281=INT($I3281)),"","Error"),"")</f>
        <v/>
      </c>
      <c r="J3277" s="110" t="str">
        <f>IF($Q3279&lt;&gt;"",IF(AND(AND($J3279&gt;-1,$J3281&gt;-1),OR($J3279&gt;10,$J3281&gt;10),ABS($J3279-$J3281)&gt;1,IF(OR($J3279&gt;11,$J3281&gt;11),ABS($J3279-$J3281)=2,TRUE),$J3279=INT($J3279),$J3281=INT($J3281)),"","Error"),"")</f>
        <v/>
      </c>
      <c r="K3277" s="110" t="str">
        <f>IF($Q3279&lt;&gt;"",IF(AND($K3279&lt;&gt;"",$K3281&lt;&gt;""), IF(AND(AND($K3279&gt;-1,$K3281&gt;-1),OR($K3279&gt;10,$K3281&gt;10),ABS($K3279-$K3281)&gt;1,IF(OR($K3279&gt;11,$K3281&gt;11),ABS($K3279-$K3281)=2,TRUE),$K3279=INT($K3279),$K3281=INT($K3281)),"","Error"),""),"")</f>
        <v/>
      </c>
      <c r="L3277" s="110" t="str">
        <f>IF($Q3279&lt;&gt;"",IF(AND($L3279&lt;&gt;"",$L3281&lt;&gt;""), IF(AND(AND($L3279&gt;-1,$L3281&gt;-1),OR($L3279&gt;10,$L3281&gt;10),ABS($L3279-$L3281)&gt;1,IF(OR($L3279&gt;11,$L3281&gt;11),ABS($L3279-$L3281)=2,TRUE),$L3279=INT($L3279),$L3281=INT($L3281)),"","Error"),""),"")</f>
        <v/>
      </c>
      <c r="R3277" s="1"/>
      <c r="S3277" s="11"/>
      <c r="T3277" s="11"/>
      <c r="U3277" s="11"/>
      <c r="V3277" s="11"/>
      <c r="W3277" s="11"/>
    </row>
    <row r="3278" spans="1:32" ht="12.75" customHeight="1" x14ac:dyDescent="0.25">
      <c r="A3278" s="5" t="s">
        <v>160</v>
      </c>
      <c r="B3278" s="256" t="s">
        <v>58</v>
      </c>
      <c r="C3278" s="257"/>
      <c r="D3278" s="257"/>
      <c r="E3278" s="257"/>
      <c r="F3278" s="257"/>
      <c r="G3278" s="258"/>
      <c r="H3278" s="5">
        <v>1</v>
      </c>
      <c r="I3278" s="5">
        <v>2</v>
      </c>
      <c r="J3278" s="5">
        <v>3</v>
      </c>
      <c r="K3278" s="5">
        <v>4</v>
      </c>
      <c r="L3278" s="5">
        <v>5</v>
      </c>
      <c r="M3278" s="270"/>
      <c r="N3278" s="271"/>
      <c r="O3278" s="271"/>
      <c r="P3278" s="272"/>
      <c r="R3278" s="1"/>
      <c r="S3278" s="11"/>
      <c r="T3278" s="11"/>
      <c r="U3278" s="11"/>
      <c r="V3278" s="11"/>
      <c r="W3278" s="11"/>
    </row>
    <row r="3279" spans="1:32" ht="12.75" customHeight="1" x14ac:dyDescent="0.25">
      <c r="A3279" s="259" t="str">
        <f>B3273</f>
        <v>D</v>
      </c>
      <c r="B3279" s="236" t="str">
        <f ca="1">IF(AND(OFFSET($AO$1,$C3273-1,8,1,1),$A3274&lt;&gt;"",$J3274&lt;&gt;""),CHOOSE($C3273,$AO$1,$AO$2,$AO$3,$AO$4,$AO$5,$AO$6,$AO$7,$AO$8,$AO$9,$AO$10,$AO$11,$AO$12),"")</f>
        <v/>
      </c>
      <c r="C3279" s="237"/>
      <c r="D3279" s="237"/>
      <c r="E3279" s="237"/>
      <c r="F3279" s="237"/>
      <c r="G3279" s="237"/>
      <c r="H3279" s="233"/>
      <c r="I3279" s="233"/>
      <c r="J3279" s="233"/>
      <c r="K3279" s="233"/>
      <c r="L3279" s="233"/>
      <c r="M3279" s="281"/>
      <c r="N3279" s="282"/>
      <c r="O3279" s="282"/>
      <c r="P3279" s="283"/>
      <c r="Q3279" s="40" t="str">
        <f>IF($L3279=$L3281,IF($K3279=$K3281,IF($J3279&lt;&gt;"",IF($J3279&gt;$J3281,"W","L"),""),IF($K3279&gt;$K3281,"W","L")),IF($L3279&gt;$L3281,"W","L"))</f>
        <v/>
      </c>
      <c r="R3279" s="1"/>
      <c r="S3279" s="11"/>
      <c r="T3279" s="11"/>
      <c r="U3279" s="11"/>
      <c r="V3279" s="11"/>
      <c r="W3279" s="11"/>
    </row>
    <row r="3280" spans="1:32" ht="12.75" customHeight="1" x14ac:dyDescent="0.25">
      <c r="A3280" s="260"/>
      <c r="B3280" s="238"/>
      <c r="C3280" s="239"/>
      <c r="D3280" s="239"/>
      <c r="E3280" s="239"/>
      <c r="F3280" s="239"/>
      <c r="G3280" s="239"/>
      <c r="H3280" s="234"/>
      <c r="I3280" s="234"/>
      <c r="J3280" s="234"/>
      <c r="K3280" s="234"/>
      <c r="L3280" s="234"/>
      <c r="M3280" s="281"/>
      <c r="N3280" s="282"/>
      <c r="O3280" s="282"/>
      <c r="P3280" s="283"/>
      <c r="Q3280" s="110" t="str">
        <f>IF($Q3279&lt;&gt;"",IF($Q3279="W",IF(SUM(IF($H3279&gt;$H3281,1,0),IF($I3279&gt;$I3281,1,0),IF($J3279&gt;$J3281,1,0),IF($K3279&gt;$K3281,1,0),IF($L3279&gt;$L3281,1,0))&lt;&gt;3,"Error",""),""),"")</f>
        <v/>
      </c>
      <c r="R3280" s="295" t="str">
        <f>$A3274</f>
        <v/>
      </c>
      <c r="S3280" s="295"/>
      <c r="T3280" s="295"/>
      <c r="U3280" s="295"/>
      <c r="V3280" s="295"/>
      <c r="W3280" s="295"/>
      <c r="X3280" s="219" t="str">
        <f>CONCATENATE("(",$B3273," vs ",$K3273,")")</f>
        <v>(D vs L)</v>
      </c>
      <c r="Y3280" s="219"/>
      <c r="Z3280" s="295" t="str">
        <f>$J3274</f>
        <v/>
      </c>
      <c r="AA3280" s="295"/>
      <c r="AB3280" s="295"/>
      <c r="AC3280" s="295"/>
      <c r="AD3280" s="295"/>
      <c r="AE3280" s="295"/>
      <c r="AF3280"/>
    </row>
    <row r="3281" spans="1:32" ht="12.75" customHeight="1" x14ac:dyDescent="0.25">
      <c r="A3281" s="259" t="str">
        <f>K3273</f>
        <v>L</v>
      </c>
      <c r="B3281" s="236" t="str">
        <f ca="1">IF(AND(OFFSET($AO$1,$L3273-1,8,1,1),$A3274&lt;&gt;"",$J3274&lt;&gt;""),CHOOSE($L3273,$AO$1,$AO$2,$AO$3,$AO$4,$AO$5,$AO$6,$AO$7,$AO$8,$AO$9,$AO$10,$AO$11,$AO$12),"")</f>
        <v/>
      </c>
      <c r="C3281" s="237"/>
      <c r="D3281" s="237"/>
      <c r="E3281" s="237"/>
      <c r="F3281" s="237"/>
      <c r="G3281" s="237"/>
      <c r="H3281" s="233"/>
      <c r="I3281" s="233"/>
      <c r="J3281" s="233"/>
      <c r="K3281" s="233"/>
      <c r="L3281" s="233"/>
      <c r="M3281" s="250" t="s">
        <v>169</v>
      </c>
      <c r="N3281" s="251"/>
      <c r="O3281" s="251"/>
      <c r="P3281" s="252"/>
      <c r="Q3281" s="40" t="str">
        <f>IF($Q3279&lt;&gt;"",IF($Q3279="W","L","W"),"")</f>
        <v/>
      </c>
      <c r="R3281"/>
      <c r="S3281"/>
      <c r="T3281"/>
      <c r="U3281"/>
      <c r="V3281"/>
      <c r="W3281"/>
      <c r="X3281"/>
      <c r="Y3281"/>
      <c r="Z3281"/>
      <c r="AA3281"/>
      <c r="AB3281"/>
      <c r="AC3281"/>
      <c r="AD3281"/>
      <c r="AE3281"/>
      <c r="AF3281"/>
    </row>
    <row r="3282" spans="1:32" ht="12.75" customHeight="1" x14ac:dyDescent="0.25">
      <c r="A3282" s="260"/>
      <c r="B3282" s="238"/>
      <c r="C3282" s="239"/>
      <c r="D3282" s="239"/>
      <c r="E3282" s="239"/>
      <c r="F3282" s="239"/>
      <c r="G3282" s="239"/>
      <c r="H3282" s="234"/>
      <c r="I3282" s="234"/>
      <c r="J3282" s="235"/>
      <c r="K3282" s="235"/>
      <c r="L3282" s="235"/>
      <c r="M3282" s="250"/>
      <c r="N3282" s="251"/>
      <c r="O3282" s="251"/>
      <c r="P3282" s="252"/>
      <c r="Q3282" s="110" t="str">
        <f>IF($Q3281&lt;&gt;"",IF($Q3281="W",IF(SUM(IF($H3281&gt;$H3279,1,0),IF($I3281&gt;$I3279,1,0),IF($J3281&gt;$J3279,1,0),IF($K3281&gt;$K3279,1,0),IF($L3281&gt;$L3279,1,0))&lt;&gt;3,"Error",""),""),"")</f>
        <v/>
      </c>
      <c r="R3282" t="str">
        <f>$A3284</f>
        <v>2nd Singles</v>
      </c>
      <c r="S3282"/>
      <c r="T3282"/>
      <c r="U3282"/>
      <c r="V3282"/>
      <c r="W3282"/>
      <c r="X3282"/>
      <c r="Y3282"/>
      <c r="Z3282"/>
      <c r="AA3282"/>
      <c r="AB3282"/>
      <c r="AC3282"/>
      <c r="AD3282"/>
      <c r="AE3282"/>
      <c r="AF3282"/>
    </row>
    <row r="3283" spans="1:32" ht="12.75" customHeight="1" x14ac:dyDescent="0.25">
      <c r="Q3283" s="6"/>
      <c r="R3283" s="47" t="s">
        <v>160</v>
      </c>
      <c r="S3283" s="304" t="s">
        <v>58</v>
      </c>
      <c r="T3283" s="305"/>
      <c r="U3283" s="305"/>
      <c r="V3283" s="305"/>
      <c r="W3283" s="305"/>
      <c r="X3283" s="306"/>
      <c r="Y3283" s="47">
        <v>1</v>
      </c>
      <c r="Z3283" s="47">
        <v>2</v>
      </c>
      <c r="AA3283" s="47">
        <v>3</v>
      </c>
      <c r="AB3283" s="47">
        <v>4</v>
      </c>
      <c r="AC3283" s="47">
        <v>5</v>
      </c>
      <c r="AD3283" s="286"/>
      <c r="AE3283" s="287"/>
      <c r="AF3283" s="288"/>
    </row>
    <row r="3284" spans="1:32" ht="12.75" customHeight="1" x14ac:dyDescent="0.25">
      <c r="A3284" s="15" t="s">
        <v>166</v>
      </c>
      <c r="H3284" s="110" t="str">
        <f>IF($Q3286&lt;&gt;"",IF(AND(AND($H3286&gt;-1,$H3288&gt;-1),OR($H3286&gt;10,$H3288&gt;10),ABS($H3286-$H3288)&gt;1,IF(OR($H3286&gt;11,$H3288&gt;11),ABS($H3286-$H3288)=2,TRUE),$H3286=INT($H3286),$H3288=INT($H3288)),"","Error"),"")</f>
        <v/>
      </c>
      <c r="I3284" s="110" t="str">
        <f>IF($Q3286&lt;&gt;"",IF(AND(AND($I3286&gt;-1,$I3288&gt;-1),OR($I3286&gt;10,$I3288&gt;10),ABS($I3286-$I3288)&gt;1,IF(OR($I3286&gt;11,$I3288&gt;11),ABS($I3286-$I3288)=2,TRUE),$I3286=INT($I3286),$I3288=INT($I3288)),"","Error"),"")</f>
        <v/>
      </c>
      <c r="J3284" s="110" t="str">
        <f>IF($Q3286&lt;&gt;"",IF(AND(AND($J3286&gt;-1,$J3288&gt;-1),OR($J3286&gt;10,$J3288&gt;10),ABS($J3286-$J3288)&gt;1,IF(OR($J3286&gt;11,$J3288&gt;11),ABS($J3286-$J3288)=2,TRUE),$J3286=INT($J3286),$J3288=INT($J3288)),"","Error"),"")</f>
        <v/>
      </c>
      <c r="K3284" s="110" t="str">
        <f>IF($Q3286&lt;&gt;"",IF(AND($K3286&lt;&gt;"",$K3288&lt;&gt;""), IF(AND(AND($K3286&gt;-1,$K3288&gt;-1),OR($K3286&gt;10,$K3288&gt;10),ABS($K3286-$K3288)&gt;1,IF(OR($K3286&gt;11,$K3288&gt;11),ABS($K3286-$K3288)=2,TRUE),$K3286=INT($K3286),$K3288=INT($K3288)),"","Error"),""),"")</f>
        <v/>
      </c>
      <c r="L3284" s="110" t="str">
        <f>IF($Q3286&lt;&gt;"",IF(AND($L3286&lt;&gt;"",$L3288&lt;&gt;""), IF(AND(AND($L3286&gt;-1,$L3288&gt;-1),OR($L3286&gt;10,$L3288&gt;10),ABS($L3286-$L3288)&gt;1,IF(OR($L3286&gt;11,$L3288&gt;11),ABS($L3286-$L3288)=2,TRUE),$L3286=INT($L3286),$L3288=INT($L3288)),"","Error"),""),"")</f>
        <v/>
      </c>
      <c r="Q3284" s="6"/>
      <c r="R3284" s="259" t="str">
        <f>$B3273</f>
        <v>D</v>
      </c>
      <c r="S3284" s="307" t="str">
        <f ca="1">IF($B3286&lt;&gt;"",$B3286,"")</f>
        <v/>
      </c>
      <c r="T3284" s="308"/>
      <c r="U3284" s="308"/>
      <c r="V3284" s="308"/>
      <c r="W3284" s="308"/>
      <c r="X3284" s="309"/>
      <c r="Y3284" s="284"/>
      <c r="Z3284" s="284"/>
      <c r="AA3284" s="284"/>
      <c r="AB3284" s="284"/>
      <c r="AC3284" s="284"/>
      <c r="AD3284" s="296"/>
      <c r="AE3284" s="290"/>
      <c r="AF3284" s="291"/>
    </row>
    <row r="3285" spans="1:32" ht="12.75" customHeight="1" x14ac:dyDescent="0.25">
      <c r="A3285" s="5" t="s">
        <v>160</v>
      </c>
      <c r="B3285" s="256" t="s">
        <v>58</v>
      </c>
      <c r="C3285" s="257"/>
      <c r="D3285" s="257"/>
      <c r="E3285" s="257"/>
      <c r="F3285" s="257"/>
      <c r="G3285" s="258"/>
      <c r="H3285" s="5">
        <v>1</v>
      </c>
      <c r="I3285" s="5">
        <v>2</v>
      </c>
      <c r="J3285" s="5">
        <v>3</v>
      </c>
      <c r="K3285" s="5">
        <v>4</v>
      </c>
      <c r="L3285" s="5">
        <v>5</v>
      </c>
      <c r="M3285" s="270"/>
      <c r="N3285" s="271"/>
      <c r="O3285" s="271"/>
      <c r="P3285" s="272"/>
      <c r="Q3285" s="6"/>
      <c r="R3285" s="285"/>
      <c r="S3285" s="310"/>
      <c r="T3285" s="311"/>
      <c r="U3285" s="311"/>
      <c r="V3285" s="311"/>
      <c r="W3285" s="311"/>
      <c r="X3285" s="312"/>
      <c r="Y3285" s="285"/>
      <c r="Z3285" s="285"/>
      <c r="AA3285" s="285"/>
      <c r="AB3285" s="285"/>
      <c r="AC3285" s="285"/>
      <c r="AD3285" s="292"/>
      <c r="AE3285" s="293"/>
      <c r="AF3285" s="294"/>
    </row>
    <row r="3286" spans="1:32" ht="12.75" customHeight="1" x14ac:dyDescent="0.25">
      <c r="A3286" s="259" t="str">
        <f>B3273</f>
        <v>D</v>
      </c>
      <c r="B3286" s="236" t="str">
        <f ca="1">IF(AND(OFFSET($AO$1,$C3273-1,8,1,1),$A3274&lt;&gt;"",$J3274&lt;&gt;""),CHOOSE($C3273,$AP$1,$AP$2,$AP$3,$AP$4,$AP$5,$AP$6,$AP$7,$AP$8,$AP$9,$AP$10,$AP$11,$AP$12),"")</f>
        <v/>
      </c>
      <c r="C3286" s="237"/>
      <c r="D3286" s="237"/>
      <c r="E3286" s="237"/>
      <c r="F3286" s="237"/>
      <c r="G3286" s="237"/>
      <c r="H3286" s="233"/>
      <c r="I3286" s="233"/>
      <c r="J3286" s="233"/>
      <c r="K3286" s="233"/>
      <c r="L3286" s="233"/>
      <c r="M3286" s="245" t="str">
        <f ca="1">IF(OR(AND($B3279&lt;&gt;"",$B3286&lt;&gt;"",$C3304&lt;=$B3304),AND($B3281&lt;&gt;"",$B3288&lt;&gt;"",$G3304&lt;=$F3304)),"Invalid Lineup","")</f>
        <v/>
      </c>
      <c r="N3286" s="246"/>
      <c r="O3286" s="246"/>
      <c r="P3286" s="247"/>
      <c r="Q3286" s="40" t="str">
        <f>IF($L3286=$L3288,IF($K3286=$K3288,IF($J3286&lt;&gt;"",IF($J3286&gt;$J3288,"W","L"),""),IF($K3286&gt;$K3288,"W","L")),IF($L3286&gt;$L3288,"W","L"))</f>
        <v/>
      </c>
      <c r="R3286" s="259" t="str">
        <f>$K3273</f>
        <v>L</v>
      </c>
      <c r="S3286" s="307" t="str">
        <f ca="1">IF($B3288&lt;&gt;"",$B3288,"")</f>
        <v/>
      </c>
      <c r="T3286" s="308"/>
      <c r="U3286" s="308"/>
      <c r="V3286" s="308"/>
      <c r="W3286" s="308"/>
      <c r="X3286" s="309"/>
      <c r="Y3286" s="284"/>
      <c r="Z3286" s="284"/>
      <c r="AA3286" s="284"/>
      <c r="AB3286" s="284"/>
      <c r="AC3286" s="297"/>
      <c r="AD3286" s="289" t="s">
        <v>169</v>
      </c>
      <c r="AE3286" s="290"/>
      <c r="AF3286" s="291"/>
    </row>
    <row r="3287" spans="1:32" ht="12.75" customHeight="1" x14ac:dyDescent="0.25">
      <c r="A3287" s="260"/>
      <c r="B3287" s="238"/>
      <c r="C3287" s="239"/>
      <c r="D3287" s="239"/>
      <c r="E3287" s="239"/>
      <c r="F3287" s="239"/>
      <c r="G3287" s="239"/>
      <c r="H3287" s="234"/>
      <c r="I3287" s="234"/>
      <c r="J3287" s="234"/>
      <c r="K3287" s="234"/>
      <c r="L3287" s="234"/>
      <c r="M3287" s="245"/>
      <c r="N3287" s="246"/>
      <c r="O3287" s="246"/>
      <c r="P3287" s="247"/>
      <c r="Q3287" s="110" t="str">
        <f>IF($Q3286&lt;&gt;"",IF($Q3286="W",IF(SUM(IF($H3286&gt;$H3288,1,0),IF($I3286&gt;$I3288,1,0),IF($J3286&gt;$J3288,1,0),IF($K3286&gt;$K3288,1,0),IF($L3286&gt;$L3288,1,0))&lt;&gt;3,"Error",""),""),"")</f>
        <v/>
      </c>
      <c r="R3287" s="285"/>
      <c r="S3287" s="310"/>
      <c r="T3287" s="311"/>
      <c r="U3287" s="311"/>
      <c r="V3287" s="311"/>
      <c r="W3287" s="311"/>
      <c r="X3287" s="312"/>
      <c r="Y3287" s="285"/>
      <c r="Z3287" s="285"/>
      <c r="AA3287" s="285"/>
      <c r="AB3287" s="285"/>
      <c r="AC3287" s="285"/>
      <c r="AD3287" s="292"/>
      <c r="AE3287" s="293"/>
      <c r="AF3287" s="294"/>
    </row>
    <row r="3288" spans="1:32" ht="12.75" customHeight="1" x14ac:dyDescent="0.25">
      <c r="A3288" s="259" t="str">
        <f>K3273</f>
        <v>L</v>
      </c>
      <c r="B3288" s="236" t="str">
        <f ca="1">IF(AND(OFFSET($AO$1,$L3273-1,8,1,1),$A3274&lt;&gt;"",$J3274&lt;&gt;""),CHOOSE($L3273,$AP$1,$AP$2,$AP$3,$AP$4,$AP$5,$AP$6,$AP$7,$AP$8,$AP$9,$AP$10,$AP$11,$AP$12),"")</f>
        <v/>
      </c>
      <c r="C3288" s="237"/>
      <c r="D3288" s="237"/>
      <c r="E3288" s="237"/>
      <c r="F3288" s="237"/>
      <c r="G3288" s="237"/>
      <c r="H3288" s="233"/>
      <c r="I3288" s="233"/>
      <c r="J3288" s="233"/>
      <c r="K3288" s="233"/>
      <c r="L3288" s="233"/>
      <c r="M3288" s="250" t="s">
        <v>169</v>
      </c>
      <c r="N3288" s="251"/>
      <c r="O3288" s="251"/>
      <c r="P3288" s="252"/>
      <c r="Q3288" s="40" t="str">
        <f>IF($Q3286&lt;&gt;"",IF($Q3286="W","L","W"),"")</f>
        <v/>
      </c>
      <c r="R3288" s="14"/>
      <c r="S3288" s="14"/>
      <c r="T3288" s="14"/>
      <c r="U3288" s="14"/>
      <c r="V3288" s="14"/>
      <c r="W3288" s="14"/>
      <c r="X3288" s="7"/>
      <c r="Y3288" s="7"/>
      <c r="Z3288" s="14"/>
      <c r="AA3288" s="14"/>
      <c r="AB3288" s="14"/>
      <c r="AC3288" s="14"/>
      <c r="AD3288" s="14"/>
      <c r="AE3288" s="14"/>
      <c r="AF3288"/>
    </row>
    <row r="3289" spans="1:32" ht="12.75" customHeight="1" x14ac:dyDescent="0.25">
      <c r="A3289" s="260"/>
      <c r="B3289" s="238"/>
      <c r="C3289" s="239"/>
      <c r="D3289" s="239"/>
      <c r="E3289" s="239"/>
      <c r="F3289" s="239"/>
      <c r="G3289" s="239"/>
      <c r="H3289" s="234"/>
      <c r="I3289" s="234"/>
      <c r="J3289" s="235"/>
      <c r="K3289" s="235"/>
      <c r="L3289" s="235"/>
      <c r="M3289" s="250"/>
      <c r="N3289" s="251"/>
      <c r="O3289" s="251"/>
      <c r="P3289" s="252"/>
      <c r="Q3289" s="110" t="str">
        <f>IF($Q3288&lt;&gt;"",IF($Q3288="W",IF(SUM(IF($H3288&gt;$H3286,1,0),IF($I3288&gt;$I3286,1,0),IF($J3288&gt;$J3286,1,0),IF($K3288&gt;$K3286,1,0),IF($L3288&gt;$L3286,1,0))&lt;&gt;3,"Error",""),""),"")</f>
        <v/>
      </c>
      <c r="R3289" s="14"/>
      <c r="S3289" s="14"/>
      <c r="T3289" s="14"/>
      <c r="U3289" s="14"/>
      <c r="V3289" s="14"/>
      <c r="W3289" s="14"/>
      <c r="X3289" s="7"/>
      <c r="Y3289" s="7"/>
      <c r="Z3289" s="14"/>
      <c r="AA3289" s="14"/>
      <c r="AB3289" s="14"/>
      <c r="AC3289" s="14"/>
      <c r="AD3289" s="14"/>
      <c r="AE3289" s="14"/>
      <c r="AF3289"/>
    </row>
    <row r="3290" spans="1:32" ht="12.75" customHeight="1" x14ac:dyDescent="0.25">
      <c r="Q3290" s="6"/>
      <c r="R3290" s="14"/>
      <c r="S3290" s="14"/>
      <c r="T3290" s="14"/>
      <c r="U3290" s="14"/>
      <c r="V3290" s="14"/>
      <c r="W3290" s="14"/>
      <c r="X3290" s="7"/>
      <c r="Y3290" s="7"/>
      <c r="Z3290" s="14"/>
      <c r="AA3290" s="14"/>
      <c r="AB3290" s="14"/>
      <c r="AC3290" s="14"/>
      <c r="AD3290" s="14"/>
      <c r="AE3290" s="14"/>
      <c r="AF3290"/>
    </row>
    <row r="3291" spans="1:32" ht="12.75" customHeight="1" x14ac:dyDescent="0.25">
      <c r="A3291" s="15" t="s">
        <v>167</v>
      </c>
      <c r="H3291" s="110" t="str">
        <f>IF($Q3293&lt;&gt;"",IF(AND(AND($H3293&gt;-1,$H3295&gt;-1),OR($H3293&gt;10,$H3295&gt;10),ABS($H3293-$H3295)&gt;1,IF(OR($H3293&gt;11,$H3295&gt;11),ABS($H3293-$H3295)=2,TRUE),$H3293=INT($H3293),$H3295=INT($H3295)),"","Error"),"")</f>
        <v/>
      </c>
      <c r="I3291" s="110" t="str">
        <f>IF($Q3293&lt;&gt;"",IF(AND(AND($I3293&gt;-1,$I3295&gt;-1),OR($I3293&gt;10,$I3295&gt;10),ABS($I3293-$I3295)&gt;1,IF(OR($I3293&gt;11,$I3295&gt;11),ABS($I3293-$I3295)=2,TRUE),$I3293=INT($I3293),$I3295=INT($I3295)),"","Error"),"")</f>
        <v/>
      </c>
      <c r="J3291" s="110" t="str">
        <f>IF($Q3293&lt;&gt;"",IF(AND(AND($J3293&gt;-1,$J3295&gt;-1),OR($J3293&gt;10,$J3295&gt;10),ABS($J3293-$J3295)&gt;1,IF(OR($J3293&gt;11,$J3295&gt;11),ABS($J3293-$J3295)=2,TRUE),$J3293=INT($J3293),$J3295=INT($J3295)),"","Error"),"")</f>
        <v/>
      </c>
      <c r="K3291" s="110" t="str">
        <f>IF($Q3293&lt;&gt;"",IF(AND($K3293&lt;&gt;"",$K3295&lt;&gt;""), IF(AND(AND($K3293&gt;-1,$K3295&gt;-1),OR($K3293&gt;10,$K3295&gt;10),ABS($K3293-$K3295)&gt;1,IF(OR($K3293&gt;11,$K3295&gt;11),ABS($K3293-$K3295)=2,TRUE),$K3293=INT($K3293),$K3295=INT($K3295)),"","Error"),""),"")</f>
        <v/>
      </c>
      <c r="L3291" s="110" t="str">
        <f>IF($Q3293&lt;&gt;"",IF(AND($L3293&lt;&gt;"",$L3295&lt;&gt;""), IF(AND(AND($L3293&gt;-1,$L3295&gt;-1),OR($L3293&gt;10,$L3295&gt;10),ABS($L3293-$L3295)&gt;1,IF(OR($L3293&gt;11,$L3295&gt;11),ABS($L3293-$L3295)=2,TRUE),$L3293=INT($L3293),$L3295=INT($L3295)),"","Error"),""),"")</f>
        <v/>
      </c>
      <c r="Q3291" s="6"/>
      <c r="R3291" s="14"/>
      <c r="S3291" s="14"/>
      <c r="T3291" s="14"/>
      <c r="U3291" s="14"/>
      <c r="V3291" s="14"/>
      <c r="W3291" s="14"/>
      <c r="X3291" s="7"/>
      <c r="Y3291" s="7"/>
      <c r="Z3291" s="14"/>
      <c r="AA3291" s="14"/>
      <c r="AB3291" s="14"/>
      <c r="AC3291" s="14"/>
      <c r="AD3291" s="14"/>
      <c r="AE3291" s="14"/>
      <c r="AF3291"/>
    </row>
    <row r="3292" spans="1:32" ht="12.75" customHeight="1" x14ac:dyDescent="0.25">
      <c r="A3292" s="5" t="s">
        <v>160</v>
      </c>
      <c r="B3292" s="256" t="s">
        <v>58</v>
      </c>
      <c r="C3292" s="257"/>
      <c r="D3292" s="257"/>
      <c r="E3292" s="257"/>
      <c r="F3292" s="257"/>
      <c r="G3292" s="258"/>
      <c r="H3292" s="5">
        <v>1</v>
      </c>
      <c r="I3292" s="5">
        <v>2</v>
      </c>
      <c r="J3292" s="5">
        <v>3</v>
      </c>
      <c r="K3292" s="5">
        <v>4</v>
      </c>
      <c r="L3292" s="5">
        <v>5</v>
      </c>
      <c r="M3292" s="270"/>
      <c r="N3292" s="271"/>
      <c r="O3292" s="271"/>
      <c r="P3292" s="272"/>
      <c r="Q3292" s="6"/>
      <c r="R3292" s="14"/>
      <c r="S3292" s="14"/>
      <c r="T3292" s="14"/>
      <c r="U3292" s="14"/>
      <c r="V3292" s="14"/>
      <c r="W3292" s="14"/>
      <c r="X3292" s="7"/>
      <c r="Y3292" s="7"/>
      <c r="Z3292" s="14"/>
      <c r="AA3292" s="14"/>
      <c r="AB3292" s="14"/>
      <c r="AC3292" s="14"/>
      <c r="AD3292" s="14"/>
      <c r="AE3292" s="14"/>
      <c r="AF3292"/>
    </row>
    <row r="3293" spans="1:32" ht="12.75" customHeight="1" x14ac:dyDescent="0.25">
      <c r="A3293" s="259" t="str">
        <f>B3273</f>
        <v>D</v>
      </c>
      <c r="B3293" s="236" t="str">
        <f ca="1">IF(AND(OFFSET($AO$1,$C3273-1,8,1,1),$A3274&lt;&gt;"",$J3274&lt;&gt;""),CHOOSE($C3273,$AQ$1,$AQ$2,$AQ$3,$AQ$4,$AQ$5,$AQ$6,$AQ$7,$AQ$8,$AQ$9,$AQ$10,$AQ$11,$AQ$12),"")</f>
        <v/>
      </c>
      <c r="C3293" s="237"/>
      <c r="D3293" s="237"/>
      <c r="E3293" s="237"/>
      <c r="F3293" s="237"/>
      <c r="G3293" s="237"/>
      <c r="H3293" s="233"/>
      <c r="I3293" s="233"/>
      <c r="J3293" s="233"/>
      <c r="K3293" s="233"/>
      <c r="L3293" s="233"/>
      <c r="M3293" s="245" t="str">
        <f ca="1">IF(OR(AND($B3286&lt;&gt;"",$B3293&lt;&gt;"",$D3304&lt;=$C3304),AND($B3288&lt;&gt;"",$B3295&lt;&gt;"",$H3304&lt;=$G3304)),"Invalid Lineup","")</f>
        <v/>
      </c>
      <c r="N3293" s="246"/>
      <c r="O3293" s="246"/>
      <c r="P3293" s="247"/>
      <c r="Q3293" s="40" t="str">
        <f>IF($L3293=$L3295,IF($K3293=$K3295,IF($J3293&lt;&gt;"",IF($J3293&gt;$J3295,"W","L"),""),IF($K3293&gt;$K3295,"W","L")),IF($L3293&gt;$L3295,"W","L"))</f>
        <v/>
      </c>
      <c r="R3293" s="14"/>
      <c r="S3293" s="14"/>
      <c r="T3293" s="14"/>
      <c r="U3293" s="14"/>
      <c r="V3293" s="14"/>
      <c r="W3293" s="14"/>
      <c r="X3293" s="7"/>
      <c r="Y3293" s="7"/>
      <c r="Z3293" s="14"/>
      <c r="AA3293" s="14"/>
      <c r="AB3293" s="14"/>
      <c r="AC3293" s="14"/>
      <c r="AD3293" s="14"/>
      <c r="AE3293" s="14"/>
      <c r="AF3293"/>
    </row>
    <row r="3294" spans="1:32" ht="12.75" customHeight="1" x14ac:dyDescent="0.25">
      <c r="A3294" s="260"/>
      <c r="B3294" s="238"/>
      <c r="C3294" s="239"/>
      <c r="D3294" s="239"/>
      <c r="E3294" s="239"/>
      <c r="F3294" s="239"/>
      <c r="G3294" s="239"/>
      <c r="H3294" s="234"/>
      <c r="I3294" s="234"/>
      <c r="J3294" s="234"/>
      <c r="K3294" s="234"/>
      <c r="L3294" s="234"/>
      <c r="M3294" s="245"/>
      <c r="N3294" s="246"/>
      <c r="O3294" s="246"/>
      <c r="P3294" s="247"/>
      <c r="Q3294" s="110" t="str">
        <f>IF($Q3293&lt;&gt;"",IF($Q3293="W",IF(SUM(IF($H3293&gt;$H3295,1,0),IF($I3293&gt;$I3295,1,0),IF($J3293&gt;$J3295,1,0),IF($K3293&gt;$K3295,1,0),IF($L3293&gt;$L3295,1,0))&lt;&gt;3,"Error",""),""),"")</f>
        <v/>
      </c>
      <c r="R3294" s="295" t="str">
        <f>$A3274</f>
        <v/>
      </c>
      <c r="S3294" s="295"/>
      <c r="T3294" s="295"/>
      <c r="U3294" s="295"/>
      <c r="V3294" s="295"/>
      <c r="W3294" s="295"/>
      <c r="X3294" s="219" t="str">
        <f>CONCATENATE("(",$B3273," vs ",$K3273,")")</f>
        <v>(D vs L)</v>
      </c>
      <c r="Y3294" s="219"/>
      <c r="Z3294" s="295" t="str">
        <f>$J3274</f>
        <v/>
      </c>
      <c r="AA3294" s="295"/>
      <c r="AB3294" s="295"/>
      <c r="AC3294" s="295"/>
      <c r="AD3294" s="295"/>
      <c r="AE3294" s="295"/>
      <c r="AF3294"/>
    </row>
    <row r="3295" spans="1:32" ht="12.75" customHeight="1" x14ac:dyDescent="0.25">
      <c r="A3295" s="259" t="str">
        <f>K3273</f>
        <v>L</v>
      </c>
      <c r="B3295" s="236" t="str">
        <f ca="1">IF(AND(OFFSET($AO$1,$L3273-1,8,1,1),$A3274&lt;&gt;"",$J3274&lt;&gt;""),CHOOSE($L3273,$AQ$1,$AQ$2,$AQ$3,$AQ$4,$AQ$5,$AQ$6,$AQ$7,$AQ$8,$AQ$9,$AQ$10,$AQ$11,$AQ$12),"")</f>
        <v/>
      </c>
      <c r="C3295" s="237"/>
      <c r="D3295" s="237"/>
      <c r="E3295" s="237"/>
      <c r="F3295" s="237"/>
      <c r="G3295" s="237"/>
      <c r="H3295" s="233"/>
      <c r="I3295" s="233"/>
      <c r="J3295" s="233"/>
      <c r="K3295" s="233"/>
      <c r="L3295" s="233"/>
      <c r="M3295" s="250" t="s">
        <v>169</v>
      </c>
      <c r="N3295" s="251"/>
      <c r="O3295" s="251"/>
      <c r="P3295" s="252"/>
      <c r="Q3295" s="40" t="str">
        <f>IF($Q3293&lt;&gt;"",IF($Q3293="W","L","W"),"")</f>
        <v/>
      </c>
      <c r="R3295"/>
      <c r="S3295"/>
      <c r="T3295"/>
      <c r="U3295"/>
      <c r="V3295"/>
      <c r="W3295"/>
      <c r="X3295"/>
      <c r="Y3295"/>
      <c r="Z3295"/>
      <c r="AA3295"/>
      <c r="AB3295"/>
      <c r="AC3295"/>
      <c r="AD3295"/>
      <c r="AE3295"/>
      <c r="AF3295"/>
    </row>
    <row r="3296" spans="1:32" ht="12.75" customHeight="1" x14ac:dyDescent="0.25">
      <c r="A3296" s="260"/>
      <c r="B3296" s="238"/>
      <c r="C3296" s="239"/>
      <c r="D3296" s="239"/>
      <c r="E3296" s="239"/>
      <c r="F3296" s="239"/>
      <c r="G3296" s="239"/>
      <c r="H3296" s="234"/>
      <c r="I3296" s="234"/>
      <c r="J3296" s="235"/>
      <c r="K3296" s="235"/>
      <c r="L3296" s="235"/>
      <c r="M3296" s="250"/>
      <c r="N3296" s="251"/>
      <c r="O3296" s="251"/>
      <c r="P3296" s="252"/>
      <c r="Q3296" s="110" t="str">
        <f>IF($Q3295&lt;&gt;"",IF($Q3295="W",IF(SUM(IF($H3295&gt;$H3293,1,0),IF($I3295&gt;$I3293,1,0),IF($J3295&gt;$J3293,1,0),IF($K3295&gt;$K3293,1,0),IF($L3295&gt;$L3293,1,0))&lt;&gt;3,"Error",""),""),"")</f>
        <v/>
      </c>
      <c r="R3296" t="str">
        <f>$A3291</f>
        <v>3rd Singles</v>
      </c>
      <c r="S3296"/>
      <c r="T3296"/>
      <c r="U3296"/>
      <c r="V3296"/>
      <c r="W3296"/>
      <c r="X3296"/>
      <c r="Y3296"/>
      <c r="Z3296"/>
      <c r="AA3296"/>
      <c r="AB3296"/>
      <c r="AC3296"/>
      <c r="AD3296"/>
      <c r="AE3296"/>
      <c r="AF3296"/>
    </row>
    <row r="3297" spans="1:32" ht="12.75" customHeight="1" x14ac:dyDescent="0.25">
      <c r="Q3297" s="6"/>
      <c r="R3297" s="47" t="s">
        <v>160</v>
      </c>
      <c r="S3297" s="86" t="s">
        <v>58</v>
      </c>
      <c r="T3297" s="87"/>
      <c r="U3297" s="87"/>
      <c r="V3297" s="87"/>
      <c r="W3297" s="87"/>
      <c r="X3297" s="88"/>
      <c r="Y3297" s="47">
        <v>1</v>
      </c>
      <c r="Z3297" s="47">
        <v>2</v>
      </c>
      <c r="AA3297" s="47">
        <v>3</v>
      </c>
      <c r="AB3297" s="47">
        <v>4</v>
      </c>
      <c r="AC3297" s="47">
        <v>5</v>
      </c>
      <c r="AD3297" s="89"/>
      <c r="AE3297" s="90"/>
      <c r="AF3297" s="91"/>
    </row>
    <row r="3298" spans="1:32" ht="12.75" customHeight="1" x14ac:dyDescent="0.25">
      <c r="A3298" s="15" t="s">
        <v>168</v>
      </c>
      <c r="H3298" s="110" t="str">
        <f ca="1">IF($Q3300&lt;&gt;"",IF(AND($B3300&lt;&gt;"Missing Player",$B3302&lt;&gt;"Missing Player"),IF(AND(AND($H3300&gt;-1,$H3302&gt;-1),OR($H3300&gt;10,$H3302&gt;10),ABS($H3300-$H3302)&gt;1,IF(OR($H3300&gt;11,$H3302&gt;11),ABS($H3300-$H3302)=2,TRUE),$H3300=INT($H3300),$H3302=INT($H3302)),"","Error"),""),"")</f>
        <v/>
      </c>
      <c r="I3298" s="110" t="str">
        <f ca="1">IF($Q3300&lt;&gt;"",IF(AND($B3300&lt;&gt;"Missing Player",$B3302&lt;&gt;"Missing Player"),IF(AND(AND($I3300&gt;-1,$I3302&gt;-1),OR($I3300&gt;10,$I3302&gt;10),ABS($I3300-$I3302)&gt;1,IF(OR($I3300&gt;11,$I3302&gt;11),ABS($I3300-$I3302)=2,TRUE),$I3300=INT($I3300),$I3302=INT($I3302)),"","Error"),""),"")</f>
        <v/>
      </c>
      <c r="J3298" s="110" t="str">
        <f ca="1">IF($Q3300&lt;&gt;"",IF(AND($B3300&lt;&gt;"Missing Player",$B3302&lt;&gt;"Missing Player"),IF(AND(AND($J3300&gt;-1,$J3302&gt;-1),OR($J3300&gt;10,$J3302&gt;10),ABS($J3300-$J3302)&gt;1,IF(OR($J3300&gt;11,$J3302&gt;11),ABS($J3300-$J3302)=2,TRUE),$J3300=INT($J3300),$J3302=INT($J3302)),"","Error"),""),"")</f>
        <v/>
      </c>
      <c r="K3298" s="110" t="str">
        <f ca="1">IF($Q3300&lt;&gt;"",IF(AND($K3300&lt;&gt;"",$K3302&lt;&gt;""), IF(AND(AND($K3300&gt;-1,$K3302&gt;-1),OR($K3300&gt;10,$K3302&gt;10),ABS($K3300-$K3302)&gt;1,IF(OR($K3300&gt;11,$K3302&gt;11),ABS($K3300-$K3302)=2,TRUE),$K3300=INT($K3300),$K3302=INT($K3302)),"","Error"),""),"")</f>
        <v/>
      </c>
      <c r="L3298" s="110" t="str">
        <f ca="1">IF($Q3300&lt;&gt;"",IF(AND($L3300&lt;&gt;"",$L3302&lt;&gt;""), IF(AND(AND($L3300&gt;-1,$L3302&gt;-1),OR($L3300&gt;10,$L3302&gt;10),ABS($L3300-$L3302)&gt;1,IF(OR($L3300&gt;11,$L3302&gt;11),ABS($L3300-$L3302)=2,TRUE),$L3300=INT($L3300),$L3302=INT($L3302)),"","Error"),""),"")</f>
        <v/>
      </c>
      <c r="Q3298" s="6"/>
      <c r="R3298" s="259" t="str">
        <f>$B3273</f>
        <v>D</v>
      </c>
      <c r="S3298" s="307" t="str">
        <f ca="1">IF($B3293&lt;&gt;"",$B3293,"")</f>
        <v/>
      </c>
      <c r="T3298" s="308"/>
      <c r="U3298" s="308"/>
      <c r="V3298" s="308"/>
      <c r="W3298" s="308"/>
      <c r="X3298" s="309"/>
      <c r="Y3298" s="284"/>
      <c r="Z3298" s="284"/>
      <c r="AA3298" s="284"/>
      <c r="AB3298" s="284"/>
      <c r="AC3298" s="284"/>
      <c r="AD3298" s="296"/>
      <c r="AE3298" s="290"/>
      <c r="AF3298" s="291"/>
    </row>
    <row r="3299" spans="1:32" ht="12.75" customHeight="1" x14ac:dyDescent="0.25">
      <c r="A3299" s="5" t="s">
        <v>160</v>
      </c>
      <c r="B3299" s="256" t="s">
        <v>58</v>
      </c>
      <c r="C3299" s="257"/>
      <c r="D3299" s="257"/>
      <c r="E3299" s="257"/>
      <c r="F3299" s="257"/>
      <c r="G3299" s="258"/>
      <c r="H3299" s="5">
        <v>1</v>
      </c>
      <c r="I3299" s="5">
        <v>2</v>
      </c>
      <c r="J3299" s="5">
        <v>3</v>
      </c>
      <c r="K3299" s="5">
        <v>4</v>
      </c>
      <c r="L3299" s="5">
        <v>5</v>
      </c>
      <c r="M3299" s="270"/>
      <c r="N3299" s="271"/>
      <c r="O3299" s="271"/>
      <c r="P3299" s="272"/>
      <c r="Q3299" s="6"/>
      <c r="R3299" s="285"/>
      <c r="S3299" s="310"/>
      <c r="T3299" s="311"/>
      <c r="U3299" s="311"/>
      <c r="V3299" s="311"/>
      <c r="W3299" s="311"/>
      <c r="X3299" s="312"/>
      <c r="Y3299" s="285"/>
      <c r="Z3299" s="285"/>
      <c r="AA3299" s="285"/>
      <c r="AB3299" s="285"/>
      <c r="AC3299" s="285"/>
      <c r="AD3299" s="292"/>
      <c r="AE3299" s="293"/>
      <c r="AF3299" s="294"/>
    </row>
    <row r="3300" spans="1:32" ht="12.75" customHeight="1" x14ac:dyDescent="0.25">
      <c r="A3300" s="259" t="str">
        <f>B3273</f>
        <v>D</v>
      </c>
      <c r="B3300" s="236" t="str">
        <f ca="1">IF(AND(OFFSET($AO$1,$C3273-1,8,1,1),$A3274&lt;&gt;"",$J3274&lt;&gt;""),CHOOSE($C3273,$AR$1,$AR$2,$AR$3,$AR$4,$AR$5,$AR$6,$AR$7,$AR$8,$AR$9,$AR$10,$AR$11,$AR$12),"")</f>
        <v/>
      </c>
      <c r="C3300" s="237"/>
      <c r="D3300" s="237"/>
      <c r="E3300" s="237"/>
      <c r="F3300" s="237"/>
      <c r="G3300" s="237"/>
      <c r="H3300" s="233"/>
      <c r="I3300" s="233"/>
      <c r="J3300" s="233"/>
      <c r="K3300" s="233"/>
      <c r="L3300" s="233" t="str">
        <f ca="1">IF(AND($B3300&lt;&gt;"",$Q3279&lt;&gt;""),IF($B3300="Missing Player",0,IF($B3302="Missing Player",11,"")),"")</f>
        <v/>
      </c>
      <c r="M3300" s="245" t="str">
        <f ca="1">IF(OR(AND($B3293&lt;&gt;"",$B3300&lt;&gt;"",$E3304&lt;=$D3304),AND($B3295&lt;&gt;"",$B3302&lt;&gt;"",$I3304&lt;=$H3304)),"Invalid Lineup","")</f>
        <v/>
      </c>
      <c r="N3300" s="246"/>
      <c r="O3300" s="246"/>
      <c r="P3300" s="247"/>
      <c r="Q3300" s="40" t="str">
        <f ca="1">IF($L3300=$L3302,IF($K3300=$K3302,IF($J3300&lt;&gt;"",IF($J3300&gt;$J3302,"W","L"),""),IF($K3300&gt;$K3302,"W","L")),IF($L3300&gt;$L3302,"W","L"))</f>
        <v/>
      </c>
      <c r="R3300" s="259" t="str">
        <f>$K3273</f>
        <v>L</v>
      </c>
      <c r="S3300" s="307" t="str">
        <f ca="1">IF($B3295&lt;&gt;"",$B3295,"")</f>
        <v/>
      </c>
      <c r="T3300" s="308"/>
      <c r="U3300" s="308"/>
      <c r="V3300" s="308"/>
      <c r="W3300" s="308"/>
      <c r="X3300" s="309"/>
      <c r="Y3300" s="284"/>
      <c r="Z3300" s="284"/>
      <c r="AA3300" s="284"/>
      <c r="AB3300" s="284"/>
      <c r="AC3300" s="297"/>
      <c r="AD3300" s="289" t="s">
        <v>169</v>
      </c>
      <c r="AE3300" s="290"/>
      <c r="AF3300" s="291"/>
    </row>
    <row r="3301" spans="1:32" ht="12.75" customHeight="1" x14ac:dyDescent="0.25">
      <c r="A3301" s="260"/>
      <c r="B3301" s="238"/>
      <c r="C3301" s="239"/>
      <c r="D3301" s="239"/>
      <c r="E3301" s="239"/>
      <c r="F3301" s="239"/>
      <c r="G3301" s="239"/>
      <c r="H3301" s="234"/>
      <c r="I3301" s="234"/>
      <c r="J3301" s="234"/>
      <c r="K3301" s="234"/>
      <c r="L3301" s="234"/>
      <c r="M3301" s="245"/>
      <c r="N3301" s="246"/>
      <c r="O3301" s="246"/>
      <c r="P3301" s="247"/>
      <c r="Q3301" s="110" t="str">
        <f ca="1">IF($Q3300&lt;&gt;"",IF($B3302&lt;&gt;"Missing Player",IF($Q3300="W",IF(SUM(IF($H3300&gt;$H3302,1,0),IF($I3300&gt;$I3302,1,0),IF($J3300&gt;$J3302,1,0),IF($K3300&gt;$K3302,1,0),IF($L3300&gt;$L3302,1,0))&lt;&gt;3,"Error",""),""),""),"")</f>
        <v/>
      </c>
      <c r="R3301" s="285"/>
      <c r="S3301" s="310"/>
      <c r="T3301" s="311"/>
      <c r="U3301" s="311"/>
      <c r="V3301" s="311"/>
      <c r="W3301" s="311"/>
      <c r="X3301" s="312"/>
      <c r="Y3301" s="285"/>
      <c r="Z3301" s="285"/>
      <c r="AA3301" s="285"/>
      <c r="AB3301" s="285"/>
      <c r="AC3301" s="285"/>
      <c r="AD3301" s="292"/>
      <c r="AE3301" s="293"/>
      <c r="AF3301" s="294"/>
    </row>
    <row r="3302" spans="1:32" ht="12.75" customHeight="1" x14ac:dyDescent="0.25">
      <c r="A3302" s="259" t="str">
        <f>K3273</f>
        <v>L</v>
      </c>
      <c r="B3302" s="236" t="str">
        <f ca="1">IF(AND(OFFSET($AO$1,$L3273-1,8,1,1),$A3274&lt;&gt;"",$J3274&lt;&gt;""),CHOOSE($L3273,$AR$1,$AR$2,$AR$3,$AR$4,$AR$5,$AR$6,$AR$7,$AR$8,$AR$9,$AR$10,$AR$11,$AR$12),"")</f>
        <v/>
      </c>
      <c r="C3302" s="237"/>
      <c r="D3302" s="237"/>
      <c r="E3302" s="237"/>
      <c r="F3302" s="237"/>
      <c r="G3302" s="237"/>
      <c r="H3302" s="233"/>
      <c r="I3302" s="233"/>
      <c r="J3302" s="233"/>
      <c r="K3302" s="233"/>
      <c r="L3302" s="233" t="str">
        <f ca="1">IF(AND($B3302&lt;&gt;"",$Q3279&lt;&gt;""),IF($B3302="Missing Player",0,IF($B3300="Missing Player",11,"")),"")</f>
        <v/>
      </c>
      <c r="M3302" s="250" t="s">
        <v>169</v>
      </c>
      <c r="N3302" s="251"/>
      <c r="O3302" s="251"/>
      <c r="P3302" s="252"/>
      <c r="Q3302" s="40" t="str">
        <f ca="1">IF($Q3300&lt;&gt;"",IF($Q3300="W","L","W"),"")</f>
        <v/>
      </c>
      <c r="R3302" s="94"/>
      <c r="S3302" s="84"/>
      <c r="T3302" s="84"/>
      <c r="U3302" s="84"/>
      <c r="V3302" s="84"/>
      <c r="W3302" s="84"/>
      <c r="X3302" s="84"/>
      <c r="Y3302" s="93"/>
      <c r="Z3302" s="93"/>
      <c r="AA3302" s="93"/>
      <c r="AB3302" s="93"/>
      <c r="AC3302" s="93"/>
      <c r="AD3302" s="92"/>
      <c r="AE3302" s="93"/>
      <c r="AF3302" s="93"/>
    </row>
    <row r="3303" spans="1:32" ht="12.75" customHeight="1" x14ac:dyDescent="0.25">
      <c r="A3303" s="260"/>
      <c r="B3303" s="238"/>
      <c r="C3303" s="239"/>
      <c r="D3303" s="239"/>
      <c r="E3303" s="239"/>
      <c r="F3303" s="239"/>
      <c r="G3303" s="239"/>
      <c r="H3303" s="234"/>
      <c r="I3303" s="234"/>
      <c r="J3303" s="235"/>
      <c r="K3303" s="235"/>
      <c r="L3303" s="235"/>
      <c r="M3303" s="250"/>
      <c r="N3303" s="251"/>
      <c r="O3303" s="251"/>
      <c r="P3303" s="252"/>
      <c r="Q3303" s="110" t="str">
        <f ca="1">IF($Q3302&lt;&gt;"",IF($B3300&lt;&gt;"Missing Player",IF($Q3302="W",IF(SUM(IF($H3302&gt;$H3300,1,0),IF($I3302&gt;$I3300,1,0),IF($J3302&gt;$J3300,1,0),IF($K3302&gt;$K3300,1,0),IF($L3302&gt;$L3300,1,0))&lt;&gt;3,"Error",""),""),""),"")</f>
        <v/>
      </c>
      <c r="R3303" s="85"/>
      <c r="S3303" s="95"/>
      <c r="T3303" s="95"/>
      <c r="U3303" s="95"/>
      <c r="V3303" s="95"/>
      <c r="W3303" s="95"/>
      <c r="X3303" s="95"/>
      <c r="Y3303" s="85"/>
      <c r="Z3303" s="85"/>
      <c r="AA3303" s="85"/>
      <c r="AB3303" s="85"/>
      <c r="AC3303" s="85"/>
      <c r="AD3303" s="85"/>
      <c r="AE3303" s="85"/>
      <c r="AF3303" s="85"/>
    </row>
    <row r="3304" spans="1:32" ht="12.75" customHeight="1" x14ac:dyDescent="0.25">
      <c r="B3304" s="111" t="str">
        <f ca="1">IF(ISERROR(VLOOKUP($B3279&amp;"("&amp;$B3273&amp;")",Players!$S$4:$T$132,2,FALSE)),"",VLOOKUP($B3279&amp;"("&amp;$B3273&amp;")",Players!$S$4:$T$132,2,FALSE))</f>
        <v>D1</v>
      </c>
      <c r="C3304" s="111" t="str">
        <f ca="1">IF(ISERROR(VLOOKUP($B3286&amp;"("&amp;$B3273&amp;")",Players!$S$4:$T$132,2,FALSE)),"",VLOOKUP($B3286&amp;"("&amp;$B3273&amp;")",Players!$S$4:$T$132,2,FALSE))</f>
        <v>D1</v>
      </c>
      <c r="D3304" s="111" t="str">
        <f ca="1">IF(ISERROR(VLOOKUP($B3293&amp;"("&amp;$B3273&amp;")",Players!$S$4:$T$132,2,FALSE)),"",VLOOKUP($B3293&amp;"("&amp;$B3273&amp;")",Players!$S$4:$T$132,2,FALSE))</f>
        <v>D1</v>
      </c>
      <c r="E3304" s="111" t="str">
        <f ca="1">IF(ISERROR(VLOOKUP($B3300&amp;"("&amp;$B3273&amp;")",Players!$S$4:$T$132,2,FALSE)),"",VLOOKUP($B3300&amp;"("&amp;$B3273&amp;")",Players!$S$4:$T$132,2,FALSE))</f>
        <v>D1</v>
      </c>
      <c r="F3304" s="111" t="str">
        <f ca="1">IF(ISERROR(VLOOKUP($B3281&amp;"("&amp;$K3273&amp;")",Players!$S$4:$T$132,2,FALSE)),"",VLOOKUP($B3281&amp;"("&amp;$K3273&amp;")",Players!$S$4:$T$132,2,FALSE))</f>
        <v>L1</v>
      </c>
      <c r="G3304" s="111" t="str">
        <f ca="1">IF(ISERROR(VLOOKUP($B3288&amp;"("&amp;$K3273&amp;")",Players!$S$4:$T$132,2,FALSE)),"",VLOOKUP($B3288&amp;"("&amp;$K3273&amp;")",Players!$S$4:$T$132,2,FALSE))</f>
        <v>L1</v>
      </c>
      <c r="H3304" s="111" t="str">
        <f ca="1">IF(ISERROR(VLOOKUP($B3295&amp;"("&amp;$K3273&amp;")",Players!$S$4:$T$132,2,FALSE)),"",VLOOKUP($B3295&amp;"("&amp;$K3273&amp;")",Players!$S$4:$T$132,2,FALSE))</f>
        <v>L1</v>
      </c>
      <c r="I3304" s="111" t="str">
        <f ca="1">IF(ISERROR(VLOOKUP($B3302&amp;"("&amp;$K3273&amp;")",Players!$S$4:$T$132,2,FALSE)),"",VLOOKUP($B3302&amp;"("&amp;$K3273&amp;")",Players!$S$4:$T$132,2,FALSE))</f>
        <v>L1</v>
      </c>
      <c r="Q3304" s="6"/>
      <c r="R3304" s="37"/>
      <c r="S3304" s="95"/>
      <c r="T3304" s="95"/>
      <c r="U3304" s="95"/>
      <c r="V3304" s="95"/>
      <c r="W3304" s="95"/>
      <c r="X3304" s="95"/>
      <c r="Y3304" s="85"/>
      <c r="Z3304" s="85"/>
      <c r="AA3304" s="85"/>
      <c r="AB3304" s="85"/>
      <c r="AC3304" s="96"/>
      <c r="AD3304" s="97"/>
      <c r="AE3304" s="85"/>
      <c r="AF3304" s="85"/>
    </row>
    <row r="3305" spans="1:32" ht="12.75" customHeight="1" x14ac:dyDescent="0.25">
      <c r="A3305" s="15" t="s">
        <v>157</v>
      </c>
      <c r="H3305" s="110" t="str">
        <f ca="1">IF($Q3307&lt;&gt;"",IF(AND($B3308&lt;&gt;"Missing Player",$B3310&lt;&gt;"Missing Player"),IF(AND(AND($H3307&gt;-1,$H3309&gt;-1),OR($H3307&gt;10,$H3309&gt;10),ABS($H3307-$H3309)&gt;1,IF(OR($H3307&gt;11,$H3309&gt;11),ABS($H3307-$H3309)=2,TRUE),$H3307=INT($H3307),$H3309=INT($H3309)),"","Error"),""),"")</f>
        <v/>
      </c>
      <c r="I3305" s="110" t="str">
        <f ca="1">IF($Q3307&lt;&gt;"",IF(AND($B3308&lt;&gt;"Missing Player",$B3310&lt;&gt;"Missing Player"),IF(AND(AND($I3307&gt;-1,$I3309&gt;-1),OR($I3307&gt;10,$I3309&gt;10),ABS($I3307-$I3309)&gt;1,IF(OR($I3307&gt;11,$I3309&gt;11),ABS($I3307-$I3309)=2,TRUE),$I3307=INT($I3307),$I3309=INT($I3309)),"","Error"),""),"")</f>
        <v/>
      </c>
      <c r="J3305" s="110" t="str">
        <f ca="1">IF($Q3307&lt;&gt;"",IF(AND($B3308&lt;&gt;"Missing Player",$B3310&lt;&gt;"Missing Player"),IF(AND(AND($J3307&gt;-1,$J3309&gt;-1),OR($J3307&gt;10,$J3309&gt;10),ABS($J3307-$J3309)&gt;1,IF(OR($J3307&gt;11,$J3309&gt;11),ABS($J3307-$J3309)=2,TRUE),$J3307=INT($J3307),$J3309=INT($J3309)),"","Error"),""),"")</f>
        <v/>
      </c>
      <c r="K3305" s="110" t="str">
        <f ca="1">IF($Q3307&lt;&gt;"",IF(AND($K3307&lt;&gt;"",$K3309&lt;&gt;""), IF(AND(AND($K3307&gt;-1,$K3309&gt;-1),OR($K3307&gt;10,$K3309&gt;10),ABS($K3307-$K3309)&gt;1,IF(OR($K3307&gt;11,$K3309&gt;11),ABS($K3307-$K3309)=2,TRUE),$K3307=INT($K3307),$K3309=INT($K3309)),"","Error"),""),"")</f>
        <v/>
      </c>
      <c r="L3305" s="110" t="str">
        <f ca="1">IF($Q3307&lt;&gt;"",IF(AND($L3307&lt;&gt;"",$L3309&lt;&gt;""), IF(AND(AND($L3307&gt;-1,$L3309&gt;-1),OR($L3307&gt;10,$L3309&gt;10),ABS($L3307-$L3309)&gt;1,IF(OR($L3307&gt;11,$L3309&gt;11),ABS($L3307-$L3309)=2,TRUE),$L3307=INT($L3307),$L3309=INT($L3309)),"","Error"),""),"")</f>
        <v/>
      </c>
      <c r="Q3305" s="6"/>
      <c r="R3305" s="85"/>
      <c r="S3305" s="95"/>
      <c r="T3305" s="95"/>
      <c r="U3305" s="95"/>
      <c r="V3305" s="95"/>
      <c r="W3305" s="95"/>
      <c r="X3305" s="95"/>
      <c r="Y3305" s="85"/>
      <c r="Z3305" s="85"/>
      <c r="AA3305" s="85"/>
      <c r="AB3305" s="85"/>
      <c r="AC3305" s="85"/>
      <c r="AD3305" s="85"/>
      <c r="AE3305" s="85"/>
      <c r="AF3305" s="85"/>
    </row>
    <row r="3306" spans="1:32" ht="12.75" customHeight="1" x14ac:dyDescent="0.25">
      <c r="A3306" s="5" t="s">
        <v>160</v>
      </c>
      <c r="B3306" s="256" t="s">
        <v>58</v>
      </c>
      <c r="C3306" s="257"/>
      <c r="D3306" s="257"/>
      <c r="E3306" s="257"/>
      <c r="F3306" s="257"/>
      <c r="G3306" s="258"/>
      <c r="H3306" s="5">
        <v>1</v>
      </c>
      <c r="I3306" s="5">
        <v>2</v>
      </c>
      <c r="J3306" s="5">
        <v>3</v>
      </c>
      <c r="K3306" s="5">
        <v>4</v>
      </c>
      <c r="L3306" s="5">
        <v>5</v>
      </c>
      <c r="M3306" s="270"/>
      <c r="N3306" s="271"/>
      <c r="O3306" s="271"/>
      <c r="P3306" s="272"/>
      <c r="Q3306" s="6"/>
      <c r="T3306" s="7"/>
    </row>
    <row r="3307" spans="1:32" ht="12.75" customHeight="1" x14ac:dyDescent="0.25">
      <c r="A3307" s="259" t="str">
        <f>B3273</f>
        <v>D</v>
      </c>
      <c r="B3307" s="230" t="str">
        <f ca="1">IF($B3279&lt;&gt;"",$B3279,"")</f>
        <v/>
      </c>
      <c r="C3307" s="231"/>
      <c r="D3307" s="231"/>
      <c r="E3307" s="231"/>
      <c r="F3307" s="231"/>
      <c r="G3307" s="232"/>
      <c r="H3307" s="233"/>
      <c r="I3307" s="233"/>
      <c r="J3307" s="233"/>
      <c r="K3307" s="233"/>
      <c r="L3307" s="233" t="str">
        <f ca="1">IF($B3300&lt;&gt;"",IF(AND($B3300="Missing Player",$G3311=2,$J3311=2),0,IF(AND($B3302="Missing Player",$G3311=2,$J3311=2),11,"")),"")</f>
        <v/>
      </c>
      <c r="M3307" s="245" t="str">
        <f ca="1">IF(OR(AND($B3307&lt;&gt;"",$B3308&lt;&gt;"",$B3307=$B3308),AND($B3309&lt;&gt;"",$B3310&lt;&gt;"",$B3309=$B3310)),"Invalid Partner","")</f>
        <v/>
      </c>
      <c r="N3307" s="246"/>
      <c r="O3307" s="246"/>
      <c r="P3307" s="247"/>
      <c r="Q3307" s="37" t="str">
        <f ca="1">IF(L3307=L3309,IF(K3307=K3309,IF(J3307&lt;&gt;"",IF(J3307&gt;J3309,"W","L"),""),IF(K3307&gt;K3309,"W","L")),IF(L3307&gt;L3309,"W","L"))</f>
        <v/>
      </c>
      <c r="T3307" s="7"/>
    </row>
    <row r="3308" spans="1:32" ht="12.75" customHeight="1" x14ac:dyDescent="0.25">
      <c r="A3308" s="260"/>
      <c r="B3308" s="266" t="str">
        <f ca="1">IF($B3300="Missing Player",$B3300,"")</f>
        <v/>
      </c>
      <c r="C3308" s="267"/>
      <c r="D3308" s="267"/>
      <c r="E3308" s="267"/>
      <c r="F3308" s="267"/>
      <c r="G3308" s="268"/>
      <c r="H3308" s="234"/>
      <c r="I3308" s="234"/>
      <c r="J3308" s="234"/>
      <c r="K3308" s="234"/>
      <c r="L3308" s="234"/>
      <c r="M3308" s="245"/>
      <c r="N3308" s="246"/>
      <c r="O3308" s="246"/>
      <c r="P3308" s="247"/>
      <c r="Q3308" s="110" t="str">
        <f ca="1">IF($Q3307&lt;&gt;"",IF($B3310&lt;&gt;"Missing Player",IF($Q3307="W",IF(SUM(IF($H3307&gt;$H3309,1,0),IF($I3307&gt;$I3309,1,0),IF($J3307&gt;$J3309,1,0),IF($K3307&gt;$K3309,1,0),IF($L3307&gt;$L3309,1,0))&lt;&gt;3,"Error",""),""),""),"")</f>
        <v/>
      </c>
      <c r="R3308" s="295" t="str">
        <f>$A3274</f>
        <v/>
      </c>
      <c r="S3308" s="295"/>
      <c r="T3308" s="295"/>
      <c r="U3308" s="295"/>
      <c r="V3308" s="295"/>
      <c r="W3308" s="295"/>
      <c r="X3308" s="219" t="str">
        <f>CONCATENATE("(",$B3273," vs ",$K3273,")")</f>
        <v>(D vs L)</v>
      </c>
      <c r="Y3308" s="219"/>
      <c r="Z3308" s="295" t="str">
        <f>$J3274</f>
        <v/>
      </c>
      <c r="AA3308" s="295"/>
      <c r="AB3308" s="295"/>
      <c r="AC3308" s="295"/>
      <c r="AD3308" s="295"/>
      <c r="AE3308" s="295"/>
      <c r="AF3308"/>
    </row>
    <row r="3309" spans="1:32" ht="12.75" customHeight="1" x14ac:dyDescent="0.25">
      <c r="A3309" s="265" t="str">
        <f>K3273</f>
        <v>L</v>
      </c>
      <c r="B3309" s="230" t="str">
        <f ca="1">IF($B3281&lt;&gt;"",$B3281,"")</f>
        <v/>
      </c>
      <c r="C3309" s="231"/>
      <c r="D3309" s="231"/>
      <c r="E3309" s="231"/>
      <c r="F3309" s="231"/>
      <c r="G3309" s="232"/>
      <c r="H3309" s="233"/>
      <c r="I3309" s="233"/>
      <c r="J3309" s="233"/>
      <c r="K3309" s="233"/>
      <c r="L3309" s="233" t="str">
        <f ca="1">IF($B3302&lt;&gt;"",IF(AND($B3302="Missing Player",$G3311=2,$J3311=2),0,IF(AND($B3300="Missing Player",$G3311=2,$J3311=2),11,"")),"")</f>
        <v/>
      </c>
      <c r="M3309" s="250" t="s">
        <v>169</v>
      </c>
      <c r="N3309" s="251"/>
      <c r="O3309" s="251"/>
      <c r="P3309" s="252"/>
      <c r="Q3309" s="37" t="str">
        <f ca="1">IF(Q3307&lt;&gt;"",IF(Q3307="W","L","W"),"")</f>
        <v/>
      </c>
      <c r="R3309"/>
      <c r="S3309"/>
      <c r="T3309"/>
      <c r="U3309"/>
      <c r="V3309"/>
      <c r="W3309"/>
      <c r="X3309"/>
      <c r="Y3309"/>
      <c r="Z3309"/>
      <c r="AA3309"/>
      <c r="AB3309"/>
      <c r="AC3309"/>
      <c r="AD3309"/>
      <c r="AE3309"/>
      <c r="AF3309"/>
    </row>
    <row r="3310" spans="1:32" ht="12.75" customHeight="1" x14ac:dyDescent="0.25">
      <c r="A3310" s="260"/>
      <c r="B3310" s="266" t="str">
        <f ca="1">IF($B3302="Missing Player",$B3302,"")</f>
        <v/>
      </c>
      <c r="C3310" s="267"/>
      <c r="D3310" s="267"/>
      <c r="E3310" s="267"/>
      <c r="F3310" s="267"/>
      <c r="G3310" s="268"/>
      <c r="H3310" s="234"/>
      <c r="I3310" s="234"/>
      <c r="J3310" s="235"/>
      <c r="K3310" s="235"/>
      <c r="L3310" s="235"/>
      <c r="M3310" s="250"/>
      <c r="N3310" s="251"/>
      <c r="O3310" s="251"/>
      <c r="P3310" s="252"/>
      <c r="Q3310" s="110" t="str">
        <f ca="1">IF($Q3309&lt;&gt;"",IF($B3308&lt;&gt;"Missing Player",IF($Q3309="W",IF(SUM(IF($H3309&gt;$H3307,1,0),IF($I3309&gt;$I3307,1,0),IF($J3309&gt;$J3307,1,0),IF($K3309&gt;$K3307,1,0),IF($L3309&gt;$L3307,1,0))&lt;&gt;3,"Error",""),""),""),"")</f>
        <v/>
      </c>
      <c r="R3310" t="str">
        <f>A3298</f>
        <v>4th Singles</v>
      </c>
      <c r="S3310"/>
      <c r="T3310"/>
      <c r="U3310"/>
      <c r="V3310"/>
      <c r="W3310"/>
      <c r="X3310"/>
      <c r="Y3310"/>
      <c r="Z3310"/>
      <c r="AA3310"/>
      <c r="AB3310"/>
      <c r="AC3310"/>
      <c r="AD3310"/>
      <c r="AE3310"/>
      <c r="AF3310"/>
    </row>
    <row r="3311" spans="1:32" ht="12.75" customHeight="1" x14ac:dyDescent="0.25">
      <c r="G3311" s="53">
        <f ca="1">COUNTIF($Q3279:$Q3279,"W")+COUNTIF($Q3286:$Q3286,"W")+COUNTIF($Q3293:$Q3293,"W")+COUNTIF($Q3300:$Q3300,"W")</f>
        <v>0</v>
      </c>
      <c r="J3311" s="53">
        <f ca="1">COUNTIF($Q3281:$Q3281,"W")+COUNTIF($Q3288:$Q3288,"W")+COUNTIF($Q3295:$Q3295,"W")+COUNTIF($Q3302:$Q3302,"W")</f>
        <v>0</v>
      </c>
      <c r="R3311" s="47" t="s">
        <v>160</v>
      </c>
      <c r="S3311" s="304" t="s">
        <v>58</v>
      </c>
      <c r="T3311" s="305"/>
      <c r="U3311" s="305"/>
      <c r="V3311" s="305"/>
      <c r="W3311" s="305"/>
      <c r="X3311" s="306"/>
      <c r="Y3311" s="47">
        <v>1</v>
      </c>
      <c r="Z3311" s="47">
        <v>2</v>
      </c>
      <c r="AA3311" s="47">
        <v>3</v>
      </c>
      <c r="AB3311" s="47">
        <v>4</v>
      </c>
      <c r="AC3311" s="47">
        <v>5</v>
      </c>
      <c r="AD3311" s="286"/>
      <c r="AE3311" s="287"/>
      <c r="AF3311" s="288"/>
    </row>
    <row r="3312" spans="1:32" ht="12.75" customHeight="1" thickBot="1" x14ac:dyDescent="0.3">
      <c r="F3312" s="212" t="s">
        <v>170</v>
      </c>
      <c r="G3312" s="212"/>
      <c r="H3312" s="212"/>
      <c r="I3312" s="212"/>
      <c r="J3312" s="212"/>
      <c r="K3312" s="212"/>
      <c r="R3312" s="259" t="str">
        <f>B3273</f>
        <v>D</v>
      </c>
      <c r="S3312" s="307" t="str">
        <f ca="1">IF($B3300&lt;&gt;"",$B3300,"")</f>
        <v/>
      </c>
      <c r="T3312" s="308"/>
      <c r="U3312" s="308"/>
      <c r="V3312" s="308"/>
      <c r="W3312" s="308"/>
      <c r="X3312" s="309"/>
      <c r="Y3312" s="284"/>
      <c r="Z3312" s="284"/>
      <c r="AA3312" s="297"/>
      <c r="AB3312" s="297"/>
      <c r="AC3312" s="297"/>
      <c r="AD3312" s="296"/>
      <c r="AE3312" s="298"/>
      <c r="AF3312" s="299"/>
    </row>
    <row r="3313" spans="1:32" ht="12.75" customHeight="1" x14ac:dyDescent="0.25">
      <c r="A3313" s="16"/>
      <c r="B3313" s="16"/>
      <c r="C3313" s="16"/>
      <c r="D3313" s="16"/>
      <c r="E3313" s="16"/>
      <c r="G3313" s="261" t="str">
        <f>B3273</f>
        <v>D</v>
      </c>
      <c r="H3313" s="262"/>
      <c r="I3313" s="263" t="str">
        <f>K3273</f>
        <v>L</v>
      </c>
      <c r="J3313" s="264"/>
      <c r="L3313" s="16"/>
      <c r="M3313" s="16"/>
      <c r="N3313" s="16"/>
      <c r="O3313" s="16"/>
      <c r="P3313" s="16"/>
      <c r="R3313" s="260"/>
      <c r="S3313" s="310"/>
      <c r="T3313" s="311"/>
      <c r="U3313" s="311"/>
      <c r="V3313" s="311"/>
      <c r="W3313" s="311"/>
      <c r="X3313" s="312"/>
      <c r="Y3313" s="285"/>
      <c r="Z3313" s="285"/>
      <c r="AA3313" s="303"/>
      <c r="AB3313" s="303"/>
      <c r="AC3313" s="303"/>
      <c r="AD3313" s="300"/>
      <c r="AE3313" s="301"/>
      <c r="AF3313" s="302"/>
    </row>
    <row r="3314" spans="1:32" ht="12.75" customHeight="1" thickBot="1" x14ac:dyDescent="0.3">
      <c r="A3314" s="2" t="s">
        <v>160</v>
      </c>
      <c r="B3314" s="40" t="str">
        <f>B3273</f>
        <v>D</v>
      </c>
      <c r="C3314" s="3" t="s">
        <v>158</v>
      </c>
      <c r="F3314" s="53" t="str">
        <f>CONCATENATE($B3273,"-",$K3273)</f>
        <v>D-L</v>
      </c>
      <c r="G3314" s="240" t="str">
        <f ca="1">IF(OR(Q3279&lt;&gt;"",Q3286&lt;&gt;"",Q3293&lt;&gt;"",Q3300&lt;&gt;"",Q3307&lt;&gt;""),COUNTIF(Q3279:Q3279,"W")+COUNTIF(Q3286:Q3286,"W")+COUNTIF(Q3293:Q3293,"W")+COUNTIF(Q3300:Q3300,"W")+COUNTIF(Q3307:Q3307,"W"),"")</f>
        <v/>
      </c>
      <c r="H3314" s="241"/>
      <c r="I3314" s="242" t="str">
        <f ca="1">IF(OR(Q3281&lt;&gt;"",Q3288&lt;&gt;"",Q3295&lt;&gt;"",Q3302&lt;&gt;"",Q3309&lt;&gt;""),COUNTIF(Q3281:Q3281,"W")+COUNTIF(Q3288:Q3288,"W")+COUNTIF(Q3295:Q3295,"W")+COUNTIF(Q3302:Q3302,"W")+COUNTIF(Q3309:Q3309,"W"),"")</f>
        <v/>
      </c>
      <c r="J3314" s="243"/>
      <c r="L3314" s="2" t="s">
        <v>160</v>
      </c>
      <c r="M3314" s="40" t="str">
        <f>K3273</f>
        <v>L</v>
      </c>
      <c r="N3314" s="3" t="s">
        <v>158</v>
      </c>
      <c r="R3314" s="259" t="str">
        <f>K3273</f>
        <v>L</v>
      </c>
      <c r="S3314" s="307" t="str">
        <f ca="1">IF($B3302&lt;&gt;"",$B3302,"")</f>
        <v/>
      </c>
      <c r="T3314" s="308"/>
      <c r="U3314" s="308"/>
      <c r="V3314" s="308"/>
      <c r="W3314" s="308"/>
      <c r="X3314" s="309"/>
      <c r="Y3314" s="284"/>
      <c r="Z3314" s="284"/>
      <c r="AA3314" s="297"/>
      <c r="AB3314" s="297"/>
      <c r="AC3314" s="297"/>
      <c r="AD3314" s="289" t="s">
        <v>169</v>
      </c>
      <c r="AE3314" s="290"/>
      <c r="AF3314" s="291"/>
    </row>
    <row r="3315" spans="1:32" ht="12.75" customHeight="1" x14ac:dyDescent="0.35">
      <c r="F3315" s="18" t="s">
        <v>403</v>
      </c>
      <c r="G3315" s="17"/>
      <c r="H3315" s="17"/>
      <c r="I3315" s="17"/>
      <c r="J3315" s="17"/>
      <c r="R3315" s="285"/>
      <c r="S3315" s="310"/>
      <c r="T3315" s="311"/>
      <c r="U3315" s="311"/>
      <c r="V3315" s="311"/>
      <c r="W3315" s="311"/>
      <c r="X3315" s="312"/>
      <c r="Y3315" s="285"/>
      <c r="Z3315" s="285"/>
      <c r="AA3315" s="285"/>
      <c r="AB3315" s="285"/>
      <c r="AC3315" s="285"/>
      <c r="AD3315" s="292"/>
      <c r="AE3315" s="293"/>
      <c r="AF3315" s="294"/>
    </row>
    <row r="3316" spans="1:32" ht="12.75" customHeight="1" x14ac:dyDescent="0.25">
      <c r="R3316" s="1"/>
      <c r="S3316" s="11"/>
      <c r="T3316" s="11"/>
      <c r="U3316" s="11"/>
      <c r="V3316" s="11"/>
      <c r="W3316" s="11"/>
    </row>
    <row r="3317" spans="1:32" ht="12.75" customHeight="1" x14ac:dyDescent="0.25">
      <c r="F3317" s="212"/>
      <c r="G3317" s="212"/>
      <c r="H3317" s="212"/>
      <c r="I3317" s="212"/>
      <c r="R3317" s="1"/>
      <c r="S3317" s="11"/>
      <c r="T3317" s="11"/>
      <c r="U3317" s="11"/>
      <c r="V3317" s="11"/>
      <c r="W3317" s="11"/>
    </row>
    <row r="3318" spans="1:32" ht="12.75" customHeight="1" x14ac:dyDescent="0.25">
      <c r="F3318" s="212"/>
      <c r="G3318" s="212"/>
      <c r="H3318" s="212"/>
      <c r="I3318" s="212"/>
      <c r="R3318" s="1"/>
      <c r="S3318" s="11"/>
      <c r="T3318" s="11"/>
      <c r="U3318" s="11"/>
      <c r="V3318" s="11"/>
      <c r="W3318" s="11"/>
    </row>
    <row r="3319" spans="1:32" ht="12.75" customHeight="1" x14ac:dyDescent="0.25">
      <c r="K3319" s="219" t="s">
        <v>176</v>
      </c>
      <c r="L3319" s="219"/>
      <c r="M3319" s="219"/>
      <c r="N3319" s="219"/>
      <c r="O3319" s="219"/>
      <c r="P3319" s="219"/>
      <c r="R3319" s="1"/>
      <c r="S3319" s="11"/>
      <c r="T3319" s="11"/>
      <c r="U3319" s="11"/>
      <c r="V3319" s="11"/>
      <c r="W3319" s="11"/>
    </row>
    <row r="3320" spans="1:32" ht="12.75" customHeight="1" x14ac:dyDescent="0.25">
      <c r="A3320" s="9" t="s">
        <v>161</v>
      </c>
      <c r="B3320"/>
      <c r="C3320"/>
      <c r="D3320" t="str">
        <f>Draw!$B$1</f>
        <v>Enter Division Name</v>
      </c>
      <c r="E3320"/>
      <c r="F3320" s="6"/>
      <c r="G3320" s="6"/>
      <c r="H3320" s="6"/>
      <c r="I3320"/>
      <c r="J3320"/>
      <c r="K3320"/>
      <c r="L3320"/>
      <c r="M3320" s="219"/>
      <c r="N3320" s="219"/>
      <c r="O3320" s="219"/>
      <c r="P3320" s="219"/>
      <c r="R3320" s="1"/>
      <c r="S3320" s="11"/>
      <c r="T3320" s="11"/>
      <c r="U3320" s="11"/>
      <c r="V3320" s="11"/>
      <c r="W3320" s="11"/>
    </row>
    <row r="3321" spans="1:32" ht="12.75" customHeight="1" x14ac:dyDescent="0.25">
      <c r="A3321" s="2" t="s">
        <v>162</v>
      </c>
      <c r="D3321" t="str">
        <f>Draw!$D$1</f>
        <v>Enter Hosting Location (City, ST)</v>
      </c>
      <c r="J3321" t="str">
        <f ca="1">$J$6</f>
        <v>[NCTTA Teams Template (v3.4).xlsx]</v>
      </c>
      <c r="R3321" s="1"/>
      <c r="S3321" s="11"/>
      <c r="T3321" s="11"/>
      <c r="U3321" s="11"/>
      <c r="V3321" s="11"/>
      <c r="W3321" s="11"/>
    </row>
    <row r="3322" spans="1:32" ht="12.75" customHeight="1" x14ac:dyDescent="0.25">
      <c r="A3322" s="2" t="s">
        <v>163</v>
      </c>
      <c r="D3322" s="275" t="str">
        <f>Draw!$P$1</f>
        <v>Enter Date</v>
      </c>
      <c r="E3322" s="275"/>
      <c r="F3322" s="275"/>
      <c r="G3322" s="275"/>
      <c r="J3322" s="244" t="str">
        <f>CHOOSE(Draw!$T$1,"Round 11, Match 6","","","","","","","","","","")</f>
        <v>Round 11, Match 6</v>
      </c>
      <c r="K3322" s="244"/>
      <c r="L3322" s="244"/>
      <c r="M3322" s="277" t="str">
        <f>IF(AND($J3322&lt;&gt;"",Draw!$AC$10&lt;&gt;"",Draw!$AC$13&lt;&gt;""),Draw!$AC$10+TIME(0,VALUE(MID($J3322,7,FIND(",",$J3322)-FIND(" ",$J3322)-1)-1)*Draw!$AC$13,0),"")</f>
        <v/>
      </c>
      <c r="N3322" s="277"/>
      <c r="O3322" s="125" t="str">
        <f>$F3365</f>
        <v>B-C</v>
      </c>
      <c r="R3322" s="1"/>
      <c r="S3322" s="11"/>
      <c r="T3322" s="11"/>
      <c r="U3322" s="11"/>
      <c r="V3322" s="11"/>
      <c r="W3322" s="11"/>
    </row>
    <row r="3323" spans="1:32" ht="12.75" customHeight="1" x14ac:dyDescent="0.25">
      <c r="A3323" s="6"/>
      <c r="B3323"/>
      <c r="C3323"/>
      <c r="D3323"/>
      <c r="E3323"/>
      <c r="F3323" s="6"/>
      <c r="G3323" s="6"/>
      <c r="H3323" s="11"/>
      <c r="I3323" s="6"/>
      <c r="J3323"/>
      <c r="K3323"/>
      <c r="L3323"/>
      <c r="M3323"/>
      <c r="N3323"/>
      <c r="O3323" s="269" t="str">
        <f>IF(OR(AND(VLOOKUP($B3324,$AM$1:$AX$12,12,FALSE)="C",VLOOKUP($K3324,$AM$1:$AX$12,12,FALSE)="C"),AND(VLOOKUP($B3324,$AM$1:$AX$12,12,FALSE)="W",VLOOKUP($K3324,$AM$1:$AX$12,12,FALSE)="W")),"Official",IF(AND($A3325="",$J3325=""),"","Scrimmage"))</f>
        <v/>
      </c>
      <c r="P3323" s="269"/>
      <c r="R3323" s="1"/>
      <c r="S3323" s="11"/>
      <c r="T3323" s="11"/>
      <c r="U3323" s="11"/>
      <c r="V3323" s="11"/>
      <c r="W3323" s="11"/>
    </row>
    <row r="3324" spans="1:32" ht="12.75" customHeight="1" x14ac:dyDescent="0.25">
      <c r="A3324" s="12" t="s">
        <v>160</v>
      </c>
      <c r="B3324" s="98" t="str">
        <f>CHOOSE(Draw!$T$1,"B","F","H","I","K","K","K","K","K","K","K")</f>
        <v>B</v>
      </c>
      <c r="C3324" s="109">
        <f>VLOOKUP($B3324,$AM$1:$AN$12,2)</f>
        <v>2</v>
      </c>
      <c r="D3324" s="10"/>
      <c r="E3324" s="10"/>
      <c r="F3324" s="8"/>
      <c r="H3324" s="1" t="s">
        <v>164</v>
      </c>
      <c r="J3324" s="12" t="s">
        <v>160</v>
      </c>
      <c r="K3324" s="98" t="str">
        <f>CHOOSE(Draw!$T$1,"C","L","L","L","L","L","L","L","L","L","L")</f>
        <v>C</v>
      </c>
      <c r="L3324" s="109">
        <f>VLOOKUP($K3324,$AM$1:$AN$12,2)</f>
        <v>3</v>
      </c>
      <c r="M3324" s="10"/>
      <c r="N3324" s="10"/>
      <c r="O3324" s="13"/>
      <c r="R3324" s="1"/>
      <c r="S3324" s="11"/>
      <c r="T3324" s="11"/>
      <c r="U3324" s="11"/>
      <c r="V3324" s="11"/>
      <c r="W3324" s="11"/>
    </row>
    <row r="3325" spans="1:32" ht="12.75" customHeight="1" x14ac:dyDescent="0.25">
      <c r="A3325" s="253" t="str">
        <f>IF(VLOOKUP($B3324,Draw!$A$4:$B$27,2)&lt;&gt;0,VLOOKUP($B3324,Draw!$A$4:$B$27,2),"")</f>
        <v/>
      </c>
      <c r="B3325" s="254"/>
      <c r="C3325" s="254"/>
      <c r="D3325" s="254"/>
      <c r="E3325" s="254"/>
      <c r="F3325" s="255"/>
      <c r="G3325" s="273" t="s">
        <v>469</v>
      </c>
      <c r="H3325" s="249"/>
      <c r="I3325" s="274"/>
      <c r="J3325" s="253" t="str">
        <f>IF(VLOOKUP($K3324,Draw!$A$4:$B$27,2)&lt;&gt;0,VLOOKUP($K3324,Draw!$A$4:$B$27,2),"")</f>
        <v/>
      </c>
      <c r="K3325" s="254"/>
      <c r="L3325" s="254"/>
      <c r="M3325" s="254"/>
      <c r="N3325" s="254"/>
      <c r="O3325" s="255"/>
      <c r="P3325"/>
      <c r="R3325" s="1"/>
      <c r="S3325" s="11"/>
      <c r="T3325" s="11"/>
      <c r="U3325" s="11"/>
      <c r="V3325" s="11"/>
      <c r="W3325" s="11"/>
    </row>
    <row r="3326" spans="1:32" ht="12.75" customHeight="1" x14ac:dyDescent="0.25">
      <c r="A3326" s="6"/>
      <c r="B3326"/>
      <c r="C3326"/>
      <c r="D3326"/>
      <c r="E3326"/>
      <c r="F3326" s="6"/>
      <c r="G3326" s="248" t="str">
        <f>"Page "&amp;VALUE(RIGHT($G3325,LEN($G3325)-SEARCH("-",$G3325)))/2</f>
        <v>Page 66</v>
      </c>
      <c r="H3326" s="249"/>
      <c r="I3326" s="249"/>
      <c r="J3326"/>
      <c r="K3326"/>
      <c r="L3326"/>
      <c r="M3326"/>
      <c r="N3326"/>
      <c r="O3326"/>
      <c r="P3326"/>
      <c r="R3326" s="1"/>
      <c r="S3326" s="11"/>
      <c r="T3326" s="11"/>
      <c r="U3326" s="11"/>
      <c r="V3326" s="11"/>
      <c r="W3326" s="11"/>
      <c r="AF3326"/>
    </row>
    <row r="3327" spans="1:32" ht="12.75" customHeight="1" x14ac:dyDescent="0.25">
      <c r="A3327" s="276" t="s">
        <v>177</v>
      </c>
      <c r="B3327" s="276"/>
      <c r="C3327" s="276"/>
      <c r="D3327" s="276"/>
      <c r="E3327" s="276"/>
      <c r="F3327" s="276"/>
      <c r="G3327" s="276"/>
      <c r="H3327" s="276"/>
      <c r="I3327" s="276"/>
      <c r="J3327" s="276"/>
      <c r="K3327" s="276"/>
      <c r="L3327" s="276"/>
      <c r="M3327" s="276"/>
      <c r="N3327" s="276"/>
      <c r="O3327" s="276"/>
      <c r="P3327" s="276"/>
      <c r="Q3327" s="6"/>
      <c r="R3327" s="1"/>
      <c r="S3327" s="11"/>
      <c r="T3327" s="11"/>
      <c r="U3327" s="11"/>
      <c r="V3327" s="11"/>
      <c r="W3327" s="11"/>
      <c r="AF3327" s="14"/>
    </row>
    <row r="3328" spans="1:32" ht="12.75" customHeight="1" x14ac:dyDescent="0.25">
      <c r="A3328" s="15" t="s">
        <v>165</v>
      </c>
      <c r="H3328" s="110" t="str">
        <f>IF($Q3330&lt;&gt;"",IF(AND(AND($H3330&gt;-1,$H3332&gt;-1),OR($H3330&gt;10,$H3332&gt;10),ABS($H3330-$H3332)&gt;1,IF(OR($H3330&gt;11,$H3332&gt;11),ABS($H3330-$H3332)=2,TRUE),$H3330=INT($H3330),$H3332=INT($H3332)),"","Error"),"")</f>
        <v/>
      </c>
      <c r="I3328" s="110" t="str">
        <f>IF($Q3330&lt;&gt;"",IF(AND(AND($I3330&gt;-1,$I3332&gt;-1),OR($I3330&gt;10,$I3332&gt;10),ABS($I3330-$I3332)&gt;1,IF(OR($I3330&gt;11,$I3332&gt;11),ABS($I3330-$I3332)=2,TRUE),$I3330=INT($I3330),$I3332=INT($I3332)),"","Error"),"")</f>
        <v/>
      </c>
      <c r="J3328" s="110" t="str">
        <f>IF($Q3330&lt;&gt;"",IF(AND(AND($J3330&gt;-1,$J3332&gt;-1),OR($J3330&gt;10,$J3332&gt;10),ABS($J3330-$J3332)&gt;1,IF(OR($J3330&gt;11,$J3332&gt;11),ABS($J3330-$J3332)=2,TRUE),$J3330=INT($J3330),$J3332=INT($J3332)),"","Error"),"")</f>
        <v/>
      </c>
      <c r="K3328" s="110" t="str">
        <f>IF($Q3330&lt;&gt;"",IF(AND($K3330&lt;&gt;"",$K3332&lt;&gt;""), IF(AND(AND($K3330&gt;-1,$K3332&gt;-1),OR($K3330&gt;10,$K3332&gt;10),ABS($K3330-$K3332)&gt;1,IF(OR($K3330&gt;11,$K3332&gt;11),ABS($K3330-$K3332)=2,TRUE),$K3330=INT($K3330),$K3332=INT($K3332)),"","Error"),""),"")</f>
        <v/>
      </c>
      <c r="L3328" s="110" t="str">
        <f>IF($Q3330&lt;&gt;"",IF(AND($L3330&lt;&gt;"",$L3332&lt;&gt;""), IF(AND(AND($L3330&gt;-1,$L3332&gt;-1),OR($L3330&gt;10,$L3332&gt;10),ABS($L3330-$L3332)&gt;1,IF(OR($L3330&gt;11,$L3332&gt;11),ABS($L3330-$L3332)=2,TRUE),$L3330=INT($L3330),$L3332=INT($L3332)),"","Error"),""),"")</f>
        <v/>
      </c>
      <c r="R3328" s="1"/>
      <c r="S3328" s="11"/>
      <c r="T3328" s="11"/>
      <c r="U3328" s="11"/>
      <c r="V3328" s="11"/>
      <c r="W3328" s="11"/>
    </row>
    <row r="3329" spans="1:32" ht="12.75" customHeight="1" x14ac:dyDescent="0.25">
      <c r="A3329" s="5" t="s">
        <v>160</v>
      </c>
      <c r="B3329" s="256" t="s">
        <v>58</v>
      </c>
      <c r="C3329" s="257"/>
      <c r="D3329" s="257"/>
      <c r="E3329" s="257"/>
      <c r="F3329" s="257"/>
      <c r="G3329" s="258"/>
      <c r="H3329" s="5">
        <v>1</v>
      </c>
      <c r="I3329" s="5">
        <v>2</v>
      </c>
      <c r="J3329" s="5">
        <v>3</v>
      </c>
      <c r="K3329" s="5">
        <v>4</v>
      </c>
      <c r="L3329" s="5">
        <v>5</v>
      </c>
      <c r="M3329" s="270"/>
      <c r="N3329" s="271"/>
      <c r="O3329" s="271"/>
      <c r="P3329" s="272"/>
      <c r="R3329" s="1"/>
      <c r="S3329" s="11"/>
      <c r="T3329" s="11"/>
      <c r="U3329" s="11"/>
      <c r="V3329" s="11"/>
      <c r="W3329" s="11"/>
    </row>
    <row r="3330" spans="1:32" ht="12.75" customHeight="1" x14ac:dyDescent="0.25">
      <c r="A3330" s="259" t="str">
        <f>B3324</f>
        <v>B</v>
      </c>
      <c r="B3330" s="236" t="str">
        <f ca="1">IF(AND(OFFSET($AO$1,$C3324-1,8,1,1),$A3325&lt;&gt;"",$J3325&lt;&gt;""),CHOOSE($C3324,$AO$1,$AO$2,$AO$3,$AO$4,$AO$5,$AO$6,$AO$7,$AO$8,$AO$9,$AO$10,$AO$11,$AO$12),"")</f>
        <v/>
      </c>
      <c r="C3330" s="237"/>
      <c r="D3330" s="237"/>
      <c r="E3330" s="237"/>
      <c r="F3330" s="237"/>
      <c r="G3330" s="237"/>
      <c r="H3330" s="233"/>
      <c r="I3330" s="233"/>
      <c r="J3330" s="233"/>
      <c r="K3330" s="233"/>
      <c r="L3330" s="233"/>
      <c r="M3330" s="281"/>
      <c r="N3330" s="282"/>
      <c r="O3330" s="282"/>
      <c r="P3330" s="283"/>
      <c r="Q3330" s="40" t="str">
        <f>IF($L3330=$L3332,IF($K3330=$K3332,IF($J3330&lt;&gt;"",IF($J3330&gt;$J3332,"W","L"),""),IF($K3330&gt;$K3332,"W","L")),IF($L3330&gt;$L3332,"W","L"))</f>
        <v/>
      </c>
      <c r="R3330" s="1"/>
      <c r="S3330" s="11"/>
      <c r="T3330" s="11"/>
      <c r="U3330" s="11"/>
      <c r="V3330" s="11"/>
      <c r="W3330" s="11"/>
    </row>
    <row r="3331" spans="1:32" ht="12.75" customHeight="1" x14ac:dyDescent="0.25">
      <c r="A3331" s="260"/>
      <c r="B3331" s="238"/>
      <c r="C3331" s="239"/>
      <c r="D3331" s="239"/>
      <c r="E3331" s="239"/>
      <c r="F3331" s="239"/>
      <c r="G3331" s="239"/>
      <c r="H3331" s="234"/>
      <c r="I3331" s="234"/>
      <c r="J3331" s="234"/>
      <c r="K3331" s="234"/>
      <c r="L3331" s="234"/>
      <c r="M3331" s="281"/>
      <c r="N3331" s="282"/>
      <c r="O3331" s="282"/>
      <c r="P3331" s="283"/>
      <c r="Q3331" s="110" t="str">
        <f>IF($Q3330&lt;&gt;"",IF($Q3330="W",IF(SUM(IF($H3330&gt;$H3332,1,0),IF($I3330&gt;$I3332,1,0),IF($J3330&gt;$J3332,1,0),IF($K3330&gt;$K3332,1,0),IF($L3330&gt;$L3332,1,0))&lt;&gt;3,"Error",""),""),"")</f>
        <v/>
      </c>
      <c r="R3331" s="295" t="str">
        <f>$A3325</f>
        <v/>
      </c>
      <c r="S3331" s="295"/>
      <c r="T3331" s="295"/>
      <c r="U3331" s="295"/>
      <c r="V3331" s="295"/>
      <c r="W3331" s="295"/>
      <c r="X3331" s="219" t="str">
        <f>CONCATENATE("(",$B3324," vs ",$K3324,")")</f>
        <v>(B vs C)</v>
      </c>
      <c r="Y3331" s="219"/>
      <c r="Z3331" s="295" t="str">
        <f>$J3325</f>
        <v/>
      </c>
      <c r="AA3331" s="295"/>
      <c r="AB3331" s="295"/>
      <c r="AC3331" s="295"/>
      <c r="AD3331" s="295"/>
      <c r="AE3331" s="295"/>
      <c r="AF3331"/>
    </row>
    <row r="3332" spans="1:32" ht="12.75" customHeight="1" x14ac:dyDescent="0.25">
      <c r="A3332" s="259" t="str">
        <f>K3324</f>
        <v>C</v>
      </c>
      <c r="B3332" s="236" t="str">
        <f ca="1">IF(AND(OFFSET($AO$1,$L3324-1,8,1,1),$A3325&lt;&gt;"",$J3325&lt;&gt;""),CHOOSE($L3324,$AO$1,$AO$2,$AO$3,$AO$4,$AO$5,$AO$6,$AO$7,$AO$8,$AO$9,$AO$10,$AO$11,$AO$12),"")</f>
        <v/>
      </c>
      <c r="C3332" s="237"/>
      <c r="D3332" s="237"/>
      <c r="E3332" s="237"/>
      <c r="F3332" s="237"/>
      <c r="G3332" s="237"/>
      <c r="H3332" s="233"/>
      <c r="I3332" s="233"/>
      <c r="J3332" s="233"/>
      <c r="K3332" s="233"/>
      <c r="L3332" s="233"/>
      <c r="M3332" s="250" t="s">
        <v>169</v>
      </c>
      <c r="N3332" s="251"/>
      <c r="O3332" s="251"/>
      <c r="P3332" s="252"/>
      <c r="Q3332" s="40" t="str">
        <f>IF($Q3330&lt;&gt;"",IF($Q3330="W","L","W"),"")</f>
        <v/>
      </c>
      <c r="R3332"/>
      <c r="S3332"/>
      <c r="T3332"/>
      <c r="U3332"/>
      <c r="V3332"/>
      <c r="W3332"/>
      <c r="X3332"/>
      <c r="Y3332"/>
      <c r="Z3332"/>
      <c r="AA3332"/>
      <c r="AB3332"/>
      <c r="AC3332"/>
      <c r="AD3332"/>
      <c r="AE3332"/>
      <c r="AF3332"/>
    </row>
    <row r="3333" spans="1:32" ht="12.75" customHeight="1" x14ac:dyDescent="0.25">
      <c r="A3333" s="260"/>
      <c r="B3333" s="238"/>
      <c r="C3333" s="239"/>
      <c r="D3333" s="239"/>
      <c r="E3333" s="239"/>
      <c r="F3333" s="239"/>
      <c r="G3333" s="239"/>
      <c r="H3333" s="234"/>
      <c r="I3333" s="234"/>
      <c r="J3333" s="235"/>
      <c r="K3333" s="235"/>
      <c r="L3333" s="235"/>
      <c r="M3333" s="250"/>
      <c r="N3333" s="251"/>
      <c r="O3333" s="251"/>
      <c r="P3333" s="252"/>
      <c r="Q3333" s="110" t="str">
        <f>IF($Q3332&lt;&gt;"",IF($Q3332="W",IF(SUM(IF($H3332&gt;$H3330,1,0),IF($I3332&gt;$I3330,1,0),IF($J3332&gt;$J3330,1,0),IF($K3332&gt;$K3330,1,0),IF($L3332&gt;$L3330,1,0))&lt;&gt;3,"Error",""),""),"")</f>
        <v/>
      </c>
      <c r="R3333" t="str">
        <f>$A3335</f>
        <v>2nd Singles</v>
      </c>
      <c r="S3333"/>
      <c r="T3333"/>
      <c r="U3333"/>
      <c r="V3333"/>
      <c r="W3333"/>
      <c r="X3333"/>
      <c r="Y3333"/>
      <c r="Z3333"/>
      <c r="AA3333"/>
      <c r="AB3333"/>
      <c r="AC3333"/>
      <c r="AD3333"/>
      <c r="AE3333"/>
      <c r="AF3333"/>
    </row>
    <row r="3334" spans="1:32" ht="12.75" customHeight="1" x14ac:dyDescent="0.25">
      <c r="Q3334" s="6"/>
      <c r="R3334" s="47" t="s">
        <v>160</v>
      </c>
      <c r="S3334" s="304" t="s">
        <v>58</v>
      </c>
      <c r="T3334" s="305"/>
      <c r="U3334" s="305"/>
      <c r="V3334" s="305"/>
      <c r="W3334" s="305"/>
      <c r="X3334" s="306"/>
      <c r="Y3334" s="47">
        <v>1</v>
      </c>
      <c r="Z3334" s="47">
        <v>2</v>
      </c>
      <c r="AA3334" s="47">
        <v>3</v>
      </c>
      <c r="AB3334" s="47">
        <v>4</v>
      </c>
      <c r="AC3334" s="47">
        <v>5</v>
      </c>
      <c r="AD3334" s="286"/>
      <c r="AE3334" s="287"/>
      <c r="AF3334" s="288"/>
    </row>
    <row r="3335" spans="1:32" ht="12.75" customHeight="1" x14ac:dyDescent="0.25">
      <c r="A3335" s="15" t="s">
        <v>166</v>
      </c>
      <c r="H3335" s="110" t="str">
        <f>IF($Q3337&lt;&gt;"",IF(AND(AND($H3337&gt;-1,$H3339&gt;-1),OR($H3337&gt;10,$H3339&gt;10),ABS($H3337-$H3339)&gt;1,IF(OR($H3337&gt;11,$H3339&gt;11),ABS($H3337-$H3339)=2,TRUE),$H3337=INT($H3337),$H3339=INT($H3339)),"","Error"),"")</f>
        <v/>
      </c>
      <c r="I3335" s="110" t="str">
        <f>IF($Q3337&lt;&gt;"",IF(AND(AND($I3337&gt;-1,$I3339&gt;-1),OR($I3337&gt;10,$I3339&gt;10),ABS($I3337-$I3339)&gt;1,IF(OR($I3337&gt;11,$I3339&gt;11),ABS($I3337-$I3339)=2,TRUE),$I3337=INT($I3337),$I3339=INT($I3339)),"","Error"),"")</f>
        <v/>
      </c>
      <c r="J3335" s="110" t="str">
        <f>IF($Q3337&lt;&gt;"",IF(AND(AND($J3337&gt;-1,$J3339&gt;-1),OR($J3337&gt;10,$J3339&gt;10),ABS($J3337-$J3339)&gt;1,IF(OR($J3337&gt;11,$J3339&gt;11),ABS($J3337-$J3339)=2,TRUE),$J3337=INT($J3337),$J3339=INT($J3339)),"","Error"),"")</f>
        <v/>
      </c>
      <c r="K3335" s="110" t="str">
        <f>IF($Q3337&lt;&gt;"",IF(AND($K3337&lt;&gt;"",$K3339&lt;&gt;""), IF(AND(AND($K3337&gt;-1,$K3339&gt;-1),OR($K3337&gt;10,$K3339&gt;10),ABS($K3337-$K3339)&gt;1,IF(OR($K3337&gt;11,$K3339&gt;11),ABS($K3337-$K3339)=2,TRUE),$K3337=INT($K3337),$K3339=INT($K3339)),"","Error"),""),"")</f>
        <v/>
      </c>
      <c r="L3335" s="110" t="str">
        <f>IF($Q3337&lt;&gt;"",IF(AND($L3337&lt;&gt;"",$L3339&lt;&gt;""), IF(AND(AND($L3337&gt;-1,$L3339&gt;-1),OR($L3337&gt;10,$L3339&gt;10),ABS($L3337-$L3339)&gt;1,IF(OR($L3337&gt;11,$L3339&gt;11),ABS($L3337-$L3339)=2,TRUE),$L3337=INT($L3337),$L3339=INT($L3339)),"","Error"),""),"")</f>
        <v/>
      </c>
      <c r="Q3335" s="6"/>
      <c r="R3335" s="259" t="str">
        <f>$B3324</f>
        <v>B</v>
      </c>
      <c r="S3335" s="307" t="str">
        <f ca="1">IF($B3337&lt;&gt;"",$B3337,"")</f>
        <v/>
      </c>
      <c r="T3335" s="308"/>
      <c r="U3335" s="308"/>
      <c r="V3335" s="308"/>
      <c r="W3335" s="308"/>
      <c r="X3335" s="309"/>
      <c r="Y3335" s="284"/>
      <c r="Z3335" s="284"/>
      <c r="AA3335" s="284"/>
      <c r="AB3335" s="284"/>
      <c r="AC3335" s="284"/>
      <c r="AD3335" s="296"/>
      <c r="AE3335" s="290"/>
      <c r="AF3335" s="291"/>
    </row>
    <row r="3336" spans="1:32" ht="12.75" customHeight="1" x14ac:dyDescent="0.25">
      <c r="A3336" s="5" t="s">
        <v>160</v>
      </c>
      <c r="B3336" s="256" t="s">
        <v>58</v>
      </c>
      <c r="C3336" s="257"/>
      <c r="D3336" s="257"/>
      <c r="E3336" s="257"/>
      <c r="F3336" s="257"/>
      <c r="G3336" s="258"/>
      <c r="H3336" s="5">
        <v>1</v>
      </c>
      <c r="I3336" s="5">
        <v>2</v>
      </c>
      <c r="J3336" s="5">
        <v>3</v>
      </c>
      <c r="K3336" s="5">
        <v>4</v>
      </c>
      <c r="L3336" s="5">
        <v>5</v>
      </c>
      <c r="M3336" s="270"/>
      <c r="N3336" s="271"/>
      <c r="O3336" s="271"/>
      <c r="P3336" s="272"/>
      <c r="Q3336" s="6"/>
      <c r="R3336" s="285"/>
      <c r="S3336" s="310"/>
      <c r="T3336" s="311"/>
      <c r="U3336" s="311"/>
      <c r="V3336" s="311"/>
      <c r="W3336" s="311"/>
      <c r="X3336" s="312"/>
      <c r="Y3336" s="285"/>
      <c r="Z3336" s="285"/>
      <c r="AA3336" s="285"/>
      <c r="AB3336" s="285"/>
      <c r="AC3336" s="285"/>
      <c r="AD3336" s="292"/>
      <c r="AE3336" s="293"/>
      <c r="AF3336" s="294"/>
    </row>
    <row r="3337" spans="1:32" ht="12.75" customHeight="1" x14ac:dyDescent="0.25">
      <c r="A3337" s="259" t="str">
        <f>B3324</f>
        <v>B</v>
      </c>
      <c r="B3337" s="236" t="str">
        <f ca="1">IF(AND(OFFSET($AO$1,$C3324-1,8,1,1),$A3325&lt;&gt;"",$J3325&lt;&gt;""),CHOOSE($C3324,$AP$1,$AP$2,$AP$3,$AP$4,$AP$5,$AP$6,$AP$7,$AP$8,$AP$9,$AP$10,$AP$11,$AP$12),"")</f>
        <v/>
      </c>
      <c r="C3337" s="237"/>
      <c r="D3337" s="237"/>
      <c r="E3337" s="237"/>
      <c r="F3337" s="237"/>
      <c r="G3337" s="237"/>
      <c r="H3337" s="233"/>
      <c r="I3337" s="233"/>
      <c r="J3337" s="233"/>
      <c r="K3337" s="233"/>
      <c r="L3337" s="233"/>
      <c r="M3337" s="245" t="str">
        <f ca="1">IF(OR(AND($B3330&lt;&gt;"",$B3337&lt;&gt;"",$C3355&lt;=$B3355),AND($B3332&lt;&gt;"",$B3339&lt;&gt;"",$G3355&lt;=$F3355)),"Invalid Lineup","")</f>
        <v/>
      </c>
      <c r="N3337" s="246"/>
      <c r="O3337" s="246"/>
      <c r="P3337" s="247"/>
      <c r="Q3337" s="40" t="str">
        <f>IF($L3337=$L3339,IF($K3337=$K3339,IF($J3337&lt;&gt;"",IF($J3337&gt;$J3339,"W","L"),""),IF($K3337&gt;$K3339,"W","L")),IF($L3337&gt;$L3339,"W","L"))</f>
        <v/>
      </c>
      <c r="R3337" s="259" t="str">
        <f>$K3324</f>
        <v>C</v>
      </c>
      <c r="S3337" s="307" t="str">
        <f ca="1">IF($B3339&lt;&gt;"",$B3339,"")</f>
        <v/>
      </c>
      <c r="T3337" s="308"/>
      <c r="U3337" s="308"/>
      <c r="V3337" s="308"/>
      <c r="W3337" s="308"/>
      <c r="X3337" s="309"/>
      <c r="Y3337" s="284"/>
      <c r="Z3337" s="284"/>
      <c r="AA3337" s="284"/>
      <c r="AB3337" s="284"/>
      <c r="AC3337" s="297"/>
      <c r="AD3337" s="289" t="s">
        <v>169</v>
      </c>
      <c r="AE3337" s="290"/>
      <c r="AF3337" s="291"/>
    </row>
    <row r="3338" spans="1:32" ht="12.75" customHeight="1" x14ac:dyDescent="0.25">
      <c r="A3338" s="260"/>
      <c r="B3338" s="238"/>
      <c r="C3338" s="239"/>
      <c r="D3338" s="239"/>
      <c r="E3338" s="239"/>
      <c r="F3338" s="239"/>
      <c r="G3338" s="239"/>
      <c r="H3338" s="234"/>
      <c r="I3338" s="234"/>
      <c r="J3338" s="234"/>
      <c r="K3338" s="234"/>
      <c r="L3338" s="234"/>
      <c r="M3338" s="245"/>
      <c r="N3338" s="246"/>
      <c r="O3338" s="246"/>
      <c r="P3338" s="247"/>
      <c r="Q3338" s="110" t="str">
        <f>IF($Q3337&lt;&gt;"",IF($Q3337="W",IF(SUM(IF($H3337&gt;$H3339,1,0),IF($I3337&gt;$I3339,1,0),IF($J3337&gt;$J3339,1,0),IF($K3337&gt;$K3339,1,0),IF($L3337&gt;$L3339,1,0))&lt;&gt;3,"Error",""),""),"")</f>
        <v/>
      </c>
      <c r="R3338" s="285"/>
      <c r="S3338" s="310"/>
      <c r="T3338" s="311"/>
      <c r="U3338" s="311"/>
      <c r="V3338" s="311"/>
      <c r="W3338" s="311"/>
      <c r="X3338" s="312"/>
      <c r="Y3338" s="285"/>
      <c r="Z3338" s="285"/>
      <c r="AA3338" s="285"/>
      <c r="AB3338" s="285"/>
      <c r="AC3338" s="285"/>
      <c r="AD3338" s="292"/>
      <c r="AE3338" s="293"/>
      <c r="AF3338" s="294"/>
    </row>
    <row r="3339" spans="1:32" ht="12.75" customHeight="1" x14ac:dyDescent="0.25">
      <c r="A3339" s="259" t="str">
        <f>K3324</f>
        <v>C</v>
      </c>
      <c r="B3339" s="236" t="str">
        <f ca="1">IF(AND(OFFSET($AO$1,$L3324-1,8,1,1),$A3325&lt;&gt;"",$J3325&lt;&gt;""),CHOOSE($L3324,$AP$1,$AP$2,$AP$3,$AP$4,$AP$5,$AP$6,$AP$7,$AP$8,$AP$9,$AP$10,$AP$11,$AP$12),"")</f>
        <v/>
      </c>
      <c r="C3339" s="237"/>
      <c r="D3339" s="237"/>
      <c r="E3339" s="237"/>
      <c r="F3339" s="237"/>
      <c r="G3339" s="237"/>
      <c r="H3339" s="233"/>
      <c r="I3339" s="233"/>
      <c r="J3339" s="233"/>
      <c r="K3339" s="233"/>
      <c r="L3339" s="233"/>
      <c r="M3339" s="250" t="s">
        <v>169</v>
      </c>
      <c r="N3339" s="251"/>
      <c r="O3339" s="251"/>
      <c r="P3339" s="252"/>
      <c r="Q3339" s="40" t="str">
        <f>IF($Q3337&lt;&gt;"",IF($Q3337="W","L","W"),"")</f>
        <v/>
      </c>
      <c r="R3339" s="14"/>
      <c r="S3339" s="14"/>
      <c r="T3339" s="14"/>
      <c r="U3339" s="14"/>
      <c r="V3339" s="14"/>
      <c r="W3339" s="14"/>
      <c r="X3339" s="7"/>
      <c r="Y3339" s="7"/>
      <c r="Z3339" s="14"/>
      <c r="AA3339" s="14"/>
      <c r="AB3339" s="14"/>
      <c r="AC3339" s="14"/>
      <c r="AD3339" s="14"/>
      <c r="AE3339" s="14"/>
      <c r="AF3339"/>
    </row>
    <row r="3340" spans="1:32" ht="12.75" customHeight="1" x14ac:dyDescent="0.25">
      <c r="A3340" s="260"/>
      <c r="B3340" s="238"/>
      <c r="C3340" s="239"/>
      <c r="D3340" s="239"/>
      <c r="E3340" s="239"/>
      <c r="F3340" s="239"/>
      <c r="G3340" s="239"/>
      <c r="H3340" s="234"/>
      <c r="I3340" s="234"/>
      <c r="J3340" s="235"/>
      <c r="K3340" s="235"/>
      <c r="L3340" s="235"/>
      <c r="M3340" s="250"/>
      <c r="N3340" s="251"/>
      <c r="O3340" s="251"/>
      <c r="P3340" s="252"/>
      <c r="Q3340" s="110" t="str">
        <f>IF($Q3339&lt;&gt;"",IF($Q3339="W",IF(SUM(IF($H3339&gt;$H3337,1,0),IF($I3339&gt;$I3337,1,0),IF($J3339&gt;$J3337,1,0),IF($K3339&gt;$K3337,1,0),IF($L3339&gt;$L3337,1,0))&lt;&gt;3,"Error",""),""),"")</f>
        <v/>
      </c>
      <c r="R3340" s="14"/>
      <c r="S3340" s="14"/>
      <c r="T3340" s="14"/>
      <c r="U3340" s="14"/>
      <c r="V3340" s="14"/>
      <c r="W3340" s="14"/>
      <c r="X3340" s="7"/>
      <c r="Y3340" s="7"/>
      <c r="Z3340" s="14"/>
      <c r="AA3340" s="14"/>
      <c r="AB3340" s="14"/>
      <c r="AC3340" s="14"/>
      <c r="AD3340" s="14"/>
      <c r="AE3340" s="14"/>
      <c r="AF3340"/>
    </row>
    <row r="3341" spans="1:32" ht="12.75" customHeight="1" x14ac:dyDescent="0.25">
      <c r="Q3341" s="6"/>
      <c r="R3341" s="14"/>
      <c r="S3341" s="14"/>
      <c r="T3341" s="14"/>
      <c r="U3341" s="14"/>
      <c r="V3341" s="14"/>
      <c r="W3341" s="14"/>
      <c r="X3341" s="7"/>
      <c r="Y3341" s="7"/>
      <c r="Z3341" s="14"/>
      <c r="AA3341" s="14"/>
      <c r="AB3341" s="14"/>
      <c r="AC3341" s="14"/>
      <c r="AD3341" s="14"/>
      <c r="AE3341" s="14"/>
      <c r="AF3341"/>
    </row>
    <row r="3342" spans="1:32" ht="12.75" customHeight="1" x14ac:dyDescent="0.25">
      <c r="A3342" s="15" t="s">
        <v>167</v>
      </c>
      <c r="H3342" s="110" t="str">
        <f>IF($Q3344&lt;&gt;"",IF(AND(AND($H3344&gt;-1,$H3346&gt;-1),OR($H3344&gt;10,$H3346&gt;10),ABS($H3344-$H3346)&gt;1,IF(OR($H3344&gt;11,$H3346&gt;11),ABS($H3344-$H3346)=2,TRUE),$H3344=INT($H3344),$H3346=INT($H3346)),"","Error"),"")</f>
        <v/>
      </c>
      <c r="I3342" s="110" t="str">
        <f>IF($Q3344&lt;&gt;"",IF(AND(AND($I3344&gt;-1,$I3346&gt;-1),OR($I3344&gt;10,$I3346&gt;10),ABS($I3344-$I3346)&gt;1,IF(OR($I3344&gt;11,$I3346&gt;11),ABS($I3344-$I3346)=2,TRUE),$I3344=INT($I3344),$I3346=INT($I3346)),"","Error"),"")</f>
        <v/>
      </c>
      <c r="J3342" s="110" t="str">
        <f>IF($Q3344&lt;&gt;"",IF(AND(AND($J3344&gt;-1,$J3346&gt;-1),OR($J3344&gt;10,$J3346&gt;10),ABS($J3344-$J3346)&gt;1,IF(OR($J3344&gt;11,$J3346&gt;11),ABS($J3344-$J3346)=2,TRUE),$J3344=INT($J3344),$J3346=INT($J3346)),"","Error"),"")</f>
        <v/>
      </c>
      <c r="K3342" s="110" t="str">
        <f>IF($Q3344&lt;&gt;"",IF(AND($K3344&lt;&gt;"",$K3346&lt;&gt;""), IF(AND(AND($K3344&gt;-1,$K3346&gt;-1),OR($K3344&gt;10,$K3346&gt;10),ABS($K3344-$K3346)&gt;1,IF(OR($K3344&gt;11,$K3346&gt;11),ABS($K3344-$K3346)=2,TRUE),$K3344=INT($K3344),$K3346=INT($K3346)),"","Error"),""),"")</f>
        <v/>
      </c>
      <c r="L3342" s="110" t="str">
        <f>IF($Q3344&lt;&gt;"",IF(AND($L3344&lt;&gt;"",$L3346&lt;&gt;""), IF(AND(AND($L3344&gt;-1,$L3346&gt;-1),OR($L3344&gt;10,$L3346&gt;10),ABS($L3344-$L3346)&gt;1,IF(OR($L3344&gt;11,$L3346&gt;11),ABS($L3344-$L3346)=2,TRUE),$L3344=INT($L3344),$L3346=INT($L3346)),"","Error"),""),"")</f>
        <v/>
      </c>
      <c r="Q3342" s="6"/>
      <c r="R3342" s="14"/>
      <c r="S3342" s="14"/>
      <c r="T3342" s="14"/>
      <c r="U3342" s="14"/>
      <c r="V3342" s="14"/>
      <c r="W3342" s="14"/>
      <c r="X3342" s="7"/>
      <c r="Y3342" s="7"/>
      <c r="Z3342" s="14"/>
      <c r="AA3342" s="14"/>
      <c r="AB3342" s="14"/>
      <c r="AC3342" s="14"/>
      <c r="AD3342" s="14"/>
      <c r="AE3342" s="14"/>
      <c r="AF3342"/>
    </row>
    <row r="3343" spans="1:32" ht="12.75" customHeight="1" x14ac:dyDescent="0.25">
      <c r="A3343" s="5" t="s">
        <v>160</v>
      </c>
      <c r="B3343" s="256" t="s">
        <v>58</v>
      </c>
      <c r="C3343" s="257"/>
      <c r="D3343" s="257"/>
      <c r="E3343" s="257"/>
      <c r="F3343" s="257"/>
      <c r="G3343" s="258"/>
      <c r="H3343" s="5">
        <v>1</v>
      </c>
      <c r="I3343" s="5">
        <v>2</v>
      </c>
      <c r="J3343" s="5">
        <v>3</v>
      </c>
      <c r="K3343" s="5">
        <v>4</v>
      </c>
      <c r="L3343" s="5">
        <v>5</v>
      </c>
      <c r="M3343" s="270"/>
      <c r="N3343" s="271"/>
      <c r="O3343" s="271"/>
      <c r="P3343" s="272"/>
      <c r="Q3343" s="6"/>
      <c r="R3343" s="14"/>
      <c r="S3343" s="14"/>
      <c r="T3343" s="14"/>
      <c r="U3343" s="14"/>
      <c r="V3343" s="14"/>
      <c r="W3343" s="14"/>
      <c r="X3343" s="7"/>
      <c r="Y3343" s="7"/>
      <c r="Z3343" s="14"/>
      <c r="AA3343" s="14"/>
      <c r="AB3343" s="14"/>
      <c r="AC3343" s="14"/>
      <c r="AD3343" s="14"/>
      <c r="AE3343" s="14"/>
      <c r="AF3343"/>
    </row>
    <row r="3344" spans="1:32" ht="12.75" customHeight="1" x14ac:dyDescent="0.25">
      <c r="A3344" s="259" t="str">
        <f>B3324</f>
        <v>B</v>
      </c>
      <c r="B3344" s="236" t="str">
        <f ca="1">IF(AND(OFFSET($AO$1,$C3324-1,8,1,1),$A3325&lt;&gt;"",$J3325&lt;&gt;""),CHOOSE($C3324,$AQ$1,$AQ$2,$AQ$3,$AQ$4,$AQ$5,$AQ$6,$AQ$7,$AQ$8,$AQ$9,$AQ$10,$AQ$11,$AQ$12),"")</f>
        <v/>
      </c>
      <c r="C3344" s="237"/>
      <c r="D3344" s="237"/>
      <c r="E3344" s="237"/>
      <c r="F3344" s="237"/>
      <c r="G3344" s="237"/>
      <c r="H3344" s="233"/>
      <c r="I3344" s="233"/>
      <c r="J3344" s="233"/>
      <c r="K3344" s="233"/>
      <c r="L3344" s="233"/>
      <c r="M3344" s="245" t="str">
        <f ca="1">IF(OR(AND($B3337&lt;&gt;"",$B3344&lt;&gt;"",$D3355&lt;=$C3355),AND($B3339&lt;&gt;"",$B3346&lt;&gt;"",$H3355&lt;=$G3355)),"Invalid Lineup","")</f>
        <v/>
      </c>
      <c r="N3344" s="246"/>
      <c r="O3344" s="246"/>
      <c r="P3344" s="247"/>
      <c r="Q3344" s="40" t="str">
        <f>IF($L3344=$L3346,IF($K3344=$K3346,IF($J3344&lt;&gt;"",IF($J3344&gt;$J3346,"W","L"),""),IF($K3344&gt;$K3346,"W","L")),IF($L3344&gt;$L3346,"W","L"))</f>
        <v/>
      </c>
      <c r="R3344" s="14"/>
      <c r="S3344" s="14"/>
      <c r="T3344" s="14"/>
      <c r="U3344" s="14"/>
      <c r="V3344" s="14"/>
      <c r="W3344" s="14"/>
      <c r="X3344" s="7"/>
      <c r="Y3344" s="7"/>
      <c r="Z3344" s="14"/>
      <c r="AA3344" s="14"/>
      <c r="AB3344" s="14"/>
      <c r="AC3344" s="14"/>
      <c r="AD3344" s="14"/>
      <c r="AE3344" s="14"/>
      <c r="AF3344"/>
    </row>
    <row r="3345" spans="1:32" ht="12.75" customHeight="1" x14ac:dyDescent="0.25">
      <c r="A3345" s="260"/>
      <c r="B3345" s="238"/>
      <c r="C3345" s="239"/>
      <c r="D3345" s="239"/>
      <c r="E3345" s="239"/>
      <c r="F3345" s="239"/>
      <c r="G3345" s="239"/>
      <c r="H3345" s="234"/>
      <c r="I3345" s="234"/>
      <c r="J3345" s="234"/>
      <c r="K3345" s="234"/>
      <c r="L3345" s="234"/>
      <c r="M3345" s="245"/>
      <c r="N3345" s="246"/>
      <c r="O3345" s="246"/>
      <c r="P3345" s="247"/>
      <c r="Q3345" s="110" t="str">
        <f>IF($Q3344&lt;&gt;"",IF($Q3344="W",IF(SUM(IF($H3344&gt;$H3346,1,0),IF($I3344&gt;$I3346,1,0),IF($J3344&gt;$J3346,1,0),IF($K3344&gt;$K3346,1,0),IF($L3344&gt;$L3346,1,0))&lt;&gt;3,"Error",""),""),"")</f>
        <v/>
      </c>
      <c r="R3345" s="295" t="str">
        <f>$A3325</f>
        <v/>
      </c>
      <c r="S3345" s="295"/>
      <c r="T3345" s="295"/>
      <c r="U3345" s="295"/>
      <c r="V3345" s="295"/>
      <c r="W3345" s="295"/>
      <c r="X3345" s="219" t="str">
        <f>CONCATENATE("(",$B3324," vs ",$K3324,")")</f>
        <v>(B vs C)</v>
      </c>
      <c r="Y3345" s="219"/>
      <c r="Z3345" s="295" t="str">
        <f>$J3325</f>
        <v/>
      </c>
      <c r="AA3345" s="295"/>
      <c r="AB3345" s="295"/>
      <c r="AC3345" s="295"/>
      <c r="AD3345" s="295"/>
      <c r="AE3345" s="295"/>
      <c r="AF3345"/>
    </row>
    <row r="3346" spans="1:32" ht="12.75" customHeight="1" x14ac:dyDescent="0.25">
      <c r="A3346" s="259" t="str">
        <f>K3324</f>
        <v>C</v>
      </c>
      <c r="B3346" s="236" t="str">
        <f ca="1">IF(AND(OFFSET($AO$1,$L3324-1,8,1,1),$A3325&lt;&gt;"",$J3325&lt;&gt;""),CHOOSE($L3324,$AQ$1,$AQ$2,$AQ$3,$AQ$4,$AQ$5,$AQ$6,$AQ$7,$AQ$8,$AQ$9,$AQ$10,$AQ$11,$AQ$12),"")</f>
        <v/>
      </c>
      <c r="C3346" s="237"/>
      <c r="D3346" s="237"/>
      <c r="E3346" s="237"/>
      <c r="F3346" s="237"/>
      <c r="G3346" s="237"/>
      <c r="H3346" s="233"/>
      <c r="I3346" s="233"/>
      <c r="J3346" s="233"/>
      <c r="K3346" s="233"/>
      <c r="L3346" s="233"/>
      <c r="M3346" s="250" t="s">
        <v>169</v>
      </c>
      <c r="N3346" s="251"/>
      <c r="O3346" s="251"/>
      <c r="P3346" s="252"/>
      <c r="Q3346" s="40" t="str">
        <f>IF($Q3344&lt;&gt;"",IF($Q3344="W","L","W"),"")</f>
        <v/>
      </c>
      <c r="R3346"/>
      <c r="S3346"/>
      <c r="T3346"/>
      <c r="U3346"/>
      <c r="V3346"/>
      <c r="W3346"/>
      <c r="X3346"/>
      <c r="Y3346"/>
      <c r="Z3346"/>
      <c r="AA3346"/>
      <c r="AB3346"/>
      <c r="AC3346"/>
      <c r="AD3346"/>
      <c r="AE3346"/>
      <c r="AF3346"/>
    </row>
    <row r="3347" spans="1:32" ht="12.75" customHeight="1" x14ac:dyDescent="0.25">
      <c r="A3347" s="260"/>
      <c r="B3347" s="238"/>
      <c r="C3347" s="239"/>
      <c r="D3347" s="239"/>
      <c r="E3347" s="239"/>
      <c r="F3347" s="239"/>
      <c r="G3347" s="239"/>
      <c r="H3347" s="234"/>
      <c r="I3347" s="234"/>
      <c r="J3347" s="235"/>
      <c r="K3347" s="235"/>
      <c r="L3347" s="235"/>
      <c r="M3347" s="250"/>
      <c r="N3347" s="251"/>
      <c r="O3347" s="251"/>
      <c r="P3347" s="252"/>
      <c r="Q3347" s="110" t="str">
        <f>IF($Q3346&lt;&gt;"",IF($Q3346="W",IF(SUM(IF($H3346&gt;$H3344,1,0),IF($I3346&gt;$I3344,1,0),IF($J3346&gt;$J3344,1,0),IF($K3346&gt;$K3344,1,0),IF($L3346&gt;$L3344,1,0))&lt;&gt;3,"Error",""),""),"")</f>
        <v/>
      </c>
      <c r="R3347" t="str">
        <f>$A3342</f>
        <v>3rd Singles</v>
      </c>
      <c r="S3347"/>
      <c r="T3347"/>
      <c r="U3347"/>
      <c r="V3347"/>
      <c r="W3347"/>
      <c r="X3347"/>
      <c r="Y3347"/>
      <c r="Z3347"/>
      <c r="AA3347"/>
      <c r="AB3347"/>
      <c r="AC3347"/>
      <c r="AD3347"/>
      <c r="AE3347"/>
      <c r="AF3347"/>
    </row>
    <row r="3348" spans="1:32" ht="12.75" customHeight="1" x14ac:dyDescent="0.25">
      <c r="Q3348" s="6"/>
      <c r="R3348" s="47" t="s">
        <v>160</v>
      </c>
      <c r="S3348" s="86" t="s">
        <v>58</v>
      </c>
      <c r="T3348" s="87"/>
      <c r="U3348" s="87"/>
      <c r="V3348" s="87"/>
      <c r="W3348" s="87"/>
      <c r="X3348" s="88"/>
      <c r="Y3348" s="47">
        <v>1</v>
      </c>
      <c r="Z3348" s="47">
        <v>2</v>
      </c>
      <c r="AA3348" s="47">
        <v>3</v>
      </c>
      <c r="AB3348" s="47">
        <v>4</v>
      </c>
      <c r="AC3348" s="47">
        <v>5</v>
      </c>
      <c r="AD3348" s="89"/>
      <c r="AE3348" s="90"/>
      <c r="AF3348" s="91"/>
    </row>
    <row r="3349" spans="1:32" ht="12.75" customHeight="1" x14ac:dyDescent="0.25">
      <c r="A3349" s="15" t="s">
        <v>168</v>
      </c>
      <c r="H3349" s="110" t="str">
        <f ca="1">IF($Q3351&lt;&gt;"",IF(AND($B3351&lt;&gt;"Missing Player",$B3353&lt;&gt;"Missing Player"),IF(AND(AND($H3351&gt;-1,$H3353&gt;-1),OR($H3351&gt;10,$H3353&gt;10),ABS($H3351-$H3353)&gt;1,IF(OR($H3351&gt;11,$H3353&gt;11),ABS($H3351-$H3353)=2,TRUE),$H3351=INT($H3351),$H3353=INT($H3353)),"","Error"),""),"")</f>
        <v/>
      </c>
      <c r="I3349" s="110" t="str">
        <f ca="1">IF($Q3351&lt;&gt;"",IF(AND($B3351&lt;&gt;"Missing Player",$B3353&lt;&gt;"Missing Player"),IF(AND(AND($I3351&gt;-1,$I3353&gt;-1),OR($I3351&gt;10,$I3353&gt;10),ABS($I3351-$I3353)&gt;1,IF(OR($I3351&gt;11,$I3353&gt;11),ABS($I3351-$I3353)=2,TRUE),$I3351=INT($I3351),$I3353=INT($I3353)),"","Error"),""),"")</f>
        <v/>
      </c>
      <c r="J3349" s="110" t="str">
        <f ca="1">IF($Q3351&lt;&gt;"",IF(AND($B3351&lt;&gt;"Missing Player",$B3353&lt;&gt;"Missing Player"),IF(AND(AND($J3351&gt;-1,$J3353&gt;-1),OR($J3351&gt;10,$J3353&gt;10),ABS($J3351-$J3353)&gt;1,IF(OR($J3351&gt;11,$J3353&gt;11),ABS($J3351-$J3353)=2,TRUE),$J3351=INT($J3351),$J3353=INT($J3353)),"","Error"),""),"")</f>
        <v/>
      </c>
      <c r="K3349" s="110" t="str">
        <f ca="1">IF($Q3351&lt;&gt;"",IF(AND($K3351&lt;&gt;"",$K3353&lt;&gt;""), IF(AND(AND($K3351&gt;-1,$K3353&gt;-1),OR($K3351&gt;10,$K3353&gt;10),ABS($K3351-$K3353)&gt;1,IF(OR($K3351&gt;11,$K3353&gt;11),ABS($K3351-$K3353)=2,TRUE),$K3351=INT($K3351),$K3353=INT($K3353)),"","Error"),""),"")</f>
        <v/>
      </c>
      <c r="L3349" s="110" t="str">
        <f ca="1">IF($Q3351&lt;&gt;"",IF(AND($L3351&lt;&gt;"",$L3353&lt;&gt;""), IF(AND(AND($L3351&gt;-1,$L3353&gt;-1),OR($L3351&gt;10,$L3353&gt;10),ABS($L3351-$L3353)&gt;1,IF(OR($L3351&gt;11,$L3353&gt;11),ABS($L3351-$L3353)=2,TRUE),$L3351=INT($L3351),$L3353=INT($L3353)),"","Error"),""),"")</f>
        <v/>
      </c>
      <c r="Q3349" s="6"/>
      <c r="R3349" s="259" t="str">
        <f>$B3324</f>
        <v>B</v>
      </c>
      <c r="S3349" s="307" t="str">
        <f ca="1">IF($B3344&lt;&gt;"",$B3344,"")</f>
        <v/>
      </c>
      <c r="T3349" s="308"/>
      <c r="U3349" s="308"/>
      <c r="V3349" s="308"/>
      <c r="W3349" s="308"/>
      <c r="X3349" s="309"/>
      <c r="Y3349" s="284"/>
      <c r="Z3349" s="284"/>
      <c r="AA3349" s="284"/>
      <c r="AB3349" s="284"/>
      <c r="AC3349" s="284"/>
      <c r="AD3349" s="296"/>
      <c r="AE3349" s="290"/>
      <c r="AF3349" s="291"/>
    </row>
    <row r="3350" spans="1:32" ht="12.75" customHeight="1" x14ac:dyDescent="0.25">
      <c r="A3350" s="5" t="s">
        <v>160</v>
      </c>
      <c r="B3350" s="256" t="s">
        <v>58</v>
      </c>
      <c r="C3350" s="257"/>
      <c r="D3350" s="257"/>
      <c r="E3350" s="257"/>
      <c r="F3350" s="257"/>
      <c r="G3350" s="258"/>
      <c r="H3350" s="5">
        <v>1</v>
      </c>
      <c r="I3350" s="5">
        <v>2</v>
      </c>
      <c r="J3350" s="5">
        <v>3</v>
      </c>
      <c r="K3350" s="5">
        <v>4</v>
      </c>
      <c r="L3350" s="5">
        <v>5</v>
      </c>
      <c r="M3350" s="270"/>
      <c r="N3350" s="271"/>
      <c r="O3350" s="271"/>
      <c r="P3350" s="272"/>
      <c r="Q3350" s="6"/>
      <c r="R3350" s="285"/>
      <c r="S3350" s="310"/>
      <c r="T3350" s="311"/>
      <c r="U3350" s="311"/>
      <c r="V3350" s="311"/>
      <c r="W3350" s="311"/>
      <c r="X3350" s="312"/>
      <c r="Y3350" s="285"/>
      <c r="Z3350" s="285"/>
      <c r="AA3350" s="285"/>
      <c r="AB3350" s="285"/>
      <c r="AC3350" s="285"/>
      <c r="AD3350" s="292"/>
      <c r="AE3350" s="293"/>
      <c r="AF3350" s="294"/>
    </row>
    <row r="3351" spans="1:32" ht="12.75" customHeight="1" x14ac:dyDescent="0.25">
      <c r="A3351" s="259" t="str">
        <f>B3324</f>
        <v>B</v>
      </c>
      <c r="B3351" s="236" t="str">
        <f ca="1">IF(AND(OFFSET($AO$1,$C3324-1,8,1,1),$A3325&lt;&gt;"",$J3325&lt;&gt;""),CHOOSE($C3324,$AR$1,$AR$2,$AR$3,$AR$4,$AR$5,$AR$6,$AR$7,$AR$8,$AR$9,$AR$10,$AR$11,$AR$12),"")</f>
        <v/>
      </c>
      <c r="C3351" s="237"/>
      <c r="D3351" s="237"/>
      <c r="E3351" s="237"/>
      <c r="F3351" s="237"/>
      <c r="G3351" s="237"/>
      <c r="H3351" s="233"/>
      <c r="I3351" s="233"/>
      <c r="J3351" s="233"/>
      <c r="K3351" s="233"/>
      <c r="L3351" s="233" t="str">
        <f ca="1">IF(AND($B3351&lt;&gt;"",$Q3330&lt;&gt;""),IF($B3351="Missing Player",0,IF($B3353="Missing Player",11,"")),"")</f>
        <v/>
      </c>
      <c r="M3351" s="245" t="str">
        <f ca="1">IF(OR(AND($B3344&lt;&gt;"",$B3351&lt;&gt;"",$E3355&lt;=$D3355),AND($B3346&lt;&gt;"",$B3353&lt;&gt;"",$I3355&lt;=$H3355)),"Invalid Lineup","")</f>
        <v/>
      </c>
      <c r="N3351" s="246"/>
      <c r="O3351" s="246"/>
      <c r="P3351" s="247"/>
      <c r="Q3351" s="40" t="str">
        <f ca="1">IF($L3351=$L3353,IF($K3351=$K3353,IF($J3351&lt;&gt;"",IF($J3351&gt;$J3353,"W","L"),""),IF($K3351&gt;$K3353,"W","L")),IF($L3351&gt;$L3353,"W","L"))</f>
        <v/>
      </c>
      <c r="R3351" s="259" t="str">
        <f>$K3324</f>
        <v>C</v>
      </c>
      <c r="S3351" s="307" t="str">
        <f ca="1">IF($B3346&lt;&gt;"",$B3346,"")</f>
        <v/>
      </c>
      <c r="T3351" s="308"/>
      <c r="U3351" s="308"/>
      <c r="V3351" s="308"/>
      <c r="W3351" s="308"/>
      <c r="X3351" s="309"/>
      <c r="Y3351" s="284"/>
      <c r="Z3351" s="284"/>
      <c r="AA3351" s="284"/>
      <c r="AB3351" s="284"/>
      <c r="AC3351" s="297"/>
      <c r="AD3351" s="289" t="s">
        <v>169</v>
      </c>
      <c r="AE3351" s="290"/>
      <c r="AF3351" s="291"/>
    </row>
    <row r="3352" spans="1:32" ht="12.75" customHeight="1" x14ac:dyDescent="0.25">
      <c r="A3352" s="260"/>
      <c r="B3352" s="238"/>
      <c r="C3352" s="239"/>
      <c r="D3352" s="239"/>
      <c r="E3352" s="239"/>
      <c r="F3352" s="239"/>
      <c r="G3352" s="239"/>
      <c r="H3352" s="234"/>
      <c r="I3352" s="234"/>
      <c r="J3352" s="234"/>
      <c r="K3352" s="234"/>
      <c r="L3352" s="234"/>
      <c r="M3352" s="245"/>
      <c r="N3352" s="246"/>
      <c r="O3352" s="246"/>
      <c r="P3352" s="247"/>
      <c r="Q3352" s="110" t="str">
        <f ca="1">IF($Q3351&lt;&gt;"",IF($B3353&lt;&gt;"Missing Player",IF($Q3351="W",IF(SUM(IF($H3351&gt;$H3353,1,0),IF($I3351&gt;$I3353,1,0),IF($J3351&gt;$J3353,1,0),IF($K3351&gt;$K3353,1,0),IF($L3351&gt;$L3353,1,0))&lt;&gt;3,"Error",""),""),""),"")</f>
        <v/>
      </c>
      <c r="R3352" s="285"/>
      <c r="S3352" s="310"/>
      <c r="T3352" s="311"/>
      <c r="U3352" s="311"/>
      <c r="V3352" s="311"/>
      <c r="W3352" s="311"/>
      <c r="X3352" s="312"/>
      <c r="Y3352" s="285"/>
      <c r="Z3352" s="285"/>
      <c r="AA3352" s="285"/>
      <c r="AB3352" s="285"/>
      <c r="AC3352" s="285"/>
      <c r="AD3352" s="292"/>
      <c r="AE3352" s="293"/>
      <c r="AF3352" s="294"/>
    </row>
    <row r="3353" spans="1:32" ht="12.75" customHeight="1" x14ac:dyDescent="0.25">
      <c r="A3353" s="259" t="str">
        <f>K3324</f>
        <v>C</v>
      </c>
      <c r="B3353" s="236" t="str">
        <f ca="1">IF(AND(OFFSET($AO$1,$L3324-1,8,1,1),$A3325&lt;&gt;"",$J3325&lt;&gt;""),CHOOSE($L3324,$AR$1,$AR$2,$AR$3,$AR$4,$AR$5,$AR$6,$AR$7,$AR$8,$AR$9,$AR$10,$AR$11,$AR$12),"")</f>
        <v/>
      </c>
      <c r="C3353" s="237"/>
      <c r="D3353" s="237"/>
      <c r="E3353" s="237"/>
      <c r="F3353" s="237"/>
      <c r="G3353" s="237"/>
      <c r="H3353" s="233"/>
      <c r="I3353" s="233"/>
      <c r="J3353" s="233"/>
      <c r="K3353" s="233"/>
      <c r="L3353" s="233" t="str">
        <f ca="1">IF(AND($B3353&lt;&gt;"",$Q3330&lt;&gt;""),IF($B3353="Missing Player",0,IF($B3351="Missing Player",11,"")),"")</f>
        <v/>
      </c>
      <c r="M3353" s="250" t="s">
        <v>169</v>
      </c>
      <c r="N3353" s="251"/>
      <c r="O3353" s="251"/>
      <c r="P3353" s="252"/>
      <c r="Q3353" s="40" t="str">
        <f ca="1">IF($Q3351&lt;&gt;"",IF($Q3351="W","L","W"),"")</f>
        <v/>
      </c>
      <c r="R3353" s="94"/>
      <c r="S3353" s="84"/>
      <c r="T3353" s="84"/>
      <c r="U3353" s="84"/>
      <c r="V3353" s="84"/>
      <c r="W3353" s="84"/>
      <c r="X3353" s="84"/>
      <c r="Y3353" s="93"/>
      <c r="Z3353" s="93"/>
      <c r="AA3353" s="93"/>
      <c r="AB3353" s="93"/>
      <c r="AC3353" s="93"/>
      <c r="AD3353" s="92"/>
      <c r="AE3353" s="93"/>
      <c r="AF3353" s="93"/>
    </row>
    <row r="3354" spans="1:32" ht="12.75" customHeight="1" x14ac:dyDescent="0.25">
      <c r="A3354" s="260"/>
      <c r="B3354" s="238"/>
      <c r="C3354" s="239"/>
      <c r="D3354" s="239"/>
      <c r="E3354" s="239"/>
      <c r="F3354" s="239"/>
      <c r="G3354" s="239"/>
      <c r="H3354" s="234"/>
      <c r="I3354" s="234"/>
      <c r="J3354" s="235"/>
      <c r="K3354" s="235"/>
      <c r="L3354" s="235"/>
      <c r="M3354" s="250"/>
      <c r="N3354" s="251"/>
      <c r="O3354" s="251"/>
      <c r="P3354" s="252"/>
      <c r="Q3354" s="110" t="str">
        <f ca="1">IF($Q3353&lt;&gt;"",IF($B3351&lt;&gt;"Missing Player",IF($Q3353="W",IF(SUM(IF($H3353&gt;$H3351,1,0),IF($I3353&gt;$I3351,1,0),IF($J3353&gt;$J3351,1,0),IF($K3353&gt;$K3351,1,0),IF($L3353&gt;$L3351,1,0))&lt;&gt;3,"Error",""),""),""),"")</f>
        <v/>
      </c>
      <c r="R3354" s="85"/>
      <c r="S3354" s="95"/>
      <c r="T3354" s="95"/>
      <c r="U3354" s="95"/>
      <c r="V3354" s="95"/>
      <c r="W3354" s="95"/>
      <c r="X3354" s="95"/>
      <c r="Y3354" s="85"/>
      <c r="Z3354" s="85"/>
      <c r="AA3354" s="85"/>
      <c r="AB3354" s="85"/>
      <c r="AC3354" s="85"/>
      <c r="AD3354" s="85"/>
      <c r="AE3354" s="85"/>
      <c r="AF3354" s="85"/>
    </row>
    <row r="3355" spans="1:32" ht="12.75" customHeight="1" x14ac:dyDescent="0.25">
      <c r="B3355" s="111" t="str">
        <f ca="1">IF(ISERROR(VLOOKUP($B3330&amp;"("&amp;$B3324&amp;")",Players!$S$4:$T$132,2,FALSE)),"",VLOOKUP($B3330&amp;"("&amp;$B3324&amp;")",Players!$S$4:$T$132,2,FALSE))</f>
        <v>B1</v>
      </c>
      <c r="C3355" s="111" t="str">
        <f ca="1">IF(ISERROR(VLOOKUP($B3337&amp;"("&amp;$B3324&amp;")",Players!$S$4:$T$132,2,FALSE)),"",VLOOKUP($B3337&amp;"("&amp;$B3324&amp;")",Players!$S$4:$T$132,2,FALSE))</f>
        <v>B1</v>
      </c>
      <c r="D3355" s="111" t="str">
        <f ca="1">IF(ISERROR(VLOOKUP($B3344&amp;"("&amp;$B3324&amp;")",Players!$S$4:$T$132,2,FALSE)),"",VLOOKUP($B3344&amp;"("&amp;$B3324&amp;")",Players!$S$4:$T$132,2,FALSE))</f>
        <v>B1</v>
      </c>
      <c r="E3355" s="111" t="str">
        <f ca="1">IF(ISERROR(VLOOKUP($B3351&amp;"("&amp;$B3324&amp;")",Players!$S$4:$T$132,2,FALSE)),"",VLOOKUP($B3351&amp;"("&amp;$B3324&amp;")",Players!$S$4:$T$132,2,FALSE))</f>
        <v>B1</v>
      </c>
      <c r="F3355" s="111" t="str">
        <f ca="1">IF(ISERROR(VLOOKUP($B3332&amp;"("&amp;$K3324&amp;")",Players!$S$4:$T$132,2,FALSE)),"",VLOOKUP($B3332&amp;"("&amp;$K3324&amp;")",Players!$S$4:$T$132,2,FALSE))</f>
        <v>C1</v>
      </c>
      <c r="G3355" s="111" t="str">
        <f ca="1">IF(ISERROR(VLOOKUP($B3339&amp;"("&amp;$K3324&amp;")",Players!$S$4:$T$132,2,FALSE)),"",VLOOKUP($B3339&amp;"("&amp;$K3324&amp;")",Players!$S$4:$T$132,2,FALSE))</f>
        <v>C1</v>
      </c>
      <c r="H3355" s="111" t="str">
        <f ca="1">IF(ISERROR(VLOOKUP($B3346&amp;"("&amp;$K3324&amp;")",Players!$S$4:$T$132,2,FALSE)),"",VLOOKUP($B3346&amp;"("&amp;$K3324&amp;")",Players!$S$4:$T$132,2,FALSE))</f>
        <v>C1</v>
      </c>
      <c r="I3355" s="111" t="str">
        <f ca="1">IF(ISERROR(VLOOKUP($B3353&amp;"("&amp;$K3324&amp;")",Players!$S$4:$T$132,2,FALSE)),"",VLOOKUP($B3353&amp;"("&amp;$K3324&amp;")",Players!$S$4:$T$132,2,FALSE))</f>
        <v>C1</v>
      </c>
      <c r="Q3355" s="6"/>
      <c r="R3355" s="37"/>
      <c r="S3355" s="95"/>
      <c r="T3355" s="95"/>
      <c r="U3355" s="95"/>
      <c r="V3355" s="95"/>
      <c r="W3355" s="95"/>
      <c r="X3355" s="95"/>
      <c r="Y3355" s="85"/>
      <c r="Z3355" s="85"/>
      <c r="AA3355" s="85"/>
      <c r="AB3355" s="85"/>
      <c r="AC3355" s="96"/>
      <c r="AD3355" s="97"/>
      <c r="AE3355" s="85"/>
      <c r="AF3355" s="85"/>
    </row>
    <row r="3356" spans="1:32" ht="12.75" customHeight="1" x14ac:dyDescent="0.25">
      <c r="A3356" s="15" t="s">
        <v>157</v>
      </c>
      <c r="H3356" s="110" t="str">
        <f ca="1">IF($Q3358&lt;&gt;"",IF(AND($B3359&lt;&gt;"Missing Player",$B3361&lt;&gt;"Missing Player"),IF(AND(AND($H3358&gt;-1,$H3360&gt;-1),OR($H3358&gt;10,$H3360&gt;10),ABS($H3358-$H3360)&gt;1,IF(OR($H3358&gt;11,$H3360&gt;11),ABS($H3358-$H3360)=2,TRUE),$H3358=INT($H3358),$H3360=INT($H3360)),"","Error"),""),"")</f>
        <v/>
      </c>
      <c r="I3356" s="110" t="str">
        <f ca="1">IF($Q3358&lt;&gt;"",IF(AND($B3359&lt;&gt;"Missing Player",$B3361&lt;&gt;"Missing Player"),IF(AND(AND($I3358&gt;-1,$I3360&gt;-1),OR($I3358&gt;10,$I3360&gt;10),ABS($I3358-$I3360)&gt;1,IF(OR($I3358&gt;11,$I3360&gt;11),ABS($I3358-$I3360)=2,TRUE),$I3358=INT($I3358),$I3360=INT($I3360)),"","Error"),""),"")</f>
        <v/>
      </c>
      <c r="J3356" s="110" t="str">
        <f ca="1">IF($Q3358&lt;&gt;"",IF(AND($B3359&lt;&gt;"Missing Player",$B3361&lt;&gt;"Missing Player"),IF(AND(AND($J3358&gt;-1,$J3360&gt;-1),OR($J3358&gt;10,$J3360&gt;10),ABS($J3358-$J3360)&gt;1,IF(OR($J3358&gt;11,$J3360&gt;11),ABS($J3358-$J3360)=2,TRUE),$J3358=INT($J3358),$J3360=INT($J3360)),"","Error"),""),"")</f>
        <v/>
      </c>
      <c r="K3356" s="110" t="str">
        <f ca="1">IF($Q3358&lt;&gt;"",IF(AND($K3358&lt;&gt;"",$K3360&lt;&gt;""), IF(AND(AND($K3358&gt;-1,$K3360&gt;-1),OR($K3358&gt;10,$K3360&gt;10),ABS($K3358-$K3360)&gt;1,IF(OR($K3358&gt;11,$K3360&gt;11),ABS($K3358-$K3360)=2,TRUE),$K3358=INT($K3358),$K3360=INT($K3360)),"","Error"),""),"")</f>
        <v/>
      </c>
      <c r="L3356" s="110" t="str">
        <f ca="1">IF($Q3358&lt;&gt;"",IF(AND($L3358&lt;&gt;"",$L3360&lt;&gt;""), IF(AND(AND($L3358&gt;-1,$L3360&gt;-1),OR($L3358&gt;10,$L3360&gt;10),ABS($L3358-$L3360)&gt;1,IF(OR($L3358&gt;11,$L3360&gt;11),ABS($L3358-$L3360)=2,TRUE),$L3358=INT($L3358),$L3360=INT($L3360)),"","Error"),""),"")</f>
        <v/>
      </c>
      <c r="Q3356" s="6"/>
      <c r="R3356" s="85"/>
      <c r="S3356" s="95"/>
      <c r="T3356" s="95"/>
      <c r="U3356" s="95"/>
      <c r="V3356" s="95"/>
      <c r="W3356" s="95"/>
      <c r="X3356" s="95"/>
      <c r="Y3356" s="85"/>
      <c r="Z3356" s="85"/>
      <c r="AA3356" s="85"/>
      <c r="AB3356" s="85"/>
      <c r="AC3356" s="85"/>
      <c r="AD3356" s="85"/>
      <c r="AE3356" s="85"/>
      <c r="AF3356" s="85"/>
    </row>
    <row r="3357" spans="1:32" ht="12.75" customHeight="1" x14ac:dyDescent="0.25">
      <c r="A3357" s="5" t="s">
        <v>160</v>
      </c>
      <c r="B3357" s="256" t="s">
        <v>58</v>
      </c>
      <c r="C3357" s="257"/>
      <c r="D3357" s="257"/>
      <c r="E3357" s="257"/>
      <c r="F3357" s="257"/>
      <c r="G3357" s="258"/>
      <c r="H3357" s="5">
        <v>1</v>
      </c>
      <c r="I3357" s="5">
        <v>2</v>
      </c>
      <c r="J3357" s="5">
        <v>3</v>
      </c>
      <c r="K3357" s="5">
        <v>4</v>
      </c>
      <c r="L3357" s="5">
        <v>5</v>
      </c>
      <c r="M3357" s="270"/>
      <c r="N3357" s="271"/>
      <c r="O3357" s="271"/>
      <c r="P3357" s="272"/>
      <c r="Q3357" s="6"/>
      <c r="T3357" s="7"/>
    </row>
    <row r="3358" spans="1:32" ht="12.75" customHeight="1" x14ac:dyDescent="0.25">
      <c r="A3358" s="259" t="str">
        <f>B3324</f>
        <v>B</v>
      </c>
      <c r="B3358" s="230" t="str">
        <f ca="1">IF($B3330&lt;&gt;"",$B3330,"")</f>
        <v/>
      </c>
      <c r="C3358" s="231"/>
      <c r="D3358" s="231"/>
      <c r="E3358" s="231"/>
      <c r="F3358" s="231"/>
      <c r="G3358" s="232"/>
      <c r="H3358" s="233"/>
      <c r="I3358" s="233"/>
      <c r="J3358" s="233"/>
      <c r="K3358" s="233"/>
      <c r="L3358" s="233" t="str">
        <f ca="1">IF($B3351&lt;&gt;"",IF(AND($B3351="Missing Player",$G3362=2,$J3362=2),0,IF(AND($B3353="Missing Player",$G3362=2,$J3362=2),11,"")),"")</f>
        <v/>
      </c>
      <c r="M3358" s="245" t="str">
        <f ca="1">IF(OR(AND($B3358&lt;&gt;"",$B3359&lt;&gt;"",$B3358=$B3359),AND($B3360&lt;&gt;"",$B3361&lt;&gt;"",$B3360=$B3361)),"Invalid Partner","")</f>
        <v/>
      </c>
      <c r="N3358" s="246"/>
      <c r="O3358" s="246"/>
      <c r="P3358" s="247"/>
      <c r="Q3358" s="37" t="str">
        <f ca="1">IF(L3358=L3360,IF(K3358=K3360,IF(J3358&lt;&gt;"",IF(J3358&gt;J3360,"W","L"),""),IF(K3358&gt;K3360,"W","L")),IF(L3358&gt;L3360,"W","L"))</f>
        <v/>
      </c>
      <c r="T3358" s="7"/>
    </row>
    <row r="3359" spans="1:32" ht="12.75" customHeight="1" x14ac:dyDescent="0.25">
      <c r="A3359" s="260"/>
      <c r="B3359" s="266" t="str">
        <f ca="1">IF($B3351="Missing Player",$B3351,"")</f>
        <v/>
      </c>
      <c r="C3359" s="267"/>
      <c r="D3359" s="267"/>
      <c r="E3359" s="267"/>
      <c r="F3359" s="267"/>
      <c r="G3359" s="268"/>
      <c r="H3359" s="234"/>
      <c r="I3359" s="234"/>
      <c r="J3359" s="234"/>
      <c r="K3359" s="234"/>
      <c r="L3359" s="234"/>
      <c r="M3359" s="245"/>
      <c r="N3359" s="246"/>
      <c r="O3359" s="246"/>
      <c r="P3359" s="247"/>
      <c r="Q3359" s="110" t="str">
        <f ca="1">IF($Q3358&lt;&gt;"",IF($B3361&lt;&gt;"Missing Player",IF($Q3358="W",IF(SUM(IF($H3358&gt;$H3360,1,0),IF($I3358&gt;$I3360,1,0),IF($J3358&gt;$J3360,1,0),IF($K3358&gt;$K3360,1,0),IF($L3358&gt;$L3360,1,0))&lt;&gt;3,"Error",""),""),""),"")</f>
        <v/>
      </c>
      <c r="R3359" s="295" t="str">
        <f>$A3325</f>
        <v/>
      </c>
      <c r="S3359" s="295"/>
      <c r="T3359" s="295"/>
      <c r="U3359" s="295"/>
      <c r="V3359" s="295"/>
      <c r="W3359" s="295"/>
      <c r="X3359" s="219" t="str">
        <f>CONCATENATE("(",$B3324," vs ",$K3324,")")</f>
        <v>(B vs C)</v>
      </c>
      <c r="Y3359" s="219"/>
      <c r="Z3359" s="295" t="str">
        <f>$J3325</f>
        <v/>
      </c>
      <c r="AA3359" s="295"/>
      <c r="AB3359" s="295"/>
      <c r="AC3359" s="295"/>
      <c r="AD3359" s="295"/>
      <c r="AE3359" s="295"/>
      <c r="AF3359"/>
    </row>
    <row r="3360" spans="1:32" ht="12.75" customHeight="1" x14ac:dyDescent="0.25">
      <c r="A3360" s="265" t="str">
        <f>K3324</f>
        <v>C</v>
      </c>
      <c r="B3360" s="230" t="str">
        <f ca="1">IF($B3332&lt;&gt;"",$B3332,"")</f>
        <v/>
      </c>
      <c r="C3360" s="231"/>
      <c r="D3360" s="231"/>
      <c r="E3360" s="231"/>
      <c r="F3360" s="231"/>
      <c r="G3360" s="232"/>
      <c r="H3360" s="233"/>
      <c r="I3360" s="233"/>
      <c r="J3360" s="233"/>
      <c r="K3360" s="233"/>
      <c r="L3360" s="233" t="str">
        <f ca="1">IF($B3353&lt;&gt;"",IF(AND($B3353="Missing Player",$G3362=2,$J3362=2),0,IF(AND($B3351="Missing Player",$G3362=2,$J3362=2),11,"")),"")</f>
        <v/>
      </c>
      <c r="M3360" s="250" t="s">
        <v>169</v>
      </c>
      <c r="N3360" s="251"/>
      <c r="O3360" s="251"/>
      <c r="P3360" s="252"/>
      <c r="Q3360" s="37" t="str">
        <f ca="1">IF(Q3358&lt;&gt;"",IF(Q3358="W","L","W"),"")</f>
        <v/>
      </c>
      <c r="R3360"/>
      <c r="S3360"/>
      <c r="T3360"/>
      <c r="U3360"/>
      <c r="V3360"/>
      <c r="W3360"/>
      <c r="X3360"/>
      <c r="Y3360"/>
      <c r="Z3360"/>
      <c r="AA3360"/>
      <c r="AB3360"/>
      <c r="AC3360"/>
      <c r="AD3360"/>
      <c r="AE3360"/>
      <c r="AF3360"/>
    </row>
    <row r="3361" spans="1:32" ht="12.75" customHeight="1" x14ac:dyDescent="0.25">
      <c r="A3361" s="260"/>
      <c r="B3361" s="266" t="str">
        <f ca="1">IF($B3353="Missing Player",$B3353,"")</f>
        <v/>
      </c>
      <c r="C3361" s="267"/>
      <c r="D3361" s="267"/>
      <c r="E3361" s="267"/>
      <c r="F3361" s="267"/>
      <c r="G3361" s="268"/>
      <c r="H3361" s="234"/>
      <c r="I3361" s="234"/>
      <c r="J3361" s="235"/>
      <c r="K3361" s="235"/>
      <c r="L3361" s="235"/>
      <c r="M3361" s="250"/>
      <c r="N3361" s="251"/>
      <c r="O3361" s="251"/>
      <c r="P3361" s="252"/>
      <c r="Q3361" s="110" t="str">
        <f ca="1">IF($Q3360&lt;&gt;"",IF($B3359&lt;&gt;"Missing Player",IF($Q3360="W",IF(SUM(IF($H3360&gt;$H3358,1,0),IF($I3360&gt;$I3358,1,0),IF($J3360&gt;$J3358,1,0),IF($K3360&gt;$K3358,1,0),IF($L3360&gt;$L3358,1,0))&lt;&gt;3,"Error",""),""),""),"")</f>
        <v/>
      </c>
      <c r="R3361" t="str">
        <f>A3349</f>
        <v>4th Singles</v>
      </c>
      <c r="S3361"/>
      <c r="T3361"/>
      <c r="U3361"/>
      <c r="V3361"/>
      <c r="W3361"/>
      <c r="X3361"/>
      <c r="Y3361"/>
      <c r="Z3361"/>
      <c r="AA3361"/>
      <c r="AB3361"/>
      <c r="AC3361"/>
      <c r="AD3361"/>
      <c r="AE3361"/>
      <c r="AF3361"/>
    </row>
    <row r="3362" spans="1:32" ht="12.75" customHeight="1" x14ac:dyDescent="0.25">
      <c r="G3362" s="53">
        <f ca="1">COUNTIF($Q3330:$Q3330,"W")+COUNTIF($Q3337:$Q3337,"W")+COUNTIF($Q3344:$Q3344,"W")+COUNTIF($Q3351:$Q3351,"W")</f>
        <v>0</v>
      </c>
      <c r="J3362" s="53">
        <f ca="1">COUNTIF($Q3332:$Q3332,"W")+COUNTIF($Q3339:$Q3339,"W")+COUNTIF($Q3346:$Q3346,"W")+COUNTIF($Q3353:$Q3353,"W")</f>
        <v>0</v>
      </c>
      <c r="R3362" s="47" t="s">
        <v>160</v>
      </c>
      <c r="S3362" s="304" t="s">
        <v>58</v>
      </c>
      <c r="T3362" s="305"/>
      <c r="U3362" s="305"/>
      <c r="V3362" s="305"/>
      <c r="W3362" s="305"/>
      <c r="X3362" s="306"/>
      <c r="Y3362" s="47">
        <v>1</v>
      </c>
      <c r="Z3362" s="47">
        <v>2</v>
      </c>
      <c r="AA3362" s="47">
        <v>3</v>
      </c>
      <c r="AB3362" s="47">
        <v>4</v>
      </c>
      <c r="AC3362" s="47">
        <v>5</v>
      </c>
      <c r="AD3362" s="286"/>
      <c r="AE3362" s="287"/>
      <c r="AF3362" s="288"/>
    </row>
    <row r="3363" spans="1:32" ht="12.75" customHeight="1" thickBot="1" x14ac:dyDescent="0.3">
      <c r="F3363" s="212" t="s">
        <v>170</v>
      </c>
      <c r="G3363" s="212"/>
      <c r="H3363" s="212"/>
      <c r="I3363" s="212"/>
      <c r="J3363" s="212"/>
      <c r="K3363" s="212"/>
      <c r="R3363" s="259" t="str">
        <f>B3324</f>
        <v>B</v>
      </c>
      <c r="S3363" s="307" t="str">
        <f ca="1">IF($B3351&lt;&gt;"",$B3351,"")</f>
        <v/>
      </c>
      <c r="T3363" s="308"/>
      <c r="U3363" s="308"/>
      <c r="V3363" s="308"/>
      <c r="W3363" s="308"/>
      <c r="X3363" s="309"/>
      <c r="Y3363" s="284"/>
      <c r="Z3363" s="284"/>
      <c r="AA3363" s="297"/>
      <c r="AB3363" s="297"/>
      <c r="AC3363" s="297"/>
      <c r="AD3363" s="296"/>
      <c r="AE3363" s="298"/>
      <c r="AF3363" s="299"/>
    </row>
    <row r="3364" spans="1:32" ht="12.75" customHeight="1" x14ac:dyDescent="0.25">
      <c r="A3364" s="16"/>
      <c r="B3364" s="16"/>
      <c r="C3364" s="16"/>
      <c r="D3364" s="16"/>
      <c r="E3364" s="16"/>
      <c r="G3364" s="261" t="str">
        <f>B3324</f>
        <v>B</v>
      </c>
      <c r="H3364" s="262"/>
      <c r="I3364" s="263" t="str">
        <f>K3324</f>
        <v>C</v>
      </c>
      <c r="J3364" s="264"/>
      <c r="L3364" s="16"/>
      <c r="M3364" s="16"/>
      <c r="N3364" s="16"/>
      <c r="O3364" s="16"/>
      <c r="P3364" s="16"/>
      <c r="R3364" s="260"/>
      <c r="S3364" s="310"/>
      <c r="T3364" s="311"/>
      <c r="U3364" s="311"/>
      <c r="V3364" s="311"/>
      <c r="W3364" s="311"/>
      <c r="X3364" s="312"/>
      <c r="Y3364" s="285"/>
      <c r="Z3364" s="285"/>
      <c r="AA3364" s="303"/>
      <c r="AB3364" s="303"/>
      <c r="AC3364" s="303"/>
      <c r="AD3364" s="300"/>
      <c r="AE3364" s="301"/>
      <c r="AF3364" s="302"/>
    </row>
    <row r="3365" spans="1:32" ht="12.75" customHeight="1" thickBot="1" x14ac:dyDescent="0.3">
      <c r="A3365" s="2" t="s">
        <v>160</v>
      </c>
      <c r="B3365" s="40" t="str">
        <f>B3324</f>
        <v>B</v>
      </c>
      <c r="C3365" s="3" t="s">
        <v>158</v>
      </c>
      <c r="F3365" s="53" t="str">
        <f>CONCATENATE($B3324,"-",$K3324)</f>
        <v>B-C</v>
      </c>
      <c r="G3365" s="240" t="str">
        <f ca="1">IF(OR(Q3330&lt;&gt;"",Q3337&lt;&gt;"",Q3344&lt;&gt;"",Q3351&lt;&gt;"",Q3358&lt;&gt;""),COUNTIF(Q3330:Q3330,"W")+COUNTIF(Q3337:Q3337,"W")+COUNTIF(Q3344:Q3344,"W")+COUNTIF(Q3351:Q3351,"W")+COUNTIF(Q3358:Q3358,"W"),"")</f>
        <v/>
      </c>
      <c r="H3365" s="241"/>
      <c r="I3365" s="242" t="str">
        <f ca="1">IF(OR(Q3332&lt;&gt;"",Q3339&lt;&gt;"",Q3346&lt;&gt;"",Q3353&lt;&gt;"",Q3360&lt;&gt;""),COUNTIF(Q3332:Q3332,"W")+COUNTIF(Q3339:Q3339,"W")+COUNTIF(Q3346:Q3346,"W")+COUNTIF(Q3353:Q3353,"W")+COUNTIF(Q3360:Q3360,"W"),"")</f>
        <v/>
      </c>
      <c r="J3365" s="243"/>
      <c r="L3365" s="2" t="s">
        <v>160</v>
      </c>
      <c r="M3365" s="40" t="str">
        <f>K3324</f>
        <v>C</v>
      </c>
      <c r="N3365" s="3" t="s">
        <v>158</v>
      </c>
      <c r="R3365" s="259" t="str">
        <f>K3324</f>
        <v>C</v>
      </c>
      <c r="S3365" s="307" t="str">
        <f ca="1">IF($B3353&lt;&gt;"",$B3353,"")</f>
        <v/>
      </c>
      <c r="T3365" s="308"/>
      <c r="U3365" s="308"/>
      <c r="V3365" s="308"/>
      <c r="W3365" s="308"/>
      <c r="X3365" s="309"/>
      <c r="Y3365" s="284"/>
      <c r="Z3365" s="284"/>
      <c r="AA3365" s="297"/>
      <c r="AB3365" s="297"/>
      <c r="AC3365" s="297"/>
      <c r="AD3365" s="289" t="s">
        <v>169</v>
      </c>
      <c r="AE3365" s="290"/>
      <c r="AF3365" s="291"/>
    </row>
    <row r="3366" spans="1:32" ht="12.75" customHeight="1" x14ac:dyDescent="0.35">
      <c r="F3366" s="18" t="s">
        <v>403</v>
      </c>
      <c r="G3366" s="17"/>
      <c r="H3366" s="17"/>
      <c r="I3366" s="17"/>
      <c r="J3366" s="17"/>
      <c r="R3366" s="285"/>
      <c r="S3366" s="310"/>
      <c r="T3366" s="311"/>
      <c r="U3366" s="311"/>
      <c r="V3366" s="311"/>
      <c r="W3366" s="311"/>
      <c r="X3366" s="312"/>
      <c r="Y3366" s="285"/>
      <c r="Z3366" s="285"/>
      <c r="AA3366" s="285"/>
      <c r="AB3366" s="285"/>
      <c r="AC3366" s="285"/>
      <c r="AD3366" s="292"/>
      <c r="AE3366" s="293"/>
      <c r="AF3366" s="294"/>
    </row>
  </sheetData>
  <sheetProtection sheet="1" objects="1" scenarios="1"/>
  <dataConsolidate/>
  <mergeCells count="11285">
    <mergeCell ref="J2987:J2988"/>
    <mergeCell ref="K2783:K2784"/>
    <mergeCell ref="K2822:K2823"/>
    <mergeCell ref="L2822:L2823"/>
    <mergeCell ref="K2987:K2988"/>
    <mergeCell ref="M2694:P2694"/>
    <mergeCell ref="L2690:L2691"/>
    <mergeCell ref="M2690:P2691"/>
    <mergeCell ref="J2616:J2617"/>
    <mergeCell ref="J2929:J2930"/>
    <mergeCell ref="K2929:K2930"/>
    <mergeCell ref="J2574:J2575"/>
    <mergeCell ref="K2574:K2575"/>
    <mergeCell ref="K2639:K2640"/>
    <mergeCell ref="M2639:P2640"/>
    <mergeCell ref="I2688:I2689"/>
    <mergeCell ref="L2697:L2698"/>
    <mergeCell ref="L2688:L2689"/>
    <mergeCell ref="M2688:P2689"/>
    <mergeCell ref="L2695:L2696"/>
    <mergeCell ref="L2667:L2668"/>
    <mergeCell ref="J2667:J2668"/>
    <mergeCell ref="K2667:K2668"/>
    <mergeCell ref="M2748:P2749"/>
    <mergeCell ref="M2428:P2429"/>
    <mergeCell ref="L2428:L2429"/>
    <mergeCell ref="M2432:P2432"/>
    <mergeCell ref="J2537:J2538"/>
    <mergeCell ref="K2537:K2538"/>
    <mergeCell ref="J2530:J2531"/>
    <mergeCell ref="J2535:J2536"/>
    <mergeCell ref="K2535:K2536"/>
    <mergeCell ref="L2574:L2575"/>
    <mergeCell ref="J2572:J2573"/>
    <mergeCell ref="K2572:K2573"/>
    <mergeCell ref="L2572:L2573"/>
    <mergeCell ref="L2595:L2596"/>
    <mergeCell ref="K2588:K2589"/>
    <mergeCell ref="J2725:J2726"/>
    <mergeCell ref="M2885:P2886"/>
    <mergeCell ref="M2901:P2902"/>
    <mergeCell ref="M2571:P2571"/>
    <mergeCell ref="M2618:P2619"/>
    <mergeCell ref="M2659:N2659"/>
    <mergeCell ref="M2673:P2673"/>
    <mergeCell ref="M2697:P2698"/>
    <mergeCell ref="M2695:P2696"/>
    <mergeCell ref="M2595:P2596"/>
    <mergeCell ref="K2718:K2719"/>
    <mergeCell ref="M2724:P2724"/>
    <mergeCell ref="L2797:L2798"/>
    <mergeCell ref="M2812:N2812"/>
    <mergeCell ref="M2945:P2946"/>
    <mergeCell ref="L2945:L2946"/>
    <mergeCell ref="L2987:L2988"/>
    <mergeCell ref="M2987:P2988"/>
    <mergeCell ref="I2771:I2772"/>
    <mergeCell ref="J2776:J2777"/>
    <mergeCell ref="F2858:I2858"/>
    <mergeCell ref="F2859:I2859"/>
    <mergeCell ref="M2850:P2851"/>
    <mergeCell ref="B2848:G2848"/>
    <mergeCell ref="H2848:H2849"/>
    <mergeCell ref="I2848:I2849"/>
    <mergeCell ref="M1062:P1062"/>
    <mergeCell ref="M1086:P1087"/>
    <mergeCell ref="M680:P681"/>
    <mergeCell ref="J2391:J2392"/>
    <mergeCell ref="K2433:K2434"/>
    <mergeCell ref="L2433:L2434"/>
    <mergeCell ref="K2435:K2436"/>
    <mergeCell ref="J2435:J2436"/>
    <mergeCell ref="L3251:L3252"/>
    <mergeCell ref="J3249:J3250"/>
    <mergeCell ref="K3307:K3308"/>
    <mergeCell ref="J3309:J3310"/>
    <mergeCell ref="M2541:P2541"/>
    <mergeCell ref="M2574:P2575"/>
    <mergeCell ref="M2544:P2545"/>
    <mergeCell ref="M2265:P2265"/>
    <mergeCell ref="M2289:P2290"/>
    <mergeCell ref="M2287:P2288"/>
    <mergeCell ref="M2302:N2302"/>
    <mergeCell ref="M2275:P2276"/>
    <mergeCell ref="K2338:K2339"/>
    <mergeCell ref="L2368:L2369"/>
    <mergeCell ref="M2418:P2418"/>
    <mergeCell ref="L2419:L2420"/>
    <mergeCell ref="M2419:P2420"/>
    <mergeCell ref="K2419:K2420"/>
    <mergeCell ref="M2414:P2415"/>
    <mergeCell ref="K2725:K2726"/>
    <mergeCell ref="L2725:L2726"/>
    <mergeCell ref="J2305:O2305"/>
    <mergeCell ref="M2324:P2325"/>
    <mergeCell ref="K2324:K2325"/>
    <mergeCell ref="M2331:P2332"/>
    <mergeCell ref="M2326:P2327"/>
    <mergeCell ref="J2506:L2506"/>
    <mergeCell ref="J2363:J2364"/>
    <mergeCell ref="K2363:K2364"/>
    <mergeCell ref="L2375:L2376"/>
    <mergeCell ref="J2407:O2407"/>
    <mergeCell ref="M2391:P2392"/>
    <mergeCell ref="K2412:K2413"/>
    <mergeCell ref="M2374:P2374"/>
    <mergeCell ref="J2370:J2371"/>
    <mergeCell ref="K2370:K2371"/>
    <mergeCell ref="J2368:J2369"/>
    <mergeCell ref="K2368:K2369"/>
    <mergeCell ref="M2822:P2823"/>
    <mergeCell ref="K2401:P2401"/>
    <mergeCell ref="L2442:L2443"/>
    <mergeCell ref="M2440:P2441"/>
    <mergeCell ref="M2442:P2443"/>
    <mergeCell ref="K2472:K2473"/>
    <mergeCell ref="L2472:L2473"/>
    <mergeCell ref="J2412:J2413"/>
    <mergeCell ref="F2598:K2598"/>
    <mergeCell ref="G2599:H2599"/>
    <mergeCell ref="I2599:J2599"/>
    <mergeCell ref="I2720:I2721"/>
    <mergeCell ref="B2731:G2731"/>
    <mergeCell ref="M2535:P2536"/>
    <mergeCell ref="A2713:F2713"/>
    <mergeCell ref="J2713:O2713"/>
    <mergeCell ref="J2710:L2710"/>
    <mergeCell ref="K2695:K2696"/>
    <mergeCell ref="J823:L823"/>
    <mergeCell ref="J466:L466"/>
    <mergeCell ref="J517:L517"/>
    <mergeCell ref="J568:L568"/>
    <mergeCell ref="J619:L619"/>
    <mergeCell ref="J670:L670"/>
    <mergeCell ref="J721:L721"/>
    <mergeCell ref="J481:J482"/>
    <mergeCell ref="I2695:I2696"/>
    <mergeCell ref="B2717:G2717"/>
    <mergeCell ref="M2717:P2717"/>
    <mergeCell ref="M2727:P2728"/>
    <mergeCell ref="B2720:G2721"/>
    <mergeCell ref="B2727:G2728"/>
    <mergeCell ref="M87:P88"/>
    <mergeCell ref="M96:P97"/>
    <mergeCell ref="M119:P120"/>
    <mergeCell ref="M123:P123"/>
    <mergeCell ref="G3326:I3326"/>
    <mergeCell ref="G2816:I2816"/>
    <mergeCell ref="G2867:I2867"/>
    <mergeCell ref="G2918:I2918"/>
    <mergeCell ref="G2969:I2969"/>
    <mergeCell ref="G3020:I3020"/>
    <mergeCell ref="B2819:G2819"/>
    <mergeCell ref="B2820:G2821"/>
    <mergeCell ref="H2820:H2821"/>
    <mergeCell ref="I2834:I2835"/>
    <mergeCell ref="B116:G116"/>
    <mergeCell ref="M116:P116"/>
    <mergeCell ref="L117:L118"/>
    <mergeCell ref="J119:J120"/>
    <mergeCell ref="J117:J118"/>
    <mergeCell ref="I117:I118"/>
    <mergeCell ref="H119:H120"/>
    <mergeCell ref="K124:K125"/>
    <mergeCell ref="J2761:L2761"/>
    <mergeCell ref="J2771:J2772"/>
    <mergeCell ref="J145:J146"/>
    <mergeCell ref="K145:K146"/>
    <mergeCell ref="L145:L146"/>
    <mergeCell ref="B144:G144"/>
    <mergeCell ref="K138:K139"/>
    <mergeCell ref="L138:L139"/>
    <mergeCell ref="L140:L141"/>
    <mergeCell ref="M145:P146"/>
    <mergeCell ref="M228:P229"/>
    <mergeCell ref="L228:L229"/>
    <mergeCell ref="M221:P222"/>
    <mergeCell ref="L219:L220"/>
    <mergeCell ref="L226:L227"/>
    <mergeCell ref="M225:P225"/>
    <mergeCell ref="L221:L222"/>
    <mergeCell ref="M226:P227"/>
    <mergeCell ref="B145:G145"/>
    <mergeCell ref="L147:L148"/>
    <mergeCell ref="M147:P148"/>
    <mergeCell ref="J147:J148"/>
    <mergeCell ref="K147:K148"/>
    <mergeCell ref="M2912:P2912"/>
    <mergeCell ref="I706:I707"/>
    <mergeCell ref="J706:J707"/>
    <mergeCell ref="K706:K707"/>
    <mergeCell ref="B699:G700"/>
    <mergeCell ref="A119:A120"/>
    <mergeCell ref="A117:A118"/>
    <mergeCell ref="B117:G118"/>
    <mergeCell ref="F99:K99"/>
    <mergeCell ref="G100:H100"/>
    <mergeCell ref="K96:K97"/>
    <mergeCell ref="J75:J76"/>
    <mergeCell ref="J68:J69"/>
    <mergeCell ref="B94:G94"/>
    <mergeCell ref="B89:G90"/>
    <mergeCell ref="G215:I215"/>
    <mergeCell ref="G266:I266"/>
    <mergeCell ref="I349:I350"/>
    <mergeCell ref="B334:G334"/>
    <mergeCell ref="I337:I338"/>
    <mergeCell ref="B68:G69"/>
    <mergeCell ref="K2326:K2327"/>
    <mergeCell ref="L2326:L2327"/>
    <mergeCell ref="K2331:K2332"/>
    <mergeCell ref="L2331:L2332"/>
    <mergeCell ref="B79:G79"/>
    <mergeCell ref="A112:F112"/>
    <mergeCell ref="A96:A97"/>
    <mergeCell ref="H117:H118"/>
    <mergeCell ref="B123:G123"/>
    <mergeCell ref="J2741:J2742"/>
    <mergeCell ref="K2727:K2728"/>
    <mergeCell ref="K2771:K2772"/>
    <mergeCell ref="L2785:L2786"/>
    <mergeCell ref="L2792:L2793"/>
    <mergeCell ref="J2098:L2098"/>
    <mergeCell ref="J1955:J1956"/>
    <mergeCell ref="K1955:K1956"/>
    <mergeCell ref="L1969:L1970"/>
    <mergeCell ref="L1976:L1977"/>
    <mergeCell ref="I1987:J1987"/>
    <mergeCell ref="K2004:K2005"/>
    <mergeCell ref="G2000:I2000"/>
    <mergeCell ref="G2051:I2051"/>
    <mergeCell ref="G2038:H2038"/>
    <mergeCell ref="B654:G654"/>
    <mergeCell ref="I634:I635"/>
    <mergeCell ref="H643:H644"/>
    <mergeCell ref="H648:H649"/>
    <mergeCell ref="F660:K660"/>
    <mergeCell ref="F1935:K1935"/>
    <mergeCell ref="J724:O724"/>
    <mergeCell ref="B728:G728"/>
    <mergeCell ref="J699:J700"/>
    <mergeCell ref="K699:K700"/>
    <mergeCell ref="B86:G86"/>
    <mergeCell ref="H80:H81"/>
    <mergeCell ref="H629:H630"/>
    <mergeCell ref="B640:G640"/>
    <mergeCell ref="I636:I637"/>
    <mergeCell ref="B633:G633"/>
    <mergeCell ref="G112:I112"/>
    <mergeCell ref="H337:H338"/>
    <mergeCell ref="M392:P392"/>
    <mergeCell ref="M388:P389"/>
    <mergeCell ref="M393:P394"/>
    <mergeCell ref="M399:P399"/>
    <mergeCell ref="J175:J176"/>
    <mergeCell ref="H168:H169"/>
    <mergeCell ref="H699:H700"/>
    <mergeCell ref="K708:K709"/>
    <mergeCell ref="B707:G707"/>
    <mergeCell ref="B708:G708"/>
    <mergeCell ref="H708:H709"/>
    <mergeCell ref="I708:I709"/>
    <mergeCell ref="J708:J709"/>
    <mergeCell ref="B706:G706"/>
    <mergeCell ref="H706:H707"/>
    <mergeCell ref="L634:L635"/>
    <mergeCell ref="H636:H637"/>
    <mergeCell ref="F711:K711"/>
    <mergeCell ref="G712:H712"/>
    <mergeCell ref="I712:J712"/>
    <mergeCell ref="J7:L7"/>
    <mergeCell ref="J58:L58"/>
    <mergeCell ref="J109:L109"/>
    <mergeCell ref="J73:J74"/>
    <mergeCell ref="K73:K74"/>
    <mergeCell ref="L15:L16"/>
    <mergeCell ref="K17:K18"/>
    <mergeCell ref="K80:K81"/>
    <mergeCell ref="J80:J81"/>
    <mergeCell ref="J89:J90"/>
    <mergeCell ref="A82:A83"/>
    <mergeCell ref="B82:G83"/>
    <mergeCell ref="I82:I83"/>
    <mergeCell ref="J87:J88"/>
    <mergeCell ref="A80:A81"/>
    <mergeCell ref="I80:I81"/>
    <mergeCell ref="B87:G88"/>
    <mergeCell ref="B93:G93"/>
    <mergeCell ref="H94:H95"/>
    <mergeCell ref="H89:H90"/>
    <mergeCell ref="K89:K90"/>
    <mergeCell ref="I94:I95"/>
    <mergeCell ref="J82:J83"/>
    <mergeCell ref="H82:H83"/>
    <mergeCell ref="K82:K83"/>
    <mergeCell ref="H381:H382"/>
    <mergeCell ref="H393:H394"/>
    <mergeCell ref="B119:G120"/>
    <mergeCell ref="B97:G97"/>
    <mergeCell ref="K87:K88"/>
    <mergeCell ref="K66:K67"/>
    <mergeCell ref="I66:I67"/>
    <mergeCell ref="B95:G95"/>
    <mergeCell ref="K94:K95"/>
    <mergeCell ref="J94:J95"/>
    <mergeCell ref="H349:H350"/>
    <mergeCell ref="I344:I345"/>
    <mergeCell ref="B348:G348"/>
    <mergeCell ref="H335:H336"/>
    <mergeCell ref="B335:G336"/>
    <mergeCell ref="B378:G378"/>
    <mergeCell ref="I372:I373"/>
    <mergeCell ref="H342:H343"/>
    <mergeCell ref="I342:I343"/>
    <mergeCell ref="B371:G371"/>
    <mergeCell ref="G62:I62"/>
    <mergeCell ref="I45:I46"/>
    <mergeCell ref="B38:G39"/>
    <mergeCell ref="L17:L18"/>
    <mergeCell ref="J17:J18"/>
    <mergeCell ref="J15:J16"/>
    <mergeCell ref="L43:L44"/>
    <mergeCell ref="L22:L23"/>
    <mergeCell ref="I43:I44"/>
    <mergeCell ref="L38:L39"/>
    <mergeCell ref="K36:K37"/>
    <mergeCell ref="I29:I30"/>
    <mergeCell ref="I24:I25"/>
    <mergeCell ref="K119:K120"/>
    <mergeCell ref="I119:I120"/>
    <mergeCell ref="L119:L120"/>
    <mergeCell ref="M107:P107"/>
    <mergeCell ref="M117:P118"/>
    <mergeCell ref="J112:O112"/>
    <mergeCell ref="L66:L67"/>
    <mergeCell ref="M66:P67"/>
    <mergeCell ref="M45:P46"/>
    <mergeCell ref="F104:I104"/>
    <mergeCell ref="F105:I105"/>
    <mergeCell ref="K24:K25"/>
    <mergeCell ref="I729:I730"/>
    <mergeCell ref="G713:H713"/>
    <mergeCell ref="I713:J713"/>
    <mergeCell ref="G725:I725"/>
    <mergeCell ref="A724:F724"/>
    <mergeCell ref="A29:A30"/>
    <mergeCell ref="A36:A37"/>
    <mergeCell ref="A31:A32"/>
    <mergeCell ref="A68:A69"/>
    <mergeCell ref="M126:P127"/>
    <mergeCell ref="G163:I163"/>
    <mergeCell ref="A163:F163"/>
    <mergeCell ref="H145:H146"/>
    <mergeCell ref="I145:I146"/>
    <mergeCell ref="M144:P144"/>
    <mergeCell ref="K140:K141"/>
    <mergeCell ref="A196:A197"/>
    <mergeCell ref="B196:G196"/>
    <mergeCell ref="H196:H197"/>
    <mergeCell ref="A198:A199"/>
    <mergeCell ref="B198:G198"/>
    <mergeCell ref="H198:H199"/>
    <mergeCell ref="M233:P234"/>
    <mergeCell ref="M177:P178"/>
    <mergeCell ref="H182:H183"/>
    <mergeCell ref="M729:P730"/>
    <mergeCell ref="A138:A139"/>
    <mergeCell ref="B138:G139"/>
    <mergeCell ref="H138:H139"/>
    <mergeCell ref="M138:P139"/>
    <mergeCell ref="M158:P158"/>
    <mergeCell ref="I152:J152"/>
    <mergeCell ref="F155:I155"/>
    <mergeCell ref="F156:I156"/>
    <mergeCell ref="K157:P157"/>
    <mergeCell ref="A140:A141"/>
    <mergeCell ref="B140:G141"/>
    <mergeCell ref="H140:H141"/>
    <mergeCell ref="I140:I141"/>
    <mergeCell ref="M182:P183"/>
    <mergeCell ref="K453:K454"/>
    <mergeCell ref="J425:J426"/>
    <mergeCell ref="K68:K69"/>
    <mergeCell ref="B66:G67"/>
    <mergeCell ref="H66:H67"/>
    <mergeCell ref="J66:J67"/>
    <mergeCell ref="B130:G130"/>
    <mergeCell ref="B228:G229"/>
    <mergeCell ref="H228:H229"/>
    <mergeCell ref="M286:P287"/>
    <mergeCell ref="B290:G290"/>
    <mergeCell ref="M290:P290"/>
    <mergeCell ref="J293:J294"/>
    <mergeCell ref="I293:I294"/>
    <mergeCell ref="H286:H287"/>
    <mergeCell ref="I286:I287"/>
    <mergeCell ref="J286:J287"/>
    <mergeCell ref="K286:K287"/>
    <mergeCell ref="M297:P297"/>
    <mergeCell ref="J298:J299"/>
    <mergeCell ref="K298:K299"/>
    <mergeCell ref="I298:I299"/>
    <mergeCell ref="J349:J350"/>
    <mergeCell ref="M349:P350"/>
    <mergeCell ref="L349:L350"/>
    <mergeCell ref="M348:P348"/>
    <mergeCell ref="K349:K350"/>
    <mergeCell ref="L342:L343"/>
    <mergeCell ref="M342:P343"/>
    <mergeCell ref="K344:K345"/>
    <mergeCell ref="L330:L331"/>
    <mergeCell ref="K342:K343"/>
    <mergeCell ref="K337:K338"/>
    <mergeCell ref="L337:L338"/>
    <mergeCell ref="K330:K331"/>
    <mergeCell ref="J160:L160"/>
    <mergeCell ref="I89:I90"/>
    <mergeCell ref="M191:P192"/>
    <mergeCell ref="M188:P188"/>
    <mergeCell ref="M184:P185"/>
    <mergeCell ref="K184:K185"/>
    <mergeCell ref="L184:L185"/>
    <mergeCell ref="M189:P190"/>
    <mergeCell ref="J191:J192"/>
    <mergeCell ref="M167:P167"/>
    <mergeCell ref="G101:H101"/>
    <mergeCell ref="I101:J101"/>
    <mergeCell ref="J96:J97"/>
    <mergeCell ref="H96:H97"/>
    <mergeCell ref="I96:I97"/>
    <mergeCell ref="I100:J100"/>
    <mergeCell ref="L177:L178"/>
    <mergeCell ref="H177:H178"/>
    <mergeCell ref="B72:G72"/>
    <mergeCell ref="I73:I74"/>
    <mergeCell ref="G113:I113"/>
    <mergeCell ref="B174:G174"/>
    <mergeCell ref="B181:G181"/>
    <mergeCell ref="J140:J141"/>
    <mergeCell ref="I138:I139"/>
    <mergeCell ref="J124:J125"/>
    <mergeCell ref="I182:I183"/>
    <mergeCell ref="M181:P181"/>
    <mergeCell ref="K182:K183"/>
    <mergeCell ref="K177:K178"/>
    <mergeCell ref="L182:L183"/>
    <mergeCell ref="M140:P141"/>
    <mergeCell ref="B146:G146"/>
    <mergeCell ref="A10:F10"/>
    <mergeCell ref="B14:G14"/>
    <mergeCell ref="L24:L25"/>
    <mergeCell ref="G10:I10"/>
    <mergeCell ref="J10:O10"/>
    <mergeCell ref="G11:I11"/>
    <mergeCell ref="A15:A16"/>
    <mergeCell ref="B17:G18"/>
    <mergeCell ref="B15:G16"/>
    <mergeCell ref="M24:P25"/>
    <mergeCell ref="A22:A23"/>
    <mergeCell ref="A24:A25"/>
    <mergeCell ref="B28:G28"/>
    <mergeCell ref="K31:K32"/>
    <mergeCell ref="J22:J23"/>
    <mergeCell ref="H24:H25"/>
    <mergeCell ref="J24:J25"/>
    <mergeCell ref="K29:K30"/>
    <mergeCell ref="H29:H30"/>
    <mergeCell ref="B24:G25"/>
    <mergeCell ref="I38:I39"/>
    <mergeCell ref="B31:G32"/>
    <mergeCell ref="M28:P28"/>
    <mergeCell ref="L36:L37"/>
    <mergeCell ref="H31:H32"/>
    <mergeCell ref="M38:P39"/>
    <mergeCell ref="M31:P32"/>
    <mergeCell ref="L73:L74"/>
    <mergeCell ref="M86:P86"/>
    <mergeCell ref="L75:L76"/>
    <mergeCell ref="M75:P76"/>
    <mergeCell ref="M79:P79"/>
    <mergeCell ref="L80:L81"/>
    <mergeCell ref="A17:A18"/>
    <mergeCell ref="A63:P63"/>
    <mergeCell ref="K15:K16"/>
    <mergeCell ref="J29:J30"/>
    <mergeCell ref="L29:L30"/>
    <mergeCell ref="J31:J32"/>
    <mergeCell ref="L31:L32"/>
    <mergeCell ref="I49:J49"/>
    <mergeCell ref="J61:O61"/>
    <mergeCell ref="K75:K76"/>
    <mergeCell ref="M73:P74"/>
    <mergeCell ref="M58:N58"/>
    <mergeCell ref="L45:L46"/>
    <mergeCell ref="G61:I61"/>
    <mergeCell ref="G49:H49"/>
    <mergeCell ref="I50:J50"/>
    <mergeCell ref="G50:H50"/>
    <mergeCell ref="B65:G65"/>
    <mergeCell ref="L68:L69"/>
    <mergeCell ref="M68:P69"/>
    <mergeCell ref="M65:P65"/>
    <mergeCell ref="I31:I32"/>
    <mergeCell ref="I36:I37"/>
    <mergeCell ref="I15:I16"/>
    <mergeCell ref="H15:H16"/>
    <mergeCell ref="H17:H18"/>
    <mergeCell ref="I17:I18"/>
    <mergeCell ref="M22:P23"/>
    <mergeCell ref="K38:K39"/>
    <mergeCell ref="B29:G30"/>
    <mergeCell ref="B21:G21"/>
    <mergeCell ref="X132:Y132"/>
    <mergeCell ref="M124:P125"/>
    <mergeCell ref="L124:L125"/>
    <mergeCell ref="J126:J127"/>
    <mergeCell ref="I22:I23"/>
    <mergeCell ref="K45:K46"/>
    <mergeCell ref="J43:J44"/>
    <mergeCell ref="M36:P37"/>
    <mergeCell ref="M35:P35"/>
    <mergeCell ref="M42:P42"/>
    <mergeCell ref="M43:P44"/>
    <mergeCell ref="K43:K44"/>
    <mergeCell ref="B80:G81"/>
    <mergeCell ref="M94:P95"/>
    <mergeCell ref="L94:L95"/>
    <mergeCell ref="M93:P93"/>
    <mergeCell ref="M80:P81"/>
    <mergeCell ref="M82:P83"/>
    <mergeCell ref="L82:L83"/>
    <mergeCell ref="M89:P90"/>
    <mergeCell ref="L87:L88"/>
    <mergeCell ref="M56:P56"/>
    <mergeCell ref="L89:L90"/>
    <mergeCell ref="A45:A46"/>
    <mergeCell ref="B45:G45"/>
    <mergeCell ref="B46:G46"/>
    <mergeCell ref="H43:H44"/>
    <mergeCell ref="A43:A44"/>
    <mergeCell ref="B43:G43"/>
    <mergeCell ref="B44:G44"/>
    <mergeCell ref="B75:G76"/>
    <mergeCell ref="M72:P72"/>
    <mergeCell ref="B42:G42"/>
    <mergeCell ref="J36:J37"/>
    <mergeCell ref="J38:J39"/>
    <mergeCell ref="F48:K48"/>
    <mergeCell ref="A75:A76"/>
    <mergeCell ref="H68:H69"/>
    <mergeCell ref="I68:I69"/>
    <mergeCell ref="A73:A74"/>
    <mergeCell ref="A94:A95"/>
    <mergeCell ref="B124:G125"/>
    <mergeCell ref="H124:H125"/>
    <mergeCell ref="I124:I125"/>
    <mergeCell ref="K131:K132"/>
    <mergeCell ref="L131:L132"/>
    <mergeCell ref="K126:K127"/>
    <mergeCell ref="L126:L127"/>
    <mergeCell ref="J131:J132"/>
    <mergeCell ref="A87:A88"/>
    <mergeCell ref="H87:H88"/>
    <mergeCell ref="I87:I88"/>
    <mergeCell ref="H75:H76"/>
    <mergeCell ref="B73:G74"/>
    <mergeCell ref="A89:A90"/>
    <mergeCell ref="H73:H74"/>
    <mergeCell ref="I75:I76"/>
    <mergeCell ref="A61:F61"/>
    <mergeCell ref="A66:A67"/>
    <mergeCell ref="L96:L97"/>
    <mergeCell ref="B22:G23"/>
    <mergeCell ref="H45:H46"/>
    <mergeCell ref="B36:G37"/>
    <mergeCell ref="B35:G35"/>
    <mergeCell ref="K170:K171"/>
    <mergeCell ref="L170:L171"/>
    <mergeCell ref="H170:H171"/>
    <mergeCell ref="I170:I171"/>
    <mergeCell ref="L168:L169"/>
    <mergeCell ref="M168:P169"/>
    <mergeCell ref="J168:J169"/>
    <mergeCell ref="A168:A169"/>
    <mergeCell ref="B168:G169"/>
    <mergeCell ref="I168:I169"/>
    <mergeCell ref="A147:A148"/>
    <mergeCell ref="B147:G147"/>
    <mergeCell ref="H147:H148"/>
    <mergeCell ref="I147:I148"/>
    <mergeCell ref="B148:G148"/>
    <mergeCell ref="A165:P165"/>
    <mergeCell ref="B167:G167"/>
    <mergeCell ref="K168:K169"/>
    <mergeCell ref="G164:I164"/>
    <mergeCell ref="M130:P130"/>
    <mergeCell ref="M131:P132"/>
    <mergeCell ref="R132:W132"/>
    <mergeCell ref="K175:K176"/>
    <mergeCell ref="J163:O163"/>
    <mergeCell ref="L175:L176"/>
    <mergeCell ref="J177:J178"/>
    <mergeCell ref="A175:A176"/>
    <mergeCell ref="B175:G176"/>
    <mergeCell ref="H175:H176"/>
    <mergeCell ref="I175:I176"/>
    <mergeCell ref="A177:A178"/>
    <mergeCell ref="B177:G178"/>
    <mergeCell ref="I177:I178"/>
    <mergeCell ref="M175:P176"/>
    <mergeCell ref="M170:P171"/>
    <mergeCell ref="M174:P174"/>
    <mergeCell ref="J170:J171"/>
    <mergeCell ref="B170:G171"/>
    <mergeCell ref="A170:A171"/>
    <mergeCell ref="M137:P137"/>
    <mergeCell ref="J138:J139"/>
    <mergeCell ref="A145:A146"/>
    <mergeCell ref="A124:A125"/>
    <mergeCell ref="G203:H203"/>
    <mergeCell ref="I203:J203"/>
    <mergeCell ref="G214:I214"/>
    <mergeCell ref="J214:O214"/>
    <mergeCell ref="M211:N211"/>
    <mergeCell ref="J211:L211"/>
    <mergeCell ref="F206:I206"/>
    <mergeCell ref="F207:I207"/>
    <mergeCell ref="K208:P208"/>
    <mergeCell ref="F201:K201"/>
    <mergeCell ref="G202:H202"/>
    <mergeCell ref="I202:J202"/>
    <mergeCell ref="B221:G222"/>
    <mergeCell ref="H221:H222"/>
    <mergeCell ref="B218:G218"/>
    <mergeCell ref="A214:F214"/>
    <mergeCell ref="A219:A220"/>
    <mergeCell ref="A126:A127"/>
    <mergeCell ref="B126:G127"/>
    <mergeCell ref="H126:H127"/>
    <mergeCell ref="I126:I127"/>
    <mergeCell ref="L133:L134"/>
    <mergeCell ref="J133:J134"/>
    <mergeCell ref="K133:K134"/>
    <mergeCell ref="I133:I134"/>
    <mergeCell ref="B137:G137"/>
    <mergeCell ref="M133:P134"/>
    <mergeCell ref="A131:A132"/>
    <mergeCell ref="B131:G132"/>
    <mergeCell ref="H131:H132"/>
    <mergeCell ref="I131:I132"/>
    <mergeCell ref="A133:A134"/>
    <mergeCell ref="B133:G134"/>
    <mergeCell ref="H133:H134"/>
    <mergeCell ref="H191:H192"/>
    <mergeCell ref="J189:J190"/>
    <mergeCell ref="L189:L190"/>
    <mergeCell ref="K191:K192"/>
    <mergeCell ref="L191:L192"/>
    <mergeCell ref="H189:H190"/>
    <mergeCell ref="I189:I190"/>
    <mergeCell ref="I191:I192"/>
    <mergeCell ref="K189:K190"/>
    <mergeCell ref="A191:A192"/>
    <mergeCell ref="J182:J183"/>
    <mergeCell ref="A182:A183"/>
    <mergeCell ref="B182:G183"/>
    <mergeCell ref="B188:G188"/>
    <mergeCell ref="B191:G192"/>
    <mergeCell ref="A184:A185"/>
    <mergeCell ref="J184:J185"/>
    <mergeCell ref="A189:A190"/>
    <mergeCell ref="B184:G185"/>
    <mergeCell ref="H184:H185"/>
    <mergeCell ref="I184:I185"/>
    <mergeCell ref="B189:G190"/>
    <mergeCell ref="A221:A222"/>
    <mergeCell ref="L198:L199"/>
    <mergeCell ref="M198:P199"/>
    <mergeCell ref="B199:G199"/>
    <mergeCell ref="J198:J199"/>
    <mergeCell ref="K198:K199"/>
    <mergeCell ref="B197:G197"/>
    <mergeCell ref="A228:A229"/>
    <mergeCell ref="B225:G225"/>
    <mergeCell ref="J235:J236"/>
    <mergeCell ref="K235:K236"/>
    <mergeCell ref="L235:L236"/>
    <mergeCell ref="K228:K229"/>
    <mergeCell ref="J226:J227"/>
    <mergeCell ref="K226:K227"/>
    <mergeCell ref="A240:A241"/>
    <mergeCell ref="B240:G241"/>
    <mergeCell ref="H240:H241"/>
    <mergeCell ref="A235:A236"/>
    <mergeCell ref="B235:G236"/>
    <mergeCell ref="B239:G239"/>
    <mergeCell ref="K219:K220"/>
    <mergeCell ref="J221:J222"/>
    <mergeCell ref="H233:H234"/>
    <mergeCell ref="K221:K222"/>
    <mergeCell ref="I221:I222"/>
    <mergeCell ref="I228:I229"/>
    <mergeCell ref="J228:J229"/>
    <mergeCell ref="J219:J220"/>
    <mergeCell ref="I219:I220"/>
    <mergeCell ref="I226:I227"/>
    <mergeCell ref="B219:G220"/>
    <mergeCell ref="H219:H220"/>
    <mergeCell ref="A216:P216"/>
    <mergeCell ref="J240:J241"/>
    <mergeCell ref="K240:K241"/>
    <mergeCell ref="M240:P241"/>
    <mergeCell ref="L240:L241"/>
    <mergeCell ref="I235:I236"/>
    <mergeCell ref="H235:H236"/>
    <mergeCell ref="I240:I241"/>
    <mergeCell ref="B195:G195"/>
    <mergeCell ref="M195:P195"/>
    <mergeCell ref="M218:P218"/>
    <mergeCell ref="L196:L197"/>
    <mergeCell ref="M196:P197"/>
    <mergeCell ref="K196:K197"/>
    <mergeCell ref="I196:I197"/>
    <mergeCell ref="J196:J197"/>
    <mergeCell ref="I198:I199"/>
    <mergeCell ref="M209:P209"/>
    <mergeCell ref="M279:P280"/>
    <mergeCell ref="J279:J280"/>
    <mergeCell ref="J277:J278"/>
    <mergeCell ref="K277:K278"/>
    <mergeCell ref="L277:L278"/>
    <mergeCell ref="B248:G248"/>
    <mergeCell ref="J265:O265"/>
    <mergeCell ref="B269:G269"/>
    <mergeCell ref="A265:F265"/>
    <mergeCell ref="M269:P269"/>
    <mergeCell ref="G265:I265"/>
    <mergeCell ref="K279:K280"/>
    <mergeCell ref="M276:P276"/>
    <mergeCell ref="I279:I280"/>
    <mergeCell ref="A242:A243"/>
    <mergeCell ref="H247:H248"/>
    <mergeCell ref="J247:J248"/>
    <mergeCell ref="K242:K243"/>
    <mergeCell ref="B246:G246"/>
    <mergeCell ref="B242:G243"/>
    <mergeCell ref="H242:H243"/>
    <mergeCell ref="I242:I243"/>
    <mergeCell ref="J233:J234"/>
    <mergeCell ref="K233:K234"/>
    <mergeCell ref="I233:I234"/>
    <mergeCell ref="J242:J243"/>
    <mergeCell ref="K247:K248"/>
    <mergeCell ref="I247:I248"/>
    <mergeCell ref="M260:P260"/>
    <mergeCell ref="F252:K252"/>
    <mergeCell ref="G253:H253"/>
    <mergeCell ref="M262:N262"/>
    <mergeCell ref="G254:H254"/>
    <mergeCell ref="I254:J254"/>
    <mergeCell ref="J262:L262"/>
    <mergeCell ref="K259:P259"/>
    <mergeCell ref="J270:J271"/>
    <mergeCell ref="M270:P271"/>
    <mergeCell ref="A249:A250"/>
    <mergeCell ref="B249:G249"/>
    <mergeCell ref="H249:H250"/>
    <mergeCell ref="I253:J253"/>
    <mergeCell ref="B250:G250"/>
    <mergeCell ref="K249:K250"/>
    <mergeCell ref="J249:J250"/>
    <mergeCell ref="I249:I250"/>
    <mergeCell ref="L249:L250"/>
    <mergeCell ref="A270:A271"/>
    <mergeCell ref="K270:K271"/>
    <mergeCell ref="M242:P243"/>
    <mergeCell ref="M246:P246"/>
    <mergeCell ref="B270:G271"/>
    <mergeCell ref="H270:H271"/>
    <mergeCell ref="I270:I271"/>
    <mergeCell ref="A267:P267"/>
    <mergeCell ref="L270:L271"/>
    <mergeCell ref="A247:A248"/>
    <mergeCell ref="B247:G247"/>
    <mergeCell ref="A226:A227"/>
    <mergeCell ref="B226:G227"/>
    <mergeCell ref="H226:H227"/>
    <mergeCell ref="R234:W234"/>
    <mergeCell ref="X234:Y234"/>
    <mergeCell ref="A291:A292"/>
    <mergeCell ref="B291:G292"/>
    <mergeCell ref="H291:H292"/>
    <mergeCell ref="A298:A299"/>
    <mergeCell ref="B298:G298"/>
    <mergeCell ref="B297:G297"/>
    <mergeCell ref="M272:P273"/>
    <mergeCell ref="A300:A301"/>
    <mergeCell ref="B300:G300"/>
    <mergeCell ref="B301:G301"/>
    <mergeCell ref="K293:K294"/>
    <mergeCell ref="L293:L294"/>
    <mergeCell ref="L298:L299"/>
    <mergeCell ref="H298:H299"/>
    <mergeCell ref="A293:A294"/>
    <mergeCell ref="B293:G294"/>
    <mergeCell ref="H300:H301"/>
    <mergeCell ref="I300:I301"/>
    <mergeCell ref="L300:L301"/>
    <mergeCell ref="J300:J301"/>
    <mergeCell ref="K300:K301"/>
    <mergeCell ref="L272:L273"/>
    <mergeCell ref="L286:L287"/>
    <mergeCell ref="A272:A273"/>
    <mergeCell ref="B272:G273"/>
    <mergeCell ref="H272:H273"/>
    <mergeCell ref="I272:I273"/>
    <mergeCell ref="K272:K273"/>
    <mergeCell ref="B276:G276"/>
    <mergeCell ref="J272:J273"/>
    <mergeCell ref="A279:A280"/>
    <mergeCell ref="A277:A278"/>
    <mergeCell ref="B277:G278"/>
    <mergeCell ref="H277:H278"/>
    <mergeCell ref="I277:I278"/>
    <mergeCell ref="B279:G280"/>
    <mergeCell ref="H279:H280"/>
    <mergeCell ref="A286:A287"/>
    <mergeCell ref="B286:G287"/>
    <mergeCell ref="M284:P285"/>
    <mergeCell ref="J284:J285"/>
    <mergeCell ref="K284:K285"/>
    <mergeCell ref="L284:L285"/>
    <mergeCell ref="H284:H285"/>
    <mergeCell ref="I284:I285"/>
    <mergeCell ref="A284:A285"/>
    <mergeCell ref="B284:G285"/>
    <mergeCell ref="B283:G283"/>
    <mergeCell ref="M277:P278"/>
    <mergeCell ref="M298:P299"/>
    <mergeCell ref="M283:P283"/>
    <mergeCell ref="L279:L280"/>
    <mergeCell ref="M291:P292"/>
    <mergeCell ref="M293:P294"/>
    <mergeCell ref="M300:P301"/>
    <mergeCell ref="H293:H294"/>
    <mergeCell ref="B299:G299"/>
    <mergeCell ref="J291:J292"/>
    <mergeCell ref="K291:K292"/>
    <mergeCell ref="I291:I292"/>
    <mergeCell ref="L291:L292"/>
    <mergeCell ref="A344:A345"/>
    <mergeCell ref="B344:G345"/>
    <mergeCell ref="H344:H345"/>
    <mergeCell ref="A342:A343"/>
    <mergeCell ref="B342:G343"/>
    <mergeCell ref="H323:H324"/>
    <mergeCell ref="I321:I322"/>
    <mergeCell ref="J313:L313"/>
    <mergeCell ref="G317:I317"/>
    <mergeCell ref="B320:G320"/>
    <mergeCell ref="M320:P320"/>
    <mergeCell ref="D313:G313"/>
    <mergeCell ref="M313:N313"/>
    <mergeCell ref="M323:P324"/>
    <mergeCell ref="F309:I309"/>
    <mergeCell ref="K310:P310"/>
    <mergeCell ref="L323:L324"/>
    <mergeCell ref="K323:K324"/>
    <mergeCell ref="K321:K322"/>
    <mergeCell ref="A316:F316"/>
    <mergeCell ref="J316:O316"/>
    <mergeCell ref="G316:I316"/>
    <mergeCell ref="A318:P318"/>
    <mergeCell ref="L321:L322"/>
    <mergeCell ref="F303:K303"/>
    <mergeCell ref="G304:H304"/>
    <mergeCell ref="I304:J304"/>
    <mergeCell ref="G305:H305"/>
    <mergeCell ref="I305:J305"/>
    <mergeCell ref="F308:I308"/>
    <mergeCell ref="L328:L329"/>
    <mergeCell ref="A328:A329"/>
    <mergeCell ref="B328:G329"/>
    <mergeCell ref="H328:H329"/>
    <mergeCell ref="I328:I329"/>
    <mergeCell ref="M327:P327"/>
    <mergeCell ref="M328:P329"/>
    <mergeCell ref="B327:G327"/>
    <mergeCell ref="A323:A324"/>
    <mergeCell ref="B323:G324"/>
    <mergeCell ref="B321:G322"/>
    <mergeCell ref="J328:J329"/>
    <mergeCell ref="K328:K329"/>
    <mergeCell ref="H321:H322"/>
    <mergeCell ref="J321:J322"/>
    <mergeCell ref="A321:A322"/>
    <mergeCell ref="J323:J324"/>
    <mergeCell ref="I323:I324"/>
    <mergeCell ref="J330:J331"/>
    <mergeCell ref="J344:J345"/>
    <mergeCell ref="A330:A331"/>
    <mergeCell ref="I330:I331"/>
    <mergeCell ref="B341:G341"/>
    <mergeCell ref="J335:J336"/>
    <mergeCell ref="I335:I336"/>
    <mergeCell ref="J337:J338"/>
    <mergeCell ref="M344:P345"/>
    <mergeCell ref="J342:J343"/>
    <mergeCell ref="M335:P336"/>
    <mergeCell ref="M341:P341"/>
    <mergeCell ref="L335:L336"/>
    <mergeCell ref="M337:P338"/>
    <mergeCell ref="K335:K336"/>
    <mergeCell ref="L344:L345"/>
    <mergeCell ref="M334:P334"/>
    <mergeCell ref="M330:P331"/>
    <mergeCell ref="F359:I359"/>
    <mergeCell ref="F360:I360"/>
    <mergeCell ref="B352:G352"/>
    <mergeCell ref="B372:G373"/>
    <mergeCell ref="H372:H373"/>
    <mergeCell ref="B330:G331"/>
    <mergeCell ref="H330:H331"/>
    <mergeCell ref="A369:P369"/>
    <mergeCell ref="A337:A338"/>
    <mergeCell ref="B337:G338"/>
    <mergeCell ref="A335:A336"/>
    <mergeCell ref="M402:P403"/>
    <mergeCell ref="J402:J403"/>
    <mergeCell ref="K395:K396"/>
    <mergeCell ref="J395:J396"/>
    <mergeCell ref="L395:L396"/>
    <mergeCell ref="M395:P396"/>
    <mergeCell ref="M400:P401"/>
    <mergeCell ref="L402:L403"/>
    <mergeCell ref="L400:L401"/>
    <mergeCell ref="J400:J401"/>
    <mergeCell ref="B400:G400"/>
    <mergeCell ref="B388:G389"/>
    <mergeCell ref="H388:H389"/>
    <mergeCell ref="I388:I389"/>
    <mergeCell ref="I381:I382"/>
    <mergeCell ref="K374:K375"/>
    <mergeCell ref="L388:L389"/>
    <mergeCell ref="A402:A403"/>
    <mergeCell ref="B402:G402"/>
    <mergeCell ref="H402:H403"/>
    <mergeCell ref="H400:H401"/>
    <mergeCell ref="B403:G403"/>
    <mergeCell ref="J364:L364"/>
    <mergeCell ref="J374:J375"/>
    <mergeCell ref="M379:P380"/>
    <mergeCell ref="J379:J380"/>
    <mergeCell ref="K379:K380"/>
    <mergeCell ref="L374:L375"/>
    <mergeCell ref="M374:P375"/>
    <mergeCell ref="M378:P378"/>
    <mergeCell ref="M385:P385"/>
    <mergeCell ref="J381:J382"/>
    <mergeCell ref="K381:K382"/>
    <mergeCell ref="L381:L382"/>
    <mergeCell ref="M381:P382"/>
    <mergeCell ref="A374:A375"/>
    <mergeCell ref="B374:G375"/>
    <mergeCell ref="H374:H375"/>
    <mergeCell ref="I374:I375"/>
    <mergeCell ref="A379:A380"/>
    <mergeCell ref="B379:G380"/>
    <mergeCell ref="H379:H380"/>
    <mergeCell ref="I379:I380"/>
    <mergeCell ref="L379:L380"/>
    <mergeCell ref="A386:A387"/>
    <mergeCell ref="Z354:Z355"/>
    <mergeCell ref="S353:X353"/>
    <mergeCell ref="AD353:AF353"/>
    <mergeCell ref="AD354:AF355"/>
    <mergeCell ref="AB354:AB355"/>
    <mergeCell ref="AC354:AC355"/>
    <mergeCell ref="AA354:AA355"/>
    <mergeCell ref="A349:A350"/>
    <mergeCell ref="B349:G349"/>
    <mergeCell ref="B350:G350"/>
    <mergeCell ref="R354:R355"/>
    <mergeCell ref="S354:X355"/>
    <mergeCell ref="Y354:Y355"/>
    <mergeCell ref="A351:A352"/>
    <mergeCell ref="B351:G351"/>
    <mergeCell ref="F354:K354"/>
    <mergeCell ref="G355:H355"/>
    <mergeCell ref="K372:K373"/>
    <mergeCell ref="A372:A373"/>
    <mergeCell ref="J372:J373"/>
    <mergeCell ref="I355:J355"/>
    <mergeCell ref="J351:J352"/>
    <mergeCell ref="D364:G364"/>
    <mergeCell ref="K351:K352"/>
    <mergeCell ref="G356:H356"/>
    <mergeCell ref="I356:J356"/>
    <mergeCell ref="H351:H352"/>
    <mergeCell ref="I351:I352"/>
    <mergeCell ref="A367:F367"/>
    <mergeCell ref="J367:O367"/>
    <mergeCell ref="G367:I367"/>
    <mergeCell ref="L351:L352"/>
    <mergeCell ref="M351:P352"/>
    <mergeCell ref="M371:P371"/>
    <mergeCell ref="G368:I368"/>
    <mergeCell ref="M372:P373"/>
    <mergeCell ref="R350:W350"/>
    <mergeCell ref="X350:Y350"/>
    <mergeCell ref="Z350:AE350"/>
    <mergeCell ref="X373:Y373"/>
    <mergeCell ref="L372:L373"/>
    <mergeCell ref="K361:P361"/>
    <mergeCell ref="M362:P362"/>
    <mergeCell ref="B386:G387"/>
    <mergeCell ref="H386:H387"/>
    <mergeCell ref="I386:I387"/>
    <mergeCell ref="A381:A382"/>
    <mergeCell ref="B381:G382"/>
    <mergeCell ref="B385:G385"/>
    <mergeCell ref="L386:L387"/>
    <mergeCell ref="M386:P387"/>
    <mergeCell ref="B399:G399"/>
    <mergeCell ref="J386:J387"/>
    <mergeCell ref="K386:K387"/>
    <mergeCell ref="J388:J389"/>
    <mergeCell ref="K388:K389"/>
    <mergeCell ref="K393:K394"/>
    <mergeCell ref="L393:L394"/>
    <mergeCell ref="A393:A394"/>
    <mergeCell ref="B393:G394"/>
    <mergeCell ref="J393:J394"/>
    <mergeCell ref="A388:A389"/>
    <mergeCell ref="I393:I394"/>
    <mergeCell ref="B392:G392"/>
    <mergeCell ref="R387:W387"/>
    <mergeCell ref="X387:Y387"/>
    <mergeCell ref="I407:J407"/>
    <mergeCell ref="K400:K401"/>
    <mergeCell ref="K402:K403"/>
    <mergeCell ref="G407:H407"/>
    <mergeCell ref="A395:A396"/>
    <mergeCell ref="B395:G396"/>
    <mergeCell ref="H395:H396"/>
    <mergeCell ref="I395:I396"/>
    <mergeCell ref="B401:G401"/>
    <mergeCell ref="A400:A401"/>
    <mergeCell ref="R401:W401"/>
    <mergeCell ref="X401:Y401"/>
    <mergeCell ref="M413:P413"/>
    <mergeCell ref="G418:I418"/>
    <mergeCell ref="A418:F418"/>
    <mergeCell ref="A420:P420"/>
    <mergeCell ref="J415:L415"/>
    <mergeCell ref="M415:N415"/>
    <mergeCell ref="G419:I419"/>
    <mergeCell ref="D415:G415"/>
    <mergeCell ref="I453:I454"/>
    <mergeCell ref="J453:J454"/>
    <mergeCell ref="H453:H454"/>
    <mergeCell ref="K444:K445"/>
    <mergeCell ref="J444:J445"/>
    <mergeCell ref="L444:L445"/>
    <mergeCell ref="B450:G450"/>
    <mergeCell ref="M450:P450"/>
    <mergeCell ref="M451:P452"/>
    <mergeCell ref="J446:J447"/>
    <mergeCell ref="K446:K447"/>
    <mergeCell ref="I446:I447"/>
    <mergeCell ref="I451:I452"/>
    <mergeCell ref="J451:J452"/>
    <mergeCell ref="K451:K452"/>
    <mergeCell ref="L451:L452"/>
    <mergeCell ref="M446:P447"/>
    <mergeCell ref="L446:L447"/>
    <mergeCell ref="L453:L454"/>
    <mergeCell ref="M453:P454"/>
    <mergeCell ref="B454:G454"/>
    <mergeCell ref="A425:A426"/>
    <mergeCell ref="B425:G426"/>
    <mergeCell ref="H425:H426"/>
    <mergeCell ref="I425:I426"/>
    <mergeCell ref="B452:G452"/>
    <mergeCell ref="B453:G453"/>
    <mergeCell ref="A451:A452"/>
    <mergeCell ref="B451:G451"/>
    <mergeCell ref="A453:A454"/>
    <mergeCell ref="H451:H452"/>
    <mergeCell ref="B429:G429"/>
    <mergeCell ref="M429:P429"/>
    <mergeCell ref="A446:A447"/>
    <mergeCell ref="B446:G447"/>
    <mergeCell ref="H446:H447"/>
    <mergeCell ref="A444:A445"/>
    <mergeCell ref="B444:G445"/>
    <mergeCell ref="H444:H445"/>
    <mergeCell ref="I444:I445"/>
    <mergeCell ref="M444:P445"/>
    <mergeCell ref="B443:G443"/>
    <mergeCell ref="M443:P443"/>
    <mergeCell ref="K425:K426"/>
    <mergeCell ref="L425:L426"/>
    <mergeCell ref="M425:P426"/>
    <mergeCell ref="A423:A424"/>
    <mergeCell ref="B423:G424"/>
    <mergeCell ref="H423:H424"/>
    <mergeCell ref="I423:I424"/>
    <mergeCell ref="J418:O418"/>
    <mergeCell ref="B422:G422"/>
    <mergeCell ref="M422:P422"/>
    <mergeCell ref="L432:L433"/>
    <mergeCell ref="M432:P433"/>
    <mergeCell ref="L430:L431"/>
    <mergeCell ref="I430:I431"/>
    <mergeCell ref="A432:A433"/>
    <mergeCell ref="B432:G433"/>
    <mergeCell ref="H432:H433"/>
    <mergeCell ref="I432:I433"/>
    <mergeCell ref="M430:P431"/>
    <mergeCell ref="A430:A431"/>
    <mergeCell ref="B430:G431"/>
    <mergeCell ref="J430:J431"/>
    <mergeCell ref="K430:K431"/>
    <mergeCell ref="J432:J433"/>
    <mergeCell ref="B436:G436"/>
    <mergeCell ref="H430:H431"/>
    <mergeCell ref="M436:P436"/>
    <mergeCell ref="J437:J438"/>
    <mergeCell ref="K437:K438"/>
    <mergeCell ref="M439:P440"/>
    <mergeCell ref="L437:L438"/>
    <mergeCell ref="I437:I438"/>
    <mergeCell ref="M437:P438"/>
    <mergeCell ref="J439:J440"/>
    <mergeCell ref="A437:A438"/>
    <mergeCell ref="B437:G438"/>
    <mergeCell ref="H437:H438"/>
    <mergeCell ref="B439:G440"/>
    <mergeCell ref="H439:H440"/>
    <mergeCell ref="I439:I440"/>
    <mergeCell ref="K439:K440"/>
    <mergeCell ref="L439:L440"/>
    <mergeCell ref="A439:A440"/>
    <mergeCell ref="M423:P424"/>
    <mergeCell ref="J423:J424"/>
    <mergeCell ref="K423:K424"/>
    <mergeCell ref="L423:L424"/>
    <mergeCell ref="K432:K433"/>
    <mergeCell ref="K463:P463"/>
    <mergeCell ref="R456:R457"/>
    <mergeCell ref="R481:R482"/>
    <mergeCell ref="S481:X482"/>
    <mergeCell ref="R479:R480"/>
    <mergeCell ref="R475:W475"/>
    <mergeCell ref="X475:Y475"/>
    <mergeCell ref="R458:R459"/>
    <mergeCell ref="S458:X459"/>
    <mergeCell ref="Y481:Y482"/>
    <mergeCell ref="B473:G473"/>
    <mergeCell ref="I457:J457"/>
    <mergeCell ref="G470:I470"/>
    <mergeCell ref="G458:H458"/>
    <mergeCell ref="I458:J458"/>
    <mergeCell ref="A469:F469"/>
    <mergeCell ref="J469:O469"/>
    <mergeCell ref="M464:P464"/>
    <mergeCell ref="F461:I461"/>
    <mergeCell ref="F462:I462"/>
    <mergeCell ref="S478:X478"/>
    <mergeCell ref="M474:P475"/>
    <mergeCell ref="A471:P471"/>
    <mergeCell ref="L474:L475"/>
    <mergeCell ref="J474:J475"/>
    <mergeCell ref="K474:K475"/>
    <mergeCell ref="H474:H475"/>
    <mergeCell ref="A474:A475"/>
    <mergeCell ref="B474:G475"/>
    <mergeCell ref="I474:I475"/>
    <mergeCell ref="A476:A477"/>
    <mergeCell ref="B476:G477"/>
    <mergeCell ref="H476:H477"/>
    <mergeCell ref="I476:I477"/>
    <mergeCell ref="L476:L477"/>
    <mergeCell ref="M476:P477"/>
    <mergeCell ref="A481:A482"/>
    <mergeCell ref="B481:G482"/>
    <mergeCell ref="B480:G480"/>
    <mergeCell ref="Y479:Y480"/>
    <mergeCell ref="M480:P480"/>
    <mergeCell ref="M473:P473"/>
    <mergeCell ref="G469:I469"/>
    <mergeCell ref="F456:K456"/>
    <mergeCell ref="G457:H457"/>
    <mergeCell ref="K481:K482"/>
    <mergeCell ref="M481:P482"/>
    <mergeCell ref="J476:J477"/>
    <mergeCell ref="K476:K477"/>
    <mergeCell ref="L481:L482"/>
    <mergeCell ref="I525:I526"/>
    <mergeCell ref="J525:J526"/>
    <mergeCell ref="S529:X529"/>
    <mergeCell ref="M532:P533"/>
    <mergeCell ref="L532:L533"/>
    <mergeCell ref="M490:P491"/>
    <mergeCell ref="L488:L489"/>
    <mergeCell ref="M488:P489"/>
    <mergeCell ref="M487:P487"/>
    <mergeCell ref="L490:L491"/>
    <mergeCell ref="A483:A484"/>
    <mergeCell ref="B483:G484"/>
    <mergeCell ref="B490:G491"/>
    <mergeCell ref="H490:H491"/>
    <mergeCell ref="I490:I491"/>
    <mergeCell ref="J490:J491"/>
    <mergeCell ref="K490:K491"/>
    <mergeCell ref="J483:J484"/>
    <mergeCell ref="K483:K484"/>
    <mergeCell ref="J488:J489"/>
    <mergeCell ref="K488:K489"/>
    <mergeCell ref="A488:A489"/>
    <mergeCell ref="B488:G489"/>
    <mergeCell ref="H488:H489"/>
    <mergeCell ref="I488:I489"/>
    <mergeCell ref="M501:P501"/>
    <mergeCell ref="K497:K498"/>
    <mergeCell ref="M497:P498"/>
    <mergeCell ref="L497:L498"/>
    <mergeCell ref="M494:P494"/>
    <mergeCell ref="J495:J496"/>
    <mergeCell ref="D466:G466"/>
    <mergeCell ref="H481:H482"/>
    <mergeCell ref="I481:I482"/>
    <mergeCell ref="A495:A496"/>
    <mergeCell ref="B495:G496"/>
    <mergeCell ref="H495:H496"/>
    <mergeCell ref="I495:I496"/>
    <mergeCell ref="B494:G494"/>
    <mergeCell ref="B487:G487"/>
    <mergeCell ref="A490:A491"/>
    <mergeCell ref="H483:H484"/>
    <mergeCell ref="I483:I484"/>
    <mergeCell ref="L483:L484"/>
    <mergeCell ref="M483:P484"/>
    <mergeCell ref="F512:I512"/>
    <mergeCell ref="F513:I513"/>
    <mergeCell ref="I502:I503"/>
    <mergeCell ref="M495:P496"/>
    <mergeCell ref="K495:K496"/>
    <mergeCell ref="L495:L496"/>
    <mergeCell ref="J497:J498"/>
    <mergeCell ref="A576:A577"/>
    <mergeCell ref="B576:G577"/>
    <mergeCell ref="M541:P542"/>
    <mergeCell ref="H553:H554"/>
    <mergeCell ref="K553:K554"/>
    <mergeCell ref="D517:G517"/>
    <mergeCell ref="A522:P522"/>
    <mergeCell ref="J532:J533"/>
    <mergeCell ref="K532:K533"/>
    <mergeCell ref="R532:R533"/>
    <mergeCell ref="J534:J535"/>
    <mergeCell ref="K534:K535"/>
    <mergeCell ref="H527:H528"/>
    <mergeCell ref="M527:P528"/>
    <mergeCell ref="I532:I533"/>
    <mergeCell ref="B501:G501"/>
    <mergeCell ref="K504:K505"/>
    <mergeCell ref="L504:L505"/>
    <mergeCell ref="M504:P505"/>
    <mergeCell ref="B504:G504"/>
    <mergeCell ref="I504:I505"/>
    <mergeCell ref="M502:P503"/>
    <mergeCell ref="J504:J505"/>
    <mergeCell ref="J502:J503"/>
    <mergeCell ref="B505:G505"/>
    <mergeCell ref="A497:A498"/>
    <mergeCell ref="B497:G498"/>
    <mergeCell ref="H497:H498"/>
    <mergeCell ref="I497:I498"/>
    <mergeCell ref="A504:A505"/>
    <mergeCell ref="B503:G503"/>
    <mergeCell ref="A502:A503"/>
    <mergeCell ref="B502:G502"/>
    <mergeCell ref="H502:H503"/>
    <mergeCell ref="H504:H505"/>
    <mergeCell ref="M524:P524"/>
    <mergeCell ref="G520:I520"/>
    <mergeCell ref="A520:F520"/>
    <mergeCell ref="J520:O520"/>
    <mergeCell ref="B524:G524"/>
    <mergeCell ref="G521:I521"/>
    <mergeCell ref="K502:K503"/>
    <mergeCell ref="L502:L503"/>
    <mergeCell ref="I508:J508"/>
    <mergeCell ref="G509:H509"/>
    <mergeCell ref="I509:J509"/>
    <mergeCell ref="F507:K507"/>
    <mergeCell ref="G508:H508"/>
    <mergeCell ref="L527:L528"/>
    <mergeCell ref="B525:G526"/>
    <mergeCell ref="M525:P526"/>
    <mergeCell ref="R530:R531"/>
    <mergeCell ref="B531:G531"/>
    <mergeCell ref="M531:P531"/>
    <mergeCell ref="J527:J528"/>
    <mergeCell ref="B527:G528"/>
    <mergeCell ref="A527:A528"/>
    <mergeCell ref="K525:K526"/>
    <mergeCell ref="L525:L526"/>
    <mergeCell ref="R526:W526"/>
    <mergeCell ref="K527:K528"/>
    <mergeCell ref="I527:I528"/>
    <mergeCell ref="A525:A526"/>
    <mergeCell ref="H525:H526"/>
    <mergeCell ref="G571:I571"/>
    <mergeCell ref="A571:F571"/>
    <mergeCell ref="J571:O571"/>
    <mergeCell ref="G572:I572"/>
    <mergeCell ref="M568:N568"/>
    <mergeCell ref="R577:W577"/>
    <mergeCell ref="X577:Y577"/>
    <mergeCell ref="K576:K577"/>
    <mergeCell ref="L576:L577"/>
    <mergeCell ref="K578:K579"/>
    <mergeCell ref="L578:L579"/>
    <mergeCell ref="M578:P579"/>
    <mergeCell ref="R581:R582"/>
    <mergeCell ref="H576:H577"/>
    <mergeCell ref="I576:I577"/>
    <mergeCell ref="J576:J577"/>
    <mergeCell ref="B578:G579"/>
    <mergeCell ref="H578:H579"/>
    <mergeCell ref="I578:I579"/>
    <mergeCell ref="J578:J579"/>
    <mergeCell ref="J553:J554"/>
    <mergeCell ref="M553:P554"/>
    <mergeCell ref="M576:P577"/>
    <mergeCell ref="A578:A579"/>
    <mergeCell ref="S546:X547"/>
    <mergeCell ref="Y546:Y547"/>
    <mergeCell ref="A534:A535"/>
    <mergeCell ref="B534:G535"/>
    <mergeCell ref="H534:H535"/>
    <mergeCell ref="I534:I535"/>
    <mergeCell ref="A532:A533"/>
    <mergeCell ref="B532:G533"/>
    <mergeCell ref="H532:H533"/>
    <mergeCell ref="S532:X533"/>
    <mergeCell ref="L534:L535"/>
    <mergeCell ref="M534:P535"/>
    <mergeCell ref="R540:W540"/>
    <mergeCell ref="L539:L540"/>
    <mergeCell ref="M538:P538"/>
    <mergeCell ref="X540:Y540"/>
    <mergeCell ref="Y532:Y533"/>
    <mergeCell ref="M539:P540"/>
    <mergeCell ref="I539:I540"/>
    <mergeCell ref="K539:K540"/>
    <mergeCell ref="J539:J540"/>
    <mergeCell ref="K548:K549"/>
    <mergeCell ref="M545:P545"/>
    <mergeCell ref="A541:A542"/>
    <mergeCell ref="B541:G542"/>
    <mergeCell ref="H541:H542"/>
    <mergeCell ref="K541:K542"/>
    <mergeCell ref="I541:I542"/>
    <mergeCell ref="L541:L542"/>
    <mergeCell ref="J541:J542"/>
    <mergeCell ref="A548:A549"/>
    <mergeCell ref="A546:A547"/>
    <mergeCell ref="B546:G547"/>
    <mergeCell ref="I546:I547"/>
    <mergeCell ref="B538:G538"/>
    <mergeCell ref="H546:H547"/>
    <mergeCell ref="A539:A540"/>
    <mergeCell ref="B539:G540"/>
    <mergeCell ref="H539:H540"/>
    <mergeCell ref="B545:G545"/>
    <mergeCell ref="L553:L554"/>
    <mergeCell ref="A553:A554"/>
    <mergeCell ref="B553:G553"/>
    <mergeCell ref="A555:A556"/>
    <mergeCell ref="I553:I554"/>
    <mergeCell ref="I555:I556"/>
    <mergeCell ref="B554:G554"/>
    <mergeCell ref="M552:P552"/>
    <mergeCell ref="L546:L547"/>
    <mergeCell ref="M546:P547"/>
    <mergeCell ref="M548:P549"/>
    <mergeCell ref="L548:L549"/>
    <mergeCell ref="B552:G552"/>
    <mergeCell ref="B548:G549"/>
    <mergeCell ref="H548:H549"/>
    <mergeCell ref="I548:I549"/>
    <mergeCell ref="L555:L556"/>
    <mergeCell ref="J555:J556"/>
    <mergeCell ref="K555:K556"/>
    <mergeCell ref="B556:G556"/>
    <mergeCell ref="B555:G555"/>
    <mergeCell ref="H555:H556"/>
    <mergeCell ref="B648:G649"/>
    <mergeCell ref="L648:L649"/>
    <mergeCell ref="I648:I649"/>
    <mergeCell ref="B627:G628"/>
    <mergeCell ref="M626:P626"/>
    <mergeCell ref="G622:I622"/>
    <mergeCell ref="A622:F622"/>
    <mergeCell ref="B626:G626"/>
    <mergeCell ref="M619:N619"/>
    <mergeCell ref="D619:G619"/>
    <mergeCell ref="H627:H628"/>
    <mergeCell ref="I627:I628"/>
    <mergeCell ref="A627:A628"/>
    <mergeCell ref="I597:I598"/>
    <mergeCell ref="L592:L593"/>
    <mergeCell ref="H599:H600"/>
    <mergeCell ref="M596:P596"/>
    <mergeCell ref="J590:J591"/>
    <mergeCell ref="K590:K591"/>
    <mergeCell ref="I599:I600"/>
    <mergeCell ref="K597:K598"/>
    <mergeCell ref="J597:J598"/>
    <mergeCell ref="L606:L607"/>
    <mergeCell ref="M606:P607"/>
    <mergeCell ref="F609:K609"/>
    <mergeCell ref="M585:P586"/>
    <mergeCell ref="L599:L600"/>
    <mergeCell ref="B597:G598"/>
    <mergeCell ref="L597:L598"/>
    <mergeCell ref="M597:P598"/>
    <mergeCell ref="K592:K593"/>
    <mergeCell ref="G559:H559"/>
    <mergeCell ref="D568:G568"/>
    <mergeCell ref="F558:K558"/>
    <mergeCell ref="G560:H560"/>
    <mergeCell ref="I559:J559"/>
    <mergeCell ref="J592:J593"/>
    <mergeCell ref="B589:G589"/>
    <mergeCell ref="J585:J586"/>
    <mergeCell ref="B575:G575"/>
    <mergeCell ref="M575:P575"/>
    <mergeCell ref="A573:P573"/>
    <mergeCell ref="K648:K649"/>
    <mergeCell ref="J648:J649"/>
    <mergeCell ref="L650:L651"/>
    <mergeCell ref="A648:A649"/>
    <mergeCell ref="B647:G647"/>
    <mergeCell ref="A643:A644"/>
    <mergeCell ref="B643:G644"/>
    <mergeCell ref="S595:X596"/>
    <mergeCell ref="Y595:Y596"/>
    <mergeCell ref="Z595:Z596"/>
    <mergeCell ref="AB595:AB596"/>
    <mergeCell ref="AA595:AA596"/>
    <mergeCell ref="R611:R612"/>
    <mergeCell ref="S611:X612"/>
    <mergeCell ref="Z581:Z582"/>
    <mergeCell ref="AC581:AC582"/>
    <mergeCell ref="A583:A584"/>
    <mergeCell ref="A599:A600"/>
    <mergeCell ref="B599:G600"/>
    <mergeCell ref="R591:W591"/>
    <mergeCell ref="X591:Y591"/>
    <mergeCell ref="Z591:AE591"/>
    <mergeCell ref="AD595:AF596"/>
    <mergeCell ref="R595:R596"/>
    <mergeCell ref="A585:A586"/>
    <mergeCell ref="B585:G586"/>
    <mergeCell ref="H585:H586"/>
    <mergeCell ref="I585:I586"/>
    <mergeCell ref="AD581:AF582"/>
    <mergeCell ref="AA581:AA582"/>
    <mergeCell ref="AB581:AB582"/>
    <mergeCell ref="B583:G584"/>
    <mergeCell ref="H583:H584"/>
    <mergeCell ref="I583:I584"/>
    <mergeCell ref="K606:K607"/>
    <mergeCell ref="AD583:AF584"/>
    <mergeCell ref="B582:G582"/>
    <mergeCell ref="M582:P582"/>
    <mergeCell ref="Y581:Y582"/>
    <mergeCell ref="A590:A591"/>
    <mergeCell ref="B590:G591"/>
    <mergeCell ref="H590:H591"/>
    <mergeCell ref="K585:K586"/>
    <mergeCell ref="L585:L586"/>
    <mergeCell ref="M589:P589"/>
    <mergeCell ref="I590:I591"/>
    <mergeCell ref="M590:P591"/>
    <mergeCell ref="L590:L591"/>
    <mergeCell ref="M592:P593"/>
    <mergeCell ref="B596:G596"/>
    <mergeCell ref="H597:H598"/>
    <mergeCell ref="J583:J584"/>
    <mergeCell ref="K583:K584"/>
    <mergeCell ref="L583:L584"/>
    <mergeCell ref="M583:P584"/>
    <mergeCell ref="S581:X582"/>
    <mergeCell ref="I611:J611"/>
    <mergeCell ref="G623:I623"/>
    <mergeCell ref="G611:H611"/>
    <mergeCell ref="M629:P630"/>
    <mergeCell ref="M617:P617"/>
    <mergeCell ref="M633:P633"/>
    <mergeCell ref="M627:P628"/>
    <mergeCell ref="J622:O622"/>
    <mergeCell ref="F615:I615"/>
    <mergeCell ref="K616:P616"/>
    <mergeCell ref="K634:K635"/>
    <mergeCell ref="A634:A635"/>
    <mergeCell ref="B634:G635"/>
    <mergeCell ref="H634:H635"/>
    <mergeCell ref="A636:A637"/>
    <mergeCell ref="B636:G637"/>
    <mergeCell ref="L636:L637"/>
    <mergeCell ref="M636:P637"/>
    <mergeCell ref="J641:J642"/>
    <mergeCell ref="K641:K642"/>
    <mergeCell ref="M640:P640"/>
    <mergeCell ref="L641:L642"/>
    <mergeCell ref="M641:P642"/>
    <mergeCell ref="J636:J637"/>
    <mergeCell ref="K636:K637"/>
    <mergeCell ref="M647:P647"/>
    <mergeCell ref="L643:L644"/>
    <mergeCell ref="M643:P644"/>
    <mergeCell ref="J643:J644"/>
    <mergeCell ref="K643:K644"/>
    <mergeCell ref="A641:A642"/>
    <mergeCell ref="B641:G642"/>
    <mergeCell ref="H641:H642"/>
    <mergeCell ref="I641:I642"/>
    <mergeCell ref="A629:A630"/>
    <mergeCell ref="B629:G630"/>
    <mergeCell ref="K629:K630"/>
    <mergeCell ref="L629:L630"/>
    <mergeCell ref="J627:J628"/>
    <mergeCell ref="K627:K628"/>
    <mergeCell ref="J629:J630"/>
    <mergeCell ref="M634:P635"/>
    <mergeCell ref="L627:L628"/>
    <mergeCell ref="I629:I630"/>
    <mergeCell ref="J634:J635"/>
    <mergeCell ref="I643:I644"/>
    <mergeCell ref="M650:P651"/>
    <mergeCell ref="B677:G677"/>
    <mergeCell ref="F666:I666"/>
    <mergeCell ref="B657:G657"/>
    <mergeCell ref="B658:G658"/>
    <mergeCell ref="F665:I665"/>
    <mergeCell ref="K667:P667"/>
    <mergeCell ref="D670:G670"/>
    <mergeCell ref="A655:A656"/>
    <mergeCell ref="M655:P656"/>
    <mergeCell ref="K655:K656"/>
    <mergeCell ref="A650:A651"/>
    <mergeCell ref="B650:G651"/>
    <mergeCell ref="H650:H651"/>
    <mergeCell ref="I650:I651"/>
    <mergeCell ref="J650:J651"/>
    <mergeCell ref="M654:P654"/>
    <mergeCell ref="K650:K651"/>
    <mergeCell ref="K657:K658"/>
    <mergeCell ref="M668:P668"/>
    <mergeCell ref="L657:L658"/>
    <mergeCell ref="M657:P658"/>
    <mergeCell ref="A680:A681"/>
    <mergeCell ref="B680:G681"/>
    <mergeCell ref="A678:A679"/>
    <mergeCell ref="A657:A658"/>
    <mergeCell ref="A673:F673"/>
    <mergeCell ref="I662:J662"/>
    <mergeCell ref="I678:I679"/>
    <mergeCell ref="B655:G655"/>
    <mergeCell ref="H655:H656"/>
    <mergeCell ref="I655:I656"/>
    <mergeCell ref="B656:G656"/>
    <mergeCell ref="G673:I673"/>
    <mergeCell ref="I661:J661"/>
    <mergeCell ref="G662:H662"/>
    <mergeCell ref="G661:H661"/>
    <mergeCell ref="M677:P677"/>
    <mergeCell ref="J678:J679"/>
    <mergeCell ref="H680:H681"/>
    <mergeCell ref="I680:I681"/>
    <mergeCell ref="L680:L681"/>
    <mergeCell ref="B678:G679"/>
    <mergeCell ref="H678:H679"/>
    <mergeCell ref="J680:J681"/>
    <mergeCell ref="K680:K681"/>
    <mergeCell ref="K678:K679"/>
    <mergeCell ref="M670:N670"/>
    <mergeCell ref="J673:O673"/>
    <mergeCell ref="G674:I674"/>
    <mergeCell ref="H657:H658"/>
    <mergeCell ref="I657:I658"/>
    <mergeCell ref="J657:J658"/>
    <mergeCell ref="B691:G691"/>
    <mergeCell ref="B750:G751"/>
    <mergeCell ref="K752:K753"/>
    <mergeCell ref="H750:H751"/>
    <mergeCell ref="I750:I751"/>
    <mergeCell ref="J750:J751"/>
    <mergeCell ref="J752:J753"/>
    <mergeCell ref="K738:K739"/>
    <mergeCell ref="H745:H746"/>
    <mergeCell ref="I745:I746"/>
    <mergeCell ref="A701:A702"/>
    <mergeCell ref="A699:A700"/>
    <mergeCell ref="A708:A709"/>
    <mergeCell ref="A706:A707"/>
    <mergeCell ref="M728:P728"/>
    <mergeCell ref="G724:I724"/>
    <mergeCell ref="A729:A730"/>
    <mergeCell ref="B729:G730"/>
    <mergeCell ref="H729:H730"/>
    <mergeCell ref="L729:L730"/>
    <mergeCell ref="J729:J730"/>
    <mergeCell ref="K729:K730"/>
    <mergeCell ref="L731:L732"/>
    <mergeCell ref="M731:P732"/>
    <mergeCell ref="M735:P735"/>
    <mergeCell ref="R679:W679"/>
    <mergeCell ref="J685:J686"/>
    <mergeCell ref="K685:K686"/>
    <mergeCell ref="L685:L686"/>
    <mergeCell ref="M685:P686"/>
    <mergeCell ref="R683:R684"/>
    <mergeCell ref="S683:X684"/>
    <mergeCell ref="S682:X682"/>
    <mergeCell ref="M678:P679"/>
    <mergeCell ref="L678:L679"/>
    <mergeCell ref="S733:X733"/>
    <mergeCell ref="A687:A688"/>
    <mergeCell ref="B687:G688"/>
    <mergeCell ref="H687:H688"/>
    <mergeCell ref="I687:I688"/>
    <mergeCell ref="A685:A686"/>
    <mergeCell ref="B685:G686"/>
    <mergeCell ref="H685:H686"/>
    <mergeCell ref="B684:G684"/>
    <mergeCell ref="M684:P684"/>
    <mergeCell ref="I685:I686"/>
    <mergeCell ref="J687:J688"/>
    <mergeCell ref="K687:K688"/>
    <mergeCell ref="L687:L688"/>
    <mergeCell ref="R685:R686"/>
    <mergeCell ref="M691:P691"/>
    <mergeCell ref="J692:J693"/>
    <mergeCell ref="M687:P688"/>
    <mergeCell ref="L692:L693"/>
    <mergeCell ref="M692:P693"/>
    <mergeCell ref="A692:A693"/>
    <mergeCell ref="B692:G693"/>
    <mergeCell ref="H692:H693"/>
    <mergeCell ref="K692:K693"/>
    <mergeCell ref="I692:I693"/>
    <mergeCell ref="M749:P749"/>
    <mergeCell ref="F716:I716"/>
    <mergeCell ref="F717:I717"/>
    <mergeCell ref="K718:P718"/>
    <mergeCell ref="AD761:AF761"/>
    <mergeCell ref="AD764:AF765"/>
    <mergeCell ref="S762:X763"/>
    <mergeCell ref="Y762:Y763"/>
    <mergeCell ref="AB762:AB763"/>
    <mergeCell ref="Z764:Z765"/>
    <mergeCell ref="AA764:AA765"/>
    <mergeCell ref="AB764:AB765"/>
    <mergeCell ref="Z762:Z763"/>
    <mergeCell ref="AA762:AA763"/>
    <mergeCell ref="X781:Y781"/>
    <mergeCell ref="K769:P769"/>
    <mergeCell ref="M770:P770"/>
    <mergeCell ref="A738:A739"/>
    <mergeCell ref="A694:A695"/>
    <mergeCell ref="B694:G695"/>
    <mergeCell ref="H694:H695"/>
    <mergeCell ref="B698:G698"/>
    <mergeCell ref="J701:J702"/>
    <mergeCell ref="K701:K702"/>
    <mergeCell ref="J694:J695"/>
    <mergeCell ref="K694:K695"/>
    <mergeCell ref="B701:G702"/>
    <mergeCell ref="H701:H702"/>
    <mergeCell ref="M701:P702"/>
    <mergeCell ref="L701:L702"/>
    <mergeCell ref="B705:G705"/>
    <mergeCell ref="L708:L709"/>
    <mergeCell ref="M708:P709"/>
    <mergeCell ref="I701:I702"/>
    <mergeCell ref="M705:P705"/>
    <mergeCell ref="L706:L707"/>
    <mergeCell ref="A752:A753"/>
    <mergeCell ref="I699:I700"/>
    <mergeCell ref="M706:P707"/>
    <mergeCell ref="L694:L695"/>
    <mergeCell ref="M698:P698"/>
    <mergeCell ref="L699:L700"/>
    <mergeCell ref="M699:P700"/>
    <mergeCell ref="M694:P695"/>
    <mergeCell ref="I694:I695"/>
    <mergeCell ref="B709:G709"/>
    <mergeCell ref="L745:L746"/>
    <mergeCell ref="M745:P746"/>
    <mergeCell ref="Y697:Y698"/>
    <mergeCell ref="AD697:AF698"/>
    <mergeCell ref="Z699:Z700"/>
    <mergeCell ref="AC699:AC700"/>
    <mergeCell ref="AD699:AF700"/>
    <mergeCell ref="AA697:AA698"/>
    <mergeCell ref="Z697:Z698"/>
    <mergeCell ref="AB697:AB698"/>
    <mergeCell ref="R699:R700"/>
    <mergeCell ref="S699:X700"/>
    <mergeCell ref="Y699:Y700"/>
    <mergeCell ref="Z730:AE730"/>
    <mergeCell ref="R713:R714"/>
    <mergeCell ref="AA711:AA712"/>
    <mergeCell ref="AA713:AA714"/>
    <mergeCell ref="Y711:Y712"/>
    <mergeCell ref="R707:W707"/>
    <mergeCell ref="X707:Y707"/>
    <mergeCell ref="AD710:AF710"/>
    <mergeCell ref="AA699:AA700"/>
    <mergeCell ref="A782:A783"/>
    <mergeCell ref="K782:K783"/>
    <mergeCell ref="L782:L783"/>
    <mergeCell ref="B780:G781"/>
    <mergeCell ref="H780:H781"/>
    <mergeCell ref="I780:I781"/>
    <mergeCell ref="J780:J781"/>
    <mergeCell ref="B779:G779"/>
    <mergeCell ref="A743:A744"/>
    <mergeCell ref="B743:G744"/>
    <mergeCell ref="J743:J744"/>
    <mergeCell ref="K743:K744"/>
    <mergeCell ref="H743:H744"/>
    <mergeCell ref="I743:I744"/>
    <mergeCell ref="A731:A732"/>
    <mergeCell ref="B731:G732"/>
    <mergeCell ref="H731:H732"/>
    <mergeCell ref="I731:I732"/>
    <mergeCell ref="B735:G735"/>
    <mergeCell ref="M736:P737"/>
    <mergeCell ref="J731:J732"/>
    <mergeCell ref="K731:K732"/>
    <mergeCell ref="A736:A737"/>
    <mergeCell ref="L738:L739"/>
    <mergeCell ref="M738:P739"/>
    <mergeCell ref="B742:G742"/>
    <mergeCell ref="M742:P742"/>
    <mergeCell ref="B736:G737"/>
    <mergeCell ref="H736:H737"/>
    <mergeCell ref="I736:I737"/>
    <mergeCell ref="J736:J737"/>
    <mergeCell ref="K736:K737"/>
    <mergeCell ref="L736:L737"/>
    <mergeCell ref="M782:P783"/>
    <mergeCell ref="I738:I739"/>
    <mergeCell ref="L743:L744"/>
    <mergeCell ref="M743:P744"/>
    <mergeCell ref="J745:J746"/>
    <mergeCell ref="F767:I767"/>
    <mergeCell ref="F768:I768"/>
    <mergeCell ref="K745:K746"/>
    <mergeCell ref="B738:G739"/>
    <mergeCell ref="H738:H739"/>
    <mergeCell ref="J738:J739"/>
    <mergeCell ref="A745:A746"/>
    <mergeCell ref="B745:G746"/>
    <mergeCell ref="M803:P804"/>
    <mergeCell ref="L803:L804"/>
    <mergeCell ref="A803:A804"/>
    <mergeCell ref="B803:G804"/>
    <mergeCell ref="H803:H804"/>
    <mergeCell ref="I803:I804"/>
    <mergeCell ref="A750:A751"/>
    <mergeCell ref="K757:K758"/>
    <mergeCell ref="L759:L760"/>
    <mergeCell ref="J801:J802"/>
    <mergeCell ref="J803:J804"/>
    <mergeCell ref="A801:A802"/>
    <mergeCell ref="B801:G802"/>
    <mergeCell ref="H801:H802"/>
    <mergeCell ref="K803:K804"/>
    <mergeCell ref="I801:I802"/>
    <mergeCell ref="L750:L751"/>
    <mergeCell ref="M750:P751"/>
    <mergeCell ref="K750:K751"/>
    <mergeCell ref="B752:G753"/>
    <mergeCell ref="H752:H753"/>
    <mergeCell ref="B756:G756"/>
    <mergeCell ref="M756:P756"/>
    <mergeCell ref="I752:I753"/>
    <mergeCell ref="M752:P753"/>
    <mergeCell ref="L752:L753"/>
    <mergeCell ref="G764:H764"/>
    <mergeCell ref="I764:J764"/>
    <mergeCell ref="J759:J760"/>
    <mergeCell ref="I757:I758"/>
    <mergeCell ref="I763:J763"/>
    <mergeCell ref="A757:A758"/>
    <mergeCell ref="B757:G757"/>
    <mergeCell ref="H757:H758"/>
    <mergeCell ref="B760:G760"/>
    <mergeCell ref="F762:K762"/>
    <mergeCell ref="L757:L758"/>
    <mergeCell ref="J757:J758"/>
    <mergeCell ref="M757:P758"/>
    <mergeCell ref="B758:G758"/>
    <mergeCell ref="A759:A760"/>
    <mergeCell ref="B759:G759"/>
    <mergeCell ref="H759:H760"/>
    <mergeCell ref="I759:I760"/>
    <mergeCell ref="M759:P760"/>
    <mergeCell ref="K759:K760"/>
    <mergeCell ref="M779:P779"/>
    <mergeCell ref="A777:P777"/>
    <mergeCell ref="G775:I775"/>
    <mergeCell ref="J772:L772"/>
    <mergeCell ref="M772:N772"/>
    <mergeCell ref="G776:I776"/>
    <mergeCell ref="A775:F775"/>
    <mergeCell ref="J775:O775"/>
    <mergeCell ref="A780:A781"/>
    <mergeCell ref="B782:G783"/>
    <mergeCell ref="H782:H783"/>
    <mergeCell ref="I782:I783"/>
    <mergeCell ref="J782:J783"/>
    <mergeCell ref="M780:P781"/>
    <mergeCell ref="K780:K781"/>
    <mergeCell ref="L780:L781"/>
    <mergeCell ref="A789:A790"/>
    <mergeCell ref="B789:G790"/>
    <mergeCell ref="H789:H790"/>
    <mergeCell ref="I789:I790"/>
    <mergeCell ref="A787:A788"/>
    <mergeCell ref="B787:G788"/>
    <mergeCell ref="H787:H788"/>
    <mergeCell ref="I787:I788"/>
    <mergeCell ref="M793:P793"/>
    <mergeCell ref="J794:J795"/>
    <mergeCell ref="B786:G786"/>
    <mergeCell ref="M786:P786"/>
    <mergeCell ref="L787:L788"/>
    <mergeCell ref="M787:P788"/>
    <mergeCell ref="J787:J788"/>
    <mergeCell ref="K787:K788"/>
    <mergeCell ref="J789:J790"/>
    <mergeCell ref="M789:P790"/>
    <mergeCell ref="M801:P802"/>
    <mergeCell ref="M796:P797"/>
    <mergeCell ref="K796:K797"/>
    <mergeCell ref="L796:L797"/>
    <mergeCell ref="K801:K802"/>
    <mergeCell ref="L801:L802"/>
    <mergeCell ref="M800:P800"/>
    <mergeCell ref="M794:P795"/>
    <mergeCell ref="K789:K790"/>
    <mergeCell ref="K794:K795"/>
    <mergeCell ref="L794:L795"/>
    <mergeCell ref="A796:A797"/>
    <mergeCell ref="B796:G797"/>
    <mergeCell ref="H796:H797"/>
    <mergeCell ref="I796:I797"/>
    <mergeCell ref="A794:A795"/>
    <mergeCell ref="J796:J797"/>
    <mergeCell ref="L789:L790"/>
    <mergeCell ref="B794:G795"/>
    <mergeCell ref="H794:H795"/>
    <mergeCell ref="I794:I795"/>
    <mergeCell ref="B793:G793"/>
    <mergeCell ref="B800:G800"/>
    <mergeCell ref="K852:K853"/>
    <mergeCell ref="L840:L841"/>
    <mergeCell ref="J833:J834"/>
    <mergeCell ref="K833:K834"/>
    <mergeCell ref="J840:J841"/>
    <mergeCell ref="K840:K841"/>
    <mergeCell ref="M844:P844"/>
    <mergeCell ref="H847:H848"/>
    <mergeCell ref="I847:I848"/>
    <mergeCell ref="K845:K846"/>
    <mergeCell ref="M845:P846"/>
    <mergeCell ref="A852:A853"/>
    <mergeCell ref="B851:G851"/>
    <mergeCell ref="J847:J848"/>
    <mergeCell ref="K847:K848"/>
    <mergeCell ref="A847:A848"/>
    <mergeCell ref="M851:P851"/>
    <mergeCell ref="A808:A809"/>
    <mergeCell ref="B808:G808"/>
    <mergeCell ref="H808:H809"/>
    <mergeCell ref="I808:I809"/>
    <mergeCell ref="J808:J809"/>
    <mergeCell ref="M821:P821"/>
    <mergeCell ref="B807:G807"/>
    <mergeCell ref="M807:P807"/>
    <mergeCell ref="L808:L809"/>
    <mergeCell ref="M808:P809"/>
    <mergeCell ref="M810:P811"/>
    <mergeCell ref="L810:L811"/>
    <mergeCell ref="L831:L832"/>
    <mergeCell ref="J831:J832"/>
    <mergeCell ref="K831:K832"/>
    <mergeCell ref="A828:P828"/>
    <mergeCell ref="M831:P832"/>
    <mergeCell ref="K808:K809"/>
    <mergeCell ref="A810:A811"/>
    <mergeCell ref="K810:K811"/>
    <mergeCell ref="B809:G809"/>
    <mergeCell ref="F813:K813"/>
    <mergeCell ref="J810:J811"/>
    <mergeCell ref="B811:G811"/>
    <mergeCell ref="G815:H815"/>
    <mergeCell ref="I815:J815"/>
    <mergeCell ref="G814:H814"/>
    <mergeCell ref="I814:J814"/>
    <mergeCell ref="B810:G810"/>
    <mergeCell ref="H810:H811"/>
    <mergeCell ref="I810:I811"/>
    <mergeCell ref="M830:P830"/>
    <mergeCell ref="B837:G837"/>
    <mergeCell ref="A826:F826"/>
    <mergeCell ref="J826:O826"/>
    <mergeCell ref="G826:I826"/>
    <mergeCell ref="A831:A832"/>
    <mergeCell ref="B831:G832"/>
    <mergeCell ref="H831:H832"/>
    <mergeCell ref="I831:I832"/>
    <mergeCell ref="B830:G830"/>
    <mergeCell ref="G827:I827"/>
    <mergeCell ref="L852:L853"/>
    <mergeCell ref="F818:I818"/>
    <mergeCell ref="F819:I819"/>
    <mergeCell ref="K820:P820"/>
    <mergeCell ref="M823:N823"/>
    <mergeCell ref="J854:J855"/>
    <mergeCell ref="M858:P858"/>
    <mergeCell ref="K854:K855"/>
    <mergeCell ref="L854:L855"/>
    <mergeCell ref="M854:P855"/>
    <mergeCell ref="J859:J860"/>
    <mergeCell ref="K859:K860"/>
    <mergeCell ref="I865:J865"/>
    <mergeCell ref="B858:G858"/>
    <mergeCell ref="B852:G853"/>
    <mergeCell ref="B862:G862"/>
    <mergeCell ref="K861:K862"/>
    <mergeCell ref="L861:L862"/>
    <mergeCell ref="I861:I862"/>
    <mergeCell ref="H852:H853"/>
    <mergeCell ref="I852:I853"/>
    <mergeCell ref="J852:J853"/>
    <mergeCell ref="A861:A862"/>
    <mergeCell ref="A854:A855"/>
    <mergeCell ref="B854:G855"/>
    <mergeCell ref="H854:H855"/>
    <mergeCell ref="I854:I855"/>
    <mergeCell ref="B884:G885"/>
    <mergeCell ref="B861:G861"/>
    <mergeCell ref="B860:G860"/>
    <mergeCell ref="I859:I860"/>
    <mergeCell ref="G866:H866"/>
    <mergeCell ref="A833:A834"/>
    <mergeCell ref="B833:G834"/>
    <mergeCell ref="H833:H834"/>
    <mergeCell ref="J874:L874"/>
    <mergeCell ref="M874:N874"/>
    <mergeCell ref="J861:J862"/>
    <mergeCell ref="A859:A860"/>
    <mergeCell ref="B859:G859"/>
    <mergeCell ref="H859:H860"/>
    <mergeCell ref="H861:H862"/>
    <mergeCell ref="L833:L834"/>
    <mergeCell ref="M833:P834"/>
    <mergeCell ref="J838:J839"/>
    <mergeCell ref="K838:K839"/>
    <mergeCell ref="I833:I834"/>
    <mergeCell ref="L838:L839"/>
    <mergeCell ref="M837:P837"/>
    <mergeCell ref="M840:P841"/>
    <mergeCell ref="A840:A841"/>
    <mergeCell ref="B840:G841"/>
    <mergeCell ref="H840:H841"/>
    <mergeCell ref="I840:I841"/>
    <mergeCell ref="M838:P839"/>
    <mergeCell ref="A845:A846"/>
    <mergeCell ref="B845:G846"/>
    <mergeCell ref="B844:G844"/>
    <mergeCell ref="L845:L846"/>
    <mergeCell ref="J845:J846"/>
    <mergeCell ref="A838:A839"/>
    <mergeCell ref="B838:G839"/>
    <mergeCell ref="H838:H839"/>
    <mergeCell ref="I838:I839"/>
    <mergeCell ref="I845:I846"/>
    <mergeCell ref="M852:P853"/>
    <mergeCell ref="J877:O877"/>
    <mergeCell ref="L847:L848"/>
    <mergeCell ref="M847:P848"/>
    <mergeCell ref="G877:I877"/>
    <mergeCell ref="A879:P879"/>
    <mergeCell ref="M902:P902"/>
    <mergeCell ref="M898:P899"/>
    <mergeCell ref="A896:A897"/>
    <mergeCell ref="B896:G897"/>
    <mergeCell ref="M896:P897"/>
    <mergeCell ref="J882:J883"/>
    <mergeCell ref="H884:H885"/>
    <mergeCell ref="L882:L883"/>
    <mergeCell ref="I884:I885"/>
    <mergeCell ref="J884:J885"/>
    <mergeCell ref="K884:K885"/>
    <mergeCell ref="R887:R888"/>
    <mergeCell ref="S887:X888"/>
    <mergeCell ref="S886:X886"/>
    <mergeCell ref="Z887:Z888"/>
    <mergeCell ref="AA887:AA888"/>
    <mergeCell ref="L884:L885"/>
    <mergeCell ref="B888:G888"/>
    <mergeCell ref="M888:P888"/>
    <mergeCell ref="K882:K883"/>
    <mergeCell ref="A884:A885"/>
    <mergeCell ref="L889:L890"/>
    <mergeCell ref="M889:P890"/>
    <mergeCell ref="M884:P885"/>
    <mergeCell ref="B882:G883"/>
    <mergeCell ref="H882:H883"/>
    <mergeCell ref="I882:I883"/>
    <mergeCell ref="L859:L860"/>
    <mergeCell ref="M872:P872"/>
    <mergeCell ref="A889:A890"/>
    <mergeCell ref="B889:G890"/>
    <mergeCell ref="H889:H890"/>
    <mergeCell ref="I889:I890"/>
    <mergeCell ref="M882:P883"/>
    <mergeCell ref="J889:J890"/>
    <mergeCell ref="K889:K890"/>
    <mergeCell ref="A882:A883"/>
    <mergeCell ref="G878:I878"/>
    <mergeCell ref="A891:A892"/>
    <mergeCell ref="B891:G892"/>
    <mergeCell ref="H891:H892"/>
    <mergeCell ref="I891:I892"/>
    <mergeCell ref="M861:P862"/>
    <mergeCell ref="M859:P860"/>
    <mergeCell ref="L891:L892"/>
    <mergeCell ref="M891:P892"/>
    <mergeCell ref="B895:G895"/>
    <mergeCell ref="M895:P895"/>
    <mergeCell ref="H896:H897"/>
    <mergeCell ref="I896:I897"/>
    <mergeCell ref="J891:J892"/>
    <mergeCell ref="K891:K892"/>
    <mergeCell ref="L896:L897"/>
    <mergeCell ref="J896:J897"/>
    <mergeCell ref="K896:K897"/>
    <mergeCell ref="R889:R890"/>
    <mergeCell ref="S889:X890"/>
    <mergeCell ref="Z889:Z890"/>
    <mergeCell ref="F869:I869"/>
    <mergeCell ref="F870:I870"/>
    <mergeCell ref="J898:J899"/>
    <mergeCell ref="A898:A899"/>
    <mergeCell ref="B898:G899"/>
    <mergeCell ref="B902:G902"/>
    <mergeCell ref="H898:H899"/>
    <mergeCell ref="L910:L911"/>
    <mergeCell ref="M910:P911"/>
    <mergeCell ref="L903:L904"/>
    <mergeCell ref="M905:P906"/>
    <mergeCell ref="L905:L906"/>
    <mergeCell ref="I898:I899"/>
    <mergeCell ref="I903:I904"/>
    <mergeCell ref="K898:K899"/>
    <mergeCell ref="L898:L899"/>
    <mergeCell ref="J910:J911"/>
    <mergeCell ref="AD914:AF914"/>
    <mergeCell ref="Z915:Z916"/>
    <mergeCell ref="AB915:AB916"/>
    <mergeCell ref="AD915:AF916"/>
    <mergeCell ref="R903:R904"/>
    <mergeCell ref="R911:W911"/>
    <mergeCell ref="X911:Y911"/>
    <mergeCell ref="Z911:AE911"/>
    <mergeCell ref="AC903:AC904"/>
    <mergeCell ref="AD903:AF904"/>
    <mergeCell ref="B881:G881"/>
    <mergeCell ref="M881:P881"/>
    <mergeCell ref="Y903:Y904"/>
    <mergeCell ref="Z917:Z918"/>
    <mergeCell ref="AB917:AB918"/>
    <mergeCell ref="S914:X914"/>
    <mergeCell ref="Z903:Z904"/>
    <mergeCell ref="AA903:AA904"/>
    <mergeCell ref="AB903:AB904"/>
    <mergeCell ref="S903:X904"/>
    <mergeCell ref="B910:G910"/>
    <mergeCell ref="H910:H911"/>
    <mergeCell ref="R915:R916"/>
    <mergeCell ref="S915:X916"/>
    <mergeCell ref="AC915:AC916"/>
    <mergeCell ref="Y915:Y916"/>
    <mergeCell ref="AA915:AA916"/>
    <mergeCell ref="H912:H913"/>
    <mergeCell ref="J912:J913"/>
    <mergeCell ref="K910:K911"/>
    <mergeCell ref="B913:G913"/>
    <mergeCell ref="G917:H917"/>
    <mergeCell ref="I917:J917"/>
    <mergeCell ref="J925:L925"/>
    <mergeCell ref="L933:L934"/>
    <mergeCell ref="K912:K913"/>
    <mergeCell ref="B911:G911"/>
    <mergeCell ref="J933:J934"/>
    <mergeCell ref="K933:K934"/>
    <mergeCell ref="A930:P930"/>
    <mergeCell ref="A933:A934"/>
    <mergeCell ref="I933:I934"/>
    <mergeCell ref="A928:F928"/>
    <mergeCell ref="J928:O928"/>
    <mergeCell ref="B932:G932"/>
    <mergeCell ref="G928:I928"/>
    <mergeCell ref="B933:G934"/>
    <mergeCell ref="M932:P932"/>
    <mergeCell ref="L935:L936"/>
    <mergeCell ref="M935:P936"/>
    <mergeCell ref="H933:H934"/>
    <mergeCell ref="G929:I929"/>
    <mergeCell ref="I910:I911"/>
    <mergeCell ref="I905:I906"/>
    <mergeCell ref="A912:A913"/>
    <mergeCell ref="A910:A911"/>
    <mergeCell ref="J905:J906"/>
    <mergeCell ref="A903:A904"/>
    <mergeCell ref="B903:G904"/>
    <mergeCell ref="H903:H904"/>
    <mergeCell ref="B939:G939"/>
    <mergeCell ref="M940:P941"/>
    <mergeCell ref="I940:I941"/>
    <mergeCell ref="J940:J941"/>
    <mergeCell ref="J903:J904"/>
    <mergeCell ref="K905:K906"/>
    <mergeCell ref="K903:K904"/>
    <mergeCell ref="A905:A906"/>
    <mergeCell ref="B905:G906"/>
    <mergeCell ref="H905:H906"/>
    <mergeCell ref="L940:L941"/>
    <mergeCell ref="M933:P934"/>
    <mergeCell ref="G916:H916"/>
    <mergeCell ref="M909:P909"/>
    <mergeCell ref="M912:P913"/>
    <mergeCell ref="L912:L913"/>
    <mergeCell ref="I912:I913"/>
    <mergeCell ref="M903:P904"/>
    <mergeCell ref="I942:I943"/>
    <mergeCell ref="H940:H941"/>
    <mergeCell ref="B946:G946"/>
    <mergeCell ref="A947:A948"/>
    <mergeCell ref="B947:G948"/>
    <mergeCell ref="K942:K943"/>
    <mergeCell ref="L947:L948"/>
    <mergeCell ref="B940:G941"/>
    <mergeCell ref="I947:I948"/>
    <mergeCell ref="A935:A936"/>
    <mergeCell ref="B935:G936"/>
    <mergeCell ref="H935:H936"/>
    <mergeCell ref="I935:I936"/>
    <mergeCell ref="A940:A941"/>
    <mergeCell ref="L942:L943"/>
    <mergeCell ref="A942:A943"/>
    <mergeCell ref="B942:G943"/>
    <mergeCell ref="H942:H943"/>
    <mergeCell ref="K940:K941"/>
    <mergeCell ref="M947:P948"/>
    <mergeCell ref="J947:J948"/>
    <mergeCell ref="K947:K948"/>
    <mergeCell ref="H947:H948"/>
    <mergeCell ref="J942:J943"/>
    <mergeCell ref="A954:A955"/>
    <mergeCell ref="B954:G955"/>
    <mergeCell ref="H954:H955"/>
    <mergeCell ref="I954:I955"/>
    <mergeCell ref="H949:H950"/>
    <mergeCell ref="I949:I950"/>
    <mergeCell ref="B953:G953"/>
    <mergeCell ref="A949:A950"/>
    <mergeCell ref="B949:G950"/>
    <mergeCell ref="L954:L955"/>
    <mergeCell ref="M954:P955"/>
    <mergeCell ref="K954:K955"/>
    <mergeCell ref="J954:J955"/>
    <mergeCell ref="J949:J950"/>
    <mergeCell ref="K949:K950"/>
    <mergeCell ref="L949:L950"/>
    <mergeCell ref="M949:P950"/>
    <mergeCell ref="M939:P939"/>
    <mergeCell ref="K935:K936"/>
    <mergeCell ref="J935:J936"/>
    <mergeCell ref="M953:P953"/>
    <mergeCell ref="M942:P943"/>
    <mergeCell ref="H956:H957"/>
    <mergeCell ref="B962:G962"/>
    <mergeCell ref="A963:A964"/>
    <mergeCell ref="B963:G963"/>
    <mergeCell ref="H963:H964"/>
    <mergeCell ref="I963:I964"/>
    <mergeCell ref="F966:K966"/>
    <mergeCell ref="G967:H967"/>
    <mergeCell ref="I967:J967"/>
    <mergeCell ref="G968:H968"/>
    <mergeCell ref="K961:K962"/>
    <mergeCell ref="L961:L962"/>
    <mergeCell ref="L963:L964"/>
    <mergeCell ref="M963:P964"/>
    <mergeCell ref="K963:K964"/>
    <mergeCell ref="I968:J968"/>
    <mergeCell ref="J963:J964"/>
    <mergeCell ref="L984:L985"/>
    <mergeCell ref="A979:F979"/>
    <mergeCell ref="J979:O979"/>
    <mergeCell ref="J976:L976"/>
    <mergeCell ref="M976:N976"/>
    <mergeCell ref="M974:P974"/>
    <mergeCell ref="D976:G976"/>
    <mergeCell ref="M984:P985"/>
    <mergeCell ref="K984:K985"/>
    <mergeCell ref="B990:G990"/>
    <mergeCell ref="M990:P990"/>
    <mergeCell ref="A986:A987"/>
    <mergeCell ref="K986:K987"/>
    <mergeCell ref="L986:L987"/>
    <mergeCell ref="B984:G985"/>
    <mergeCell ref="H984:H985"/>
    <mergeCell ref="I984:I985"/>
    <mergeCell ref="J984:J985"/>
    <mergeCell ref="A984:A985"/>
    <mergeCell ref="B983:G983"/>
    <mergeCell ref="M983:P983"/>
    <mergeCell ref="A981:P981"/>
    <mergeCell ref="G979:I979"/>
    <mergeCell ref="G980:I980"/>
    <mergeCell ref="B964:G964"/>
    <mergeCell ref="I956:I957"/>
    <mergeCell ref="B960:G960"/>
    <mergeCell ref="M960:P960"/>
    <mergeCell ref="I961:I962"/>
    <mergeCell ref="M961:P962"/>
    <mergeCell ref="K956:K957"/>
    <mergeCell ref="L956:L957"/>
    <mergeCell ref="M956:P957"/>
    <mergeCell ref="J956:J957"/>
    <mergeCell ref="J961:J962"/>
    <mergeCell ref="A961:A962"/>
    <mergeCell ref="B961:G961"/>
    <mergeCell ref="H961:H962"/>
    <mergeCell ref="A956:A957"/>
    <mergeCell ref="B956:G957"/>
    <mergeCell ref="M986:P987"/>
    <mergeCell ref="A991:A992"/>
    <mergeCell ref="B991:G992"/>
    <mergeCell ref="H991:H992"/>
    <mergeCell ref="I991:I992"/>
    <mergeCell ref="R989:R990"/>
    <mergeCell ref="R985:W985"/>
    <mergeCell ref="B986:G987"/>
    <mergeCell ref="H986:H987"/>
    <mergeCell ref="I986:I987"/>
    <mergeCell ref="J986:J987"/>
    <mergeCell ref="J993:J994"/>
    <mergeCell ref="A993:A994"/>
    <mergeCell ref="B993:G994"/>
    <mergeCell ref="H993:H994"/>
    <mergeCell ref="I993:I994"/>
    <mergeCell ref="A998:A999"/>
    <mergeCell ref="L991:L992"/>
    <mergeCell ref="M991:P992"/>
    <mergeCell ref="J991:J992"/>
    <mergeCell ref="K991:K992"/>
    <mergeCell ref="M1000:P1001"/>
    <mergeCell ref="K1000:K1001"/>
    <mergeCell ref="L1000:L1001"/>
    <mergeCell ref="L993:L994"/>
    <mergeCell ref="M993:P994"/>
    <mergeCell ref="K993:K994"/>
    <mergeCell ref="B997:G997"/>
    <mergeCell ref="M997:P997"/>
    <mergeCell ref="J998:J999"/>
    <mergeCell ref="M998:P999"/>
    <mergeCell ref="K998:K999"/>
    <mergeCell ref="L998:L999"/>
    <mergeCell ref="J1000:J1001"/>
    <mergeCell ref="B1051:G1052"/>
    <mergeCell ref="H1051:H1052"/>
    <mergeCell ref="J1005:J1006"/>
    <mergeCell ref="B998:G999"/>
    <mergeCell ref="H998:H999"/>
    <mergeCell ref="I998:I999"/>
    <mergeCell ref="B1034:G1034"/>
    <mergeCell ref="M1034:P1034"/>
    <mergeCell ref="I1019:J1019"/>
    <mergeCell ref="M1027:N1027"/>
    <mergeCell ref="J1027:L1027"/>
    <mergeCell ref="K1012:K1013"/>
    <mergeCell ref="A1005:A1006"/>
    <mergeCell ref="B1005:G1006"/>
    <mergeCell ref="H1005:H1006"/>
    <mergeCell ref="I1005:I1006"/>
    <mergeCell ref="A1000:A1001"/>
    <mergeCell ref="B1000:G1001"/>
    <mergeCell ref="H1000:H1001"/>
    <mergeCell ref="I1000:I1001"/>
    <mergeCell ref="M1007:P1008"/>
    <mergeCell ref="L1007:L1008"/>
    <mergeCell ref="M1004:P1004"/>
    <mergeCell ref="M1005:P1006"/>
    <mergeCell ref="K1005:K1006"/>
    <mergeCell ref="L1005:L1006"/>
    <mergeCell ref="J1007:J1008"/>
    <mergeCell ref="A1007:A1008"/>
    <mergeCell ref="B1007:G1008"/>
    <mergeCell ref="H1007:H1008"/>
    <mergeCell ref="I1007:I1008"/>
    <mergeCell ref="K1007:K1008"/>
    <mergeCell ref="B1011:G1011"/>
    <mergeCell ref="M1011:P1011"/>
    <mergeCell ref="L1012:L1013"/>
    <mergeCell ref="M1012:P1013"/>
    <mergeCell ref="M1014:P1015"/>
    <mergeCell ref="L1014:L1015"/>
    <mergeCell ref="B1012:G1012"/>
    <mergeCell ref="H1012:H1013"/>
    <mergeCell ref="I1012:I1013"/>
    <mergeCell ref="J1012:J1013"/>
    <mergeCell ref="B1004:G1004"/>
    <mergeCell ref="H1014:H1015"/>
    <mergeCell ref="I1014:I1015"/>
    <mergeCell ref="A1012:A1013"/>
    <mergeCell ref="D1027:G1027"/>
    <mergeCell ref="L1049:L1050"/>
    <mergeCell ref="H1049:H1050"/>
    <mergeCell ref="I1049:I1050"/>
    <mergeCell ref="J1014:J1015"/>
    <mergeCell ref="B1015:G1015"/>
    <mergeCell ref="G1019:H1019"/>
    <mergeCell ref="A1014:A1015"/>
    <mergeCell ref="K1014:K1015"/>
    <mergeCell ref="B1013:G1013"/>
    <mergeCell ref="F1017:K1017"/>
    <mergeCell ref="G1018:H1018"/>
    <mergeCell ref="I1018:J1018"/>
    <mergeCell ref="B1014:G1014"/>
    <mergeCell ref="B1035:G1036"/>
    <mergeCell ref="H1035:H1036"/>
    <mergeCell ref="I1035:I1036"/>
    <mergeCell ref="A1030:F1030"/>
    <mergeCell ref="J1030:O1030"/>
    <mergeCell ref="L1035:L1036"/>
    <mergeCell ref="J1035:J1036"/>
    <mergeCell ref="K1035:K1036"/>
    <mergeCell ref="G1031:I1031"/>
    <mergeCell ref="G1030:I1030"/>
    <mergeCell ref="K1042:K1043"/>
    <mergeCell ref="A1042:A1043"/>
    <mergeCell ref="B1042:G1043"/>
    <mergeCell ref="H1042:H1043"/>
    <mergeCell ref="M1035:P1036"/>
    <mergeCell ref="M1042:P1043"/>
    <mergeCell ref="L1037:L1038"/>
    <mergeCell ref="M1037:P1038"/>
    <mergeCell ref="H1037:H1038"/>
    <mergeCell ref="A1035:A1036"/>
    <mergeCell ref="A1037:A1038"/>
    <mergeCell ref="B1037:G1038"/>
    <mergeCell ref="L1044:L1045"/>
    <mergeCell ref="I1037:I1038"/>
    <mergeCell ref="I1042:I1043"/>
    <mergeCell ref="B1041:G1041"/>
    <mergeCell ref="J1049:J1050"/>
    <mergeCell ref="K1049:K1050"/>
    <mergeCell ref="M1044:P1045"/>
    <mergeCell ref="M1049:P1050"/>
    <mergeCell ref="J1042:J1043"/>
    <mergeCell ref="B1049:G1050"/>
    <mergeCell ref="B1048:G1048"/>
    <mergeCell ref="M1041:P1041"/>
    <mergeCell ref="J1037:J1038"/>
    <mergeCell ref="K1037:K1038"/>
    <mergeCell ref="L1042:L1043"/>
    <mergeCell ref="J1044:J1045"/>
    <mergeCell ref="K1044:K1045"/>
    <mergeCell ref="A1044:A1045"/>
    <mergeCell ref="B1044:G1045"/>
    <mergeCell ref="H1044:H1045"/>
    <mergeCell ref="I1044:I1045"/>
    <mergeCell ref="A1049:A1050"/>
    <mergeCell ref="M1048:P1048"/>
    <mergeCell ref="M1065:P1066"/>
    <mergeCell ref="M1063:P1064"/>
    <mergeCell ref="L1065:L1066"/>
    <mergeCell ref="M1055:P1055"/>
    <mergeCell ref="L1063:L1064"/>
    <mergeCell ref="I1051:I1052"/>
    <mergeCell ref="K1051:K1052"/>
    <mergeCell ref="J1051:J1052"/>
    <mergeCell ref="A1056:A1057"/>
    <mergeCell ref="D1078:G1078"/>
    <mergeCell ref="J1095:J1096"/>
    <mergeCell ref="K1095:K1096"/>
    <mergeCell ref="L1095:L1096"/>
    <mergeCell ref="M1095:P1096"/>
    <mergeCell ref="A1093:A1094"/>
    <mergeCell ref="B1093:G1094"/>
    <mergeCell ref="H1093:H1094"/>
    <mergeCell ref="I1093:I1094"/>
    <mergeCell ref="B1056:G1057"/>
    <mergeCell ref="M1056:P1057"/>
    <mergeCell ref="J1056:J1057"/>
    <mergeCell ref="B1058:G1059"/>
    <mergeCell ref="H1058:H1059"/>
    <mergeCell ref="I1058:I1059"/>
    <mergeCell ref="L1056:L1057"/>
    <mergeCell ref="A1058:A1059"/>
    <mergeCell ref="B1055:G1055"/>
    <mergeCell ref="K1065:K1066"/>
    <mergeCell ref="I1065:I1066"/>
    <mergeCell ref="J1063:J1064"/>
    <mergeCell ref="K1056:K1057"/>
    <mergeCell ref="K1063:K1064"/>
    <mergeCell ref="H1056:H1057"/>
    <mergeCell ref="I1056:I1057"/>
    <mergeCell ref="J1058:J1059"/>
    <mergeCell ref="B1088:G1089"/>
    <mergeCell ref="B1065:G1065"/>
    <mergeCell ref="B1064:G1064"/>
    <mergeCell ref="I1063:I1064"/>
    <mergeCell ref="G1070:H1070"/>
    <mergeCell ref="I1070:J1070"/>
    <mergeCell ref="F1068:K1068"/>
    <mergeCell ref="G1069:H1069"/>
    <mergeCell ref="I1069:J1069"/>
    <mergeCell ref="J1065:J1066"/>
    <mergeCell ref="A1063:A1064"/>
    <mergeCell ref="B1063:G1063"/>
    <mergeCell ref="H1063:H1064"/>
    <mergeCell ref="H1065:H1066"/>
    <mergeCell ref="A1065:A1066"/>
    <mergeCell ref="B1066:G1066"/>
    <mergeCell ref="A1081:F1081"/>
    <mergeCell ref="J1081:O1081"/>
    <mergeCell ref="B1085:G1085"/>
    <mergeCell ref="M1085:P1085"/>
    <mergeCell ref="G1081:I1081"/>
    <mergeCell ref="M1078:N1078"/>
    <mergeCell ref="G1082:I1082"/>
    <mergeCell ref="J1078:L1078"/>
    <mergeCell ref="A1083:P1083"/>
    <mergeCell ref="M1088:P1089"/>
    <mergeCell ref="L1051:L1052"/>
    <mergeCell ref="M1051:P1052"/>
    <mergeCell ref="A1051:A1052"/>
    <mergeCell ref="I1114:I1115"/>
    <mergeCell ref="L1114:L1115"/>
    <mergeCell ref="M1114:P1115"/>
    <mergeCell ref="L1116:L1117"/>
    <mergeCell ref="M1116:P1117"/>
    <mergeCell ref="J1114:J1115"/>
    <mergeCell ref="K1114:K1115"/>
    <mergeCell ref="J1107:J1108"/>
    <mergeCell ref="J1086:J1087"/>
    <mergeCell ref="H1088:H1089"/>
    <mergeCell ref="L1086:L1087"/>
    <mergeCell ref="I1088:I1089"/>
    <mergeCell ref="J1088:J1089"/>
    <mergeCell ref="K1088:K1089"/>
    <mergeCell ref="L1088:L1089"/>
    <mergeCell ref="A1086:A1087"/>
    <mergeCell ref="B1092:G1092"/>
    <mergeCell ref="M1092:P1092"/>
    <mergeCell ref="K1086:K1087"/>
    <mergeCell ref="A1088:A1089"/>
    <mergeCell ref="L1093:L1094"/>
    <mergeCell ref="M1093:P1094"/>
    <mergeCell ref="B1086:G1087"/>
    <mergeCell ref="H1086:H1087"/>
    <mergeCell ref="I1086:I1087"/>
    <mergeCell ref="A1095:A1096"/>
    <mergeCell ref="B1095:G1096"/>
    <mergeCell ref="H1095:H1096"/>
    <mergeCell ref="I1095:I1096"/>
    <mergeCell ref="J1093:J1094"/>
    <mergeCell ref="K1093:K1094"/>
    <mergeCell ref="L1100:L1101"/>
    <mergeCell ref="M1100:P1101"/>
    <mergeCell ref="M1102:P1103"/>
    <mergeCell ref="K1102:K1103"/>
    <mergeCell ref="L1102:L1103"/>
    <mergeCell ref="M1099:P1099"/>
    <mergeCell ref="B1099:G1099"/>
    <mergeCell ref="M1106:P1106"/>
    <mergeCell ref="B1106:G1106"/>
    <mergeCell ref="B1117:G1117"/>
    <mergeCell ref="B1113:G1113"/>
    <mergeCell ref="B1107:G1108"/>
    <mergeCell ref="A1114:A1115"/>
    <mergeCell ref="A1116:A1117"/>
    <mergeCell ref="K1116:K1117"/>
    <mergeCell ref="A1107:A1108"/>
    <mergeCell ref="J1100:J1101"/>
    <mergeCell ref="J1109:J1110"/>
    <mergeCell ref="K1109:K1110"/>
    <mergeCell ref="K1100:K1101"/>
    <mergeCell ref="J1102:J1103"/>
    <mergeCell ref="A1100:A1101"/>
    <mergeCell ref="B1100:G1101"/>
    <mergeCell ref="H1100:H1101"/>
    <mergeCell ref="I1100:I1101"/>
    <mergeCell ref="A1109:A1110"/>
    <mergeCell ref="B1109:G1110"/>
    <mergeCell ref="H1109:H1110"/>
    <mergeCell ref="I1109:I1110"/>
    <mergeCell ref="A1102:A1103"/>
    <mergeCell ref="B1102:G1103"/>
    <mergeCell ref="H1102:H1103"/>
    <mergeCell ref="I1102:I1103"/>
    <mergeCell ref="H1107:H1108"/>
    <mergeCell ref="I1107:I1108"/>
    <mergeCell ref="M1113:P1113"/>
    <mergeCell ref="M1107:P1108"/>
    <mergeCell ref="M1109:P1110"/>
    <mergeCell ref="K1107:K1108"/>
    <mergeCell ref="L1107:L1108"/>
    <mergeCell ref="L1109:L1110"/>
    <mergeCell ref="J1137:J1138"/>
    <mergeCell ref="K1137:K1138"/>
    <mergeCell ref="M1137:P1138"/>
    <mergeCell ref="B1136:G1136"/>
    <mergeCell ref="I1144:I1145"/>
    <mergeCell ref="B1150:G1150"/>
    <mergeCell ref="H1144:H1145"/>
    <mergeCell ref="AB1142:AB1143"/>
    <mergeCell ref="Z1142:Z1143"/>
    <mergeCell ref="M1143:P1143"/>
    <mergeCell ref="AA1142:AA1143"/>
    <mergeCell ref="M1136:P1136"/>
    <mergeCell ref="A1137:A1138"/>
    <mergeCell ref="B1137:G1138"/>
    <mergeCell ref="H1137:H1138"/>
    <mergeCell ref="I1137:I1138"/>
    <mergeCell ref="L1137:L1138"/>
    <mergeCell ref="B1144:G1145"/>
    <mergeCell ref="J1144:J1145"/>
    <mergeCell ref="K1144:K1145"/>
    <mergeCell ref="L1144:L1145"/>
    <mergeCell ref="AD1142:AF1143"/>
    <mergeCell ref="L1139:L1140"/>
    <mergeCell ref="M1139:P1140"/>
    <mergeCell ref="R1142:R1143"/>
    <mergeCell ref="S1142:X1143"/>
    <mergeCell ref="Y1142:Y1143"/>
    <mergeCell ref="M1150:P1150"/>
    <mergeCell ref="J1146:J1147"/>
    <mergeCell ref="K1146:K1147"/>
    <mergeCell ref="L1146:L1147"/>
    <mergeCell ref="M1146:P1147"/>
    <mergeCell ref="J1139:J1140"/>
    <mergeCell ref="K1139:K1140"/>
    <mergeCell ref="M1144:P1145"/>
    <mergeCell ref="A1144:A1145"/>
    <mergeCell ref="A1146:A1147"/>
    <mergeCell ref="B1146:G1147"/>
    <mergeCell ref="H1146:H1147"/>
    <mergeCell ref="I1146:I1147"/>
    <mergeCell ref="A1139:A1140"/>
    <mergeCell ref="B1139:G1140"/>
    <mergeCell ref="H1139:H1140"/>
    <mergeCell ref="I1139:I1140"/>
    <mergeCell ref="B1143:G1143"/>
    <mergeCell ref="AC1119:AC1120"/>
    <mergeCell ref="Y1119:Y1120"/>
    <mergeCell ref="AA1119:AA1120"/>
    <mergeCell ref="AA1121:AA1122"/>
    <mergeCell ref="S1121:X1122"/>
    <mergeCell ref="Y1107:Y1108"/>
    <mergeCell ref="Z1121:Z1122"/>
    <mergeCell ref="AB1121:AB1122"/>
    <mergeCell ref="S1118:X1118"/>
    <mergeCell ref="H1114:H1115"/>
    <mergeCell ref="S1141:X1141"/>
    <mergeCell ref="A1151:A1152"/>
    <mergeCell ref="B1151:G1152"/>
    <mergeCell ref="B1165:G1165"/>
    <mergeCell ref="A1165:A1166"/>
    <mergeCell ref="B1194:G1194"/>
    <mergeCell ref="M1194:P1194"/>
    <mergeCell ref="K1167:K1168"/>
    <mergeCell ref="A1188:A1189"/>
    <mergeCell ref="I1167:I1168"/>
    <mergeCell ref="K1188:K1189"/>
    <mergeCell ref="A1158:A1159"/>
    <mergeCell ref="B1157:G1157"/>
    <mergeCell ref="J1153:J1154"/>
    <mergeCell ref="K1153:K1154"/>
    <mergeCell ref="A1153:A1154"/>
    <mergeCell ref="B1153:G1154"/>
    <mergeCell ref="H1153:H1154"/>
    <mergeCell ref="I1153:I1154"/>
    <mergeCell ref="L1153:L1154"/>
    <mergeCell ref="M1153:P1154"/>
    <mergeCell ref="L1151:L1152"/>
    <mergeCell ref="M1151:P1152"/>
    <mergeCell ref="J1151:J1152"/>
    <mergeCell ref="K1151:K1152"/>
    <mergeCell ref="H1151:H1152"/>
    <mergeCell ref="I1151:I1152"/>
    <mergeCell ref="M1157:P1157"/>
    <mergeCell ref="B1158:G1159"/>
    <mergeCell ref="H1158:H1159"/>
    <mergeCell ref="I1158:I1159"/>
    <mergeCell ref="J1158:J1159"/>
    <mergeCell ref="L1158:L1159"/>
    <mergeCell ref="M1158:P1159"/>
    <mergeCell ref="K1158:K1159"/>
    <mergeCell ref="L1165:L1166"/>
    <mergeCell ref="L1160:L1161"/>
    <mergeCell ref="M1160:P1161"/>
    <mergeCell ref="J1160:J1161"/>
    <mergeCell ref="K1160:K1161"/>
    <mergeCell ref="M1164:P1164"/>
    <mergeCell ref="M1165:P1166"/>
    <mergeCell ref="K1165:K1166"/>
    <mergeCell ref="J1165:J1166"/>
    <mergeCell ref="H1165:H1166"/>
    <mergeCell ref="I1165:I1166"/>
    <mergeCell ref="A1160:A1161"/>
    <mergeCell ref="B1160:G1161"/>
    <mergeCell ref="H1160:H1161"/>
    <mergeCell ref="B1166:G1166"/>
    <mergeCell ref="I1160:I1161"/>
    <mergeCell ref="B1164:G1164"/>
    <mergeCell ref="J1167:J1168"/>
    <mergeCell ref="M1178:P1178"/>
    <mergeCell ref="F1170:K1170"/>
    <mergeCell ref="G1171:H1171"/>
    <mergeCell ref="F1176:I1176"/>
    <mergeCell ref="J1180:L1180"/>
    <mergeCell ref="G1183:I1183"/>
    <mergeCell ref="G1184:I1184"/>
    <mergeCell ref="J1183:O1183"/>
    <mergeCell ref="M1180:N1180"/>
    <mergeCell ref="B1188:G1189"/>
    <mergeCell ref="H1188:H1189"/>
    <mergeCell ref="L1188:L1189"/>
    <mergeCell ref="I1172:J1172"/>
    <mergeCell ref="K1177:P1177"/>
    <mergeCell ref="A1183:F1183"/>
    <mergeCell ref="L1167:L1168"/>
    <mergeCell ref="M1167:P1168"/>
    <mergeCell ref="I1171:J1171"/>
    <mergeCell ref="B1187:G1187"/>
    <mergeCell ref="M1187:P1187"/>
    <mergeCell ref="A1185:P1185"/>
    <mergeCell ref="R1189:W1189"/>
    <mergeCell ref="B1190:G1191"/>
    <mergeCell ref="H1190:H1191"/>
    <mergeCell ref="I1190:I1191"/>
    <mergeCell ref="J1190:J1191"/>
    <mergeCell ref="M1188:P1189"/>
    <mergeCell ref="K1190:K1191"/>
    <mergeCell ref="L1190:L1191"/>
    <mergeCell ref="I1188:I1189"/>
    <mergeCell ref="J1188:J1189"/>
    <mergeCell ref="J1197:J1198"/>
    <mergeCell ref="H1202:H1203"/>
    <mergeCell ref="A1195:A1196"/>
    <mergeCell ref="B1195:G1196"/>
    <mergeCell ref="H1195:H1196"/>
    <mergeCell ref="I1195:I1196"/>
    <mergeCell ref="A1197:A1198"/>
    <mergeCell ref="B1197:G1198"/>
    <mergeCell ref="B1201:G1201"/>
    <mergeCell ref="I1202:I1203"/>
    <mergeCell ref="L1195:L1196"/>
    <mergeCell ref="M1195:P1196"/>
    <mergeCell ref="J1195:J1196"/>
    <mergeCell ref="K1195:K1196"/>
    <mergeCell ref="A1190:A1191"/>
    <mergeCell ref="S1193:X1194"/>
    <mergeCell ref="M1190:P1191"/>
    <mergeCell ref="R1193:R1194"/>
    <mergeCell ref="M1208:P1208"/>
    <mergeCell ref="M1209:P1210"/>
    <mergeCell ref="A1204:A1205"/>
    <mergeCell ref="B1204:G1205"/>
    <mergeCell ref="H1204:H1205"/>
    <mergeCell ref="I1204:I1205"/>
    <mergeCell ref="M1204:P1205"/>
    <mergeCell ref="K1204:K1205"/>
    <mergeCell ref="L1204:L1205"/>
    <mergeCell ref="K1209:K1210"/>
    <mergeCell ref="A1202:A1203"/>
    <mergeCell ref="B1202:G1203"/>
    <mergeCell ref="L1197:L1198"/>
    <mergeCell ref="M1197:P1198"/>
    <mergeCell ref="M1202:P1203"/>
    <mergeCell ref="K1197:K1198"/>
    <mergeCell ref="K1202:K1203"/>
    <mergeCell ref="L1202:L1203"/>
    <mergeCell ref="M1201:P1201"/>
    <mergeCell ref="J1202:J1203"/>
    <mergeCell ref="H1211:H1212"/>
    <mergeCell ref="I1211:I1212"/>
    <mergeCell ref="L1209:L1210"/>
    <mergeCell ref="L1218:L1219"/>
    <mergeCell ref="J1211:J1212"/>
    <mergeCell ref="K1211:K1212"/>
    <mergeCell ref="K1218:K1219"/>
    <mergeCell ref="K1216:K1217"/>
    <mergeCell ref="A1209:A1210"/>
    <mergeCell ref="B1209:G1210"/>
    <mergeCell ref="H1209:H1210"/>
    <mergeCell ref="I1209:I1210"/>
    <mergeCell ref="J1209:J1210"/>
    <mergeCell ref="B1208:G1208"/>
    <mergeCell ref="H1197:H1198"/>
    <mergeCell ref="J1204:J1205"/>
    <mergeCell ref="I1197:I1198"/>
    <mergeCell ref="B1217:G1217"/>
    <mergeCell ref="M1211:P1212"/>
    <mergeCell ref="L1211:L1212"/>
    <mergeCell ref="B1215:G1215"/>
    <mergeCell ref="M1215:P1215"/>
    <mergeCell ref="L1216:L1217"/>
    <mergeCell ref="M1216:P1217"/>
    <mergeCell ref="A1211:A1212"/>
    <mergeCell ref="B1211:G1212"/>
    <mergeCell ref="B1218:G1218"/>
    <mergeCell ref="H1218:H1219"/>
    <mergeCell ref="I1218:I1219"/>
    <mergeCell ref="J1218:J1219"/>
    <mergeCell ref="B1219:G1219"/>
    <mergeCell ref="A1216:A1217"/>
    <mergeCell ref="B1216:G1216"/>
    <mergeCell ref="H1216:H1217"/>
    <mergeCell ref="I1216:I1217"/>
    <mergeCell ref="J1216:J1217"/>
    <mergeCell ref="M1218:P1219"/>
    <mergeCell ref="A1218:A1219"/>
    <mergeCell ref="J1231:L1231"/>
    <mergeCell ref="G1235:I1235"/>
    <mergeCell ref="G1223:H1223"/>
    <mergeCell ref="I1223:J1223"/>
    <mergeCell ref="I1239:I1240"/>
    <mergeCell ref="F1221:K1221"/>
    <mergeCell ref="G1222:H1222"/>
    <mergeCell ref="I1222:J1222"/>
    <mergeCell ref="A1236:P1236"/>
    <mergeCell ref="M1239:P1240"/>
    <mergeCell ref="A1234:F1234"/>
    <mergeCell ref="A1241:A1242"/>
    <mergeCell ref="J1234:O1234"/>
    <mergeCell ref="G1234:I1234"/>
    <mergeCell ref="A1239:A1240"/>
    <mergeCell ref="M1241:P1242"/>
    <mergeCell ref="M1238:P1238"/>
    <mergeCell ref="B1238:G1238"/>
    <mergeCell ref="B1239:G1240"/>
    <mergeCell ref="H1239:H1240"/>
    <mergeCell ref="B1246:G1247"/>
    <mergeCell ref="H1246:H1247"/>
    <mergeCell ref="I1246:I1247"/>
    <mergeCell ref="M1252:P1252"/>
    <mergeCell ref="M1248:P1249"/>
    <mergeCell ref="A1248:A1249"/>
    <mergeCell ref="B1248:G1249"/>
    <mergeCell ref="H1248:H1249"/>
    <mergeCell ref="I1248:I1249"/>
    <mergeCell ref="J1246:J1247"/>
    <mergeCell ref="A1260:A1261"/>
    <mergeCell ref="H1260:H1261"/>
    <mergeCell ref="A1253:A1254"/>
    <mergeCell ref="B1253:G1254"/>
    <mergeCell ref="B1252:G1252"/>
    <mergeCell ref="L1253:L1254"/>
    <mergeCell ref="H1253:H1254"/>
    <mergeCell ref="I1253:I1254"/>
    <mergeCell ref="J1253:J1254"/>
    <mergeCell ref="K1253:K1254"/>
    <mergeCell ref="M1231:N1231"/>
    <mergeCell ref="M1229:P1229"/>
    <mergeCell ref="K1241:K1242"/>
    <mergeCell ref="J1255:J1256"/>
    <mergeCell ref="A1255:A1256"/>
    <mergeCell ref="B1255:G1256"/>
    <mergeCell ref="H1255:H1256"/>
    <mergeCell ref="I1255:I1256"/>
    <mergeCell ref="A1246:A1247"/>
    <mergeCell ref="M1246:P1247"/>
    <mergeCell ref="B1241:G1242"/>
    <mergeCell ref="L1241:L1242"/>
    <mergeCell ref="L1239:L1240"/>
    <mergeCell ref="J1239:J1240"/>
    <mergeCell ref="K1239:K1240"/>
    <mergeCell ref="K1246:K1247"/>
    <mergeCell ref="I1241:I1242"/>
    <mergeCell ref="J1241:J1242"/>
    <mergeCell ref="L1246:L1247"/>
    <mergeCell ref="H1241:H1242"/>
    <mergeCell ref="M1260:P1261"/>
    <mergeCell ref="K1262:K1263"/>
    <mergeCell ref="L1262:L1263"/>
    <mergeCell ref="M1259:P1259"/>
    <mergeCell ref="B1266:G1266"/>
    <mergeCell ref="B1260:G1261"/>
    <mergeCell ref="I1262:I1263"/>
    <mergeCell ref="A1262:A1263"/>
    <mergeCell ref="B1262:G1263"/>
    <mergeCell ref="H1262:H1263"/>
    <mergeCell ref="J1282:L1282"/>
    <mergeCell ref="L1269:L1270"/>
    <mergeCell ref="M1262:P1263"/>
    <mergeCell ref="K1269:K1270"/>
    <mergeCell ref="I1269:I1270"/>
    <mergeCell ref="L1267:L1268"/>
    <mergeCell ref="I1260:I1261"/>
    <mergeCell ref="J1260:J1261"/>
    <mergeCell ref="L1260:L1261"/>
    <mergeCell ref="B1259:G1259"/>
    <mergeCell ref="M1269:P1270"/>
    <mergeCell ref="M1267:P1268"/>
    <mergeCell ref="K1267:K1268"/>
    <mergeCell ref="K1260:K1261"/>
    <mergeCell ref="J1262:J1263"/>
    <mergeCell ref="M1266:P1266"/>
    <mergeCell ref="J1267:J1268"/>
    <mergeCell ref="A1267:A1268"/>
    <mergeCell ref="B1267:G1267"/>
    <mergeCell ref="H1267:H1268"/>
    <mergeCell ref="H1269:H1270"/>
    <mergeCell ref="A1269:A1270"/>
    <mergeCell ref="J1269:J1270"/>
    <mergeCell ref="I1267:I1268"/>
    <mergeCell ref="B1270:G1270"/>
    <mergeCell ref="B1269:G1269"/>
    <mergeCell ref="G1274:H1274"/>
    <mergeCell ref="I1274:J1274"/>
    <mergeCell ref="B1310:G1310"/>
    <mergeCell ref="H1306:H1307"/>
    <mergeCell ref="A1304:A1305"/>
    <mergeCell ref="B1304:G1305"/>
    <mergeCell ref="H1304:H1305"/>
    <mergeCell ref="J1306:J1307"/>
    <mergeCell ref="J1304:J1305"/>
    <mergeCell ref="M1303:P1303"/>
    <mergeCell ref="A1306:A1307"/>
    <mergeCell ref="K1279:P1279"/>
    <mergeCell ref="M1282:N1282"/>
    <mergeCell ref="M1280:P1280"/>
    <mergeCell ref="M1290:P1291"/>
    <mergeCell ref="M1299:P1300"/>
    <mergeCell ref="B1303:G1303"/>
    <mergeCell ref="A1285:F1285"/>
    <mergeCell ref="J1285:O1285"/>
    <mergeCell ref="B1289:G1289"/>
    <mergeCell ref="M1289:P1289"/>
    <mergeCell ref="G1285:I1285"/>
    <mergeCell ref="A1287:P1287"/>
    <mergeCell ref="G1286:I1286"/>
    <mergeCell ref="D1282:G1282"/>
    <mergeCell ref="K1255:K1256"/>
    <mergeCell ref="L1248:L1249"/>
    <mergeCell ref="L1255:L1256"/>
    <mergeCell ref="M1255:P1256"/>
    <mergeCell ref="J1248:J1249"/>
    <mergeCell ref="K1248:K1249"/>
    <mergeCell ref="M1253:P1254"/>
    <mergeCell ref="M1245:P1245"/>
    <mergeCell ref="B1245:G1245"/>
    <mergeCell ref="K1306:K1307"/>
    <mergeCell ref="L1306:L1307"/>
    <mergeCell ref="K1304:K1305"/>
    <mergeCell ref="M1296:P1296"/>
    <mergeCell ref="K1290:K1291"/>
    <mergeCell ref="L1292:L1293"/>
    <mergeCell ref="M1292:P1293"/>
    <mergeCell ref="J1299:J1300"/>
    <mergeCell ref="K1299:K1300"/>
    <mergeCell ref="L1299:L1300"/>
    <mergeCell ref="J1297:J1298"/>
    <mergeCell ref="M1297:P1298"/>
    <mergeCell ref="A1297:A1298"/>
    <mergeCell ref="B1297:G1298"/>
    <mergeCell ref="B1290:G1291"/>
    <mergeCell ref="H1290:H1291"/>
    <mergeCell ref="I1290:I1291"/>
    <mergeCell ref="J1292:J1293"/>
    <mergeCell ref="L1290:L1291"/>
    <mergeCell ref="B1292:G1293"/>
    <mergeCell ref="K1292:K1293"/>
    <mergeCell ref="A1290:A1291"/>
    <mergeCell ref="B1296:G1296"/>
    <mergeCell ref="J1290:J1291"/>
    <mergeCell ref="H1292:H1293"/>
    <mergeCell ref="I1292:I1293"/>
    <mergeCell ref="A1292:A1293"/>
    <mergeCell ref="I1304:I1305"/>
    <mergeCell ref="L1304:L1305"/>
    <mergeCell ref="H1297:H1298"/>
    <mergeCell ref="I1297:I1298"/>
    <mergeCell ref="A1299:A1300"/>
    <mergeCell ref="B1299:G1300"/>
    <mergeCell ref="H1299:H1300"/>
    <mergeCell ref="I1299:I1300"/>
    <mergeCell ref="K1297:K1298"/>
    <mergeCell ref="L1297:L1298"/>
    <mergeCell ref="B1306:G1307"/>
    <mergeCell ref="B1268:G1268"/>
    <mergeCell ref="M1320:P1321"/>
    <mergeCell ref="M1340:P1340"/>
    <mergeCell ref="J1336:O1336"/>
    <mergeCell ref="L1341:L1342"/>
    <mergeCell ref="L1320:L1321"/>
    <mergeCell ref="J1313:J1314"/>
    <mergeCell ref="K1313:K1314"/>
    <mergeCell ref="J1333:L1333"/>
    <mergeCell ref="M1311:P1312"/>
    <mergeCell ref="M1317:P1317"/>
    <mergeCell ref="M1333:N1333"/>
    <mergeCell ref="M1331:P1331"/>
    <mergeCell ref="L1318:L1319"/>
    <mergeCell ref="M1318:P1319"/>
    <mergeCell ref="L1311:L1312"/>
    <mergeCell ref="M1313:P1314"/>
    <mergeCell ref="L1313:L1314"/>
    <mergeCell ref="A1311:A1312"/>
    <mergeCell ref="B1311:G1312"/>
    <mergeCell ref="H1311:H1312"/>
    <mergeCell ref="I1311:I1312"/>
    <mergeCell ref="B1317:G1317"/>
    <mergeCell ref="I1324:J1324"/>
    <mergeCell ref="A1320:A1321"/>
    <mergeCell ref="K1320:K1321"/>
    <mergeCell ref="B1319:G1319"/>
    <mergeCell ref="A1318:A1319"/>
    <mergeCell ref="B1318:G1318"/>
    <mergeCell ref="H1318:H1319"/>
    <mergeCell ref="I1318:I1319"/>
    <mergeCell ref="J1318:J1319"/>
    <mergeCell ref="K1318:K1319"/>
    <mergeCell ref="M1341:P1342"/>
    <mergeCell ref="G1325:H1325"/>
    <mergeCell ref="I1325:J1325"/>
    <mergeCell ref="B1320:G1320"/>
    <mergeCell ref="H1320:H1321"/>
    <mergeCell ref="I1320:I1321"/>
    <mergeCell ref="J1320:J1321"/>
    <mergeCell ref="B1321:G1321"/>
    <mergeCell ref="F1323:K1323"/>
    <mergeCell ref="G1324:H1324"/>
    <mergeCell ref="H1313:H1314"/>
    <mergeCell ref="I1313:I1314"/>
    <mergeCell ref="G1336:I1336"/>
    <mergeCell ref="B1341:G1342"/>
    <mergeCell ref="H1341:H1342"/>
    <mergeCell ref="A1336:F1336"/>
    <mergeCell ref="G1337:I1337"/>
    <mergeCell ref="A1338:P1338"/>
    <mergeCell ref="A1341:A1342"/>
    <mergeCell ref="I1341:I1342"/>
    <mergeCell ref="B1340:G1340"/>
    <mergeCell ref="J1311:J1312"/>
    <mergeCell ref="K1311:K1312"/>
    <mergeCell ref="A1313:A1314"/>
    <mergeCell ref="B1313:G1314"/>
    <mergeCell ref="M1306:P1307"/>
    <mergeCell ref="M1310:P1310"/>
    <mergeCell ref="M1304:P1305"/>
    <mergeCell ref="I1306:I1307"/>
    <mergeCell ref="M1354:P1354"/>
    <mergeCell ref="M1350:P1351"/>
    <mergeCell ref="A1369:A1370"/>
    <mergeCell ref="B1369:G1369"/>
    <mergeCell ref="H1369:H1370"/>
    <mergeCell ref="J1371:J1372"/>
    <mergeCell ref="A1371:A1372"/>
    <mergeCell ref="B1371:G1371"/>
    <mergeCell ref="H1371:H1372"/>
    <mergeCell ref="A1364:A1365"/>
    <mergeCell ref="AD1346:AF1347"/>
    <mergeCell ref="L1343:L1344"/>
    <mergeCell ref="M1343:P1344"/>
    <mergeCell ref="R1346:R1347"/>
    <mergeCell ref="S1346:X1347"/>
    <mergeCell ref="Y1346:Y1347"/>
    <mergeCell ref="AB1346:AB1347"/>
    <mergeCell ref="Z1346:Z1347"/>
    <mergeCell ref="M1347:P1347"/>
    <mergeCell ref="AA1346:AA1347"/>
    <mergeCell ref="B1348:G1349"/>
    <mergeCell ref="I1355:I1356"/>
    <mergeCell ref="R1348:R1349"/>
    <mergeCell ref="B1347:G1347"/>
    <mergeCell ref="M1348:P1349"/>
    <mergeCell ref="I1348:I1349"/>
    <mergeCell ref="J1348:J1349"/>
    <mergeCell ref="K1348:K1349"/>
    <mergeCell ref="L1348:L1349"/>
    <mergeCell ref="I1350:I1351"/>
    <mergeCell ref="H1348:H1349"/>
    <mergeCell ref="B1354:G1354"/>
    <mergeCell ref="A1355:A1356"/>
    <mergeCell ref="B1355:G1356"/>
    <mergeCell ref="K1350:K1351"/>
    <mergeCell ref="A1343:A1344"/>
    <mergeCell ref="B1343:G1344"/>
    <mergeCell ref="H1343:H1344"/>
    <mergeCell ref="I1343:I1344"/>
    <mergeCell ref="A1348:A1349"/>
    <mergeCell ref="L1350:L1351"/>
    <mergeCell ref="A1350:A1351"/>
    <mergeCell ref="B1350:G1351"/>
    <mergeCell ref="H1350:H1351"/>
    <mergeCell ref="L1355:L1356"/>
    <mergeCell ref="M1355:P1356"/>
    <mergeCell ref="J1355:J1356"/>
    <mergeCell ref="K1355:K1356"/>
    <mergeCell ref="H1355:H1356"/>
    <mergeCell ref="J1350:J1351"/>
    <mergeCell ref="A1362:A1363"/>
    <mergeCell ref="B1362:G1363"/>
    <mergeCell ref="H1362:H1363"/>
    <mergeCell ref="I1362:I1363"/>
    <mergeCell ref="H1357:H1358"/>
    <mergeCell ref="I1357:I1358"/>
    <mergeCell ref="B1361:G1361"/>
    <mergeCell ref="A1357:A1358"/>
    <mergeCell ref="B1357:G1358"/>
    <mergeCell ref="L1362:L1363"/>
    <mergeCell ref="M1362:P1363"/>
    <mergeCell ref="K1362:K1363"/>
    <mergeCell ref="J1362:J1363"/>
    <mergeCell ref="J1357:J1358"/>
    <mergeCell ref="K1357:K1358"/>
    <mergeCell ref="L1357:L1358"/>
    <mergeCell ref="M1357:P1358"/>
    <mergeCell ref="M1361:P1361"/>
    <mergeCell ref="M1369:P1370"/>
    <mergeCell ref="K1364:K1365"/>
    <mergeCell ref="L1364:L1365"/>
    <mergeCell ref="M1364:P1365"/>
    <mergeCell ref="J1364:J1365"/>
    <mergeCell ref="J1369:J1370"/>
    <mergeCell ref="K1369:K1370"/>
    <mergeCell ref="L1369:L1370"/>
    <mergeCell ref="M1368:P1368"/>
    <mergeCell ref="B1364:G1365"/>
    <mergeCell ref="H1364:H1365"/>
    <mergeCell ref="B1370:G1370"/>
    <mergeCell ref="B1368:G1368"/>
    <mergeCell ref="I1369:I1370"/>
    <mergeCell ref="I1364:I1365"/>
    <mergeCell ref="G1376:H1376"/>
    <mergeCell ref="D1384:G1384"/>
    <mergeCell ref="M1412:P1412"/>
    <mergeCell ref="M1413:P1414"/>
    <mergeCell ref="K1413:K1414"/>
    <mergeCell ref="L1413:L1414"/>
    <mergeCell ref="B1405:G1405"/>
    <mergeCell ref="M1405:P1405"/>
    <mergeCell ref="J1406:J1407"/>
    <mergeCell ref="L1371:L1372"/>
    <mergeCell ref="M1371:P1372"/>
    <mergeCell ref="K1371:K1372"/>
    <mergeCell ref="A1387:F1387"/>
    <mergeCell ref="J1387:O1387"/>
    <mergeCell ref="M1384:N1384"/>
    <mergeCell ref="J1384:L1384"/>
    <mergeCell ref="M1382:P1382"/>
    <mergeCell ref="G1375:H1375"/>
    <mergeCell ref="I1375:J1375"/>
    <mergeCell ref="A1392:A1393"/>
    <mergeCell ref="B1372:G1372"/>
    <mergeCell ref="I1376:J1376"/>
    <mergeCell ref="B1391:G1391"/>
    <mergeCell ref="M1391:P1391"/>
    <mergeCell ref="A1389:P1389"/>
    <mergeCell ref="G1387:I1387"/>
    <mergeCell ref="G1388:I1388"/>
    <mergeCell ref="I1371:I1372"/>
    <mergeCell ref="F1374:K1374"/>
    <mergeCell ref="B1398:G1398"/>
    <mergeCell ref="M1398:P1398"/>
    <mergeCell ref="L1392:L1393"/>
    <mergeCell ref="A1394:A1395"/>
    <mergeCell ref="K1394:K1395"/>
    <mergeCell ref="L1394:L1395"/>
    <mergeCell ref="B1392:G1393"/>
    <mergeCell ref="H1392:H1393"/>
    <mergeCell ref="I1392:I1393"/>
    <mergeCell ref="J1392:J1393"/>
    <mergeCell ref="B1394:G1395"/>
    <mergeCell ref="H1394:H1395"/>
    <mergeCell ref="I1394:I1395"/>
    <mergeCell ref="J1394:J1395"/>
    <mergeCell ref="M1392:P1393"/>
    <mergeCell ref="K1392:K1393"/>
    <mergeCell ref="M1394:P1395"/>
    <mergeCell ref="A1401:A1402"/>
    <mergeCell ref="B1401:G1402"/>
    <mergeCell ref="H1401:H1402"/>
    <mergeCell ref="I1401:I1402"/>
    <mergeCell ref="A1399:A1400"/>
    <mergeCell ref="B1399:G1400"/>
    <mergeCell ref="H1399:H1400"/>
    <mergeCell ref="I1399:I1400"/>
    <mergeCell ref="K1408:K1409"/>
    <mergeCell ref="L1408:L1409"/>
    <mergeCell ref="L1401:L1402"/>
    <mergeCell ref="M1401:P1402"/>
    <mergeCell ref="K1401:K1402"/>
    <mergeCell ref="J1401:J1402"/>
    <mergeCell ref="J1413:J1414"/>
    <mergeCell ref="B1412:G1412"/>
    <mergeCell ref="M1406:P1407"/>
    <mergeCell ref="K1406:K1407"/>
    <mergeCell ref="L1406:L1407"/>
    <mergeCell ref="L1399:L1400"/>
    <mergeCell ref="M1399:P1400"/>
    <mergeCell ref="J1399:J1400"/>
    <mergeCell ref="K1399:K1400"/>
    <mergeCell ref="M1408:P1409"/>
    <mergeCell ref="A1408:A1409"/>
    <mergeCell ref="B1408:G1409"/>
    <mergeCell ref="H1408:H1409"/>
    <mergeCell ref="I1408:I1409"/>
    <mergeCell ref="A1406:A1407"/>
    <mergeCell ref="B1406:G1407"/>
    <mergeCell ref="H1406:H1407"/>
    <mergeCell ref="I1406:I1407"/>
    <mergeCell ref="A1415:A1416"/>
    <mergeCell ref="B1415:G1416"/>
    <mergeCell ref="H1415:H1416"/>
    <mergeCell ref="I1415:I1416"/>
    <mergeCell ref="J1408:J1409"/>
    <mergeCell ref="A1413:A1414"/>
    <mergeCell ref="B1413:G1414"/>
    <mergeCell ref="H1413:H1414"/>
    <mergeCell ref="I1413:I1414"/>
    <mergeCell ref="J1415:J1416"/>
    <mergeCell ref="K1415:K1416"/>
    <mergeCell ref="M1415:P1416"/>
    <mergeCell ref="L1415:L1416"/>
    <mergeCell ref="J1445:J1446"/>
    <mergeCell ref="K1445:K1446"/>
    <mergeCell ref="M1433:P1433"/>
    <mergeCell ref="B1419:G1419"/>
    <mergeCell ref="M1419:P1419"/>
    <mergeCell ref="L1420:L1421"/>
    <mergeCell ref="M1420:P1421"/>
    <mergeCell ref="M1422:P1423"/>
    <mergeCell ref="A1420:A1421"/>
    <mergeCell ref="B1420:G1420"/>
    <mergeCell ref="H1420:H1421"/>
    <mergeCell ref="I1420:I1421"/>
    <mergeCell ref="J1420:J1421"/>
    <mergeCell ref="K1420:K1421"/>
    <mergeCell ref="A1422:A1423"/>
    <mergeCell ref="K1422:K1423"/>
    <mergeCell ref="B1421:G1421"/>
    <mergeCell ref="F1425:K1425"/>
    <mergeCell ref="G1426:H1426"/>
    <mergeCell ref="I1426:J1426"/>
    <mergeCell ref="B1422:G1422"/>
    <mergeCell ref="H1422:H1423"/>
    <mergeCell ref="I1422:I1423"/>
    <mergeCell ref="J1422:J1423"/>
    <mergeCell ref="B1423:G1423"/>
    <mergeCell ref="G1427:H1427"/>
    <mergeCell ref="I1427:J1427"/>
    <mergeCell ref="L1443:L1444"/>
    <mergeCell ref="J1443:J1444"/>
    <mergeCell ref="K1443:K1444"/>
    <mergeCell ref="J1435:L1435"/>
    <mergeCell ref="G1439:I1439"/>
    <mergeCell ref="K1432:P1432"/>
    <mergeCell ref="L1422:L1423"/>
    <mergeCell ref="M1435:N1435"/>
    <mergeCell ref="A1443:A1444"/>
    <mergeCell ref="B1443:G1444"/>
    <mergeCell ref="H1443:H1444"/>
    <mergeCell ref="I1443:I1444"/>
    <mergeCell ref="A1438:F1438"/>
    <mergeCell ref="J1438:O1438"/>
    <mergeCell ref="B1442:G1442"/>
    <mergeCell ref="M1442:P1442"/>
    <mergeCell ref="G1438:I1438"/>
    <mergeCell ref="A1440:P1440"/>
    <mergeCell ref="A1450:A1451"/>
    <mergeCell ref="B1450:G1451"/>
    <mergeCell ref="H1450:H1451"/>
    <mergeCell ref="M1443:P1444"/>
    <mergeCell ref="M1450:P1451"/>
    <mergeCell ref="L1445:L1446"/>
    <mergeCell ref="M1445:P1446"/>
    <mergeCell ref="A1445:A1446"/>
    <mergeCell ref="B1445:G1446"/>
    <mergeCell ref="H1445:H1446"/>
    <mergeCell ref="M1456:P1456"/>
    <mergeCell ref="J1457:J1458"/>
    <mergeCell ref="K1457:K1458"/>
    <mergeCell ref="M1452:P1453"/>
    <mergeCell ref="M1457:P1458"/>
    <mergeCell ref="J1450:J1451"/>
    <mergeCell ref="K1450:K1451"/>
    <mergeCell ref="F1430:I1430"/>
    <mergeCell ref="F1431:I1431"/>
    <mergeCell ref="D1435:G1435"/>
    <mergeCell ref="L1450:L1451"/>
    <mergeCell ref="J1452:J1453"/>
    <mergeCell ref="K1452:K1453"/>
    <mergeCell ref="L1452:L1453"/>
    <mergeCell ref="I1445:I1446"/>
    <mergeCell ref="I1450:I1451"/>
    <mergeCell ref="B1449:G1449"/>
    <mergeCell ref="H1459:H1460"/>
    <mergeCell ref="A1452:A1453"/>
    <mergeCell ref="B1452:G1453"/>
    <mergeCell ref="H1452:H1453"/>
    <mergeCell ref="I1452:I1453"/>
    <mergeCell ref="A1457:A1458"/>
    <mergeCell ref="B1457:G1458"/>
    <mergeCell ref="B1456:G1456"/>
    <mergeCell ref="K1464:K1465"/>
    <mergeCell ref="L1457:L1458"/>
    <mergeCell ref="H1457:H1458"/>
    <mergeCell ref="I1457:I1458"/>
    <mergeCell ref="A1464:A1465"/>
    <mergeCell ref="B1463:G1463"/>
    <mergeCell ref="J1459:J1460"/>
    <mergeCell ref="K1459:K1460"/>
    <mergeCell ref="A1459:A1460"/>
    <mergeCell ref="B1459:G1460"/>
    <mergeCell ref="M1473:P1474"/>
    <mergeCell ref="M1471:P1472"/>
    <mergeCell ref="L1471:L1472"/>
    <mergeCell ref="L1473:L1474"/>
    <mergeCell ref="I1459:I1460"/>
    <mergeCell ref="H1464:H1465"/>
    <mergeCell ref="I1464:I1465"/>
    <mergeCell ref="J1464:J1465"/>
    <mergeCell ref="L1464:L1465"/>
    <mergeCell ref="L1459:L1460"/>
    <mergeCell ref="M1449:P1449"/>
    <mergeCell ref="M1463:P1463"/>
    <mergeCell ref="M1464:P1465"/>
    <mergeCell ref="M1470:P1470"/>
    <mergeCell ref="L1466:L1467"/>
    <mergeCell ref="M1466:P1467"/>
    <mergeCell ref="M1459:P1460"/>
    <mergeCell ref="M1484:P1484"/>
    <mergeCell ref="A1491:P1491"/>
    <mergeCell ref="D1486:G1486"/>
    <mergeCell ref="K1508:K1509"/>
    <mergeCell ref="J1510:J1511"/>
    <mergeCell ref="J1508:J1509"/>
    <mergeCell ref="M1507:P1507"/>
    <mergeCell ref="A1501:A1502"/>
    <mergeCell ref="B1501:G1502"/>
    <mergeCell ref="B1464:G1465"/>
    <mergeCell ref="B1474:G1474"/>
    <mergeCell ref="K1473:K1474"/>
    <mergeCell ref="I1473:I1474"/>
    <mergeCell ref="B1473:G1473"/>
    <mergeCell ref="B1472:G1472"/>
    <mergeCell ref="I1471:I1472"/>
    <mergeCell ref="J1473:J1474"/>
    <mergeCell ref="K1466:K1467"/>
    <mergeCell ref="A1466:A1467"/>
    <mergeCell ref="B1466:G1467"/>
    <mergeCell ref="H1466:H1467"/>
    <mergeCell ref="I1466:I1467"/>
    <mergeCell ref="K1471:K1472"/>
    <mergeCell ref="M1486:N1486"/>
    <mergeCell ref="J1486:L1486"/>
    <mergeCell ref="J1471:J1472"/>
    <mergeCell ref="K1483:P1483"/>
    <mergeCell ref="B1470:G1470"/>
    <mergeCell ref="B1500:G1500"/>
    <mergeCell ref="G1490:I1490"/>
    <mergeCell ref="A1471:A1472"/>
    <mergeCell ref="B1471:G1471"/>
    <mergeCell ref="H1471:H1472"/>
    <mergeCell ref="H1473:H1474"/>
    <mergeCell ref="A1473:A1474"/>
    <mergeCell ref="G1477:H1477"/>
    <mergeCell ref="F1481:I1481"/>
    <mergeCell ref="F1482:I1482"/>
    <mergeCell ref="A1489:F1489"/>
    <mergeCell ref="J1489:O1489"/>
    <mergeCell ref="B1493:G1493"/>
    <mergeCell ref="M1493:P1493"/>
    <mergeCell ref="G1489:I1489"/>
    <mergeCell ref="A1494:A1495"/>
    <mergeCell ref="M1500:P1500"/>
    <mergeCell ref="K1494:K1495"/>
    <mergeCell ref="L1496:L1497"/>
    <mergeCell ref="M1496:P1497"/>
    <mergeCell ref="M1494:P1495"/>
    <mergeCell ref="B1507:G1507"/>
    <mergeCell ref="I1508:I1509"/>
    <mergeCell ref="A1508:A1509"/>
    <mergeCell ref="B1508:G1509"/>
    <mergeCell ref="H1508:H1509"/>
    <mergeCell ref="M1501:P1502"/>
    <mergeCell ref="I1496:I1497"/>
    <mergeCell ref="J1496:J1497"/>
    <mergeCell ref="H1496:H1497"/>
    <mergeCell ref="J1501:J1502"/>
    <mergeCell ref="K1501:K1502"/>
    <mergeCell ref="L1501:L1502"/>
    <mergeCell ref="B1496:G1497"/>
    <mergeCell ref="B1494:G1495"/>
    <mergeCell ref="H1494:H1495"/>
    <mergeCell ref="I1494:I1495"/>
    <mergeCell ref="A1496:A1497"/>
    <mergeCell ref="J1494:J1495"/>
    <mergeCell ref="L1494:L1495"/>
    <mergeCell ref="K1496:K1497"/>
    <mergeCell ref="H1501:H1502"/>
    <mergeCell ref="I1501:I1502"/>
    <mergeCell ref="A1503:A1504"/>
    <mergeCell ref="B1503:G1504"/>
    <mergeCell ref="H1503:H1504"/>
    <mergeCell ref="I1503:I1504"/>
    <mergeCell ref="L1559:L1560"/>
    <mergeCell ref="J1515:J1516"/>
    <mergeCell ref="K1510:K1511"/>
    <mergeCell ref="K1515:K1516"/>
    <mergeCell ref="M1514:P1514"/>
    <mergeCell ref="J1503:J1504"/>
    <mergeCell ref="K1503:K1504"/>
    <mergeCell ref="L1503:L1504"/>
    <mergeCell ref="M1503:P1504"/>
    <mergeCell ref="L1508:L1509"/>
    <mergeCell ref="M1508:P1509"/>
    <mergeCell ref="F1527:K1527"/>
    <mergeCell ref="B1525:G1525"/>
    <mergeCell ref="G1528:H1528"/>
    <mergeCell ref="I1528:J1528"/>
    <mergeCell ref="F1532:I1532"/>
    <mergeCell ref="F1533:I1533"/>
    <mergeCell ref="A1515:A1516"/>
    <mergeCell ref="I1515:I1516"/>
    <mergeCell ref="B1522:G1522"/>
    <mergeCell ref="H1517:H1518"/>
    <mergeCell ref="I1517:I1518"/>
    <mergeCell ref="J1517:J1518"/>
    <mergeCell ref="B1521:G1521"/>
    <mergeCell ref="H1510:H1511"/>
    <mergeCell ref="I1510:I1511"/>
    <mergeCell ref="L1524:L1525"/>
    <mergeCell ref="H1522:H1523"/>
    <mergeCell ref="I1522:I1523"/>
    <mergeCell ref="I1524:I1525"/>
    <mergeCell ref="J1524:J1525"/>
    <mergeCell ref="K1517:K1518"/>
    <mergeCell ref="M1515:P1516"/>
    <mergeCell ref="M1517:P1518"/>
    <mergeCell ref="A1517:A1518"/>
    <mergeCell ref="B1517:G1518"/>
    <mergeCell ref="M1510:P1511"/>
    <mergeCell ref="L1510:L1511"/>
    <mergeCell ref="L1515:L1516"/>
    <mergeCell ref="L1517:L1518"/>
    <mergeCell ref="A1510:A1511"/>
    <mergeCell ref="B1510:G1511"/>
    <mergeCell ref="M1524:P1525"/>
    <mergeCell ref="M1521:P1521"/>
    <mergeCell ref="L1522:L1523"/>
    <mergeCell ref="M1522:P1523"/>
    <mergeCell ref="J1522:J1523"/>
    <mergeCell ref="K1522:K1523"/>
    <mergeCell ref="K1524:K1525"/>
    <mergeCell ref="B1514:G1514"/>
    <mergeCell ref="B1515:G1516"/>
    <mergeCell ref="H1515:H1516"/>
    <mergeCell ref="A1522:A1523"/>
    <mergeCell ref="G1529:H1529"/>
    <mergeCell ref="I1529:J1529"/>
    <mergeCell ref="A1524:A1525"/>
    <mergeCell ref="B1523:G1523"/>
    <mergeCell ref="B1524:G1524"/>
    <mergeCell ref="H1524:H1525"/>
    <mergeCell ref="A1545:A1546"/>
    <mergeCell ref="B1545:G1546"/>
    <mergeCell ref="H1545:H1546"/>
    <mergeCell ref="I1545:I1546"/>
    <mergeCell ref="G1541:I1541"/>
    <mergeCell ref="J1547:J1548"/>
    <mergeCell ref="AD1550:AF1551"/>
    <mergeCell ref="L1547:L1548"/>
    <mergeCell ref="M1547:P1548"/>
    <mergeCell ref="R1550:R1551"/>
    <mergeCell ref="S1550:X1551"/>
    <mergeCell ref="Y1550:Y1551"/>
    <mergeCell ref="AB1550:AB1551"/>
    <mergeCell ref="Z1550:Z1551"/>
    <mergeCell ref="M1551:P1551"/>
    <mergeCell ref="AA1550:AA1551"/>
    <mergeCell ref="B1547:G1548"/>
    <mergeCell ref="H1547:H1548"/>
    <mergeCell ref="I1547:I1548"/>
    <mergeCell ref="J1552:J1553"/>
    <mergeCell ref="K1552:K1553"/>
    <mergeCell ref="L1552:L1553"/>
    <mergeCell ref="K1547:K1548"/>
    <mergeCell ref="H1552:H1553"/>
    <mergeCell ref="I1552:I1553"/>
    <mergeCell ref="K1534:P1534"/>
    <mergeCell ref="D1537:G1537"/>
    <mergeCell ref="B1551:G1551"/>
    <mergeCell ref="A1552:A1553"/>
    <mergeCell ref="A1554:A1555"/>
    <mergeCell ref="B1554:G1555"/>
    <mergeCell ref="H1554:H1555"/>
    <mergeCell ref="M1552:P1553"/>
    <mergeCell ref="B1552:G1553"/>
    <mergeCell ref="A1547:A1548"/>
    <mergeCell ref="M1535:P1535"/>
    <mergeCell ref="M1537:N1537"/>
    <mergeCell ref="J1537:L1537"/>
    <mergeCell ref="L1545:L1546"/>
    <mergeCell ref="J1545:J1546"/>
    <mergeCell ref="K1545:K1546"/>
    <mergeCell ref="A1542:P1542"/>
    <mergeCell ref="M1545:P1546"/>
    <mergeCell ref="A1540:F1540"/>
    <mergeCell ref="J1540:O1540"/>
    <mergeCell ref="B1544:G1544"/>
    <mergeCell ref="M1544:P1544"/>
    <mergeCell ref="G1540:I1540"/>
    <mergeCell ref="J1603:J1604"/>
    <mergeCell ref="K1603:K1604"/>
    <mergeCell ref="J1612:J1613"/>
    <mergeCell ref="B1609:G1609"/>
    <mergeCell ref="M1609:P1609"/>
    <mergeCell ref="J1610:J1611"/>
    <mergeCell ref="M1612:P1613"/>
    <mergeCell ref="K1612:K1613"/>
    <mergeCell ref="L1561:L1562"/>
    <mergeCell ref="I1579:J1579"/>
    <mergeCell ref="I1568:I1569"/>
    <mergeCell ref="L1566:L1567"/>
    <mergeCell ref="M1566:P1567"/>
    <mergeCell ref="K1566:K1567"/>
    <mergeCell ref="M1572:P1572"/>
    <mergeCell ref="M1561:P1562"/>
    <mergeCell ref="A1559:A1560"/>
    <mergeCell ref="B1559:G1560"/>
    <mergeCell ref="J1559:J1560"/>
    <mergeCell ref="K1559:K1560"/>
    <mergeCell ref="H1559:H1560"/>
    <mergeCell ref="K1568:K1569"/>
    <mergeCell ref="B1558:G1558"/>
    <mergeCell ref="I1554:I1555"/>
    <mergeCell ref="M1558:P1558"/>
    <mergeCell ref="J1554:J1555"/>
    <mergeCell ref="K1554:K1555"/>
    <mergeCell ref="L1554:L1555"/>
    <mergeCell ref="M1554:P1555"/>
    <mergeCell ref="J1561:J1562"/>
    <mergeCell ref="K1561:K1562"/>
    <mergeCell ref="A1561:A1562"/>
    <mergeCell ref="B1561:G1562"/>
    <mergeCell ref="B1566:G1567"/>
    <mergeCell ref="J1566:J1567"/>
    <mergeCell ref="H1561:H1562"/>
    <mergeCell ref="I1561:I1562"/>
    <mergeCell ref="I1566:I1567"/>
    <mergeCell ref="M1573:P1574"/>
    <mergeCell ref="K1573:K1574"/>
    <mergeCell ref="J1573:J1574"/>
    <mergeCell ref="A1566:A1567"/>
    <mergeCell ref="B1565:G1565"/>
    <mergeCell ref="L1568:L1569"/>
    <mergeCell ref="L1573:L1574"/>
    <mergeCell ref="I1573:I1574"/>
    <mergeCell ref="M1559:P1560"/>
    <mergeCell ref="I1559:I1560"/>
    <mergeCell ref="A1568:A1569"/>
    <mergeCell ref="B1568:G1569"/>
    <mergeCell ref="H1568:H1569"/>
    <mergeCell ref="M1568:P1569"/>
    <mergeCell ref="J1568:J1569"/>
    <mergeCell ref="M1565:P1565"/>
    <mergeCell ref="H1566:H1567"/>
    <mergeCell ref="B1574:G1574"/>
    <mergeCell ref="B1572:G1572"/>
    <mergeCell ref="A1573:A1574"/>
    <mergeCell ref="B1573:G1573"/>
    <mergeCell ref="H1573:H1574"/>
    <mergeCell ref="D1588:G1588"/>
    <mergeCell ref="F1584:I1584"/>
    <mergeCell ref="K1585:P1585"/>
    <mergeCell ref="I1580:J1580"/>
    <mergeCell ref="B1623:G1623"/>
    <mergeCell ref="M1623:P1623"/>
    <mergeCell ref="L1624:L1625"/>
    <mergeCell ref="M1624:P1625"/>
    <mergeCell ref="M1626:P1627"/>
    <mergeCell ref="B1627:G1627"/>
    <mergeCell ref="K1619:K1620"/>
    <mergeCell ref="M1619:P1620"/>
    <mergeCell ref="L1619:L1620"/>
    <mergeCell ref="B1602:G1602"/>
    <mergeCell ref="J1605:J1606"/>
    <mergeCell ref="L1603:L1604"/>
    <mergeCell ref="B1598:G1599"/>
    <mergeCell ref="M1586:P1586"/>
    <mergeCell ref="A1575:A1576"/>
    <mergeCell ref="H1575:H1576"/>
    <mergeCell ref="F1578:K1578"/>
    <mergeCell ref="G1579:H1579"/>
    <mergeCell ref="F1583:I1583"/>
    <mergeCell ref="J1588:L1588"/>
    <mergeCell ref="M1588:N1588"/>
    <mergeCell ref="K1598:K1599"/>
    <mergeCell ref="L1598:L1599"/>
    <mergeCell ref="K1596:K1597"/>
    <mergeCell ref="L1596:L1597"/>
    <mergeCell ref="A1593:P1593"/>
    <mergeCell ref="G1591:I1591"/>
    <mergeCell ref="G1592:I1592"/>
    <mergeCell ref="A1591:F1591"/>
    <mergeCell ref="J1591:O1591"/>
    <mergeCell ref="B1595:G1595"/>
    <mergeCell ref="A1596:A1597"/>
    <mergeCell ref="A1598:A1599"/>
    <mergeCell ref="I1575:I1576"/>
    <mergeCell ref="M1575:P1576"/>
    <mergeCell ref="K1575:K1576"/>
    <mergeCell ref="J1575:J1576"/>
    <mergeCell ref="L1575:L1576"/>
    <mergeCell ref="B1576:G1576"/>
    <mergeCell ref="B1575:G1575"/>
    <mergeCell ref="M1595:P1595"/>
    <mergeCell ref="H1598:H1599"/>
    <mergeCell ref="I1598:I1599"/>
    <mergeCell ref="J1598:J1599"/>
    <mergeCell ref="M1596:P1597"/>
    <mergeCell ref="M1602:P1602"/>
    <mergeCell ref="B1596:G1597"/>
    <mergeCell ref="H1596:H1597"/>
    <mergeCell ref="I1596:I1597"/>
    <mergeCell ref="J1596:J1597"/>
    <mergeCell ref="M1598:P1599"/>
    <mergeCell ref="L1612:L1613"/>
    <mergeCell ref="A1603:A1604"/>
    <mergeCell ref="B1603:G1604"/>
    <mergeCell ref="H1603:H1604"/>
    <mergeCell ref="I1603:I1604"/>
    <mergeCell ref="A1605:A1606"/>
    <mergeCell ref="B1605:G1606"/>
    <mergeCell ref="H1605:H1606"/>
    <mergeCell ref="A1610:A1611"/>
    <mergeCell ref="B1610:G1611"/>
    <mergeCell ref="G1580:H1580"/>
    <mergeCell ref="J1617:J1618"/>
    <mergeCell ref="M1603:P1604"/>
    <mergeCell ref="I1649:I1650"/>
    <mergeCell ref="J1649:J1650"/>
    <mergeCell ref="K1649:K1650"/>
    <mergeCell ref="L1654:L1655"/>
    <mergeCell ref="H1610:H1611"/>
    <mergeCell ref="I1610:I1611"/>
    <mergeCell ref="I1605:I1606"/>
    <mergeCell ref="H1612:H1613"/>
    <mergeCell ref="I1612:I1613"/>
    <mergeCell ref="B1616:G1616"/>
    <mergeCell ref="L1605:L1606"/>
    <mergeCell ref="K1617:K1618"/>
    <mergeCell ref="L1617:L1618"/>
    <mergeCell ref="A1612:A1613"/>
    <mergeCell ref="B1612:G1613"/>
    <mergeCell ref="M1605:P1606"/>
    <mergeCell ref="M1610:P1611"/>
    <mergeCell ref="K1605:K1606"/>
    <mergeCell ref="K1610:K1611"/>
    <mergeCell ref="L1610:L1611"/>
    <mergeCell ref="M1616:P1616"/>
    <mergeCell ref="M1617:P1618"/>
    <mergeCell ref="A1619:A1620"/>
    <mergeCell ref="B1619:G1620"/>
    <mergeCell ref="H1619:H1620"/>
    <mergeCell ref="I1619:I1620"/>
    <mergeCell ref="A1617:A1618"/>
    <mergeCell ref="B1617:G1618"/>
    <mergeCell ref="H1617:H1618"/>
    <mergeCell ref="I1617:I1618"/>
    <mergeCell ref="A1624:A1625"/>
    <mergeCell ref="B1624:G1624"/>
    <mergeCell ref="H1624:H1625"/>
    <mergeCell ref="I1624:I1625"/>
    <mergeCell ref="J1624:J1625"/>
    <mergeCell ref="J1619:J1620"/>
    <mergeCell ref="M1649:P1650"/>
    <mergeCell ref="D1639:G1639"/>
    <mergeCell ref="F1634:I1634"/>
    <mergeCell ref="F1635:I1635"/>
    <mergeCell ref="K1636:P1636"/>
    <mergeCell ref="J1654:J1655"/>
    <mergeCell ref="K1654:K1655"/>
    <mergeCell ref="M1637:P1637"/>
    <mergeCell ref="H1626:H1627"/>
    <mergeCell ref="I1626:I1627"/>
    <mergeCell ref="J1626:J1627"/>
    <mergeCell ref="F1629:K1629"/>
    <mergeCell ref="M1653:P1653"/>
    <mergeCell ref="M1639:N1639"/>
    <mergeCell ref="B1646:G1646"/>
    <mergeCell ref="G1643:I1643"/>
    <mergeCell ref="M1646:P1646"/>
    <mergeCell ref="K1624:K1625"/>
    <mergeCell ref="A1626:A1627"/>
    <mergeCell ref="K1626:K1627"/>
    <mergeCell ref="B1625:G1625"/>
    <mergeCell ref="G1630:H1630"/>
    <mergeCell ref="I1630:J1630"/>
    <mergeCell ref="B1626:G1626"/>
    <mergeCell ref="G1631:H1631"/>
    <mergeCell ref="I1631:J1631"/>
    <mergeCell ref="J1639:L1639"/>
    <mergeCell ref="A1649:A1650"/>
    <mergeCell ref="B1649:G1650"/>
    <mergeCell ref="H1649:H1650"/>
    <mergeCell ref="L1647:L1648"/>
    <mergeCell ref="J1647:J1648"/>
    <mergeCell ref="L1649:L1650"/>
    <mergeCell ref="I1647:I1648"/>
    <mergeCell ref="B1653:G1653"/>
    <mergeCell ref="J1642:O1642"/>
    <mergeCell ref="G1642:I1642"/>
    <mergeCell ref="A1647:A1648"/>
    <mergeCell ref="B1647:G1648"/>
    <mergeCell ref="H1647:H1648"/>
    <mergeCell ref="K1647:K1648"/>
    <mergeCell ref="A1644:P1644"/>
    <mergeCell ref="M1647:P1648"/>
    <mergeCell ref="A1642:F1642"/>
    <mergeCell ref="L1626:L1627"/>
    <mergeCell ref="M1661:P1662"/>
    <mergeCell ref="B1677:G1677"/>
    <mergeCell ref="A1693:F1693"/>
    <mergeCell ref="G1693:I1693"/>
    <mergeCell ref="I1675:I1676"/>
    <mergeCell ref="I1677:I1678"/>
    <mergeCell ref="J1675:J1676"/>
    <mergeCell ref="G1682:H1682"/>
    <mergeCell ref="I1682:J1682"/>
    <mergeCell ref="F1680:K1680"/>
    <mergeCell ref="A1654:A1655"/>
    <mergeCell ref="B1654:G1655"/>
    <mergeCell ref="H1654:H1655"/>
    <mergeCell ref="I1654:I1655"/>
    <mergeCell ref="M1660:P1660"/>
    <mergeCell ref="M1656:P1657"/>
    <mergeCell ref="A1656:A1657"/>
    <mergeCell ref="B1656:G1657"/>
    <mergeCell ref="H1656:H1657"/>
    <mergeCell ref="I1656:I1657"/>
    <mergeCell ref="J1656:J1657"/>
    <mergeCell ref="K1656:K1657"/>
    <mergeCell ref="L1656:L1657"/>
    <mergeCell ref="A1661:A1662"/>
    <mergeCell ref="B1661:G1662"/>
    <mergeCell ref="B1660:G1660"/>
    <mergeCell ref="L1661:L1662"/>
    <mergeCell ref="H1661:H1662"/>
    <mergeCell ref="I1661:I1662"/>
    <mergeCell ref="J1661:J1662"/>
    <mergeCell ref="K1661:K1662"/>
    <mergeCell ref="A1668:A1669"/>
    <mergeCell ref="B1667:G1667"/>
    <mergeCell ref="J1663:J1664"/>
    <mergeCell ref="K1663:K1664"/>
    <mergeCell ref="A1663:A1664"/>
    <mergeCell ref="K1668:K1669"/>
    <mergeCell ref="B1668:G1669"/>
    <mergeCell ref="B1663:G1664"/>
    <mergeCell ref="H1663:H1664"/>
    <mergeCell ref="M1654:P1655"/>
    <mergeCell ref="L1675:L1676"/>
    <mergeCell ref="A1677:A1678"/>
    <mergeCell ref="B1678:G1678"/>
    <mergeCell ref="F1685:I1685"/>
    <mergeCell ref="F1686:I1686"/>
    <mergeCell ref="K1687:P1687"/>
    <mergeCell ref="J1677:J1678"/>
    <mergeCell ref="K1677:K1678"/>
    <mergeCell ref="H1677:H1678"/>
    <mergeCell ref="G1694:I1694"/>
    <mergeCell ref="M1663:P1664"/>
    <mergeCell ref="M1677:P1678"/>
    <mergeCell ref="M1675:P1676"/>
    <mergeCell ref="M1667:P1667"/>
    <mergeCell ref="L1668:L1669"/>
    <mergeCell ref="M1668:P1669"/>
    <mergeCell ref="M1674:P1674"/>
    <mergeCell ref="M1670:P1671"/>
    <mergeCell ref="L1677:L1678"/>
    <mergeCell ref="L1663:L1664"/>
    <mergeCell ref="J1670:J1671"/>
    <mergeCell ref="H1668:H1669"/>
    <mergeCell ref="I1668:I1669"/>
    <mergeCell ref="J1668:J1669"/>
    <mergeCell ref="L1670:L1671"/>
    <mergeCell ref="K1675:K1676"/>
    <mergeCell ref="B1675:G1675"/>
    <mergeCell ref="H1675:H1676"/>
    <mergeCell ref="K1670:K1671"/>
    <mergeCell ref="B1674:G1674"/>
    <mergeCell ref="I1663:I1664"/>
    <mergeCell ref="B1676:G1676"/>
    <mergeCell ref="G1681:H1681"/>
    <mergeCell ref="I1681:J1681"/>
    <mergeCell ref="A1670:A1671"/>
    <mergeCell ref="B1670:G1671"/>
    <mergeCell ref="H1670:H1671"/>
    <mergeCell ref="I1670:I1671"/>
    <mergeCell ref="A1675:A1676"/>
    <mergeCell ref="M1690:N1690"/>
    <mergeCell ref="M1688:P1688"/>
    <mergeCell ref="I1700:I1701"/>
    <mergeCell ref="H1698:H1699"/>
    <mergeCell ref="I1698:I1699"/>
    <mergeCell ref="A1698:A1699"/>
    <mergeCell ref="B1700:G1701"/>
    <mergeCell ref="D1690:G1690"/>
    <mergeCell ref="R1713:W1713"/>
    <mergeCell ref="X1713:Y1713"/>
    <mergeCell ref="Z1713:AE1713"/>
    <mergeCell ref="AA1705:AA1706"/>
    <mergeCell ref="AB1705:AB1706"/>
    <mergeCell ref="Y1703:Y1704"/>
    <mergeCell ref="Y1705:Y1706"/>
    <mergeCell ref="R1705:R1706"/>
    <mergeCell ref="S1705:X1706"/>
    <mergeCell ref="Z1705:Z1706"/>
    <mergeCell ref="AD1703:AF1704"/>
    <mergeCell ref="L1700:L1701"/>
    <mergeCell ref="S1703:X1704"/>
    <mergeCell ref="S1702:X1702"/>
    <mergeCell ref="Z1703:Z1704"/>
    <mergeCell ref="AA1703:AA1704"/>
    <mergeCell ref="M1700:P1701"/>
    <mergeCell ref="AC1703:AC1704"/>
    <mergeCell ref="R1703:R1704"/>
    <mergeCell ref="AB1703:AB1704"/>
    <mergeCell ref="J1690:L1690"/>
    <mergeCell ref="L1698:L1699"/>
    <mergeCell ref="J1698:J1699"/>
    <mergeCell ref="M1698:P1699"/>
    <mergeCell ref="M1704:P1704"/>
    <mergeCell ref="A1695:P1695"/>
    <mergeCell ref="J1693:O1693"/>
    <mergeCell ref="B1704:G1704"/>
    <mergeCell ref="K1698:K1699"/>
    <mergeCell ref="B1697:G1697"/>
    <mergeCell ref="A1700:A1701"/>
    <mergeCell ref="A1705:A1706"/>
    <mergeCell ref="H1700:H1701"/>
    <mergeCell ref="B1698:G1699"/>
    <mergeCell ref="K1705:K1706"/>
    <mergeCell ref="B1705:G1706"/>
    <mergeCell ref="H1705:H1706"/>
    <mergeCell ref="M1697:P1697"/>
    <mergeCell ref="J1700:J1701"/>
    <mergeCell ref="K1700:K1701"/>
    <mergeCell ref="L1712:L1713"/>
    <mergeCell ref="I1707:I1708"/>
    <mergeCell ref="L1705:L1706"/>
    <mergeCell ref="J1705:J1706"/>
    <mergeCell ref="M1711:P1711"/>
    <mergeCell ref="I1705:I1706"/>
    <mergeCell ref="M1705:P1706"/>
    <mergeCell ref="B1711:G1711"/>
    <mergeCell ref="B1712:G1713"/>
    <mergeCell ref="H1712:H1713"/>
    <mergeCell ref="I1712:I1713"/>
    <mergeCell ref="K1707:K1708"/>
    <mergeCell ref="L1707:L1708"/>
    <mergeCell ref="J1707:J1708"/>
    <mergeCell ref="H1707:H1708"/>
    <mergeCell ref="M1707:P1708"/>
    <mergeCell ref="J1712:J1713"/>
    <mergeCell ref="A1712:A1713"/>
    <mergeCell ref="A1714:A1715"/>
    <mergeCell ref="B1714:G1715"/>
    <mergeCell ref="B1718:G1718"/>
    <mergeCell ref="H1714:H1715"/>
    <mergeCell ref="I1714:I1715"/>
    <mergeCell ref="A1707:A1708"/>
    <mergeCell ref="B1707:G1708"/>
    <mergeCell ref="A1721:A1722"/>
    <mergeCell ref="A1719:A1720"/>
    <mergeCell ref="B1719:G1720"/>
    <mergeCell ref="L1728:L1729"/>
    <mergeCell ref="M1712:P1713"/>
    <mergeCell ref="K1714:K1715"/>
    <mergeCell ref="L1714:L1715"/>
    <mergeCell ref="K1712:K1713"/>
    <mergeCell ref="J1721:J1722"/>
    <mergeCell ref="K1721:K1722"/>
    <mergeCell ref="J1714:J1715"/>
    <mergeCell ref="J1719:J1720"/>
    <mergeCell ref="K1719:K1720"/>
    <mergeCell ref="L1726:L1727"/>
    <mergeCell ref="M1726:P1727"/>
    <mergeCell ref="L1719:L1720"/>
    <mergeCell ref="M1714:P1715"/>
    <mergeCell ref="M1718:P1718"/>
    <mergeCell ref="A1728:A1729"/>
    <mergeCell ref="G1745:I1745"/>
    <mergeCell ref="M1719:P1720"/>
    <mergeCell ref="M1725:P1725"/>
    <mergeCell ref="M1741:N1741"/>
    <mergeCell ref="M1728:P1729"/>
    <mergeCell ref="D1741:G1741"/>
    <mergeCell ref="F1736:I1736"/>
    <mergeCell ref="F1737:I1737"/>
    <mergeCell ref="H1719:H1720"/>
    <mergeCell ref="I1719:I1720"/>
    <mergeCell ref="I1721:I1722"/>
    <mergeCell ref="B1727:G1727"/>
    <mergeCell ref="A1726:A1727"/>
    <mergeCell ref="B1721:G1722"/>
    <mergeCell ref="H1721:H1722"/>
    <mergeCell ref="F1731:K1731"/>
    <mergeCell ref="G1732:H1732"/>
    <mergeCell ref="I1732:J1732"/>
    <mergeCell ref="K1728:K1729"/>
    <mergeCell ref="M1721:P1722"/>
    <mergeCell ref="L1721:L1722"/>
    <mergeCell ref="K1726:K1727"/>
    <mergeCell ref="J1726:J1727"/>
    <mergeCell ref="B1725:G1725"/>
    <mergeCell ref="B1728:G1728"/>
    <mergeCell ref="H1728:H1729"/>
    <mergeCell ref="I1728:I1729"/>
    <mergeCell ref="J1728:J1729"/>
    <mergeCell ref="B1729:G1729"/>
    <mergeCell ref="B1726:G1726"/>
    <mergeCell ref="H1726:H1727"/>
    <mergeCell ref="I1726:I1727"/>
    <mergeCell ref="G1733:H1733"/>
    <mergeCell ref="I1733:J1733"/>
    <mergeCell ref="J1741:L1741"/>
    <mergeCell ref="K1738:P1738"/>
    <mergeCell ref="M1739:P1739"/>
    <mergeCell ref="I1749:I1750"/>
    <mergeCell ref="A1744:F1744"/>
    <mergeCell ref="J1744:O1744"/>
    <mergeCell ref="B1748:G1748"/>
    <mergeCell ref="M1748:P1748"/>
    <mergeCell ref="G1744:I1744"/>
    <mergeCell ref="B1749:G1750"/>
    <mergeCell ref="H1749:H1750"/>
    <mergeCell ref="M1749:P1750"/>
    <mergeCell ref="AD1754:AF1755"/>
    <mergeCell ref="L1751:L1752"/>
    <mergeCell ref="M1751:P1752"/>
    <mergeCell ref="R1754:R1755"/>
    <mergeCell ref="S1754:X1755"/>
    <mergeCell ref="Y1754:Y1755"/>
    <mergeCell ref="AB1754:AB1755"/>
    <mergeCell ref="Z1754:Z1755"/>
    <mergeCell ref="M1755:P1755"/>
    <mergeCell ref="AA1754:AA1755"/>
    <mergeCell ref="I1763:I1764"/>
    <mergeCell ref="R1756:R1757"/>
    <mergeCell ref="B1755:G1755"/>
    <mergeCell ref="M1756:P1757"/>
    <mergeCell ref="I1756:I1757"/>
    <mergeCell ref="J1756:J1757"/>
    <mergeCell ref="K1756:K1757"/>
    <mergeCell ref="L1756:L1757"/>
    <mergeCell ref="I1758:I1759"/>
    <mergeCell ref="M1763:P1764"/>
    <mergeCell ref="A1751:A1752"/>
    <mergeCell ref="B1751:G1752"/>
    <mergeCell ref="H1751:H1752"/>
    <mergeCell ref="I1751:I1752"/>
    <mergeCell ref="A1756:A1757"/>
    <mergeCell ref="B1756:G1757"/>
    <mergeCell ref="L1749:L1750"/>
    <mergeCell ref="J1749:J1750"/>
    <mergeCell ref="K1749:K1750"/>
    <mergeCell ref="A1746:P1746"/>
    <mergeCell ref="A1749:A1750"/>
    <mergeCell ref="A1763:A1764"/>
    <mergeCell ref="B1763:G1764"/>
    <mergeCell ref="K1758:K1759"/>
    <mergeCell ref="M1762:P1762"/>
    <mergeCell ref="M1758:P1759"/>
    <mergeCell ref="AD1756:AF1757"/>
    <mergeCell ref="AA1756:AA1757"/>
    <mergeCell ref="J1763:J1764"/>
    <mergeCell ref="K1763:K1764"/>
    <mergeCell ref="H1763:H1764"/>
    <mergeCell ref="J1758:J1759"/>
    <mergeCell ref="H1756:H1757"/>
    <mergeCell ref="B1762:G1762"/>
    <mergeCell ref="J1751:J1752"/>
    <mergeCell ref="J1765:J1766"/>
    <mergeCell ref="K1765:K1766"/>
    <mergeCell ref="L1765:L1766"/>
    <mergeCell ref="M1765:P1766"/>
    <mergeCell ref="M1776:P1776"/>
    <mergeCell ref="L1828:L1829"/>
    <mergeCell ref="M1828:P1829"/>
    <mergeCell ref="M1830:P1831"/>
    <mergeCell ref="M1820:P1820"/>
    <mergeCell ref="M1821:P1822"/>
    <mergeCell ref="L1809:L1810"/>
    <mergeCell ref="M1809:P1810"/>
    <mergeCell ref="L1802:L1803"/>
    <mergeCell ref="B1800:G1801"/>
    <mergeCell ref="H1800:H1801"/>
    <mergeCell ref="I1800:I1801"/>
    <mergeCell ref="J1800:J1801"/>
    <mergeCell ref="B1799:G1799"/>
    <mergeCell ref="A1800:A1801"/>
    <mergeCell ref="L1830:L1831"/>
    <mergeCell ref="B1827:G1827"/>
    <mergeCell ref="M1827:P1827"/>
    <mergeCell ref="A1795:F1795"/>
    <mergeCell ref="J1795:O1795"/>
    <mergeCell ref="M1799:P1799"/>
    <mergeCell ref="A1797:P1797"/>
    <mergeCell ref="G1795:I1795"/>
    <mergeCell ref="G1796:I1796"/>
    <mergeCell ref="M1792:N1792"/>
    <mergeCell ref="B1780:G1780"/>
    <mergeCell ref="G1784:H1784"/>
    <mergeCell ref="I1784:J1784"/>
    <mergeCell ref="A1779:A1780"/>
    <mergeCell ref="L1779:L1780"/>
    <mergeCell ref="J1779:J1780"/>
    <mergeCell ref="M1779:P1780"/>
    <mergeCell ref="H1765:H1766"/>
    <mergeCell ref="I1765:I1766"/>
    <mergeCell ref="B1769:G1769"/>
    <mergeCell ref="B1802:G1803"/>
    <mergeCell ref="H1802:H1803"/>
    <mergeCell ref="I1802:I1803"/>
    <mergeCell ref="J1802:J1803"/>
    <mergeCell ref="M1800:P1801"/>
    <mergeCell ref="K1800:K1801"/>
    <mergeCell ref="A1802:A1803"/>
    <mergeCell ref="J1809:J1810"/>
    <mergeCell ref="A1809:A1810"/>
    <mergeCell ref="B1809:G1810"/>
    <mergeCell ref="H1809:H1810"/>
    <mergeCell ref="I1809:I1810"/>
    <mergeCell ref="A1807:A1808"/>
    <mergeCell ref="B1807:G1808"/>
    <mergeCell ref="H1807:H1808"/>
    <mergeCell ref="I1807:I1808"/>
    <mergeCell ref="L1816:L1817"/>
    <mergeCell ref="K1821:K1822"/>
    <mergeCell ref="L1821:L1822"/>
    <mergeCell ref="M1814:P1815"/>
    <mergeCell ref="K1809:K1810"/>
    <mergeCell ref="A1816:A1817"/>
    <mergeCell ref="B1816:G1817"/>
    <mergeCell ref="H1816:H1817"/>
    <mergeCell ref="I1816:I1817"/>
    <mergeCell ref="A1814:A1815"/>
    <mergeCell ref="B1814:G1815"/>
    <mergeCell ref="A1823:A1824"/>
    <mergeCell ref="B1823:G1824"/>
    <mergeCell ref="H1823:H1824"/>
    <mergeCell ref="I1823:I1824"/>
    <mergeCell ref="J1816:J1817"/>
    <mergeCell ref="A1821:A1822"/>
    <mergeCell ref="B1821:G1822"/>
    <mergeCell ref="H1821:H1822"/>
    <mergeCell ref="I1821:I1822"/>
    <mergeCell ref="B1806:G1806"/>
    <mergeCell ref="M1806:P1806"/>
    <mergeCell ref="L1807:L1808"/>
    <mergeCell ref="M1807:P1808"/>
    <mergeCell ref="J1807:J1808"/>
    <mergeCell ref="K1807:K1808"/>
    <mergeCell ref="M1802:P1803"/>
    <mergeCell ref="K1802:K1803"/>
    <mergeCell ref="K1823:K1824"/>
    <mergeCell ref="M1823:P1824"/>
    <mergeCell ref="L1823:L1824"/>
    <mergeCell ref="B1813:G1813"/>
    <mergeCell ref="M1813:P1813"/>
    <mergeCell ref="J1814:J1815"/>
    <mergeCell ref="J1821:J1822"/>
    <mergeCell ref="B1820:G1820"/>
    <mergeCell ref="H1814:H1815"/>
    <mergeCell ref="I1814:I1815"/>
    <mergeCell ref="M1816:P1817"/>
    <mergeCell ref="K1816:K1817"/>
    <mergeCell ref="L1800:L1801"/>
    <mergeCell ref="J1823:J1824"/>
    <mergeCell ref="K1814:K1815"/>
    <mergeCell ref="L1814:L1815"/>
    <mergeCell ref="I1834:J1834"/>
    <mergeCell ref="A1828:A1829"/>
    <mergeCell ref="B1828:G1828"/>
    <mergeCell ref="H1828:H1829"/>
    <mergeCell ref="I1828:I1829"/>
    <mergeCell ref="J1828:J1829"/>
    <mergeCell ref="K1840:P1840"/>
    <mergeCell ref="F1838:I1838"/>
    <mergeCell ref="F1839:I1839"/>
    <mergeCell ref="A1830:A1831"/>
    <mergeCell ref="B1915:G1915"/>
    <mergeCell ref="M1915:P1915"/>
    <mergeCell ref="M1902:P1903"/>
    <mergeCell ref="I1902:I1903"/>
    <mergeCell ref="B1902:G1903"/>
    <mergeCell ref="A1909:A1910"/>
    <mergeCell ref="B1909:G1910"/>
    <mergeCell ref="H1909:H1910"/>
    <mergeCell ref="I1909:I1910"/>
    <mergeCell ref="A1911:A1912"/>
    <mergeCell ref="H1911:H1912"/>
    <mergeCell ref="I1911:I1912"/>
    <mergeCell ref="B1911:G1912"/>
    <mergeCell ref="L1851:L1852"/>
    <mergeCell ref="J1851:J1852"/>
    <mergeCell ref="K1851:K1852"/>
    <mergeCell ref="J1843:L1843"/>
    <mergeCell ref="G1847:I1847"/>
    <mergeCell ref="K1828:K1829"/>
    <mergeCell ref="K1830:K1831"/>
    <mergeCell ref="B1829:G1829"/>
    <mergeCell ref="F1833:K1833"/>
    <mergeCell ref="G1834:H1834"/>
    <mergeCell ref="J1846:O1846"/>
    <mergeCell ref="B1850:G1850"/>
    <mergeCell ref="M1850:P1850"/>
    <mergeCell ref="G1846:I1846"/>
    <mergeCell ref="D1843:G1843"/>
    <mergeCell ref="G1835:H1835"/>
    <mergeCell ref="I1835:J1835"/>
    <mergeCell ref="A1848:P1848"/>
    <mergeCell ref="M1853:P1854"/>
    <mergeCell ref="A1853:A1854"/>
    <mergeCell ref="B1853:G1854"/>
    <mergeCell ref="H1853:H1854"/>
    <mergeCell ref="M1843:N1843"/>
    <mergeCell ref="A1851:A1852"/>
    <mergeCell ref="B1851:G1852"/>
    <mergeCell ref="H1851:H1852"/>
    <mergeCell ref="I1851:I1852"/>
    <mergeCell ref="A1846:F1846"/>
    <mergeCell ref="J1830:J1831"/>
    <mergeCell ref="B1831:G1831"/>
    <mergeCell ref="B1830:G1830"/>
    <mergeCell ref="H1830:H1831"/>
    <mergeCell ref="I1830:I1831"/>
    <mergeCell ref="D1894:G1894"/>
    <mergeCell ref="H1872:H1873"/>
    <mergeCell ref="B1874:G1875"/>
    <mergeCell ref="M1841:P1841"/>
    <mergeCell ref="L1881:L1882"/>
    <mergeCell ref="M1871:P1871"/>
    <mergeCell ref="L1879:L1880"/>
    <mergeCell ref="I1867:I1868"/>
    <mergeCell ref="I1918:I1919"/>
    <mergeCell ref="J1918:J1919"/>
    <mergeCell ref="B1922:G1922"/>
    <mergeCell ref="A1925:A1926"/>
    <mergeCell ref="J1945:L1945"/>
    <mergeCell ref="B1929:G1929"/>
    <mergeCell ref="AB1909:AB1910"/>
    <mergeCell ref="Y1907:Y1908"/>
    <mergeCell ref="Y1909:Y1910"/>
    <mergeCell ref="R1909:R1910"/>
    <mergeCell ref="S1909:X1910"/>
    <mergeCell ref="Z1909:Z1910"/>
    <mergeCell ref="AA1907:AA1908"/>
    <mergeCell ref="K1911:K1912"/>
    <mergeCell ref="J1909:J1910"/>
    <mergeCell ref="K1909:K1910"/>
    <mergeCell ref="L1909:L1910"/>
    <mergeCell ref="J1911:J1912"/>
    <mergeCell ref="AA1909:AA1910"/>
    <mergeCell ref="A1902:A1903"/>
    <mergeCell ref="B1908:G1908"/>
    <mergeCell ref="M1908:P1908"/>
    <mergeCell ref="K1902:K1903"/>
    <mergeCell ref="A1904:A1905"/>
    <mergeCell ref="H1904:H1905"/>
    <mergeCell ref="L1902:L1903"/>
    <mergeCell ref="L1904:L1905"/>
    <mergeCell ref="B1904:G1905"/>
    <mergeCell ref="H1902:H1903"/>
    <mergeCell ref="M1909:P1910"/>
    <mergeCell ref="I1904:I1905"/>
    <mergeCell ref="M1904:P1905"/>
    <mergeCell ref="AC1907:AC1908"/>
    <mergeCell ref="AB1907:AB1908"/>
    <mergeCell ref="R1907:R1908"/>
    <mergeCell ref="S1907:X1908"/>
    <mergeCell ref="S1906:X1906"/>
    <mergeCell ref="Z1907:Z1908"/>
    <mergeCell ref="L1911:L1912"/>
    <mergeCell ref="M1911:P1912"/>
    <mergeCell ref="K1904:K1905"/>
    <mergeCell ref="J1904:J1905"/>
    <mergeCell ref="J1902:J1903"/>
    <mergeCell ref="R1903:W1903"/>
    <mergeCell ref="X1903:Y1903"/>
    <mergeCell ref="Y1935:Y1936"/>
    <mergeCell ref="AA1935:AA1936"/>
    <mergeCell ref="Y1923:Y1924"/>
    <mergeCell ref="S1934:X1934"/>
    <mergeCell ref="Z1923:Z1924"/>
    <mergeCell ref="AA1923:AA1924"/>
    <mergeCell ref="AB1923:AB1924"/>
    <mergeCell ref="M1929:P1929"/>
    <mergeCell ref="M1953:P1954"/>
    <mergeCell ref="A1948:F1948"/>
    <mergeCell ref="J1948:O1948"/>
    <mergeCell ref="G1948:I1948"/>
    <mergeCell ref="A1953:A1954"/>
    <mergeCell ref="B1953:G1954"/>
    <mergeCell ref="H1953:H1954"/>
    <mergeCell ref="I1953:I1954"/>
    <mergeCell ref="G1949:I1949"/>
    <mergeCell ref="AD1958:AF1959"/>
    <mergeCell ref="L1955:L1956"/>
    <mergeCell ref="M1955:P1956"/>
    <mergeCell ref="R1958:R1959"/>
    <mergeCell ref="S1958:X1959"/>
    <mergeCell ref="Y1958:Y1959"/>
    <mergeCell ref="AB1958:AB1959"/>
    <mergeCell ref="Z1958:Z1959"/>
    <mergeCell ref="M1959:P1959"/>
    <mergeCell ref="AA1958:AA1959"/>
    <mergeCell ref="A1955:A1956"/>
    <mergeCell ref="B1955:G1956"/>
    <mergeCell ref="H1955:H1956"/>
    <mergeCell ref="I1955:I1956"/>
    <mergeCell ref="D1945:G1945"/>
    <mergeCell ref="O1946:P1946"/>
    <mergeCell ref="F1940:I1940"/>
    <mergeCell ref="F1941:I1941"/>
    <mergeCell ref="K1942:P1942"/>
    <mergeCell ref="M1916:P1917"/>
    <mergeCell ref="K1916:K1917"/>
    <mergeCell ref="J1916:J1917"/>
    <mergeCell ref="K1925:K1926"/>
    <mergeCell ref="B1959:G1959"/>
    <mergeCell ref="B1952:G1952"/>
    <mergeCell ref="M1952:P1952"/>
    <mergeCell ref="J1925:J1926"/>
    <mergeCell ref="J1923:J1924"/>
    <mergeCell ref="L1930:L1931"/>
    <mergeCell ref="J1932:J1933"/>
    <mergeCell ref="A1916:A1917"/>
    <mergeCell ref="B1916:G1917"/>
    <mergeCell ref="H1916:H1917"/>
    <mergeCell ref="I1916:I1917"/>
    <mergeCell ref="L1916:L1917"/>
    <mergeCell ref="A1932:A1933"/>
    <mergeCell ref="M1923:P1924"/>
    <mergeCell ref="M1918:P1919"/>
    <mergeCell ref="K1918:K1919"/>
    <mergeCell ref="L1918:L1919"/>
    <mergeCell ref="K1923:K1924"/>
    <mergeCell ref="L1923:L1924"/>
    <mergeCell ref="B1925:G1926"/>
    <mergeCell ref="H1925:H1926"/>
    <mergeCell ref="I1925:I1926"/>
    <mergeCell ref="A1923:A1924"/>
    <mergeCell ref="B1923:G1924"/>
    <mergeCell ref="H1923:H1924"/>
    <mergeCell ref="I1923:I1924"/>
    <mergeCell ref="J1930:J1931"/>
    <mergeCell ref="K1930:K1931"/>
    <mergeCell ref="A1918:A1919"/>
    <mergeCell ref="M1922:P1922"/>
    <mergeCell ref="B1918:G1919"/>
    <mergeCell ref="H1918:H1919"/>
    <mergeCell ref="A1967:A1968"/>
    <mergeCell ref="B1967:G1968"/>
    <mergeCell ref="J1967:J1968"/>
    <mergeCell ref="K1967:K1968"/>
    <mergeCell ref="H1967:H1968"/>
    <mergeCell ref="L1967:L1968"/>
    <mergeCell ref="B1966:G1966"/>
    <mergeCell ref="A1960:A1961"/>
    <mergeCell ref="A1962:A1963"/>
    <mergeCell ref="B1962:G1963"/>
    <mergeCell ref="H1962:H1963"/>
    <mergeCell ref="I1962:I1963"/>
    <mergeCell ref="A1974:A1975"/>
    <mergeCell ref="B1973:G1973"/>
    <mergeCell ref="J1969:J1970"/>
    <mergeCell ref="K1969:K1970"/>
    <mergeCell ref="A1969:A1970"/>
    <mergeCell ref="B1969:G1970"/>
    <mergeCell ref="B1974:G1975"/>
    <mergeCell ref="H1974:H1975"/>
    <mergeCell ref="I1974:I1975"/>
    <mergeCell ref="J1974:J1975"/>
    <mergeCell ref="I1967:I1968"/>
    <mergeCell ref="J1981:J1982"/>
    <mergeCell ref="I1976:I1977"/>
    <mergeCell ref="L1974:L1975"/>
    <mergeCell ref="M1974:P1975"/>
    <mergeCell ref="K1974:K1975"/>
    <mergeCell ref="I1981:I1982"/>
    <mergeCell ref="M1981:P1982"/>
    <mergeCell ref="M1976:P1977"/>
    <mergeCell ref="J1976:J1977"/>
    <mergeCell ref="J1960:J1961"/>
    <mergeCell ref="K1960:K1961"/>
    <mergeCell ref="H1960:H1961"/>
    <mergeCell ref="I1960:I1961"/>
    <mergeCell ref="B1980:G1980"/>
    <mergeCell ref="M1969:P1970"/>
    <mergeCell ref="M1967:P1968"/>
    <mergeCell ref="M1973:P1973"/>
    <mergeCell ref="M1960:P1961"/>
    <mergeCell ref="B1960:G1961"/>
    <mergeCell ref="L1960:L1961"/>
    <mergeCell ref="F1992:I1992"/>
    <mergeCell ref="K1993:P1993"/>
    <mergeCell ref="B1982:G1982"/>
    <mergeCell ref="F1991:I1991"/>
    <mergeCell ref="A2025:A2026"/>
    <mergeCell ref="B2025:G2026"/>
    <mergeCell ref="H2025:H2026"/>
    <mergeCell ref="I2025:I2026"/>
    <mergeCell ref="J2025:J2026"/>
    <mergeCell ref="M1994:P1994"/>
    <mergeCell ref="B2010:G2010"/>
    <mergeCell ref="M2003:P2003"/>
    <mergeCell ref="B2003:G2003"/>
    <mergeCell ref="M2010:P2010"/>
    <mergeCell ref="A1981:A1982"/>
    <mergeCell ref="B1981:G1981"/>
    <mergeCell ref="H1981:H1982"/>
    <mergeCell ref="K1976:K1977"/>
    <mergeCell ref="K1981:K1982"/>
    <mergeCell ref="L1981:L1982"/>
    <mergeCell ref="A2001:P2001"/>
    <mergeCell ref="G1999:I1999"/>
    <mergeCell ref="K1983:K1984"/>
    <mergeCell ref="J1983:J1984"/>
    <mergeCell ref="B1984:G1984"/>
    <mergeCell ref="M1983:P1984"/>
    <mergeCell ref="L1983:L1984"/>
    <mergeCell ref="J1996:L1996"/>
    <mergeCell ref="J1999:O1999"/>
    <mergeCell ref="B1983:G1983"/>
    <mergeCell ref="H2006:H2007"/>
    <mergeCell ref="I2006:I2007"/>
    <mergeCell ref="J2006:J2007"/>
    <mergeCell ref="M2004:P2005"/>
    <mergeCell ref="K2006:K2007"/>
    <mergeCell ref="L2004:L2005"/>
    <mergeCell ref="G1987:H1987"/>
    <mergeCell ref="I1983:I1984"/>
    <mergeCell ref="M2006:P2007"/>
    <mergeCell ref="A2004:A2005"/>
    <mergeCell ref="A2006:A2007"/>
    <mergeCell ref="H2004:H2005"/>
    <mergeCell ref="I2004:I2005"/>
    <mergeCell ref="J2004:J2005"/>
    <mergeCell ref="B2006:G2007"/>
    <mergeCell ref="A1999:F1999"/>
    <mergeCell ref="B2004:G2005"/>
    <mergeCell ref="L2011:L2012"/>
    <mergeCell ref="M2011:P2012"/>
    <mergeCell ref="J2011:J2012"/>
    <mergeCell ref="K2011:K2012"/>
    <mergeCell ref="A2011:A2012"/>
    <mergeCell ref="B2011:G2012"/>
    <mergeCell ref="H2011:H2012"/>
    <mergeCell ref="I2011:I2012"/>
    <mergeCell ref="L2006:L2007"/>
    <mergeCell ref="D1996:G1996"/>
    <mergeCell ref="O1997:P1997"/>
    <mergeCell ref="A1976:A1977"/>
    <mergeCell ref="B1976:G1977"/>
    <mergeCell ref="K2034:K2035"/>
    <mergeCell ref="B2033:G2033"/>
    <mergeCell ref="B2054:G2054"/>
    <mergeCell ref="B2055:G2056"/>
    <mergeCell ref="H2055:H2056"/>
    <mergeCell ref="I2055:I2056"/>
    <mergeCell ref="M2061:P2061"/>
    <mergeCell ref="L2055:L2056"/>
    <mergeCell ref="J2055:J2056"/>
    <mergeCell ref="K2055:K2056"/>
    <mergeCell ref="B2061:G2061"/>
    <mergeCell ref="B2057:G2058"/>
    <mergeCell ref="H2057:H2058"/>
    <mergeCell ref="B2017:G2017"/>
    <mergeCell ref="I2018:I2019"/>
    <mergeCell ref="F2037:K2037"/>
    <mergeCell ref="B2031:G2031"/>
    <mergeCell ref="I2034:I2035"/>
    <mergeCell ref="H2027:H2028"/>
    <mergeCell ref="J2020:J2021"/>
    <mergeCell ref="B2034:G2034"/>
    <mergeCell ref="H2034:H2035"/>
    <mergeCell ref="B2032:G2032"/>
    <mergeCell ref="L2013:L2014"/>
    <mergeCell ref="M2013:P2014"/>
    <mergeCell ref="M2018:P2019"/>
    <mergeCell ref="L2020:L2021"/>
    <mergeCell ref="A2013:A2014"/>
    <mergeCell ref="B2013:G2014"/>
    <mergeCell ref="H2013:H2014"/>
    <mergeCell ref="I2013:I2014"/>
    <mergeCell ref="K2013:K2014"/>
    <mergeCell ref="J2013:J2014"/>
    <mergeCell ref="K2027:K2028"/>
    <mergeCell ref="K2018:K2019"/>
    <mergeCell ref="M2017:P2017"/>
    <mergeCell ref="L2018:L2019"/>
    <mergeCell ref="H2018:H2019"/>
    <mergeCell ref="J2018:J2019"/>
    <mergeCell ref="H2020:H2021"/>
    <mergeCell ref="I2020:I2021"/>
    <mergeCell ref="M2020:P2021"/>
    <mergeCell ref="L2027:L2028"/>
    <mergeCell ref="M2024:P2024"/>
    <mergeCell ref="M2025:P2026"/>
    <mergeCell ref="K2020:K2021"/>
    <mergeCell ref="K2025:K2026"/>
    <mergeCell ref="L2025:L2026"/>
    <mergeCell ref="B2024:G2024"/>
    <mergeCell ref="B2020:G2021"/>
    <mergeCell ref="I2038:J2038"/>
    <mergeCell ref="G2039:H2039"/>
    <mergeCell ref="I2039:J2039"/>
    <mergeCell ref="B2035:G2035"/>
    <mergeCell ref="A2018:A2019"/>
    <mergeCell ref="B2018:G2019"/>
    <mergeCell ref="A2020:A2021"/>
    <mergeCell ref="A2032:A2033"/>
    <mergeCell ref="H2032:H2033"/>
    <mergeCell ref="I2032:I2033"/>
    <mergeCell ref="D2047:G2047"/>
    <mergeCell ref="O2048:P2048"/>
    <mergeCell ref="M2062:P2063"/>
    <mergeCell ref="L2057:L2058"/>
    <mergeCell ref="M2057:P2058"/>
    <mergeCell ref="J2062:J2063"/>
    <mergeCell ref="K2062:K2063"/>
    <mergeCell ref="I2057:I2058"/>
    <mergeCell ref="J2057:J2058"/>
    <mergeCell ref="L2064:L2065"/>
    <mergeCell ref="K2057:K2058"/>
    <mergeCell ref="L2062:L2063"/>
    <mergeCell ref="A2062:A2063"/>
    <mergeCell ref="B2062:G2063"/>
    <mergeCell ref="H2062:H2063"/>
    <mergeCell ref="I2062:I2063"/>
    <mergeCell ref="A2064:A2065"/>
    <mergeCell ref="B2064:G2065"/>
    <mergeCell ref="H2064:H2065"/>
    <mergeCell ref="I2064:I2065"/>
    <mergeCell ref="J2064:J2065"/>
    <mergeCell ref="K2064:K2065"/>
    <mergeCell ref="A2069:A2070"/>
    <mergeCell ref="B2069:G2070"/>
    <mergeCell ref="B2068:G2068"/>
    <mergeCell ref="L2071:L2072"/>
    <mergeCell ref="L2069:L2070"/>
    <mergeCell ref="M2069:P2070"/>
    <mergeCell ref="H2069:H2070"/>
    <mergeCell ref="I2069:I2070"/>
    <mergeCell ref="J2069:J2070"/>
    <mergeCell ref="K2069:K2070"/>
    <mergeCell ref="M2054:P2054"/>
    <mergeCell ref="M2027:P2028"/>
    <mergeCell ref="B2075:G2075"/>
    <mergeCell ref="J2071:J2072"/>
    <mergeCell ref="K2071:K2072"/>
    <mergeCell ref="A2071:A2072"/>
    <mergeCell ref="M2071:P2072"/>
    <mergeCell ref="B2071:G2072"/>
    <mergeCell ref="H2071:H2072"/>
    <mergeCell ref="I2071:I2072"/>
    <mergeCell ref="M2034:P2035"/>
    <mergeCell ref="J2034:J2035"/>
    <mergeCell ref="L2034:L2035"/>
    <mergeCell ref="J2047:L2047"/>
    <mergeCell ref="A2052:P2052"/>
    <mergeCell ref="F2042:I2042"/>
    <mergeCell ref="F2043:I2043"/>
    <mergeCell ref="J2027:J2028"/>
    <mergeCell ref="A2027:A2028"/>
    <mergeCell ref="B2027:G2028"/>
    <mergeCell ref="I2027:I2028"/>
    <mergeCell ref="J2050:O2050"/>
    <mergeCell ref="G2050:I2050"/>
    <mergeCell ref="M2047:N2047"/>
    <mergeCell ref="M2031:P2031"/>
    <mergeCell ref="L2032:L2033"/>
    <mergeCell ref="M2032:P2033"/>
    <mergeCell ref="M2055:P2056"/>
    <mergeCell ref="A2050:F2050"/>
    <mergeCell ref="A2057:A2058"/>
    <mergeCell ref="A2055:A2056"/>
    <mergeCell ref="J2032:J2033"/>
    <mergeCell ref="K2032:K2033"/>
    <mergeCell ref="A2034:A2035"/>
    <mergeCell ref="B2076:G2077"/>
    <mergeCell ref="J2078:J2079"/>
    <mergeCell ref="H2076:H2077"/>
    <mergeCell ref="I2076:I2077"/>
    <mergeCell ref="A2076:A2077"/>
    <mergeCell ref="J2076:J2077"/>
    <mergeCell ref="A2078:A2079"/>
    <mergeCell ref="B2078:G2079"/>
    <mergeCell ref="H2078:H2079"/>
    <mergeCell ref="I2078:I2079"/>
    <mergeCell ref="K2076:K2077"/>
    <mergeCell ref="M2082:P2082"/>
    <mergeCell ref="K2078:K2079"/>
    <mergeCell ref="L2078:L2079"/>
    <mergeCell ref="M2078:P2079"/>
    <mergeCell ref="L2076:L2077"/>
    <mergeCell ref="M2076:P2077"/>
    <mergeCell ref="A2083:A2084"/>
    <mergeCell ref="B2083:G2083"/>
    <mergeCell ref="K2085:K2086"/>
    <mergeCell ref="L2085:L2086"/>
    <mergeCell ref="I2085:I2086"/>
    <mergeCell ref="B2085:G2085"/>
    <mergeCell ref="J2083:J2084"/>
    <mergeCell ref="L2083:L2084"/>
    <mergeCell ref="H2085:H2086"/>
    <mergeCell ref="I2083:I2084"/>
    <mergeCell ref="M2064:P2065"/>
    <mergeCell ref="M2068:P2068"/>
    <mergeCell ref="A2085:A2086"/>
    <mergeCell ref="B2086:G2086"/>
    <mergeCell ref="B2084:G2084"/>
    <mergeCell ref="G2089:H2089"/>
    <mergeCell ref="I2089:J2089"/>
    <mergeCell ref="J2085:J2086"/>
    <mergeCell ref="K2083:K2084"/>
    <mergeCell ref="B2082:G2082"/>
    <mergeCell ref="G2102:I2102"/>
    <mergeCell ref="B2108:G2109"/>
    <mergeCell ref="I2108:I2109"/>
    <mergeCell ref="H2106:H2107"/>
    <mergeCell ref="I2122:I2123"/>
    <mergeCell ref="L2136:L2137"/>
    <mergeCell ref="B2133:G2133"/>
    <mergeCell ref="H2127:H2128"/>
    <mergeCell ref="I2127:I2128"/>
    <mergeCell ref="Z2107:AE2107"/>
    <mergeCell ref="A2101:F2101"/>
    <mergeCell ref="J2101:O2101"/>
    <mergeCell ref="B2105:G2105"/>
    <mergeCell ref="M2105:P2105"/>
    <mergeCell ref="G2101:I2101"/>
    <mergeCell ref="A2103:P2103"/>
    <mergeCell ref="J2106:J2107"/>
    <mergeCell ref="M2106:P2107"/>
    <mergeCell ref="A2106:A2107"/>
    <mergeCell ref="AB2111:AB2112"/>
    <mergeCell ref="AC2111:AC2112"/>
    <mergeCell ref="AD2111:AF2112"/>
    <mergeCell ref="L2108:L2109"/>
    <mergeCell ref="S2111:X2112"/>
    <mergeCell ref="S2110:X2110"/>
    <mergeCell ref="Z2111:Z2112"/>
    <mergeCell ref="AA2111:AA2112"/>
    <mergeCell ref="M2108:P2109"/>
    <mergeCell ref="R2111:R2112"/>
    <mergeCell ref="M2112:P2112"/>
    <mergeCell ref="J2108:J2109"/>
    <mergeCell ref="K2108:K2109"/>
    <mergeCell ref="L2115:L2116"/>
    <mergeCell ref="J2113:J2114"/>
    <mergeCell ref="K2113:K2114"/>
    <mergeCell ref="M2113:P2114"/>
    <mergeCell ref="B2112:G2112"/>
    <mergeCell ref="K2106:K2107"/>
    <mergeCell ref="A2108:A2109"/>
    <mergeCell ref="A2113:A2114"/>
    <mergeCell ref="H2108:H2109"/>
    <mergeCell ref="L2106:L2107"/>
    <mergeCell ref="L2113:L2114"/>
    <mergeCell ref="B2106:G2107"/>
    <mergeCell ref="I2106:I2107"/>
    <mergeCell ref="M2122:P2123"/>
    <mergeCell ref="I2134:I2135"/>
    <mergeCell ref="AC2113:AC2114"/>
    <mergeCell ref="AD2113:AF2114"/>
    <mergeCell ref="R2127:R2128"/>
    <mergeCell ref="R2135:W2135"/>
    <mergeCell ref="X2135:Y2135"/>
    <mergeCell ref="Z2135:AE2135"/>
    <mergeCell ref="AC2127:AC2128"/>
    <mergeCell ref="AD2127:AF2128"/>
    <mergeCell ref="Z2127:Z2128"/>
    <mergeCell ref="AA2127:AA2128"/>
    <mergeCell ref="AB2127:AB2128"/>
    <mergeCell ref="S2127:X2128"/>
    <mergeCell ref="Y2127:Y2128"/>
    <mergeCell ref="M2119:P2119"/>
    <mergeCell ref="B2113:G2114"/>
    <mergeCell ref="H2113:H2114"/>
    <mergeCell ref="I2113:I2114"/>
    <mergeCell ref="J2115:J2116"/>
    <mergeCell ref="K2115:K2116"/>
    <mergeCell ref="M2115:P2116"/>
    <mergeCell ref="I2115:I2116"/>
    <mergeCell ref="A2120:A2121"/>
    <mergeCell ref="B2120:G2121"/>
    <mergeCell ref="H2120:H2121"/>
    <mergeCell ref="I2120:I2121"/>
    <mergeCell ref="L2120:L2121"/>
    <mergeCell ref="B2119:G2119"/>
    <mergeCell ref="A2115:A2116"/>
    <mergeCell ref="B2115:G2116"/>
    <mergeCell ref="H2115:H2116"/>
    <mergeCell ref="B2129:G2130"/>
    <mergeCell ref="H2129:H2130"/>
    <mergeCell ref="I2129:I2130"/>
    <mergeCell ref="A2122:A2123"/>
    <mergeCell ref="B2122:G2123"/>
    <mergeCell ref="B2126:G2126"/>
    <mergeCell ref="H2122:H2123"/>
    <mergeCell ref="M2120:P2121"/>
    <mergeCell ref="K2122:K2123"/>
    <mergeCell ref="L2122:L2123"/>
    <mergeCell ref="K2120:K2121"/>
    <mergeCell ref="J2129:J2130"/>
    <mergeCell ref="K2129:K2130"/>
    <mergeCell ref="J2122:J2123"/>
    <mergeCell ref="J2127:J2128"/>
    <mergeCell ref="J2120:J2121"/>
    <mergeCell ref="M2126:P2126"/>
    <mergeCell ref="M2127:P2128"/>
    <mergeCell ref="A2127:A2128"/>
    <mergeCell ref="B2127:G2128"/>
    <mergeCell ref="K2127:K2128"/>
    <mergeCell ref="L2127:L2128"/>
    <mergeCell ref="M2129:P2130"/>
    <mergeCell ref="L2129:L2130"/>
    <mergeCell ref="A2129:A2130"/>
    <mergeCell ref="D2200:G2200"/>
    <mergeCell ref="A2152:F2152"/>
    <mergeCell ref="J2152:O2152"/>
    <mergeCell ref="G2152:I2152"/>
    <mergeCell ref="M2149:N2149"/>
    <mergeCell ref="A2136:A2137"/>
    <mergeCell ref="J2134:J2135"/>
    <mergeCell ref="F2139:K2139"/>
    <mergeCell ref="G2140:H2140"/>
    <mergeCell ref="I2140:J2140"/>
    <mergeCell ref="B2136:G2136"/>
    <mergeCell ref="H2157:H2158"/>
    <mergeCell ref="K2136:K2137"/>
    <mergeCell ref="G2141:H2141"/>
    <mergeCell ref="I2141:J2141"/>
    <mergeCell ref="H2136:H2137"/>
    <mergeCell ref="I2136:I2137"/>
    <mergeCell ref="J2136:J2137"/>
    <mergeCell ref="B2137:G2137"/>
    <mergeCell ref="K2164:K2165"/>
    <mergeCell ref="L2164:L2165"/>
    <mergeCell ref="I2166:I2167"/>
    <mergeCell ref="L2159:L2160"/>
    <mergeCell ref="M2159:P2160"/>
    <mergeCell ref="M2163:P2163"/>
    <mergeCell ref="M2166:P2167"/>
    <mergeCell ref="A2159:A2160"/>
    <mergeCell ref="B2159:G2160"/>
    <mergeCell ref="H2159:H2160"/>
    <mergeCell ref="I2159:I2160"/>
    <mergeCell ref="A2164:A2165"/>
    <mergeCell ref="B2164:G2165"/>
    <mergeCell ref="B2163:G2163"/>
    <mergeCell ref="I2164:I2165"/>
    <mergeCell ref="K2159:K2160"/>
    <mergeCell ref="J2159:J2160"/>
    <mergeCell ref="L2157:L2158"/>
    <mergeCell ref="J2157:J2158"/>
    <mergeCell ref="K2157:K2158"/>
    <mergeCell ref="A2154:P2154"/>
    <mergeCell ref="A2157:A2158"/>
    <mergeCell ref="I2157:I2158"/>
    <mergeCell ref="B2156:G2156"/>
    <mergeCell ref="M2156:P2156"/>
    <mergeCell ref="B2157:G2158"/>
    <mergeCell ref="J2149:L2149"/>
    <mergeCell ref="G2153:I2153"/>
    <mergeCell ref="M2157:P2158"/>
    <mergeCell ref="M2136:P2137"/>
    <mergeCell ref="F2145:I2145"/>
    <mergeCell ref="L2134:L2135"/>
    <mergeCell ref="M2134:P2135"/>
    <mergeCell ref="K2134:K2135"/>
    <mergeCell ref="B2135:G2135"/>
    <mergeCell ref="A2134:A2135"/>
    <mergeCell ref="B2134:G2134"/>
    <mergeCell ref="H2134:H2135"/>
    <mergeCell ref="D2149:G2149"/>
    <mergeCell ref="F2144:I2144"/>
    <mergeCell ref="M2147:P2147"/>
    <mergeCell ref="G2192:H2192"/>
    <mergeCell ref="I2192:J2192"/>
    <mergeCell ref="I2187:I2188"/>
    <mergeCell ref="G2191:H2191"/>
    <mergeCell ref="M2171:P2172"/>
    <mergeCell ref="J2171:J2172"/>
    <mergeCell ref="K2171:K2172"/>
    <mergeCell ref="H2171:H2172"/>
    <mergeCell ref="J2166:J2167"/>
    <mergeCell ref="H2164:H2165"/>
    <mergeCell ref="K2166:K2167"/>
    <mergeCell ref="I2171:I2172"/>
    <mergeCell ref="M2164:P2165"/>
    <mergeCell ref="J2164:J2165"/>
    <mergeCell ref="F2190:K2190"/>
    <mergeCell ref="K2187:K2188"/>
    <mergeCell ref="L2166:L2167"/>
    <mergeCell ref="A2166:A2167"/>
    <mergeCell ref="B2166:G2167"/>
    <mergeCell ref="H2166:H2167"/>
    <mergeCell ref="L2171:L2172"/>
    <mergeCell ref="B2170:G2170"/>
    <mergeCell ref="A2171:A2172"/>
    <mergeCell ref="B2171:G2172"/>
    <mergeCell ref="A2178:A2179"/>
    <mergeCell ref="B2178:G2179"/>
    <mergeCell ref="H2178:H2179"/>
    <mergeCell ref="I2178:I2179"/>
    <mergeCell ref="H2173:H2174"/>
    <mergeCell ref="I2173:I2174"/>
    <mergeCell ref="B2177:G2177"/>
    <mergeCell ref="A2173:A2174"/>
    <mergeCell ref="B2173:G2174"/>
    <mergeCell ref="J2173:J2174"/>
    <mergeCell ref="K2173:K2174"/>
    <mergeCell ref="L2173:L2174"/>
    <mergeCell ref="M2173:P2174"/>
    <mergeCell ref="J2180:J2181"/>
    <mergeCell ref="M2177:P2177"/>
    <mergeCell ref="M2185:P2186"/>
    <mergeCell ref="B2184:G2184"/>
    <mergeCell ref="A2185:A2186"/>
    <mergeCell ref="B2185:G2185"/>
    <mergeCell ref="I2243:J2243"/>
    <mergeCell ref="I2224:I2225"/>
    <mergeCell ref="A2222:A2223"/>
    <mergeCell ref="B2222:G2223"/>
    <mergeCell ref="H2222:H2223"/>
    <mergeCell ref="I2222:I2223"/>
    <mergeCell ref="L2217:L2218"/>
    <mergeCell ref="M2217:P2218"/>
    <mergeCell ref="M2222:P2223"/>
    <mergeCell ref="K2217:K2218"/>
    <mergeCell ref="K2222:K2223"/>
    <mergeCell ref="L2222:L2223"/>
    <mergeCell ref="J2224:J2225"/>
    <mergeCell ref="B2229:G2230"/>
    <mergeCell ref="H2229:H2230"/>
    <mergeCell ref="I2229:I2230"/>
    <mergeCell ref="M2224:P2225"/>
    <mergeCell ref="B2214:G2214"/>
    <mergeCell ref="M2214:P2214"/>
    <mergeCell ref="L2215:L2216"/>
    <mergeCell ref="M2215:P2216"/>
    <mergeCell ref="J2215:J2216"/>
    <mergeCell ref="K2215:K2216"/>
    <mergeCell ref="I2215:I2216"/>
    <mergeCell ref="I2208:I2209"/>
    <mergeCell ref="J2208:J2209"/>
    <mergeCell ref="J2229:J2230"/>
    <mergeCell ref="B2228:G2228"/>
    <mergeCell ref="A2224:A2225"/>
    <mergeCell ref="B2224:G2225"/>
    <mergeCell ref="H2224:H2225"/>
    <mergeCell ref="A2210:A2211"/>
    <mergeCell ref="H2208:H2209"/>
    <mergeCell ref="M2210:P2211"/>
    <mergeCell ref="K2224:K2225"/>
    <mergeCell ref="L2224:L2225"/>
    <mergeCell ref="K2229:K2230"/>
    <mergeCell ref="L2229:L2230"/>
    <mergeCell ref="B2221:G2221"/>
    <mergeCell ref="M2221:P2221"/>
    <mergeCell ref="J2222:J2223"/>
    <mergeCell ref="M2229:P2230"/>
    <mergeCell ref="A2231:A2232"/>
    <mergeCell ref="B2231:G2232"/>
    <mergeCell ref="H2231:H2232"/>
    <mergeCell ref="I2231:I2232"/>
    <mergeCell ref="A2229:A2230"/>
    <mergeCell ref="A2208:A2209"/>
    <mergeCell ref="B2210:G2211"/>
    <mergeCell ref="H2210:H2211"/>
    <mergeCell ref="I2210:I2211"/>
    <mergeCell ref="J2210:J2211"/>
    <mergeCell ref="J2217:J2218"/>
    <mergeCell ref="M2208:P2209"/>
    <mergeCell ref="K2208:K2209"/>
    <mergeCell ref="A2217:A2218"/>
    <mergeCell ref="B2217:G2218"/>
    <mergeCell ref="H2217:H2218"/>
    <mergeCell ref="I2217:I2218"/>
    <mergeCell ref="A2215:A2216"/>
    <mergeCell ref="B2215:G2216"/>
    <mergeCell ref="H2215:H2216"/>
    <mergeCell ref="A2305:F2305"/>
    <mergeCell ref="A2289:A2290"/>
    <mergeCell ref="B2286:G2286"/>
    <mergeCell ref="A2287:A2288"/>
    <mergeCell ref="B2287:G2287"/>
    <mergeCell ref="B2280:G2281"/>
    <mergeCell ref="AB2315:AB2316"/>
    <mergeCell ref="Z2311:AE2311"/>
    <mergeCell ref="J2302:L2302"/>
    <mergeCell ref="AD2315:AF2316"/>
    <mergeCell ref="R2315:R2316"/>
    <mergeCell ref="S2315:X2316"/>
    <mergeCell ref="L2310:L2311"/>
    <mergeCell ref="M2310:P2311"/>
    <mergeCell ref="S2314:X2314"/>
    <mergeCell ref="Z2315:Z2316"/>
    <mergeCell ref="A2312:A2313"/>
    <mergeCell ref="H2312:H2313"/>
    <mergeCell ref="B2289:G2289"/>
    <mergeCell ref="B2288:G2288"/>
    <mergeCell ref="I2287:I2288"/>
    <mergeCell ref="G2294:H2294"/>
    <mergeCell ref="I2294:J2294"/>
    <mergeCell ref="F2292:K2292"/>
    <mergeCell ref="G2293:H2293"/>
    <mergeCell ref="I2293:J2293"/>
    <mergeCell ref="K2231:K2232"/>
    <mergeCell ref="M2231:P2232"/>
    <mergeCell ref="B2309:G2309"/>
    <mergeCell ref="M2309:P2309"/>
    <mergeCell ref="G2305:I2305"/>
    <mergeCell ref="L2312:L2313"/>
    <mergeCell ref="B2290:G2290"/>
    <mergeCell ref="G2306:I2306"/>
    <mergeCell ref="H2289:H2290"/>
    <mergeCell ref="J2289:J2290"/>
    <mergeCell ref="A2236:A2237"/>
    <mergeCell ref="B2236:G2236"/>
    <mergeCell ref="H2236:H2237"/>
    <mergeCell ref="I2236:I2237"/>
    <mergeCell ref="J2236:J2237"/>
    <mergeCell ref="J2231:J2232"/>
    <mergeCell ref="B2235:G2235"/>
    <mergeCell ref="M2235:P2235"/>
    <mergeCell ref="L2236:L2237"/>
    <mergeCell ref="M2236:P2237"/>
    <mergeCell ref="M2238:P2239"/>
    <mergeCell ref="K2236:K2237"/>
    <mergeCell ref="A2238:A2239"/>
    <mergeCell ref="K2238:K2239"/>
    <mergeCell ref="B2237:G2237"/>
    <mergeCell ref="F2241:K2241"/>
    <mergeCell ref="G2242:H2242"/>
    <mergeCell ref="I2242:J2242"/>
    <mergeCell ref="B2238:G2238"/>
    <mergeCell ref="H2238:H2239"/>
    <mergeCell ref="I2238:I2239"/>
    <mergeCell ref="L2238:L2239"/>
    <mergeCell ref="G2255:I2255"/>
    <mergeCell ref="M2251:N2251"/>
    <mergeCell ref="J2251:L2251"/>
    <mergeCell ref="A2256:P2256"/>
    <mergeCell ref="G2254:I2254"/>
    <mergeCell ref="A2275:A2276"/>
    <mergeCell ref="B2275:G2276"/>
    <mergeCell ref="H2275:H2276"/>
    <mergeCell ref="AD2278:AF2279"/>
    <mergeCell ref="AD2280:AF2281"/>
    <mergeCell ref="AA2280:AA2281"/>
    <mergeCell ref="AB2280:AB2281"/>
    <mergeCell ref="AC2280:AC2281"/>
    <mergeCell ref="Z2278:Z2279"/>
    <mergeCell ref="R2280:R2281"/>
    <mergeCell ref="L2289:L2290"/>
    <mergeCell ref="M2279:P2279"/>
    <mergeCell ref="L2280:L2281"/>
    <mergeCell ref="M2280:P2281"/>
    <mergeCell ref="L2287:L2288"/>
    <mergeCell ref="M2286:P2286"/>
    <mergeCell ref="L2282:L2283"/>
    <mergeCell ref="M2282:P2283"/>
    <mergeCell ref="K2287:K2288"/>
    <mergeCell ref="H2280:H2281"/>
    <mergeCell ref="I2280:I2281"/>
    <mergeCell ref="J2280:J2281"/>
    <mergeCell ref="H2287:H2288"/>
    <mergeCell ref="H2282:H2283"/>
    <mergeCell ref="I2282:I2283"/>
    <mergeCell ref="J2287:J2288"/>
    <mergeCell ref="I2275:I2276"/>
    <mergeCell ref="L2275:L2276"/>
    <mergeCell ref="J2282:J2283"/>
    <mergeCell ref="K2282:K2283"/>
    <mergeCell ref="A2282:A2283"/>
    <mergeCell ref="B2282:G2283"/>
    <mergeCell ref="A2280:A2281"/>
    <mergeCell ref="B2279:G2279"/>
    <mergeCell ref="J2275:J2276"/>
    <mergeCell ref="K2275:K2276"/>
    <mergeCell ref="K2289:K2290"/>
    <mergeCell ref="I2289:I2290"/>
    <mergeCell ref="A2310:A2311"/>
    <mergeCell ref="B2316:G2316"/>
    <mergeCell ref="K2310:K2311"/>
    <mergeCell ref="A2340:A2341"/>
    <mergeCell ref="K2340:K2341"/>
    <mergeCell ref="B2339:G2339"/>
    <mergeCell ref="A2338:A2339"/>
    <mergeCell ref="B2338:G2338"/>
    <mergeCell ref="H2338:H2339"/>
    <mergeCell ref="I2338:I2339"/>
    <mergeCell ref="B2310:G2311"/>
    <mergeCell ref="H2310:H2311"/>
    <mergeCell ref="I2310:I2311"/>
    <mergeCell ref="J2310:J2311"/>
    <mergeCell ref="M2312:P2313"/>
    <mergeCell ref="M2316:P2316"/>
    <mergeCell ref="M2317:P2318"/>
    <mergeCell ref="I2312:I2313"/>
    <mergeCell ref="B2323:G2323"/>
    <mergeCell ref="M2323:P2323"/>
    <mergeCell ref="L2319:L2320"/>
    <mergeCell ref="M2319:P2320"/>
    <mergeCell ref="B2312:G2313"/>
    <mergeCell ref="J2312:J2313"/>
    <mergeCell ref="K2312:K2313"/>
    <mergeCell ref="A2317:A2318"/>
    <mergeCell ref="B2317:G2318"/>
    <mergeCell ref="H2317:H2318"/>
    <mergeCell ref="I2317:I2318"/>
    <mergeCell ref="A2319:A2320"/>
    <mergeCell ref="H2319:H2320"/>
    <mergeCell ref="I2319:I2320"/>
    <mergeCell ref="A2324:A2325"/>
    <mergeCell ref="B2324:G2325"/>
    <mergeCell ref="H2324:H2325"/>
    <mergeCell ref="I2324:I2325"/>
    <mergeCell ref="B2319:G2320"/>
    <mergeCell ref="L2324:L2325"/>
    <mergeCell ref="J2324:J2325"/>
    <mergeCell ref="J2333:J2334"/>
    <mergeCell ref="K2319:K2320"/>
    <mergeCell ref="J2317:J2318"/>
    <mergeCell ref="K2317:K2318"/>
    <mergeCell ref="L2317:L2318"/>
    <mergeCell ref="J2319:J2320"/>
    <mergeCell ref="J2331:J2332"/>
    <mergeCell ref="B2333:G2334"/>
    <mergeCell ref="H2333:H2334"/>
    <mergeCell ref="I2333:I2334"/>
    <mergeCell ref="A2331:A2332"/>
    <mergeCell ref="B2331:G2332"/>
    <mergeCell ref="H2331:H2332"/>
    <mergeCell ref="I2331:I2332"/>
    <mergeCell ref="M2340:P2341"/>
    <mergeCell ref="K2333:K2334"/>
    <mergeCell ref="A2326:A2327"/>
    <mergeCell ref="M2330:P2330"/>
    <mergeCell ref="B2326:G2327"/>
    <mergeCell ref="H2326:H2327"/>
    <mergeCell ref="I2326:I2327"/>
    <mergeCell ref="J2326:J2327"/>
    <mergeCell ref="B2330:G2330"/>
    <mergeCell ref="A2333:A2334"/>
    <mergeCell ref="J2338:J2339"/>
    <mergeCell ref="B2341:G2341"/>
    <mergeCell ref="M2333:P2334"/>
    <mergeCell ref="L2333:L2334"/>
    <mergeCell ref="B2337:G2337"/>
    <mergeCell ref="M2337:P2337"/>
    <mergeCell ref="L2338:L2339"/>
    <mergeCell ref="M2338:P2339"/>
    <mergeCell ref="L2340:L2341"/>
    <mergeCell ref="F2343:K2343"/>
    <mergeCell ref="G2344:H2344"/>
    <mergeCell ref="I2344:J2344"/>
    <mergeCell ref="B2340:G2340"/>
    <mergeCell ref="H2340:H2341"/>
    <mergeCell ref="I2340:I2341"/>
    <mergeCell ref="J2340:J2341"/>
    <mergeCell ref="G2345:H2345"/>
    <mergeCell ref="I2345:J2345"/>
    <mergeCell ref="L2361:L2362"/>
    <mergeCell ref="J2361:J2362"/>
    <mergeCell ref="K2361:K2362"/>
    <mergeCell ref="A2358:P2358"/>
    <mergeCell ref="M2361:P2362"/>
    <mergeCell ref="A2356:F2356"/>
    <mergeCell ref="J2356:O2356"/>
    <mergeCell ref="J2353:L2353"/>
    <mergeCell ref="AA2366:AA2367"/>
    <mergeCell ref="B2360:G2360"/>
    <mergeCell ref="M2360:P2360"/>
    <mergeCell ref="G2356:I2356"/>
    <mergeCell ref="A2361:A2362"/>
    <mergeCell ref="B2361:G2362"/>
    <mergeCell ref="H2361:H2362"/>
    <mergeCell ref="I2361:I2362"/>
    <mergeCell ref="G2357:I2357"/>
    <mergeCell ref="B2367:G2367"/>
    <mergeCell ref="K2350:P2350"/>
    <mergeCell ref="R2345:R2346"/>
    <mergeCell ref="R2362:W2362"/>
    <mergeCell ref="L2363:L2364"/>
    <mergeCell ref="M2363:P2364"/>
    <mergeCell ref="R2366:R2367"/>
    <mergeCell ref="S2366:X2367"/>
    <mergeCell ref="Y2366:Y2367"/>
    <mergeCell ref="M2367:P2367"/>
    <mergeCell ref="A2363:A2364"/>
    <mergeCell ref="B2363:G2364"/>
    <mergeCell ref="H2363:H2364"/>
    <mergeCell ref="I2363:I2364"/>
    <mergeCell ref="AA2345:AA2346"/>
    <mergeCell ref="S2345:X2346"/>
    <mergeCell ref="Z2345:Z2346"/>
    <mergeCell ref="A2368:A2369"/>
    <mergeCell ref="M2368:P2369"/>
    <mergeCell ref="B2368:G2369"/>
    <mergeCell ref="M2375:P2376"/>
    <mergeCell ref="H2377:H2378"/>
    <mergeCell ref="I2396:J2396"/>
    <mergeCell ref="M2412:P2413"/>
    <mergeCell ref="M2402:P2402"/>
    <mergeCell ref="B2411:G2411"/>
    <mergeCell ref="G2408:I2408"/>
    <mergeCell ref="A2407:F2407"/>
    <mergeCell ref="A2375:A2376"/>
    <mergeCell ref="B2375:G2376"/>
    <mergeCell ref="J2375:J2376"/>
    <mergeCell ref="K2375:K2376"/>
    <mergeCell ref="H2375:H2376"/>
    <mergeCell ref="I2375:I2376"/>
    <mergeCell ref="A2370:A2371"/>
    <mergeCell ref="B2370:G2371"/>
    <mergeCell ref="H2370:H2371"/>
    <mergeCell ref="I2370:I2371"/>
    <mergeCell ref="L2370:L2371"/>
    <mergeCell ref="M2370:P2371"/>
    <mergeCell ref="A2382:A2383"/>
    <mergeCell ref="B2381:G2381"/>
    <mergeCell ref="J2377:J2378"/>
    <mergeCell ref="K2377:K2378"/>
    <mergeCell ref="A2377:A2378"/>
    <mergeCell ref="H2382:H2383"/>
    <mergeCell ref="I2382:I2383"/>
    <mergeCell ref="K2382:K2383"/>
    <mergeCell ref="B2377:G2378"/>
    <mergeCell ref="L2377:L2378"/>
    <mergeCell ref="M2377:P2378"/>
    <mergeCell ref="B2382:G2383"/>
    <mergeCell ref="J2382:J2383"/>
    <mergeCell ref="L2382:L2383"/>
    <mergeCell ref="I2377:I2378"/>
    <mergeCell ref="H2368:H2369"/>
    <mergeCell ref="I2368:I2369"/>
    <mergeCell ref="B2374:G2374"/>
    <mergeCell ref="L2389:L2390"/>
    <mergeCell ref="L2391:L2392"/>
    <mergeCell ref="L2412:L2413"/>
    <mergeCell ref="M2384:P2385"/>
    <mergeCell ref="J2384:J2385"/>
    <mergeCell ref="M2381:P2381"/>
    <mergeCell ref="A2391:A2392"/>
    <mergeCell ref="K2391:K2392"/>
    <mergeCell ref="B2390:G2390"/>
    <mergeCell ref="J2389:J2390"/>
    <mergeCell ref="M2382:P2383"/>
    <mergeCell ref="I2384:I2385"/>
    <mergeCell ref="K2384:K2385"/>
    <mergeCell ref="A2384:A2385"/>
    <mergeCell ref="B2384:G2385"/>
    <mergeCell ref="H2384:H2385"/>
    <mergeCell ref="B2391:G2391"/>
    <mergeCell ref="J2404:L2404"/>
    <mergeCell ref="L2384:L2385"/>
    <mergeCell ref="F2399:I2399"/>
    <mergeCell ref="F2400:I2400"/>
    <mergeCell ref="K2389:K2390"/>
    <mergeCell ref="I2391:I2392"/>
    <mergeCell ref="B2392:G2392"/>
    <mergeCell ref="H2391:H2392"/>
    <mergeCell ref="B2388:G2388"/>
    <mergeCell ref="A2389:A2390"/>
    <mergeCell ref="B2389:G2389"/>
    <mergeCell ref="H2389:H2390"/>
    <mergeCell ref="M2411:P2411"/>
    <mergeCell ref="A2409:P2409"/>
    <mergeCell ref="M2404:N2404"/>
    <mergeCell ref="F2394:K2394"/>
    <mergeCell ref="G2395:H2395"/>
    <mergeCell ref="I2395:J2395"/>
    <mergeCell ref="G2407:I2407"/>
    <mergeCell ref="H2421:H2422"/>
    <mergeCell ref="J2458:O2458"/>
    <mergeCell ref="G2458:I2458"/>
    <mergeCell ref="A2463:A2464"/>
    <mergeCell ref="B2463:G2464"/>
    <mergeCell ref="H2463:H2464"/>
    <mergeCell ref="I2463:I2464"/>
    <mergeCell ref="L2463:L2464"/>
    <mergeCell ref="J2463:J2464"/>
    <mergeCell ref="K2463:K2464"/>
    <mergeCell ref="B2432:G2432"/>
    <mergeCell ref="A2458:F2458"/>
    <mergeCell ref="G2446:H2446"/>
    <mergeCell ref="A2460:P2460"/>
    <mergeCell ref="B2441:G2441"/>
    <mergeCell ref="F2445:K2445"/>
    <mergeCell ref="I2446:J2446"/>
    <mergeCell ref="H2442:H2443"/>
    <mergeCell ref="I2442:I2443"/>
    <mergeCell ref="G2447:H2447"/>
    <mergeCell ref="M2433:P2434"/>
    <mergeCell ref="A2433:A2434"/>
    <mergeCell ref="J2455:L2455"/>
    <mergeCell ref="G2459:I2459"/>
    <mergeCell ref="K2452:P2452"/>
    <mergeCell ref="M2453:P2453"/>
    <mergeCell ref="M2455:N2455"/>
    <mergeCell ref="I2433:I2434"/>
    <mergeCell ref="I2447:J2447"/>
    <mergeCell ref="F2450:I2450"/>
    <mergeCell ref="H2428:H2429"/>
    <mergeCell ref="J2428:J2429"/>
    <mergeCell ref="J2433:J2434"/>
    <mergeCell ref="L2440:L2441"/>
    <mergeCell ref="K2428:K2429"/>
    <mergeCell ref="A2435:A2436"/>
    <mergeCell ref="B2435:G2436"/>
    <mergeCell ref="H2435:H2436"/>
    <mergeCell ref="I2435:I2436"/>
    <mergeCell ref="A2428:A2429"/>
    <mergeCell ref="B2428:G2429"/>
    <mergeCell ref="I2428:I2429"/>
    <mergeCell ref="B2433:G2434"/>
    <mergeCell ref="H2433:H2434"/>
    <mergeCell ref="K2442:K2443"/>
    <mergeCell ref="M2435:P2436"/>
    <mergeCell ref="L2435:L2436"/>
    <mergeCell ref="B2439:G2439"/>
    <mergeCell ref="M2439:P2439"/>
    <mergeCell ref="A2440:A2441"/>
    <mergeCell ref="B2440:G2440"/>
    <mergeCell ref="B2414:G2415"/>
    <mergeCell ref="H2414:H2415"/>
    <mergeCell ref="I2414:I2415"/>
    <mergeCell ref="K2414:K2415"/>
    <mergeCell ref="L2414:L2415"/>
    <mergeCell ref="S2417:X2418"/>
    <mergeCell ref="B2412:G2413"/>
    <mergeCell ref="K2421:K2422"/>
    <mergeCell ref="K2426:K2427"/>
    <mergeCell ref="M2425:P2425"/>
    <mergeCell ref="L2426:L2427"/>
    <mergeCell ref="L2421:L2422"/>
    <mergeCell ref="M2421:P2422"/>
    <mergeCell ref="M2426:P2427"/>
    <mergeCell ref="A2412:A2413"/>
    <mergeCell ref="A2414:A2415"/>
    <mergeCell ref="H2412:H2413"/>
    <mergeCell ref="I2412:I2413"/>
    <mergeCell ref="A2419:A2420"/>
    <mergeCell ref="B2419:G2420"/>
    <mergeCell ref="H2419:H2420"/>
    <mergeCell ref="B2418:G2418"/>
    <mergeCell ref="I2419:I2420"/>
    <mergeCell ref="J2421:J2422"/>
    <mergeCell ref="H2426:H2427"/>
    <mergeCell ref="A2421:A2422"/>
    <mergeCell ref="A2426:A2427"/>
    <mergeCell ref="B2426:G2427"/>
    <mergeCell ref="B2425:G2425"/>
    <mergeCell ref="I2426:I2427"/>
    <mergeCell ref="I2421:I2422"/>
    <mergeCell ref="J2426:J2427"/>
    <mergeCell ref="B2421:G2422"/>
    <mergeCell ref="J2419:J2420"/>
    <mergeCell ref="J2414:J2415"/>
    <mergeCell ref="H2440:H2441"/>
    <mergeCell ref="I2440:I2441"/>
    <mergeCell ref="J2440:J2441"/>
    <mergeCell ref="K2440:K2441"/>
    <mergeCell ref="B2443:G2443"/>
    <mergeCell ref="M2506:N2506"/>
    <mergeCell ref="B2516:G2517"/>
    <mergeCell ref="A2493:A2494"/>
    <mergeCell ref="B2493:G2493"/>
    <mergeCell ref="B2492:G2492"/>
    <mergeCell ref="I2491:I2492"/>
    <mergeCell ref="G2498:H2498"/>
    <mergeCell ref="I2498:J2498"/>
    <mergeCell ref="F2496:K2496"/>
    <mergeCell ref="A2509:F2509"/>
    <mergeCell ref="J2509:O2509"/>
    <mergeCell ref="B2513:G2513"/>
    <mergeCell ref="M2513:P2513"/>
    <mergeCell ref="G2509:I2509"/>
    <mergeCell ref="A2511:P2511"/>
    <mergeCell ref="G2510:I2510"/>
    <mergeCell ref="M2465:P2466"/>
    <mergeCell ref="H2470:H2471"/>
    <mergeCell ref="I2470:I2471"/>
    <mergeCell ref="A2465:A2466"/>
    <mergeCell ref="A2470:A2471"/>
    <mergeCell ref="B2470:G2471"/>
    <mergeCell ref="M2470:P2471"/>
    <mergeCell ref="L2465:L2466"/>
    <mergeCell ref="A2484:A2485"/>
    <mergeCell ref="B2483:G2483"/>
    <mergeCell ref="B2484:G2485"/>
    <mergeCell ref="F2501:I2501"/>
    <mergeCell ref="F2502:I2502"/>
    <mergeCell ref="K2503:P2503"/>
    <mergeCell ref="J2491:J2492"/>
    <mergeCell ref="K2491:K2492"/>
    <mergeCell ref="L2491:L2492"/>
    <mergeCell ref="I2497:J2497"/>
    <mergeCell ref="M2484:P2485"/>
    <mergeCell ref="J2479:J2480"/>
    <mergeCell ref="K2479:K2480"/>
    <mergeCell ref="A2479:A2480"/>
    <mergeCell ref="B2479:G2480"/>
    <mergeCell ref="B2462:G2462"/>
    <mergeCell ref="M2462:P2462"/>
    <mergeCell ref="B2469:G2469"/>
    <mergeCell ref="K2484:K2485"/>
    <mergeCell ref="M2493:P2494"/>
    <mergeCell ref="M2491:P2492"/>
    <mergeCell ref="B2465:G2466"/>
    <mergeCell ref="H2465:H2466"/>
    <mergeCell ref="I2465:I2466"/>
    <mergeCell ref="M2469:P2469"/>
    <mergeCell ref="J2465:J2466"/>
    <mergeCell ref="K2465:K2466"/>
    <mergeCell ref="M2476:P2476"/>
    <mergeCell ref="M2472:P2473"/>
    <mergeCell ref="J2477:J2478"/>
    <mergeCell ref="K2477:K2478"/>
    <mergeCell ref="L2470:L2471"/>
    <mergeCell ref="J2472:J2473"/>
    <mergeCell ref="A2472:A2473"/>
    <mergeCell ref="B2472:G2473"/>
    <mergeCell ref="H2472:H2473"/>
    <mergeCell ref="I2472:I2473"/>
    <mergeCell ref="A2477:A2478"/>
    <mergeCell ref="B2477:G2478"/>
    <mergeCell ref="B2476:G2476"/>
    <mergeCell ref="H2477:H2478"/>
    <mergeCell ref="I2477:I2478"/>
    <mergeCell ref="M2463:P2464"/>
    <mergeCell ref="H2479:H2480"/>
    <mergeCell ref="I2479:I2480"/>
    <mergeCell ref="M2479:P2480"/>
    <mergeCell ref="A2442:A2443"/>
    <mergeCell ref="J2486:J2487"/>
    <mergeCell ref="M2490:P2490"/>
    <mergeCell ref="K2486:K2487"/>
    <mergeCell ref="L2486:L2487"/>
    <mergeCell ref="M2486:P2487"/>
    <mergeCell ref="M2483:P2483"/>
    <mergeCell ref="K2493:K2494"/>
    <mergeCell ref="J2493:J2494"/>
    <mergeCell ref="L2493:L2494"/>
    <mergeCell ref="I2493:I2494"/>
    <mergeCell ref="H2493:H2494"/>
    <mergeCell ref="L2479:L2480"/>
    <mergeCell ref="H2484:H2485"/>
    <mergeCell ref="I2484:I2485"/>
    <mergeCell ref="J2484:J2485"/>
    <mergeCell ref="L2484:L2485"/>
    <mergeCell ref="J2442:J2443"/>
    <mergeCell ref="G2497:H2497"/>
    <mergeCell ref="B2491:G2491"/>
    <mergeCell ref="A2486:A2487"/>
    <mergeCell ref="B2486:G2487"/>
    <mergeCell ref="H2486:H2487"/>
    <mergeCell ref="I2486:I2487"/>
    <mergeCell ref="A2491:A2492"/>
    <mergeCell ref="H2491:H2492"/>
    <mergeCell ref="B2490:G2490"/>
    <mergeCell ref="B2494:G2494"/>
    <mergeCell ref="B2442:G2442"/>
    <mergeCell ref="L2477:L2478"/>
    <mergeCell ref="J2470:J2471"/>
    <mergeCell ref="K2470:K2471"/>
    <mergeCell ref="M2477:P2478"/>
    <mergeCell ref="B2527:G2527"/>
    <mergeCell ref="B2514:G2515"/>
    <mergeCell ref="H2514:H2515"/>
    <mergeCell ref="I2514:I2515"/>
    <mergeCell ref="J2514:J2515"/>
    <mergeCell ref="H2516:H2517"/>
    <mergeCell ref="L2514:L2515"/>
    <mergeCell ref="I2516:I2517"/>
    <mergeCell ref="J2516:J2517"/>
    <mergeCell ref="K2516:K2517"/>
    <mergeCell ref="M2516:P2517"/>
    <mergeCell ref="K2521:K2522"/>
    <mergeCell ref="A2514:A2515"/>
    <mergeCell ref="B2520:G2520"/>
    <mergeCell ref="M2520:P2520"/>
    <mergeCell ref="K2514:K2515"/>
    <mergeCell ref="A2516:A2517"/>
    <mergeCell ref="L2521:L2522"/>
    <mergeCell ref="M2521:P2522"/>
    <mergeCell ref="A2521:A2522"/>
    <mergeCell ref="L2516:L2517"/>
    <mergeCell ref="M2527:P2527"/>
    <mergeCell ref="J2523:J2524"/>
    <mergeCell ref="B2521:G2522"/>
    <mergeCell ref="H2521:H2522"/>
    <mergeCell ref="I2521:I2522"/>
    <mergeCell ref="A2523:A2524"/>
    <mergeCell ref="B2523:G2524"/>
    <mergeCell ref="H2523:H2524"/>
    <mergeCell ref="I2523:I2524"/>
    <mergeCell ref="J2521:J2522"/>
    <mergeCell ref="M2514:P2515"/>
    <mergeCell ref="M2534:P2534"/>
    <mergeCell ref="A2560:F2560"/>
    <mergeCell ref="J2560:O2560"/>
    <mergeCell ref="R2543:W2543"/>
    <mergeCell ref="X2543:Y2543"/>
    <mergeCell ref="Z2543:AE2543"/>
    <mergeCell ref="S2546:X2546"/>
    <mergeCell ref="AD2546:AF2546"/>
    <mergeCell ref="AC2535:AC2536"/>
    <mergeCell ref="AD2535:AF2536"/>
    <mergeCell ref="R2535:R2536"/>
    <mergeCell ref="S2535:X2536"/>
    <mergeCell ref="L2523:L2524"/>
    <mergeCell ref="M2523:P2524"/>
    <mergeCell ref="B2564:G2564"/>
    <mergeCell ref="M2564:P2564"/>
    <mergeCell ref="G2560:I2560"/>
    <mergeCell ref="G2549:H2549"/>
    <mergeCell ref="I2549:J2549"/>
    <mergeCell ref="J2557:L2557"/>
    <mergeCell ref="A2530:A2531"/>
    <mergeCell ref="B2530:G2531"/>
    <mergeCell ref="B2534:G2534"/>
    <mergeCell ref="H2530:H2531"/>
    <mergeCell ref="I2530:I2531"/>
    <mergeCell ref="J2528:J2529"/>
    <mergeCell ref="A2528:A2529"/>
    <mergeCell ref="B2528:G2529"/>
    <mergeCell ref="H2528:H2529"/>
    <mergeCell ref="I2528:I2529"/>
    <mergeCell ref="M2528:P2529"/>
    <mergeCell ref="K2530:K2531"/>
    <mergeCell ref="L2530:L2531"/>
    <mergeCell ref="K2528:K2529"/>
    <mergeCell ref="L2542:L2543"/>
    <mergeCell ref="M2542:P2543"/>
    <mergeCell ref="L2535:L2536"/>
    <mergeCell ref="M2537:P2538"/>
    <mergeCell ref="L2537:L2538"/>
    <mergeCell ref="L2528:L2529"/>
    <mergeCell ref="A2535:A2536"/>
    <mergeCell ref="B2535:G2536"/>
    <mergeCell ref="H2535:H2536"/>
    <mergeCell ref="I2535:I2536"/>
    <mergeCell ref="A2537:A2538"/>
    <mergeCell ref="L2544:L2545"/>
    <mergeCell ref="B2537:G2538"/>
    <mergeCell ref="H2537:H2538"/>
    <mergeCell ref="I2537:I2538"/>
    <mergeCell ref="A2544:A2545"/>
    <mergeCell ref="K2542:K2543"/>
    <mergeCell ref="B2543:G2543"/>
    <mergeCell ref="A2542:A2543"/>
    <mergeCell ref="B2542:G2542"/>
    <mergeCell ref="H2542:H2543"/>
    <mergeCell ref="I2542:I2543"/>
    <mergeCell ref="J2542:J2543"/>
    <mergeCell ref="F2547:K2547"/>
    <mergeCell ref="G2548:H2548"/>
    <mergeCell ref="I2548:J2548"/>
    <mergeCell ref="B2541:G2541"/>
    <mergeCell ref="B2544:G2544"/>
    <mergeCell ref="H2544:H2545"/>
    <mergeCell ref="I2544:I2545"/>
    <mergeCell ref="J2544:J2545"/>
    <mergeCell ref="B2545:G2545"/>
    <mergeCell ref="K2544:K2545"/>
    <mergeCell ref="I2565:I2566"/>
    <mergeCell ref="G2561:I2561"/>
    <mergeCell ref="F2553:I2553"/>
    <mergeCell ref="K2554:P2554"/>
    <mergeCell ref="D2557:G2557"/>
    <mergeCell ref="Z2572:Z2573"/>
    <mergeCell ref="H2572:H2573"/>
    <mergeCell ref="I2572:I2573"/>
    <mergeCell ref="K2567:K2568"/>
    <mergeCell ref="M2555:P2555"/>
    <mergeCell ref="F2552:I2552"/>
    <mergeCell ref="L2565:L2566"/>
    <mergeCell ref="J2565:J2566"/>
    <mergeCell ref="K2565:K2566"/>
    <mergeCell ref="A2562:P2562"/>
    <mergeCell ref="A2565:A2566"/>
    <mergeCell ref="B2565:G2566"/>
    <mergeCell ref="H2565:H2566"/>
    <mergeCell ref="M2565:P2566"/>
    <mergeCell ref="I2593:I2594"/>
    <mergeCell ref="M2593:P2594"/>
    <mergeCell ref="K2595:K2596"/>
    <mergeCell ref="A2588:A2589"/>
    <mergeCell ref="B2588:G2589"/>
    <mergeCell ref="H2588:H2589"/>
    <mergeCell ref="B2594:G2594"/>
    <mergeCell ref="I2588:I2589"/>
    <mergeCell ref="J2595:J2596"/>
    <mergeCell ref="B2592:G2592"/>
    <mergeCell ref="A2593:A2594"/>
    <mergeCell ref="B2593:G2593"/>
    <mergeCell ref="H2593:H2594"/>
    <mergeCell ref="Z2580:AE2580"/>
    <mergeCell ref="AD2572:AF2573"/>
    <mergeCell ref="AA2572:AA2573"/>
    <mergeCell ref="AD2570:AF2571"/>
    <mergeCell ref="AB2570:AB2571"/>
    <mergeCell ref="Z2570:Z2571"/>
    <mergeCell ref="AC2570:AC2571"/>
    <mergeCell ref="R2580:W2580"/>
    <mergeCell ref="X2580:Y2580"/>
    <mergeCell ref="R2572:R2573"/>
    <mergeCell ref="S2572:X2573"/>
    <mergeCell ref="Y2572:Y2573"/>
    <mergeCell ref="Y2570:Y2571"/>
    <mergeCell ref="AA2570:AA2571"/>
    <mergeCell ref="L2567:L2568"/>
    <mergeCell ref="M2567:P2568"/>
    <mergeCell ref="R2570:R2571"/>
    <mergeCell ref="S2570:X2571"/>
    <mergeCell ref="S2569:X2569"/>
    <mergeCell ref="M2579:P2580"/>
    <mergeCell ref="B2571:G2571"/>
    <mergeCell ref="M2572:P2573"/>
    <mergeCell ref="A2567:A2568"/>
    <mergeCell ref="B2567:G2568"/>
    <mergeCell ref="H2567:H2568"/>
    <mergeCell ref="I2567:I2568"/>
    <mergeCell ref="A2572:A2573"/>
    <mergeCell ref="B2572:G2573"/>
    <mergeCell ref="J2567:J2568"/>
    <mergeCell ref="B2578:G2578"/>
    <mergeCell ref="B2618:G2619"/>
    <mergeCell ref="H2618:H2619"/>
    <mergeCell ref="I2618:I2619"/>
    <mergeCell ref="J2618:J2619"/>
    <mergeCell ref="M2616:P2617"/>
    <mergeCell ref="K2616:K2617"/>
    <mergeCell ref="A2581:A2582"/>
    <mergeCell ref="B2581:G2582"/>
    <mergeCell ref="L2579:L2580"/>
    <mergeCell ref="A2586:A2587"/>
    <mergeCell ref="B2586:G2587"/>
    <mergeCell ref="H2586:H2587"/>
    <mergeCell ref="I2586:I2587"/>
    <mergeCell ref="H2581:H2582"/>
    <mergeCell ref="I2581:I2582"/>
    <mergeCell ref="B2585:G2585"/>
    <mergeCell ref="L2586:L2587"/>
    <mergeCell ref="A2579:A2580"/>
    <mergeCell ref="M2586:P2587"/>
    <mergeCell ref="K2586:K2587"/>
    <mergeCell ref="J2586:J2587"/>
    <mergeCell ref="J2581:J2582"/>
    <mergeCell ref="K2581:K2582"/>
    <mergeCell ref="L2581:L2582"/>
    <mergeCell ref="M2581:P2582"/>
    <mergeCell ref="M2585:P2585"/>
    <mergeCell ref="F2603:I2603"/>
    <mergeCell ref="G2600:H2600"/>
    <mergeCell ref="I2600:J2600"/>
    <mergeCell ref="M2592:P2592"/>
    <mergeCell ref="B2595:G2595"/>
    <mergeCell ref="K2579:K2580"/>
    <mergeCell ref="I2579:I2580"/>
    <mergeCell ref="B2579:G2580"/>
    <mergeCell ref="H2579:H2580"/>
    <mergeCell ref="B2596:G2596"/>
    <mergeCell ref="A2595:A2596"/>
    <mergeCell ref="A2625:A2626"/>
    <mergeCell ref="B2625:G2626"/>
    <mergeCell ref="H2625:H2626"/>
    <mergeCell ref="I2625:I2626"/>
    <mergeCell ref="A2623:A2624"/>
    <mergeCell ref="B2623:G2624"/>
    <mergeCell ref="H2623:H2624"/>
    <mergeCell ref="I2623:I2624"/>
    <mergeCell ref="K2632:K2633"/>
    <mergeCell ref="L2632:L2633"/>
    <mergeCell ref="L2625:L2626"/>
    <mergeCell ref="M2625:P2626"/>
    <mergeCell ref="K2625:K2626"/>
    <mergeCell ref="J2625:J2626"/>
    <mergeCell ref="J2637:J2638"/>
    <mergeCell ref="B2636:G2636"/>
    <mergeCell ref="M2630:P2631"/>
    <mergeCell ref="K2630:K2631"/>
    <mergeCell ref="L2630:L2631"/>
    <mergeCell ref="L2623:L2624"/>
    <mergeCell ref="M2623:P2624"/>
    <mergeCell ref="J2623:J2624"/>
    <mergeCell ref="K2623:K2624"/>
    <mergeCell ref="M2632:P2633"/>
    <mergeCell ref="A2630:A2631"/>
    <mergeCell ref="B2630:G2631"/>
    <mergeCell ref="H2630:H2631"/>
    <mergeCell ref="I2630:I2631"/>
    <mergeCell ref="B2629:G2629"/>
    <mergeCell ref="M2629:P2629"/>
    <mergeCell ref="J2630:J2631"/>
    <mergeCell ref="D2608:G2608"/>
    <mergeCell ref="J2632:J2633"/>
    <mergeCell ref="A2637:A2638"/>
    <mergeCell ref="B2637:G2638"/>
    <mergeCell ref="H2637:H2638"/>
    <mergeCell ref="I2637:I2638"/>
    <mergeCell ref="A2632:A2633"/>
    <mergeCell ref="B2632:G2633"/>
    <mergeCell ref="H2632:H2633"/>
    <mergeCell ref="I2632:I2633"/>
    <mergeCell ref="A2611:F2611"/>
    <mergeCell ref="J2611:O2611"/>
    <mergeCell ref="J2608:L2608"/>
    <mergeCell ref="M2608:N2608"/>
    <mergeCell ref="M2636:P2636"/>
    <mergeCell ref="M2637:P2638"/>
    <mergeCell ref="K2637:K2638"/>
    <mergeCell ref="L2637:L2638"/>
    <mergeCell ref="A2616:A2617"/>
    <mergeCell ref="B2615:G2615"/>
    <mergeCell ref="M2615:P2615"/>
    <mergeCell ref="A2613:P2613"/>
    <mergeCell ref="G2611:I2611"/>
    <mergeCell ref="G2612:I2612"/>
    <mergeCell ref="B2622:G2622"/>
    <mergeCell ref="M2622:P2622"/>
    <mergeCell ref="L2616:L2617"/>
    <mergeCell ref="A2618:A2619"/>
    <mergeCell ref="K2618:K2619"/>
    <mergeCell ref="L2618:L2619"/>
    <mergeCell ref="B2616:G2617"/>
    <mergeCell ref="H2616:H2617"/>
    <mergeCell ref="I2616:I2617"/>
    <mergeCell ref="A2644:A2645"/>
    <mergeCell ref="B2644:G2644"/>
    <mergeCell ref="H2644:H2645"/>
    <mergeCell ref="I2644:I2645"/>
    <mergeCell ref="J2644:J2645"/>
    <mergeCell ref="J2639:J2640"/>
    <mergeCell ref="A2639:A2640"/>
    <mergeCell ref="B2639:G2640"/>
    <mergeCell ref="H2639:H2640"/>
    <mergeCell ref="I2639:I2640"/>
    <mergeCell ref="M2657:P2657"/>
    <mergeCell ref="D2659:G2659"/>
    <mergeCell ref="B2643:G2643"/>
    <mergeCell ref="M2643:P2643"/>
    <mergeCell ref="L2644:L2645"/>
    <mergeCell ref="M2644:P2645"/>
    <mergeCell ref="M2646:P2647"/>
    <mergeCell ref="L2646:L2647"/>
    <mergeCell ref="J2646:J2647"/>
    <mergeCell ref="K2644:K2645"/>
    <mergeCell ref="A2646:A2647"/>
    <mergeCell ref="K2646:K2647"/>
    <mergeCell ref="B2645:G2645"/>
    <mergeCell ref="F2649:K2649"/>
    <mergeCell ref="G2650:H2650"/>
    <mergeCell ref="I2650:J2650"/>
    <mergeCell ref="B2646:G2646"/>
    <mergeCell ref="H2646:H2647"/>
    <mergeCell ref="I2646:I2647"/>
    <mergeCell ref="B2647:G2647"/>
    <mergeCell ref="G2651:H2651"/>
    <mergeCell ref="I2651:J2651"/>
    <mergeCell ref="J2659:L2659"/>
    <mergeCell ref="L2639:L2640"/>
    <mergeCell ref="H2720:H2721"/>
    <mergeCell ref="L2720:L2721"/>
    <mergeCell ref="J2720:J2721"/>
    <mergeCell ref="G2702:H2702"/>
    <mergeCell ref="Z2733:AE2733"/>
    <mergeCell ref="AA2725:AA2726"/>
    <mergeCell ref="AB2725:AB2726"/>
    <mergeCell ref="Y2723:Y2724"/>
    <mergeCell ref="Y2725:Y2726"/>
    <mergeCell ref="R2725:R2726"/>
    <mergeCell ref="S2725:X2726"/>
    <mergeCell ref="Z2725:Z2726"/>
    <mergeCell ref="AA2723:AA2724"/>
    <mergeCell ref="AD2723:AF2724"/>
    <mergeCell ref="R2723:R2724"/>
    <mergeCell ref="S2723:X2724"/>
    <mergeCell ref="Z2723:Z2724"/>
    <mergeCell ref="AB2723:AB2724"/>
    <mergeCell ref="AC2723:AC2724"/>
    <mergeCell ref="G2663:I2663"/>
    <mergeCell ref="K2656:P2656"/>
    <mergeCell ref="I2667:I2668"/>
    <mergeCell ref="A2662:F2662"/>
    <mergeCell ref="J2662:O2662"/>
    <mergeCell ref="B2666:G2666"/>
    <mergeCell ref="M2666:P2666"/>
    <mergeCell ref="G2662:I2662"/>
    <mergeCell ref="A2664:P2664"/>
    <mergeCell ref="M2667:P2668"/>
    <mergeCell ref="M2674:P2675"/>
    <mergeCell ref="L2669:L2670"/>
    <mergeCell ref="M2669:P2670"/>
    <mergeCell ref="A2669:A2670"/>
    <mergeCell ref="B2669:G2670"/>
    <mergeCell ref="H2669:H2670"/>
    <mergeCell ref="A2667:A2668"/>
    <mergeCell ref="B2667:G2668"/>
    <mergeCell ref="H2667:H2668"/>
    <mergeCell ref="A2697:A2698"/>
    <mergeCell ref="J2688:J2689"/>
    <mergeCell ref="J2697:J2698"/>
    <mergeCell ref="J2690:J2691"/>
    <mergeCell ref="A2690:A2691"/>
    <mergeCell ref="B2690:G2691"/>
    <mergeCell ref="H2690:H2691"/>
    <mergeCell ref="I2690:I2691"/>
    <mergeCell ref="B2694:G2694"/>
    <mergeCell ref="F2706:I2706"/>
    <mergeCell ref="K2707:P2707"/>
    <mergeCell ref="D2710:G2710"/>
    <mergeCell ref="A2695:A2696"/>
    <mergeCell ref="B2695:G2695"/>
    <mergeCell ref="H2695:H2696"/>
    <mergeCell ref="B2697:G2697"/>
    <mergeCell ref="B2688:G2689"/>
    <mergeCell ref="I2683:I2684"/>
    <mergeCell ref="H2688:H2689"/>
    <mergeCell ref="I2697:I2698"/>
    <mergeCell ref="J2695:J2696"/>
    <mergeCell ref="K2688:K2689"/>
    <mergeCell ref="A2674:A2675"/>
    <mergeCell ref="B2674:G2675"/>
    <mergeCell ref="H2674:H2675"/>
    <mergeCell ref="K2697:K2698"/>
    <mergeCell ref="B2696:G2696"/>
    <mergeCell ref="K2690:K2691"/>
    <mergeCell ref="AD2737:AF2738"/>
    <mergeCell ref="R2737:R2738"/>
    <mergeCell ref="S2737:X2738"/>
    <mergeCell ref="Y2737:Y2738"/>
    <mergeCell ref="Z2737:Z2738"/>
    <mergeCell ref="AC2737:AC2738"/>
    <mergeCell ref="AA2737:AA2738"/>
    <mergeCell ref="I2669:I2670"/>
    <mergeCell ref="I2674:I2675"/>
    <mergeCell ref="B2673:G2673"/>
    <mergeCell ref="M2680:P2680"/>
    <mergeCell ref="J2681:J2682"/>
    <mergeCell ref="K2681:K2682"/>
    <mergeCell ref="M2676:P2677"/>
    <mergeCell ref="M2681:P2682"/>
    <mergeCell ref="J2674:J2675"/>
    <mergeCell ref="K2674:K2675"/>
    <mergeCell ref="J2669:J2670"/>
    <mergeCell ref="K2669:K2670"/>
    <mergeCell ref="L2674:L2675"/>
    <mergeCell ref="J2676:J2677"/>
    <mergeCell ref="K2676:K2677"/>
    <mergeCell ref="L2676:L2677"/>
    <mergeCell ref="H2683:H2684"/>
    <mergeCell ref="A2676:A2677"/>
    <mergeCell ref="B2676:G2677"/>
    <mergeCell ref="H2676:H2677"/>
    <mergeCell ref="I2676:I2677"/>
    <mergeCell ref="A2681:A2682"/>
    <mergeCell ref="B2681:G2682"/>
    <mergeCell ref="B2680:G2680"/>
    <mergeCell ref="H2681:H2682"/>
    <mergeCell ref="I2681:I2682"/>
    <mergeCell ref="L2681:L2682"/>
    <mergeCell ref="L2683:L2684"/>
    <mergeCell ref="M2683:P2684"/>
    <mergeCell ref="M2687:P2687"/>
    <mergeCell ref="A2688:A2689"/>
    <mergeCell ref="B2687:G2687"/>
    <mergeCell ref="J2683:J2684"/>
    <mergeCell ref="K2683:K2684"/>
    <mergeCell ref="A2683:A2684"/>
    <mergeCell ref="B2683:G2684"/>
    <mergeCell ref="G2701:H2701"/>
    <mergeCell ref="I2701:J2701"/>
    <mergeCell ref="B2698:G2698"/>
    <mergeCell ref="F2705:I2705"/>
    <mergeCell ref="L2718:L2719"/>
    <mergeCell ref="M2718:P2719"/>
    <mergeCell ref="B2718:G2719"/>
    <mergeCell ref="H2718:H2719"/>
    <mergeCell ref="I2718:I2719"/>
    <mergeCell ref="J2718:J2719"/>
    <mergeCell ref="M2731:P2731"/>
    <mergeCell ref="L2727:L2728"/>
    <mergeCell ref="AD2686:AF2687"/>
    <mergeCell ref="AD2688:AF2689"/>
    <mergeCell ref="AA2688:AA2689"/>
    <mergeCell ref="AB2688:AB2689"/>
    <mergeCell ref="AC2688:AC2689"/>
    <mergeCell ref="AB2737:AB2738"/>
    <mergeCell ref="R2733:W2733"/>
    <mergeCell ref="X2733:Y2733"/>
    <mergeCell ref="S2801:X2801"/>
    <mergeCell ref="J2836:J2837"/>
    <mergeCell ref="R2825:R2826"/>
    <mergeCell ref="R2821:W2821"/>
    <mergeCell ref="K2827:K2828"/>
    <mergeCell ref="J2829:J2830"/>
    <mergeCell ref="R2788:R2789"/>
    <mergeCell ref="S2788:X2789"/>
    <mergeCell ref="M2799:P2800"/>
    <mergeCell ref="M2785:P2786"/>
    <mergeCell ref="K2785:K2786"/>
    <mergeCell ref="L2783:L2784"/>
    <mergeCell ref="M2783:P2784"/>
    <mergeCell ref="J2785:J2786"/>
    <mergeCell ref="I2783:I2784"/>
    <mergeCell ref="R2776:R2777"/>
    <mergeCell ref="R2696:W2696"/>
    <mergeCell ref="X2696:Y2696"/>
    <mergeCell ref="Z2696:AE2696"/>
    <mergeCell ref="S2699:X2699"/>
    <mergeCell ref="AD2699:AF2699"/>
    <mergeCell ref="AC2725:AC2726"/>
    <mergeCell ref="AD2725:AF2726"/>
    <mergeCell ref="AB2702:AB2703"/>
    <mergeCell ref="R2719:W2719"/>
    <mergeCell ref="G2764:I2764"/>
    <mergeCell ref="L2769:L2770"/>
    <mergeCell ref="A2769:A2770"/>
    <mergeCell ref="B2769:G2770"/>
    <mergeCell ref="H2769:H2770"/>
    <mergeCell ref="I2769:I2770"/>
    <mergeCell ref="G2765:I2765"/>
    <mergeCell ref="J2764:O2764"/>
    <mergeCell ref="J2769:J2770"/>
    <mergeCell ref="A2766:P2766"/>
    <mergeCell ref="Z2774:Z2775"/>
    <mergeCell ref="M2775:P2775"/>
    <mergeCell ref="AA2774:AA2775"/>
    <mergeCell ref="B2768:G2768"/>
    <mergeCell ref="M2768:P2768"/>
    <mergeCell ref="K2769:K2770"/>
    <mergeCell ref="M2769:P2770"/>
    <mergeCell ref="A2764:F2764"/>
    <mergeCell ref="K2776:K2777"/>
    <mergeCell ref="B2775:G2775"/>
    <mergeCell ref="A2776:A2777"/>
    <mergeCell ref="M2776:P2777"/>
    <mergeCell ref="B2776:G2777"/>
    <mergeCell ref="L2776:L2777"/>
    <mergeCell ref="H2776:H2777"/>
    <mergeCell ref="AD2774:AF2775"/>
    <mergeCell ref="L2771:L2772"/>
    <mergeCell ref="M2771:P2772"/>
    <mergeCell ref="R2774:R2775"/>
    <mergeCell ref="S2774:X2775"/>
    <mergeCell ref="Y2774:Y2775"/>
    <mergeCell ref="AB2774:AB2775"/>
    <mergeCell ref="AC2774:AC2775"/>
    <mergeCell ref="I2776:I2777"/>
    <mergeCell ref="A2771:A2772"/>
    <mergeCell ref="B2724:G2724"/>
    <mergeCell ref="B2771:G2772"/>
    <mergeCell ref="H2771:H2772"/>
    <mergeCell ref="A2822:A2823"/>
    <mergeCell ref="J2812:L2812"/>
    <mergeCell ref="A2829:A2830"/>
    <mergeCell ref="B2829:G2830"/>
    <mergeCell ref="H2829:H2830"/>
    <mergeCell ref="I2829:I2830"/>
    <mergeCell ref="A2827:A2828"/>
    <mergeCell ref="B2826:G2826"/>
    <mergeCell ref="M2826:P2826"/>
    <mergeCell ref="L2827:L2828"/>
    <mergeCell ref="M2827:P2828"/>
    <mergeCell ref="J2827:J2828"/>
    <mergeCell ref="H2783:H2784"/>
    <mergeCell ref="B2782:G2782"/>
    <mergeCell ref="I2778:I2779"/>
    <mergeCell ref="M2796:P2796"/>
    <mergeCell ref="A2778:A2779"/>
    <mergeCell ref="B2778:G2779"/>
    <mergeCell ref="H2778:H2779"/>
    <mergeCell ref="M2782:P2782"/>
    <mergeCell ref="J2778:J2779"/>
    <mergeCell ref="K2778:K2779"/>
    <mergeCell ref="L2778:L2779"/>
    <mergeCell ref="M2778:P2779"/>
    <mergeCell ref="A2783:A2784"/>
    <mergeCell ref="A2785:A2786"/>
    <mergeCell ref="B2785:G2786"/>
    <mergeCell ref="B2790:G2791"/>
    <mergeCell ref="H2790:H2791"/>
    <mergeCell ref="I2790:I2791"/>
    <mergeCell ref="H2785:H2786"/>
    <mergeCell ref="I2785:I2786"/>
    <mergeCell ref="A2790:A2791"/>
    <mergeCell ref="B2789:G2789"/>
    <mergeCell ref="M2792:P2793"/>
    <mergeCell ref="J2792:J2793"/>
    <mergeCell ref="K2792:K2793"/>
    <mergeCell ref="M2789:P2789"/>
    <mergeCell ref="J2790:J2791"/>
    <mergeCell ref="L2790:L2791"/>
    <mergeCell ref="M2790:P2791"/>
    <mergeCell ref="K2790:K2791"/>
    <mergeCell ref="K2809:P2809"/>
    <mergeCell ref="L2799:L2800"/>
    <mergeCell ref="I2797:I2798"/>
    <mergeCell ref="M2797:P2798"/>
    <mergeCell ref="K2797:K2798"/>
    <mergeCell ref="F2807:I2807"/>
    <mergeCell ref="F2808:I2808"/>
    <mergeCell ref="G2804:H2804"/>
    <mergeCell ref="H2799:H2800"/>
    <mergeCell ref="M2819:P2819"/>
    <mergeCell ref="A2817:P2817"/>
    <mergeCell ref="G2815:I2815"/>
    <mergeCell ref="K2799:K2800"/>
    <mergeCell ref="J2799:J2800"/>
    <mergeCell ref="A2797:A2798"/>
    <mergeCell ref="B2797:G2797"/>
    <mergeCell ref="B2783:G2784"/>
    <mergeCell ref="J2783:J2784"/>
    <mergeCell ref="H2797:H2798"/>
    <mergeCell ref="B2799:G2799"/>
    <mergeCell ref="G2803:H2803"/>
    <mergeCell ref="I2803:J2803"/>
    <mergeCell ref="A2792:A2793"/>
    <mergeCell ref="B2792:G2793"/>
    <mergeCell ref="H2792:H2793"/>
    <mergeCell ref="B2798:G2798"/>
    <mergeCell ref="B2796:G2796"/>
    <mergeCell ref="J2797:J2798"/>
    <mergeCell ref="I2799:I2800"/>
    <mergeCell ref="A2815:F2815"/>
    <mergeCell ref="J2815:O2815"/>
    <mergeCell ref="F2802:K2802"/>
    <mergeCell ref="A2799:A2800"/>
    <mergeCell ref="I2820:I2821"/>
    <mergeCell ref="J2820:J2821"/>
    <mergeCell ref="K2820:K2821"/>
    <mergeCell ref="L2820:L2821"/>
    <mergeCell ref="B2800:G2800"/>
    <mergeCell ref="D2812:G2812"/>
    <mergeCell ref="K2848:K2849"/>
    <mergeCell ref="M2836:P2837"/>
    <mergeCell ref="K2836:K2837"/>
    <mergeCell ref="L2836:L2837"/>
    <mergeCell ref="K2841:K2842"/>
    <mergeCell ref="L2841:L2842"/>
    <mergeCell ref="B2833:G2833"/>
    <mergeCell ref="M2833:P2833"/>
    <mergeCell ref="J2834:J2835"/>
    <mergeCell ref="J2841:J2842"/>
    <mergeCell ref="B2840:G2840"/>
    <mergeCell ref="K2829:K2830"/>
    <mergeCell ref="K2834:K2835"/>
    <mergeCell ref="L2834:L2835"/>
    <mergeCell ref="A2836:A2837"/>
    <mergeCell ref="B2836:G2837"/>
    <mergeCell ref="H2836:H2837"/>
    <mergeCell ref="I2836:I2837"/>
    <mergeCell ref="A2834:A2835"/>
    <mergeCell ref="B2834:G2835"/>
    <mergeCell ref="H2834:H2835"/>
    <mergeCell ref="M2840:P2840"/>
    <mergeCell ref="M2841:P2842"/>
    <mergeCell ref="A2843:A2844"/>
    <mergeCell ref="B2843:G2844"/>
    <mergeCell ref="H2843:H2844"/>
    <mergeCell ref="I2843:I2844"/>
    <mergeCell ref="J2843:J2844"/>
    <mergeCell ref="K2843:K2844"/>
    <mergeCell ref="M2843:P2844"/>
    <mergeCell ref="L2843:L2844"/>
    <mergeCell ref="B2827:G2828"/>
    <mergeCell ref="H2827:H2828"/>
    <mergeCell ref="I2827:I2828"/>
    <mergeCell ref="I2792:I2793"/>
    <mergeCell ref="A2820:A2821"/>
    <mergeCell ref="B2822:G2823"/>
    <mergeCell ref="H2822:H2823"/>
    <mergeCell ref="I2822:I2823"/>
    <mergeCell ref="J2822:J2823"/>
    <mergeCell ref="M2820:P2821"/>
    <mergeCell ref="I2804:J2804"/>
    <mergeCell ref="B2847:G2847"/>
    <mergeCell ref="M2847:P2847"/>
    <mergeCell ref="L2848:L2849"/>
    <mergeCell ref="M2848:P2849"/>
    <mergeCell ref="A2848:A2849"/>
    <mergeCell ref="J2848:J2849"/>
    <mergeCell ref="A2850:A2851"/>
    <mergeCell ref="K2850:K2851"/>
    <mergeCell ref="B2849:G2849"/>
    <mergeCell ref="F2853:K2853"/>
    <mergeCell ref="G2854:H2854"/>
    <mergeCell ref="I2854:J2854"/>
    <mergeCell ref="B2850:G2850"/>
    <mergeCell ref="H2850:H2851"/>
    <mergeCell ref="I2850:I2851"/>
    <mergeCell ref="A2841:A2842"/>
    <mergeCell ref="B2841:G2842"/>
    <mergeCell ref="H2841:H2842"/>
    <mergeCell ref="I2841:I2842"/>
    <mergeCell ref="L2829:L2830"/>
    <mergeCell ref="M2829:P2830"/>
    <mergeCell ref="M2834:P2835"/>
    <mergeCell ref="J2863:L2863"/>
    <mergeCell ref="A2868:P2868"/>
    <mergeCell ref="A2871:A2872"/>
    <mergeCell ref="B2871:G2872"/>
    <mergeCell ref="H2871:H2872"/>
    <mergeCell ref="B2870:G2870"/>
    <mergeCell ref="M2870:P2870"/>
    <mergeCell ref="M2871:P2872"/>
    <mergeCell ref="J2850:J2851"/>
    <mergeCell ref="B2851:G2851"/>
    <mergeCell ref="L2850:L2851"/>
    <mergeCell ref="G2855:H2855"/>
    <mergeCell ref="I2855:J2855"/>
    <mergeCell ref="A2866:F2866"/>
    <mergeCell ref="G2866:I2866"/>
    <mergeCell ref="K2860:P2860"/>
    <mergeCell ref="L2871:L2872"/>
    <mergeCell ref="J2871:J2872"/>
    <mergeCell ref="K2871:K2872"/>
    <mergeCell ref="D2863:G2863"/>
    <mergeCell ref="A2929:A2930"/>
    <mergeCell ref="H2924:H2925"/>
    <mergeCell ref="L2922:L2923"/>
    <mergeCell ref="M2924:P2925"/>
    <mergeCell ref="M2922:P2923"/>
    <mergeCell ref="M2928:P2928"/>
    <mergeCell ref="B2922:G2923"/>
    <mergeCell ref="H2922:H2923"/>
    <mergeCell ref="I2922:I2923"/>
    <mergeCell ref="J2922:J2923"/>
    <mergeCell ref="B2928:G2928"/>
    <mergeCell ref="K2922:K2923"/>
    <mergeCell ref="A2924:A2925"/>
    <mergeCell ref="I2924:I2925"/>
    <mergeCell ref="J2924:J2925"/>
    <mergeCell ref="K2924:K2925"/>
    <mergeCell ref="B2924:G2925"/>
    <mergeCell ref="M2884:P2884"/>
    <mergeCell ref="J2885:J2886"/>
    <mergeCell ref="K2885:K2886"/>
    <mergeCell ref="M2861:P2861"/>
    <mergeCell ref="M2863:N2863"/>
    <mergeCell ref="A2922:A2923"/>
    <mergeCell ref="L2885:L2886"/>
    <mergeCell ref="A2919:P2919"/>
    <mergeCell ref="J2901:J2902"/>
    <mergeCell ref="A2899:A2900"/>
    <mergeCell ref="B2898:G2898"/>
    <mergeCell ref="B2892:G2893"/>
    <mergeCell ref="A2885:A2886"/>
    <mergeCell ref="B2885:G2886"/>
    <mergeCell ref="B2884:G2884"/>
    <mergeCell ref="A2880:A2881"/>
    <mergeCell ref="B2880:G2881"/>
    <mergeCell ref="H2880:H2881"/>
    <mergeCell ref="I2880:I2881"/>
    <mergeCell ref="I2885:I2886"/>
    <mergeCell ref="H2885:H2886"/>
    <mergeCell ref="L2887:L2888"/>
    <mergeCell ref="M2887:P2888"/>
    <mergeCell ref="B2891:G2891"/>
    <mergeCell ref="J2887:J2888"/>
    <mergeCell ref="K2887:K2888"/>
    <mergeCell ref="A2887:A2888"/>
    <mergeCell ref="B2887:G2888"/>
    <mergeCell ref="H2887:H2888"/>
    <mergeCell ref="I2887:I2888"/>
    <mergeCell ref="L2901:L2902"/>
    <mergeCell ref="M2891:P2891"/>
    <mergeCell ref="L2899:L2900"/>
    <mergeCell ref="J2894:J2895"/>
    <mergeCell ref="M2898:P2898"/>
    <mergeCell ref="K2894:K2895"/>
    <mergeCell ref="L2894:L2895"/>
    <mergeCell ref="M2894:P2895"/>
    <mergeCell ref="J2892:J2893"/>
    <mergeCell ref="L2892:L2893"/>
    <mergeCell ref="K2892:K2893"/>
    <mergeCell ref="K2899:K2900"/>
    <mergeCell ref="H2892:H2893"/>
    <mergeCell ref="I2892:I2893"/>
    <mergeCell ref="M2892:P2893"/>
    <mergeCell ref="I2899:I2900"/>
    <mergeCell ref="J2899:J2900"/>
    <mergeCell ref="R2890:R2891"/>
    <mergeCell ref="S2890:X2891"/>
    <mergeCell ref="Y2890:Y2891"/>
    <mergeCell ref="R2886:W2886"/>
    <mergeCell ref="X2886:Y2886"/>
    <mergeCell ref="A2894:A2895"/>
    <mergeCell ref="B2894:G2895"/>
    <mergeCell ref="H2894:H2895"/>
    <mergeCell ref="I2894:I2895"/>
    <mergeCell ref="AB2906:AB2907"/>
    <mergeCell ref="AC2904:AC2905"/>
    <mergeCell ref="AD2904:AF2905"/>
    <mergeCell ref="A2892:A2893"/>
    <mergeCell ref="L2873:L2874"/>
    <mergeCell ref="M2873:P2874"/>
    <mergeCell ref="J2878:J2879"/>
    <mergeCell ref="K2878:K2879"/>
    <mergeCell ref="M2877:P2877"/>
    <mergeCell ref="J2873:J2874"/>
    <mergeCell ref="K2873:K2874"/>
    <mergeCell ref="A2873:A2874"/>
    <mergeCell ref="B2873:G2874"/>
    <mergeCell ref="H2873:H2874"/>
    <mergeCell ref="I2873:I2874"/>
    <mergeCell ref="A2878:A2879"/>
    <mergeCell ref="B2878:G2879"/>
    <mergeCell ref="H2878:H2879"/>
    <mergeCell ref="I2878:I2879"/>
    <mergeCell ref="B2877:G2877"/>
    <mergeCell ref="L2878:L2879"/>
    <mergeCell ref="J2880:J2881"/>
    <mergeCell ref="K2880:K2881"/>
    <mergeCell ref="L2880:L2881"/>
    <mergeCell ref="M2880:P2881"/>
    <mergeCell ref="M2878:P2879"/>
    <mergeCell ref="F2909:I2909"/>
    <mergeCell ref="F2910:I2910"/>
    <mergeCell ref="K2911:P2911"/>
    <mergeCell ref="B2902:G2902"/>
    <mergeCell ref="K2901:K2902"/>
    <mergeCell ref="G2906:H2906"/>
    <mergeCell ref="I2906:J2906"/>
    <mergeCell ref="F2904:K2904"/>
    <mergeCell ref="G2905:H2905"/>
    <mergeCell ref="I2901:I2902"/>
    <mergeCell ref="Y2906:Y2907"/>
    <mergeCell ref="Y2904:Y2905"/>
    <mergeCell ref="Z2904:Z2905"/>
    <mergeCell ref="R2904:R2905"/>
    <mergeCell ref="S2904:X2905"/>
    <mergeCell ref="I2905:J2905"/>
    <mergeCell ref="R2906:R2907"/>
    <mergeCell ref="S2906:X2907"/>
    <mergeCell ref="B2899:G2899"/>
    <mergeCell ref="H2899:H2900"/>
    <mergeCell ref="H2901:H2902"/>
    <mergeCell ref="A2901:A2902"/>
    <mergeCell ref="B2901:G2901"/>
    <mergeCell ref="B2900:G2900"/>
    <mergeCell ref="L2924:L2925"/>
    <mergeCell ref="S2927:X2928"/>
    <mergeCell ref="S2926:X2926"/>
    <mergeCell ref="Z2927:Z2928"/>
    <mergeCell ref="AA2927:AA2928"/>
    <mergeCell ref="A2917:F2917"/>
    <mergeCell ref="J2917:O2917"/>
    <mergeCell ref="B2921:G2921"/>
    <mergeCell ref="M2921:P2921"/>
    <mergeCell ref="G2917:I2917"/>
    <mergeCell ref="J2914:L2914"/>
    <mergeCell ref="R2927:R2928"/>
    <mergeCell ref="R2923:W2923"/>
    <mergeCell ref="X2923:Y2923"/>
    <mergeCell ref="AA2904:AA2905"/>
    <mergeCell ref="M2899:P2900"/>
    <mergeCell ref="D2914:G2914"/>
    <mergeCell ref="Z2906:Z2907"/>
    <mergeCell ref="B2972:G2972"/>
    <mergeCell ref="M2972:P2972"/>
    <mergeCell ref="G2968:I2968"/>
    <mergeCell ref="F2955:K2955"/>
    <mergeCell ref="G2956:H2956"/>
    <mergeCell ref="I2956:J2956"/>
    <mergeCell ref="B2952:G2952"/>
    <mergeCell ref="L2938:L2939"/>
    <mergeCell ref="A2931:A2932"/>
    <mergeCell ref="B2931:G2932"/>
    <mergeCell ref="H2931:H2932"/>
    <mergeCell ref="I2931:I2932"/>
    <mergeCell ref="A2936:A2937"/>
    <mergeCell ref="B2936:G2937"/>
    <mergeCell ref="B2935:G2935"/>
    <mergeCell ref="M2943:P2944"/>
    <mergeCell ref="M2942:P2942"/>
    <mergeCell ref="J2931:J2932"/>
    <mergeCell ref="K2931:K2932"/>
    <mergeCell ref="L2931:L2932"/>
    <mergeCell ref="M2931:P2932"/>
    <mergeCell ref="L2936:L2937"/>
    <mergeCell ref="M2936:P2937"/>
    <mergeCell ref="M2938:P2939"/>
    <mergeCell ref="K2938:K2939"/>
    <mergeCell ref="J2936:J2937"/>
    <mergeCell ref="H2936:H2937"/>
    <mergeCell ref="I2936:I2937"/>
    <mergeCell ref="K2945:K2946"/>
    <mergeCell ref="K2936:K2937"/>
    <mergeCell ref="J2938:J2939"/>
    <mergeCell ref="A2945:A2946"/>
    <mergeCell ref="K2943:K2944"/>
    <mergeCell ref="L2943:L2944"/>
    <mergeCell ref="A2943:A2944"/>
    <mergeCell ref="B2943:G2944"/>
    <mergeCell ref="H2943:H2944"/>
    <mergeCell ref="A2938:A2939"/>
    <mergeCell ref="B2938:G2939"/>
    <mergeCell ref="H2938:H2939"/>
    <mergeCell ref="I2938:I2939"/>
    <mergeCell ref="I2943:I2944"/>
    <mergeCell ref="J2943:J2944"/>
    <mergeCell ref="B2942:G2942"/>
    <mergeCell ref="M2965:N2965"/>
    <mergeCell ref="M2963:P2963"/>
    <mergeCell ref="M2949:P2949"/>
    <mergeCell ref="B2945:G2946"/>
    <mergeCell ref="H2945:H2946"/>
    <mergeCell ref="I2945:I2946"/>
    <mergeCell ref="J2945:J2946"/>
    <mergeCell ref="I2950:I2951"/>
    <mergeCell ref="B2953:G2953"/>
    <mergeCell ref="J2950:J2951"/>
    <mergeCell ref="L2950:L2951"/>
    <mergeCell ref="M2950:P2951"/>
    <mergeCell ref="L2952:L2953"/>
    <mergeCell ref="M2952:P2953"/>
    <mergeCell ref="H2952:H2953"/>
    <mergeCell ref="I2952:I2953"/>
    <mergeCell ref="J2952:J2953"/>
    <mergeCell ref="K2950:K2951"/>
    <mergeCell ref="A2952:A2953"/>
    <mergeCell ref="K2952:K2953"/>
    <mergeCell ref="B2951:G2951"/>
    <mergeCell ref="A2950:A2951"/>
    <mergeCell ref="B2950:G2950"/>
    <mergeCell ref="H2950:H2951"/>
    <mergeCell ref="L2973:L2974"/>
    <mergeCell ref="J2973:J2974"/>
    <mergeCell ref="K2973:K2974"/>
    <mergeCell ref="A2970:P2970"/>
    <mergeCell ref="M2973:P2974"/>
    <mergeCell ref="A2968:F2968"/>
    <mergeCell ref="J2968:O2968"/>
    <mergeCell ref="A2973:A2974"/>
    <mergeCell ref="B2973:G2974"/>
    <mergeCell ref="H2973:H2974"/>
    <mergeCell ref="I2973:I2974"/>
    <mergeCell ref="G2957:H2957"/>
    <mergeCell ref="I2957:J2957"/>
    <mergeCell ref="J2965:L2965"/>
    <mergeCell ref="F2960:I2960"/>
    <mergeCell ref="F2961:I2961"/>
    <mergeCell ref="K2962:P2962"/>
    <mergeCell ref="B3030:G3030"/>
    <mergeCell ref="K3031:K3032"/>
    <mergeCell ref="B3026:G3027"/>
    <mergeCell ref="K2975:K2976"/>
    <mergeCell ref="B2979:G2979"/>
    <mergeCell ref="M2980:P2981"/>
    <mergeCell ref="B2980:G2981"/>
    <mergeCell ref="J2980:J2981"/>
    <mergeCell ref="K2980:K2981"/>
    <mergeCell ref="L2980:L2981"/>
    <mergeCell ref="L2975:L2976"/>
    <mergeCell ref="M2975:P2976"/>
    <mergeCell ref="M2979:P2979"/>
    <mergeCell ref="A2975:A2976"/>
    <mergeCell ref="B2975:G2976"/>
    <mergeCell ref="H2975:H2976"/>
    <mergeCell ref="I2975:I2976"/>
    <mergeCell ref="M2986:P2986"/>
    <mergeCell ref="J2982:J2983"/>
    <mergeCell ref="K2982:K2983"/>
    <mergeCell ref="L2982:L2983"/>
    <mergeCell ref="M2982:P2983"/>
    <mergeCell ref="J2975:J2976"/>
    <mergeCell ref="A2987:A2988"/>
    <mergeCell ref="B2987:G2988"/>
    <mergeCell ref="H2980:H2981"/>
    <mergeCell ref="I2980:I2981"/>
    <mergeCell ref="B2986:G2986"/>
    <mergeCell ref="A2980:A2981"/>
    <mergeCell ref="A2982:A2983"/>
    <mergeCell ref="B2982:G2983"/>
    <mergeCell ref="H2982:H2983"/>
    <mergeCell ref="I2982:I2983"/>
    <mergeCell ref="A2994:A2995"/>
    <mergeCell ref="B2993:G2993"/>
    <mergeCell ref="J2989:J2990"/>
    <mergeCell ref="K2989:K2990"/>
    <mergeCell ref="A2989:A2990"/>
    <mergeCell ref="B2989:G2990"/>
    <mergeCell ref="H2989:H2990"/>
    <mergeCell ref="I2989:I2990"/>
    <mergeCell ref="L2989:L2990"/>
    <mergeCell ref="M2989:P2990"/>
    <mergeCell ref="A3001:A3002"/>
    <mergeCell ref="B3003:G3003"/>
    <mergeCell ref="H3003:H3004"/>
    <mergeCell ref="K3003:K3004"/>
    <mergeCell ref="A3024:A3025"/>
    <mergeCell ref="F3011:I3011"/>
    <mergeCell ref="F3012:I3012"/>
    <mergeCell ref="K3013:P3013"/>
    <mergeCell ref="M2993:P2993"/>
    <mergeCell ref="B2994:G2995"/>
    <mergeCell ref="H2994:H2995"/>
    <mergeCell ref="I2994:I2995"/>
    <mergeCell ref="J2994:J2995"/>
    <mergeCell ref="L2994:L2995"/>
    <mergeCell ref="M2994:P2995"/>
    <mergeCell ref="K2994:K2995"/>
    <mergeCell ref="M3067:N3067"/>
    <mergeCell ref="M3044:P3044"/>
    <mergeCell ref="L3045:L3046"/>
    <mergeCell ref="L3047:L3048"/>
    <mergeCell ref="B3054:G3054"/>
    <mergeCell ref="H3054:H3055"/>
    <mergeCell ref="M3024:P3025"/>
    <mergeCell ref="M3030:P3030"/>
    <mergeCell ref="M3026:P3027"/>
    <mergeCell ref="K3026:K3027"/>
    <mergeCell ref="M3031:P3032"/>
    <mergeCell ref="H3031:H3032"/>
    <mergeCell ref="H3026:H3027"/>
    <mergeCell ref="K2996:K2997"/>
    <mergeCell ref="L2996:L2997"/>
    <mergeCell ref="M2996:P2997"/>
    <mergeCell ref="J2996:J2997"/>
    <mergeCell ref="K3001:K3002"/>
    <mergeCell ref="L3001:L3002"/>
    <mergeCell ref="H3001:H3002"/>
    <mergeCell ref="I3003:I3004"/>
    <mergeCell ref="F3006:K3006"/>
    <mergeCell ref="M3000:P3000"/>
    <mergeCell ref="I3001:I3002"/>
    <mergeCell ref="M3001:P3002"/>
    <mergeCell ref="L3003:L3004"/>
    <mergeCell ref="G3007:H3007"/>
    <mergeCell ref="M3014:P3014"/>
    <mergeCell ref="H2996:H2997"/>
    <mergeCell ref="B3002:G3002"/>
    <mergeCell ref="I3007:J3007"/>
    <mergeCell ref="J3001:J3002"/>
    <mergeCell ref="I2996:I2997"/>
    <mergeCell ref="B3000:G3000"/>
    <mergeCell ref="B3001:G3001"/>
    <mergeCell ref="B2996:G2997"/>
    <mergeCell ref="M3016:N3016"/>
    <mergeCell ref="I3024:I3025"/>
    <mergeCell ref="J3003:J3004"/>
    <mergeCell ref="M3003:P3004"/>
    <mergeCell ref="G3019:I3019"/>
    <mergeCell ref="B3004:G3004"/>
    <mergeCell ref="G3008:H3008"/>
    <mergeCell ref="J3016:L3016"/>
    <mergeCell ref="I3008:J3008"/>
    <mergeCell ref="M3023:P3023"/>
    <mergeCell ref="A3019:F3019"/>
    <mergeCell ref="J3019:O3019"/>
    <mergeCell ref="B3024:G3025"/>
    <mergeCell ref="H3024:H3025"/>
    <mergeCell ref="B3023:G3023"/>
    <mergeCell ref="J3024:J3025"/>
    <mergeCell ref="A3021:P3021"/>
    <mergeCell ref="K3024:K3025"/>
    <mergeCell ref="L3024:L3025"/>
    <mergeCell ref="A3026:A3027"/>
    <mergeCell ref="J3031:J3032"/>
    <mergeCell ref="A3031:A3032"/>
    <mergeCell ref="B3031:G3032"/>
    <mergeCell ref="J3054:J3055"/>
    <mergeCell ref="L3054:L3055"/>
    <mergeCell ref="A3052:A3053"/>
    <mergeCell ref="B3044:G3044"/>
    <mergeCell ref="K3038:K3039"/>
    <mergeCell ref="J3038:J3039"/>
    <mergeCell ref="M3038:P3039"/>
    <mergeCell ref="L3052:L3053"/>
    <mergeCell ref="M3052:P3053"/>
    <mergeCell ref="K3047:K3048"/>
    <mergeCell ref="M3045:P3046"/>
    <mergeCell ref="J3052:J3053"/>
    <mergeCell ref="K3052:K3053"/>
    <mergeCell ref="H3052:H3053"/>
    <mergeCell ref="I3052:I3053"/>
    <mergeCell ref="J3045:J3046"/>
    <mergeCell ref="J3047:J3048"/>
    <mergeCell ref="B3053:G3053"/>
    <mergeCell ref="I3045:I3046"/>
    <mergeCell ref="B3051:G3051"/>
    <mergeCell ref="B3052:G3052"/>
    <mergeCell ref="B3037:G3037"/>
    <mergeCell ref="M3037:P3037"/>
    <mergeCell ref="A3033:A3034"/>
    <mergeCell ref="B3033:G3034"/>
    <mergeCell ref="H3033:H3034"/>
    <mergeCell ref="I3033:I3034"/>
    <mergeCell ref="J3033:J3034"/>
    <mergeCell ref="K3033:K3034"/>
    <mergeCell ref="L3033:L3034"/>
    <mergeCell ref="M3033:P3034"/>
    <mergeCell ref="M3040:P3041"/>
    <mergeCell ref="A3038:A3039"/>
    <mergeCell ref="B3038:G3039"/>
    <mergeCell ref="H3038:H3039"/>
    <mergeCell ref="I3038:I3039"/>
    <mergeCell ref="K3040:K3041"/>
    <mergeCell ref="L3040:L3041"/>
    <mergeCell ref="B3040:G3041"/>
    <mergeCell ref="H3040:H3041"/>
    <mergeCell ref="L3038:L3039"/>
    <mergeCell ref="A3047:A3048"/>
    <mergeCell ref="B3047:G3048"/>
    <mergeCell ref="H3047:H3048"/>
    <mergeCell ref="I3047:I3048"/>
    <mergeCell ref="K3045:K3046"/>
    <mergeCell ref="A3040:A3041"/>
    <mergeCell ref="I3040:I3041"/>
    <mergeCell ref="A3045:A3046"/>
    <mergeCell ref="B3045:G3046"/>
    <mergeCell ref="H3045:H3046"/>
    <mergeCell ref="L3031:L3032"/>
    <mergeCell ref="M3051:P3051"/>
    <mergeCell ref="L3091:L3092"/>
    <mergeCell ref="M3091:P3092"/>
    <mergeCell ref="J3084:J3085"/>
    <mergeCell ref="K3084:K3085"/>
    <mergeCell ref="L3089:L3090"/>
    <mergeCell ref="M3089:P3090"/>
    <mergeCell ref="K3082:K3083"/>
    <mergeCell ref="K3091:K3092"/>
    <mergeCell ref="A3084:A3085"/>
    <mergeCell ref="B3084:G3085"/>
    <mergeCell ref="H3084:H3085"/>
    <mergeCell ref="I3084:I3085"/>
    <mergeCell ref="A3091:A3092"/>
    <mergeCell ref="B3091:G3092"/>
    <mergeCell ref="H3091:H3092"/>
    <mergeCell ref="I3091:I3092"/>
    <mergeCell ref="B3088:G3088"/>
    <mergeCell ref="B3096:G3097"/>
    <mergeCell ref="H3096:H3097"/>
    <mergeCell ref="I3096:I3097"/>
    <mergeCell ref="J3089:J3090"/>
    <mergeCell ref="K3089:K3090"/>
    <mergeCell ref="A3089:A3090"/>
    <mergeCell ref="B3089:G3090"/>
    <mergeCell ref="H3089:H3090"/>
    <mergeCell ref="I3089:I3090"/>
    <mergeCell ref="J3091:J3092"/>
    <mergeCell ref="G3071:I3071"/>
    <mergeCell ref="A3072:P3072"/>
    <mergeCell ref="M3095:P3095"/>
    <mergeCell ref="B3095:G3095"/>
    <mergeCell ref="A3096:A3097"/>
    <mergeCell ref="A3077:A3078"/>
    <mergeCell ref="B3077:G3078"/>
    <mergeCell ref="H3077:H3078"/>
    <mergeCell ref="I3077:I3078"/>
    <mergeCell ref="B3074:G3074"/>
    <mergeCell ref="A3075:A3076"/>
    <mergeCell ref="B3075:G3076"/>
    <mergeCell ref="I3075:I3076"/>
    <mergeCell ref="M3074:P3074"/>
    <mergeCell ref="H3075:H3076"/>
    <mergeCell ref="J3077:J3078"/>
    <mergeCell ref="L3077:L3078"/>
    <mergeCell ref="M3077:P3078"/>
    <mergeCell ref="J3075:J3076"/>
    <mergeCell ref="K3075:K3076"/>
    <mergeCell ref="K3077:K3078"/>
    <mergeCell ref="M3075:P3076"/>
    <mergeCell ref="L3075:L3076"/>
    <mergeCell ref="A3082:A3083"/>
    <mergeCell ref="B3082:G3083"/>
    <mergeCell ref="H3082:H3083"/>
    <mergeCell ref="I3082:I3083"/>
    <mergeCell ref="M3082:P3083"/>
    <mergeCell ref="J3082:J3083"/>
    <mergeCell ref="M3081:P3081"/>
    <mergeCell ref="B3081:G3081"/>
    <mergeCell ref="L3084:L3085"/>
    <mergeCell ref="M3084:P3085"/>
    <mergeCell ref="L3082:L3083"/>
    <mergeCell ref="M3088:P3088"/>
    <mergeCell ref="A3133:A3134"/>
    <mergeCell ref="B3133:G3134"/>
    <mergeCell ref="I3140:I3141"/>
    <mergeCell ref="K3140:K3141"/>
    <mergeCell ref="J3133:J3134"/>
    <mergeCell ref="K3133:K3134"/>
    <mergeCell ref="B3139:G3139"/>
    <mergeCell ref="A3135:A3136"/>
    <mergeCell ref="M3098:P3099"/>
    <mergeCell ref="Z3108:Z3109"/>
    <mergeCell ref="AA3108:AA3109"/>
    <mergeCell ref="S3096:X3097"/>
    <mergeCell ref="Y3096:Y3097"/>
    <mergeCell ref="Z3096:Z3097"/>
    <mergeCell ref="R3096:R3097"/>
    <mergeCell ref="K3096:K3097"/>
    <mergeCell ref="J3096:J3097"/>
    <mergeCell ref="L3098:L3099"/>
    <mergeCell ref="L3096:L3097"/>
    <mergeCell ref="L3103:L3104"/>
    <mergeCell ref="M3103:P3104"/>
    <mergeCell ref="M3096:P3097"/>
    <mergeCell ref="J3098:J3099"/>
    <mergeCell ref="M3102:P3102"/>
    <mergeCell ref="K3098:K3099"/>
    <mergeCell ref="A3105:A3106"/>
    <mergeCell ref="B3104:G3104"/>
    <mergeCell ref="J3105:J3106"/>
    <mergeCell ref="J3103:J3104"/>
    <mergeCell ref="A3103:A3104"/>
    <mergeCell ref="B3103:G3103"/>
    <mergeCell ref="H3103:H3104"/>
    <mergeCell ref="H3105:H3106"/>
    <mergeCell ref="B3106:G3106"/>
    <mergeCell ref="I3103:I3104"/>
    <mergeCell ref="M3116:P3116"/>
    <mergeCell ref="M3118:N3118"/>
    <mergeCell ref="F3108:K3108"/>
    <mergeCell ref="G3109:H3109"/>
    <mergeCell ref="K3105:K3106"/>
    <mergeCell ref="K3103:K3104"/>
    <mergeCell ref="M3105:P3106"/>
    <mergeCell ref="B3105:G3105"/>
    <mergeCell ref="L3105:L3106"/>
    <mergeCell ref="I3105:I3106"/>
    <mergeCell ref="B3102:G3102"/>
    <mergeCell ref="A3098:A3099"/>
    <mergeCell ref="B3098:G3099"/>
    <mergeCell ref="H3098:H3099"/>
    <mergeCell ref="I3098:I3099"/>
    <mergeCell ref="M3139:P3139"/>
    <mergeCell ref="J3135:J3136"/>
    <mergeCell ref="K3135:K3136"/>
    <mergeCell ref="S3133:X3134"/>
    <mergeCell ref="Y3133:Y3134"/>
    <mergeCell ref="Z3133:Z3134"/>
    <mergeCell ref="L3133:L3134"/>
    <mergeCell ref="M3133:P3134"/>
    <mergeCell ref="H3147:H3148"/>
    <mergeCell ref="L3135:L3136"/>
    <mergeCell ref="M3135:P3136"/>
    <mergeCell ref="I3135:I3136"/>
    <mergeCell ref="L3140:L3141"/>
    <mergeCell ref="M3140:P3141"/>
    <mergeCell ref="I3147:I3148"/>
    <mergeCell ref="A3149:A3150"/>
    <mergeCell ref="B3149:G3150"/>
    <mergeCell ref="H3149:H3150"/>
    <mergeCell ref="I3149:I3150"/>
    <mergeCell ref="K3142:K3143"/>
    <mergeCell ref="J3149:J3150"/>
    <mergeCell ref="K3149:K3150"/>
    <mergeCell ref="A3147:A3148"/>
    <mergeCell ref="B3147:G3148"/>
    <mergeCell ref="J3147:J3148"/>
    <mergeCell ref="K3147:K3148"/>
    <mergeCell ref="M3142:P3143"/>
    <mergeCell ref="J3142:J3143"/>
    <mergeCell ref="L3147:L3148"/>
    <mergeCell ref="M3147:P3148"/>
    <mergeCell ref="A3128:A3129"/>
    <mergeCell ref="G3121:I3121"/>
    <mergeCell ref="Z3141:AE3141"/>
    <mergeCell ref="L3142:L3143"/>
    <mergeCell ref="B3146:G3146"/>
    <mergeCell ref="M3146:P3146"/>
    <mergeCell ref="A3140:A3141"/>
    <mergeCell ref="B3140:G3141"/>
    <mergeCell ref="H3140:H3141"/>
    <mergeCell ref="A3142:A3143"/>
    <mergeCell ref="AB3131:AB3132"/>
    <mergeCell ref="M3132:P3132"/>
    <mergeCell ref="A3121:F3121"/>
    <mergeCell ref="J3121:O3121"/>
    <mergeCell ref="M3125:P3125"/>
    <mergeCell ref="K3126:K3127"/>
    <mergeCell ref="L3126:L3127"/>
    <mergeCell ref="G3122:I3122"/>
    <mergeCell ref="B3125:G3125"/>
    <mergeCell ref="B3132:G3132"/>
    <mergeCell ref="B3126:G3127"/>
    <mergeCell ref="M3126:P3127"/>
    <mergeCell ref="H3128:H3129"/>
    <mergeCell ref="I3128:I3129"/>
    <mergeCell ref="B3128:G3129"/>
    <mergeCell ref="AD3131:AF3132"/>
    <mergeCell ref="AD3130:AF3130"/>
    <mergeCell ref="L3128:L3129"/>
    <mergeCell ref="R3131:R3132"/>
    <mergeCell ref="AA3131:AA3132"/>
    <mergeCell ref="B3135:G3136"/>
    <mergeCell ref="H3135:H3136"/>
    <mergeCell ref="X3127:Y3127"/>
    <mergeCell ref="A3126:A3127"/>
    <mergeCell ref="H3126:H3127"/>
    <mergeCell ref="I3126:I3127"/>
    <mergeCell ref="J3126:J3127"/>
    <mergeCell ref="J3128:J3129"/>
    <mergeCell ref="K3128:K3129"/>
    <mergeCell ref="M3149:P3150"/>
    <mergeCell ref="L3149:L3150"/>
    <mergeCell ref="M3128:P3129"/>
    <mergeCell ref="L3154:L3155"/>
    <mergeCell ref="M3154:P3155"/>
    <mergeCell ref="M3153:P3153"/>
    <mergeCell ref="L3156:L3157"/>
    <mergeCell ref="M3156:P3157"/>
    <mergeCell ref="J3154:J3155"/>
    <mergeCell ref="K3154:K3155"/>
    <mergeCell ref="A3156:A3157"/>
    <mergeCell ref="K3156:K3157"/>
    <mergeCell ref="B3155:G3155"/>
    <mergeCell ref="B3156:G3156"/>
    <mergeCell ref="H3156:H3157"/>
    <mergeCell ref="I3156:I3157"/>
    <mergeCell ref="A3154:A3155"/>
    <mergeCell ref="B3154:G3154"/>
    <mergeCell ref="J3156:J3157"/>
    <mergeCell ref="A3172:F3172"/>
    <mergeCell ref="J3172:O3172"/>
    <mergeCell ref="B3157:G3157"/>
    <mergeCell ref="G3161:H3161"/>
    <mergeCell ref="I3161:J3161"/>
    <mergeCell ref="F3159:K3159"/>
    <mergeCell ref="G3160:H3160"/>
    <mergeCell ref="I3160:J3160"/>
    <mergeCell ref="F3164:I3164"/>
    <mergeCell ref="M3176:P3176"/>
    <mergeCell ref="B3176:G3176"/>
    <mergeCell ref="G3172:I3172"/>
    <mergeCell ref="J3169:L3169"/>
    <mergeCell ref="M3169:N3169"/>
    <mergeCell ref="A3174:P3174"/>
    <mergeCell ref="G3173:I3173"/>
    <mergeCell ref="D3169:G3169"/>
    <mergeCell ref="M3167:P3167"/>
    <mergeCell ref="M3177:P3178"/>
    <mergeCell ref="B3177:G3178"/>
    <mergeCell ref="H3177:H3178"/>
    <mergeCell ref="I3177:I3178"/>
    <mergeCell ref="B3183:G3183"/>
    <mergeCell ref="M3183:P3183"/>
    <mergeCell ref="L3179:L3180"/>
    <mergeCell ref="M3179:P3180"/>
    <mergeCell ref="A3177:A3178"/>
    <mergeCell ref="L3177:L3178"/>
    <mergeCell ref="J3177:J3178"/>
    <mergeCell ref="K3177:K3178"/>
    <mergeCell ref="B3179:G3180"/>
    <mergeCell ref="H3179:H3180"/>
    <mergeCell ref="A3179:A3180"/>
    <mergeCell ref="I3179:I3180"/>
    <mergeCell ref="J3179:J3180"/>
    <mergeCell ref="K3179:K3180"/>
    <mergeCell ref="M3184:P3185"/>
    <mergeCell ref="J3184:J3185"/>
    <mergeCell ref="K3184:K3185"/>
    <mergeCell ref="L3184:L3185"/>
    <mergeCell ref="A3184:A3185"/>
    <mergeCell ref="B3184:G3185"/>
    <mergeCell ref="H3184:H3185"/>
    <mergeCell ref="I3184:I3185"/>
    <mergeCell ref="L3193:L3194"/>
    <mergeCell ref="B3186:G3187"/>
    <mergeCell ref="H3186:H3187"/>
    <mergeCell ref="M3190:P3190"/>
    <mergeCell ref="J3186:J3187"/>
    <mergeCell ref="K3186:K3187"/>
    <mergeCell ref="M3186:P3187"/>
    <mergeCell ref="I3186:I3187"/>
    <mergeCell ref="L3186:L3187"/>
    <mergeCell ref="A3186:A3187"/>
    <mergeCell ref="J3193:J3194"/>
    <mergeCell ref="M3193:P3194"/>
    <mergeCell ref="L3191:L3192"/>
    <mergeCell ref="M3191:P3192"/>
    <mergeCell ref="J3191:J3192"/>
    <mergeCell ref="K3191:K3192"/>
    <mergeCell ref="B3190:G3190"/>
    <mergeCell ref="H3191:H3192"/>
    <mergeCell ref="A3288:A3289"/>
    <mergeCell ref="B3292:G3292"/>
    <mergeCell ref="M3288:P3289"/>
    <mergeCell ref="B3288:G3289"/>
    <mergeCell ref="H3288:H3289"/>
    <mergeCell ref="M3292:P3292"/>
    <mergeCell ref="J3288:J3289"/>
    <mergeCell ref="K3288:K3289"/>
    <mergeCell ref="L3286:L3287"/>
    <mergeCell ref="D3220:G3220"/>
    <mergeCell ref="A3223:F3223"/>
    <mergeCell ref="J3223:O3223"/>
    <mergeCell ref="L3230:L3231"/>
    <mergeCell ref="B3228:G3229"/>
    <mergeCell ref="H3228:H3229"/>
    <mergeCell ref="I3228:I3229"/>
    <mergeCell ref="J3228:J3229"/>
    <mergeCell ref="B3230:G3231"/>
    <mergeCell ref="H3230:H3231"/>
    <mergeCell ref="I3230:I3231"/>
    <mergeCell ref="J3230:J3231"/>
    <mergeCell ref="A3228:A3229"/>
    <mergeCell ref="K3228:K3229"/>
    <mergeCell ref="L3228:L3229"/>
    <mergeCell ref="M3228:P3229"/>
    <mergeCell ref="A3230:A3231"/>
    <mergeCell ref="K3230:K3231"/>
    <mergeCell ref="M3230:P3231"/>
    <mergeCell ref="A3198:A3199"/>
    <mergeCell ref="B3197:G3197"/>
    <mergeCell ref="A3191:A3192"/>
    <mergeCell ref="B3191:G3192"/>
    <mergeCell ref="B3198:G3199"/>
    <mergeCell ref="I3191:I3192"/>
    <mergeCell ref="A3193:A3194"/>
    <mergeCell ref="H3198:H3199"/>
    <mergeCell ref="M3197:P3197"/>
    <mergeCell ref="K3205:K3206"/>
    <mergeCell ref="L3205:L3206"/>
    <mergeCell ref="M3279:P3280"/>
    <mergeCell ref="L3279:L3280"/>
    <mergeCell ref="J3274:O3274"/>
    <mergeCell ref="B3278:G3278"/>
    <mergeCell ref="M3278:P3278"/>
    <mergeCell ref="A3276:P3276"/>
    <mergeCell ref="G3274:I3274"/>
    <mergeCell ref="L3256:L3257"/>
    <mergeCell ref="I3249:I3250"/>
    <mergeCell ref="J3281:J3282"/>
    <mergeCell ref="B3285:G3285"/>
    <mergeCell ref="M3285:P3285"/>
    <mergeCell ref="K3281:K3282"/>
    <mergeCell ref="M3281:P3282"/>
    <mergeCell ref="B3279:G3280"/>
    <mergeCell ref="H3279:H3280"/>
    <mergeCell ref="I3279:I3280"/>
    <mergeCell ref="F3266:I3266"/>
    <mergeCell ref="F3267:I3267"/>
    <mergeCell ref="D3271:G3271"/>
    <mergeCell ref="K3249:K3250"/>
    <mergeCell ref="B3259:G3259"/>
    <mergeCell ref="M3251:P3252"/>
    <mergeCell ref="B3255:G3255"/>
    <mergeCell ref="K3251:K3252"/>
    <mergeCell ref="H3251:H3252"/>
    <mergeCell ref="I3251:I3252"/>
    <mergeCell ref="M3256:P3257"/>
    <mergeCell ref="L3258:L3259"/>
    <mergeCell ref="M3258:P3259"/>
    <mergeCell ref="L3249:L3250"/>
    <mergeCell ref="M3249:P3250"/>
    <mergeCell ref="M3255:P3255"/>
    <mergeCell ref="J3251:J3252"/>
    <mergeCell ref="H3256:H3257"/>
    <mergeCell ref="A3003:A3004"/>
    <mergeCell ref="A2996:A2997"/>
    <mergeCell ref="G1988:H1988"/>
    <mergeCell ref="I1988:J1988"/>
    <mergeCell ref="F1986:K1986"/>
    <mergeCell ref="H2273:H2274"/>
    <mergeCell ref="I2273:I2274"/>
    <mergeCell ref="A2254:F2254"/>
    <mergeCell ref="M3300:P3301"/>
    <mergeCell ref="I3313:J3313"/>
    <mergeCell ref="J3322:L3322"/>
    <mergeCell ref="I3286:I3287"/>
    <mergeCell ref="A1983:A1984"/>
    <mergeCell ref="H1983:H1984"/>
    <mergeCell ref="L2273:L2274"/>
    <mergeCell ref="J2254:O2254"/>
    <mergeCell ref="B2258:G2258"/>
    <mergeCell ref="M2258:P2258"/>
    <mergeCell ref="A3300:A3301"/>
    <mergeCell ref="J3302:J3303"/>
    <mergeCell ref="B3299:G3299"/>
    <mergeCell ref="L3295:L3296"/>
    <mergeCell ref="M3295:P3296"/>
    <mergeCell ref="M3299:P3299"/>
    <mergeCell ref="J3295:J3296"/>
    <mergeCell ref="B3300:G3301"/>
    <mergeCell ref="H3300:H3301"/>
    <mergeCell ref="I3300:I3301"/>
    <mergeCell ref="A3295:A3296"/>
    <mergeCell ref="B3295:G3296"/>
    <mergeCell ref="H3295:H3296"/>
    <mergeCell ref="B3293:G3294"/>
    <mergeCell ref="H3293:H3294"/>
    <mergeCell ref="I3293:I3294"/>
    <mergeCell ref="I3295:I3296"/>
    <mergeCell ref="A3293:A3294"/>
    <mergeCell ref="G3313:H3313"/>
    <mergeCell ref="M3293:P3294"/>
    <mergeCell ref="L3307:L3308"/>
    <mergeCell ref="K3295:K3296"/>
    <mergeCell ref="J3293:J3294"/>
    <mergeCell ref="K3293:K3294"/>
    <mergeCell ref="A3281:A3282"/>
    <mergeCell ref="A3286:A3287"/>
    <mergeCell ref="B3286:G3287"/>
    <mergeCell ref="H3286:H3287"/>
    <mergeCell ref="M3054:P3055"/>
    <mergeCell ref="A3256:A3257"/>
    <mergeCell ref="B3256:G3256"/>
    <mergeCell ref="J3256:J3257"/>
    <mergeCell ref="K3256:K3257"/>
    <mergeCell ref="I3256:I3257"/>
    <mergeCell ref="A3274:F3274"/>
    <mergeCell ref="A3279:A3280"/>
    <mergeCell ref="K3279:K3280"/>
    <mergeCell ref="M2268:P2269"/>
    <mergeCell ref="A3302:A3303"/>
    <mergeCell ref="B3302:G3303"/>
    <mergeCell ref="H3302:H3303"/>
    <mergeCell ref="I3302:I3303"/>
    <mergeCell ref="K3300:K3301"/>
    <mergeCell ref="B3281:G3282"/>
    <mergeCell ref="H3281:H3282"/>
    <mergeCell ref="M2606:P2606"/>
    <mergeCell ref="M2133:P2133"/>
    <mergeCell ref="M1945:N1945"/>
    <mergeCell ref="M1996:N1996"/>
    <mergeCell ref="M2045:P2045"/>
    <mergeCell ref="M2085:P2086"/>
    <mergeCell ref="M2083:P2084"/>
    <mergeCell ref="M2075:P2075"/>
    <mergeCell ref="M1980:P1980"/>
    <mergeCell ref="K2044:P2044"/>
    <mergeCell ref="G2396:H2396"/>
    <mergeCell ref="M2353:N2353"/>
    <mergeCell ref="M2388:P2388"/>
    <mergeCell ref="I2389:I2390"/>
    <mergeCell ref="M2389:P2390"/>
    <mergeCell ref="M2557:N2557"/>
    <mergeCell ref="M2504:P2504"/>
    <mergeCell ref="M2170:P2170"/>
    <mergeCell ref="L2185:L2186"/>
    <mergeCell ref="L2187:L2188"/>
    <mergeCell ref="J2187:J2188"/>
    <mergeCell ref="A2266:A2267"/>
    <mergeCell ref="B2266:G2267"/>
    <mergeCell ref="H2266:H2267"/>
    <mergeCell ref="M2259:P2260"/>
    <mergeCell ref="M2266:P2267"/>
    <mergeCell ref="L2261:L2262"/>
    <mergeCell ref="M2261:P2262"/>
    <mergeCell ref="A2261:A2262"/>
    <mergeCell ref="B2261:G2262"/>
    <mergeCell ref="H2261:H2262"/>
    <mergeCell ref="I2261:I2262"/>
    <mergeCell ref="I2266:I2267"/>
    <mergeCell ref="B2265:G2265"/>
    <mergeCell ref="M2272:P2272"/>
    <mergeCell ref="J2273:J2274"/>
    <mergeCell ref="K2273:K2274"/>
    <mergeCell ref="A2268:A2269"/>
    <mergeCell ref="B2268:G2269"/>
    <mergeCell ref="L2588:L2589"/>
    <mergeCell ref="M2588:P2589"/>
    <mergeCell ref="J2588:J2589"/>
    <mergeCell ref="L2593:L2594"/>
    <mergeCell ref="K2593:K2594"/>
    <mergeCell ref="J2266:J2267"/>
    <mergeCell ref="F2604:I2604"/>
    <mergeCell ref="K2605:P2605"/>
    <mergeCell ref="H2595:H2596"/>
    <mergeCell ref="I2595:I2596"/>
    <mergeCell ref="J2593:J2594"/>
    <mergeCell ref="A2574:A2575"/>
    <mergeCell ref="B2574:G2575"/>
    <mergeCell ref="H2574:H2575"/>
    <mergeCell ref="I2574:I2575"/>
    <mergeCell ref="J2579:J2580"/>
    <mergeCell ref="B3329:G3329"/>
    <mergeCell ref="M3329:P3329"/>
    <mergeCell ref="J3330:J3331"/>
    <mergeCell ref="B3332:G3333"/>
    <mergeCell ref="H3332:H3333"/>
    <mergeCell ref="I3332:I3333"/>
    <mergeCell ref="J3332:J3333"/>
    <mergeCell ref="M3360:P3361"/>
    <mergeCell ref="M3358:P3359"/>
    <mergeCell ref="H3337:H3338"/>
    <mergeCell ref="I3337:I3338"/>
    <mergeCell ref="J3337:J3338"/>
    <mergeCell ref="K3337:K3338"/>
    <mergeCell ref="L3337:L3338"/>
    <mergeCell ref="M3353:P3354"/>
    <mergeCell ref="L3353:L3354"/>
    <mergeCell ref="L3360:L3361"/>
    <mergeCell ref="G3365:H3365"/>
    <mergeCell ref="I3365:J3365"/>
    <mergeCell ref="K3360:K3361"/>
    <mergeCell ref="B3359:G3359"/>
    <mergeCell ref="F3363:K3363"/>
    <mergeCell ref="G3364:H3364"/>
    <mergeCell ref="I3364:J3364"/>
    <mergeCell ref="L3302:L3303"/>
    <mergeCell ref="I3314:J3314"/>
    <mergeCell ref="K3302:K3303"/>
    <mergeCell ref="J3351:J3352"/>
    <mergeCell ref="A3346:A3347"/>
    <mergeCell ref="B3346:G3347"/>
    <mergeCell ref="H3346:H3347"/>
    <mergeCell ref="A3337:A3338"/>
    <mergeCell ref="K3330:K3331"/>
    <mergeCell ref="L3330:L3331"/>
    <mergeCell ref="A3325:F3325"/>
    <mergeCell ref="J3325:O3325"/>
    <mergeCell ref="G3314:H3314"/>
    <mergeCell ref="M3322:N3322"/>
    <mergeCell ref="A3307:A3308"/>
    <mergeCell ref="B3307:G3307"/>
    <mergeCell ref="H3307:H3308"/>
    <mergeCell ref="A3309:A3310"/>
    <mergeCell ref="H3309:H3310"/>
    <mergeCell ref="B3310:G3310"/>
    <mergeCell ref="B3309:G3309"/>
    <mergeCell ref="I3307:I3308"/>
    <mergeCell ref="B3308:G3308"/>
    <mergeCell ref="L3309:L3310"/>
    <mergeCell ref="M3307:P3308"/>
    <mergeCell ref="M3309:P3310"/>
    <mergeCell ref="A3327:P3327"/>
    <mergeCell ref="G3325:I3325"/>
    <mergeCell ref="M3320:P3320"/>
    <mergeCell ref="I3309:I3310"/>
    <mergeCell ref="M3336:P3336"/>
    <mergeCell ref="B3337:G3338"/>
    <mergeCell ref="M3350:P3350"/>
    <mergeCell ref="M3339:P3340"/>
    <mergeCell ref="B3343:G3343"/>
    <mergeCell ref="M3343:P3343"/>
    <mergeCell ref="A3339:A3340"/>
    <mergeCell ref="B3339:G3340"/>
    <mergeCell ref="B3357:G3357"/>
    <mergeCell ref="M3357:P3357"/>
    <mergeCell ref="L3346:L3347"/>
    <mergeCell ref="J3344:J3345"/>
    <mergeCell ref="M3344:P3345"/>
    <mergeCell ref="M3351:P3352"/>
    <mergeCell ref="M3346:P3347"/>
    <mergeCell ref="K3351:K3352"/>
    <mergeCell ref="L3358:L3359"/>
    <mergeCell ref="I3360:I3361"/>
    <mergeCell ref="J3360:J3361"/>
    <mergeCell ref="K3358:K3359"/>
    <mergeCell ref="J3353:J3354"/>
    <mergeCell ref="A3353:A3354"/>
    <mergeCell ref="B3353:G3354"/>
    <mergeCell ref="H3353:H3354"/>
    <mergeCell ref="I3353:I3354"/>
    <mergeCell ref="K3353:K3354"/>
    <mergeCell ref="A3360:A3361"/>
    <mergeCell ref="J3358:J3359"/>
    <mergeCell ref="B3360:G3360"/>
    <mergeCell ref="B3361:G3361"/>
    <mergeCell ref="A3358:A3359"/>
    <mergeCell ref="B3358:G3358"/>
    <mergeCell ref="H3358:H3359"/>
    <mergeCell ref="I3358:I3359"/>
    <mergeCell ref="H3360:H3361"/>
    <mergeCell ref="K3332:K3333"/>
    <mergeCell ref="L3332:L3333"/>
    <mergeCell ref="B3330:G3331"/>
    <mergeCell ref="H3330:H3331"/>
    <mergeCell ref="I3330:I3331"/>
    <mergeCell ref="A3330:A3331"/>
    <mergeCell ref="A3332:A3333"/>
    <mergeCell ref="M3330:P3331"/>
    <mergeCell ref="M3332:P3333"/>
    <mergeCell ref="M3337:P3338"/>
    <mergeCell ref="H3339:H3340"/>
    <mergeCell ref="I3339:I3340"/>
    <mergeCell ref="L3351:L3352"/>
    <mergeCell ref="J3339:J3340"/>
    <mergeCell ref="K3339:K3340"/>
    <mergeCell ref="L3339:L3340"/>
    <mergeCell ref="B3344:G3345"/>
    <mergeCell ref="H3344:H3345"/>
    <mergeCell ref="I3344:I3345"/>
    <mergeCell ref="B3336:G3336"/>
    <mergeCell ref="K3344:K3345"/>
    <mergeCell ref="J3346:J3347"/>
    <mergeCell ref="L3344:L3345"/>
    <mergeCell ref="A3344:A3345"/>
    <mergeCell ref="I3346:I3347"/>
    <mergeCell ref="K3346:K3347"/>
    <mergeCell ref="A3351:A3352"/>
    <mergeCell ref="B3351:G3352"/>
    <mergeCell ref="B3350:G3350"/>
    <mergeCell ref="H3351:H3352"/>
    <mergeCell ref="I3351:I3352"/>
    <mergeCell ref="M2249:P2249"/>
    <mergeCell ref="M2300:P2300"/>
    <mergeCell ref="M2351:P2351"/>
    <mergeCell ref="M2530:P2531"/>
    <mergeCell ref="M2708:P2708"/>
    <mergeCell ref="M2759:P2759"/>
    <mergeCell ref="B232:G232"/>
    <mergeCell ref="A233:A234"/>
    <mergeCell ref="S20:X21"/>
    <mergeCell ref="X16:Y16"/>
    <mergeCell ref="R16:W16"/>
    <mergeCell ref="M2914:N2914"/>
    <mergeCell ref="A2307:P2307"/>
    <mergeCell ref="M15:P16"/>
    <mergeCell ref="M17:P18"/>
    <mergeCell ref="M21:P21"/>
    <mergeCell ref="J45:J46"/>
    <mergeCell ref="K22:K23"/>
    <mergeCell ref="Y48:Y49"/>
    <mergeCell ref="Y101:Y102"/>
    <mergeCell ref="K117:K118"/>
    <mergeCell ref="H22:H23"/>
    <mergeCell ref="Z16:AE16"/>
    <mergeCell ref="S19:X19"/>
    <mergeCell ref="AD19:AF19"/>
    <mergeCell ref="AC20:AC21"/>
    <mergeCell ref="AB20:AB21"/>
    <mergeCell ref="AD20:AF21"/>
    <mergeCell ref="R1509:W1509"/>
    <mergeCell ref="X1509:Y1509"/>
    <mergeCell ref="R1527:R1528"/>
    <mergeCell ref="S1527:X1528"/>
    <mergeCell ref="R1768:R1769"/>
    <mergeCell ref="S1768:X1769"/>
    <mergeCell ref="Y1768:Y1769"/>
    <mergeCell ref="R1560:W1560"/>
    <mergeCell ref="X1560:Y1560"/>
    <mergeCell ref="Y1529:Y1530"/>
    <mergeCell ref="S1169:X1169"/>
    <mergeCell ref="R1305:W1305"/>
    <mergeCell ref="X1305:Y1305"/>
    <mergeCell ref="R1323:R1324"/>
    <mergeCell ref="S1323:X1324"/>
    <mergeCell ref="R1362:R1363"/>
    <mergeCell ref="S1362:X1363"/>
    <mergeCell ref="Y1362:Y1363"/>
    <mergeCell ref="R1203:W1203"/>
    <mergeCell ref="X1217:Y1217"/>
    <mergeCell ref="S1019:X1020"/>
    <mergeCell ref="Y1019:Y1020"/>
    <mergeCell ref="R1101:W1101"/>
    <mergeCell ref="X1101:Y1101"/>
    <mergeCell ref="R1119:R1120"/>
    <mergeCell ref="S1119:X1120"/>
    <mergeCell ref="R1056:R1057"/>
    <mergeCell ref="S1056:X1057"/>
    <mergeCell ref="Y1056:Y1057"/>
    <mergeCell ref="X1036:Y1036"/>
    <mergeCell ref="R952:R953"/>
    <mergeCell ref="R30:W30"/>
    <mergeCell ref="R34:R35"/>
    <mergeCell ref="S34:X35"/>
    <mergeCell ref="B233:G234"/>
    <mergeCell ref="M232:P232"/>
    <mergeCell ref="M321:P322"/>
    <mergeCell ref="AD22:AF23"/>
    <mergeCell ref="H1976:H1977"/>
    <mergeCell ref="Y22:Y23"/>
    <mergeCell ref="AB22:AB23"/>
    <mergeCell ref="Y34:Y35"/>
    <mergeCell ref="X30:Y30"/>
    <mergeCell ref="I916:J916"/>
    <mergeCell ref="AA48:AA49"/>
    <mergeCell ref="Y20:Y21"/>
    <mergeCell ref="AA20:AA21"/>
    <mergeCell ref="Z20:Z21"/>
    <mergeCell ref="S22:X23"/>
    <mergeCell ref="Z30:AE30"/>
    <mergeCell ref="AC22:AC23"/>
    <mergeCell ref="Y36:Y37"/>
    <mergeCell ref="Z34:Z35"/>
    <mergeCell ref="AD36:AF37"/>
    <mergeCell ref="AA34:AA35"/>
    <mergeCell ref="Z48:Z49"/>
    <mergeCell ref="AA22:AA23"/>
    <mergeCell ref="S71:X72"/>
    <mergeCell ref="Z22:Z23"/>
    <mergeCell ref="R22:R23"/>
    <mergeCell ref="R73:R74"/>
    <mergeCell ref="AA85:AA86"/>
    <mergeCell ref="S968:X969"/>
    <mergeCell ref="Y968:Y969"/>
    <mergeCell ref="X962:Y962"/>
    <mergeCell ref="R20:R21"/>
    <mergeCell ref="B96:G96"/>
    <mergeCell ref="R656:W656"/>
    <mergeCell ref="S710:X710"/>
    <mergeCell ref="R897:W897"/>
    <mergeCell ref="X897:Y897"/>
    <mergeCell ref="H38:H39"/>
    <mergeCell ref="R99:R100"/>
    <mergeCell ref="X118:Y118"/>
    <mergeCell ref="R118:W118"/>
    <mergeCell ref="G1897:I1897"/>
    <mergeCell ref="M923:P923"/>
    <mergeCell ref="M1966:P1966"/>
    <mergeCell ref="H1969:H1970"/>
    <mergeCell ref="I1969:I1970"/>
    <mergeCell ref="J1962:J1963"/>
    <mergeCell ref="AB48:AB49"/>
    <mergeCell ref="AC50:AC51"/>
    <mergeCell ref="AC101:AC102"/>
    <mergeCell ref="K1962:K1963"/>
    <mergeCell ref="L1962:L1963"/>
    <mergeCell ref="M1962:P1963"/>
    <mergeCell ref="AA1937:AA1938"/>
    <mergeCell ref="S1937:X1938"/>
    <mergeCell ref="Z1937:Z1938"/>
    <mergeCell ref="AB1937:AB1938"/>
    <mergeCell ref="M1943:P1943"/>
    <mergeCell ref="G1937:H1937"/>
    <mergeCell ref="I1937:J1937"/>
    <mergeCell ref="L1953:L1954"/>
    <mergeCell ref="J1953:J1954"/>
    <mergeCell ref="K1953:K1954"/>
    <mergeCell ref="A1950:P1950"/>
    <mergeCell ref="AC71:AC72"/>
    <mergeCell ref="AD73:AF74"/>
    <mergeCell ref="R101:R102"/>
    <mergeCell ref="S101:X102"/>
    <mergeCell ref="Z118:AE118"/>
    <mergeCell ref="Z101:Z102"/>
    <mergeCell ref="AA101:AA102"/>
    <mergeCell ref="AD101:AF102"/>
    <mergeCell ref="AB101:AB102"/>
    <mergeCell ref="S121:X121"/>
    <mergeCell ref="AD121:AF121"/>
    <mergeCell ref="AC122:AC123"/>
    <mergeCell ref="AD122:AF123"/>
    <mergeCell ref="AB124:AB125"/>
    <mergeCell ref="AC124:AC125"/>
    <mergeCell ref="AD124:AF125"/>
    <mergeCell ref="AA122:AA123"/>
    <mergeCell ref="AB122:AB123"/>
    <mergeCell ref="AD34:AF35"/>
    <mergeCell ref="X44:Y44"/>
    <mergeCell ref="R44:W44"/>
    <mergeCell ref="R36:R37"/>
    <mergeCell ref="S36:X37"/>
    <mergeCell ref="S70:X70"/>
    <mergeCell ref="R50:R51"/>
    <mergeCell ref="S50:X51"/>
    <mergeCell ref="Y50:Y51"/>
    <mergeCell ref="AA36:AA37"/>
    <mergeCell ref="S48:X49"/>
    <mergeCell ref="AA50:AA51"/>
    <mergeCell ref="AD47:AF47"/>
    <mergeCell ref="AD48:AF49"/>
    <mergeCell ref="R71:R72"/>
    <mergeCell ref="R67:W67"/>
    <mergeCell ref="X67:Y67"/>
    <mergeCell ref="Z67:AE67"/>
    <mergeCell ref="AD70:AF70"/>
    <mergeCell ref="AD71:AF72"/>
    <mergeCell ref="AD50:AF51"/>
    <mergeCell ref="S47:X47"/>
    <mergeCell ref="AA124:AA125"/>
    <mergeCell ref="AC85:AC86"/>
    <mergeCell ref="S124:X125"/>
    <mergeCell ref="AC36:AC37"/>
    <mergeCell ref="AC48:AC49"/>
    <mergeCell ref="AC34:AC35"/>
    <mergeCell ref="R48:R49"/>
    <mergeCell ref="AB34:AB35"/>
    <mergeCell ref="AB71:AB72"/>
    <mergeCell ref="Z36:Z37"/>
    <mergeCell ref="Y71:Y72"/>
    <mergeCell ref="AB50:AB51"/>
    <mergeCell ref="Z71:Z72"/>
    <mergeCell ref="AA71:AA72"/>
    <mergeCell ref="Z44:AE44"/>
    <mergeCell ref="Z50:Z51"/>
    <mergeCell ref="AB36:AB37"/>
    <mergeCell ref="Z122:Z123"/>
    <mergeCell ref="Y124:Y125"/>
    <mergeCell ref="Z124:Z125"/>
    <mergeCell ref="R124:R125"/>
    <mergeCell ref="AD173:AF174"/>
    <mergeCell ref="AB152:AB153"/>
    <mergeCell ref="AB173:AB174"/>
    <mergeCell ref="AC173:AC174"/>
    <mergeCell ref="Z169:AE169"/>
    <mergeCell ref="AD172:AF172"/>
    <mergeCell ref="AC152:AC153"/>
    <mergeCell ref="AA173:AA174"/>
    <mergeCell ref="Y99:Y100"/>
    <mergeCell ref="Z99:Z100"/>
    <mergeCell ref="AD98:AF98"/>
    <mergeCell ref="AA99:AA100"/>
    <mergeCell ref="AC99:AC100"/>
    <mergeCell ref="S98:X98"/>
    <mergeCell ref="S99:X100"/>
    <mergeCell ref="X95:Y95"/>
    <mergeCell ref="AD85:AF86"/>
    <mergeCell ref="AD87:AF88"/>
    <mergeCell ref="S85:X86"/>
    <mergeCell ref="Y85:Y86"/>
    <mergeCell ref="Z85:Z86"/>
    <mergeCell ref="AC87:AC88"/>
    <mergeCell ref="Y87:Y88"/>
    <mergeCell ref="AB85:AB86"/>
    <mergeCell ref="R95:W95"/>
    <mergeCell ref="R81:W81"/>
    <mergeCell ref="AA87:AA88"/>
    <mergeCell ref="AB87:AB88"/>
    <mergeCell ref="S87:X88"/>
    <mergeCell ref="AC73:AC74"/>
    <mergeCell ref="Z73:Z74"/>
    <mergeCell ref="Z87:Z88"/>
    <mergeCell ref="R87:R88"/>
    <mergeCell ref="R85:R86"/>
    <mergeCell ref="R122:R123"/>
    <mergeCell ref="S122:X123"/>
    <mergeCell ref="Y122:Y123"/>
    <mergeCell ref="AB73:AB74"/>
    <mergeCell ref="AA73:AA74"/>
    <mergeCell ref="Y73:Y74"/>
    <mergeCell ref="X81:Y81"/>
    <mergeCell ref="Z81:AE81"/>
    <mergeCell ref="S73:X74"/>
    <mergeCell ref="AB99:AB100"/>
    <mergeCell ref="Z95:AE95"/>
    <mergeCell ref="AD99:AF100"/>
    <mergeCell ref="R169:W169"/>
    <mergeCell ref="X169:Y169"/>
    <mergeCell ref="S172:X172"/>
    <mergeCell ref="R173:R174"/>
    <mergeCell ref="S173:X174"/>
    <mergeCell ref="Y173:Y174"/>
    <mergeCell ref="Z173:Z174"/>
    <mergeCell ref="Z132:AE132"/>
    <mergeCell ref="AD136:AF137"/>
    <mergeCell ref="AB136:AB137"/>
    <mergeCell ref="S149:X149"/>
    <mergeCell ref="AD149:AF149"/>
    <mergeCell ref="S138:X139"/>
    <mergeCell ref="R150:R151"/>
    <mergeCell ref="S150:X151"/>
    <mergeCell ref="AA136:AA137"/>
    <mergeCell ref="R138:R139"/>
    <mergeCell ref="AB138:AB139"/>
    <mergeCell ref="AC150:AC151"/>
    <mergeCell ref="AA150:AA151"/>
    <mergeCell ref="AB150:AB151"/>
    <mergeCell ref="AC138:AC139"/>
    <mergeCell ref="Y138:Y139"/>
    <mergeCell ref="Z138:Z139"/>
    <mergeCell ref="Y150:Y151"/>
    <mergeCell ref="AD138:AF139"/>
    <mergeCell ref="AA138:AA139"/>
    <mergeCell ref="R152:R153"/>
    <mergeCell ref="S152:X153"/>
    <mergeCell ref="Y152:Y153"/>
    <mergeCell ref="Z152:Z153"/>
    <mergeCell ref="AA152:AA153"/>
    <mergeCell ref="AD150:AF151"/>
    <mergeCell ref="R136:R137"/>
    <mergeCell ref="S136:X137"/>
    <mergeCell ref="Y136:Y137"/>
    <mergeCell ref="Z136:Z137"/>
    <mergeCell ref="X146:Y146"/>
    <mergeCell ref="AD152:AF153"/>
    <mergeCell ref="AC136:AC137"/>
    <mergeCell ref="R146:W146"/>
    <mergeCell ref="Z150:Z151"/>
    <mergeCell ref="Z146:AE146"/>
    <mergeCell ref="AD175:AF176"/>
    <mergeCell ref="AB240:AB241"/>
    <mergeCell ref="AC240:AC241"/>
    <mergeCell ref="AD240:AF241"/>
    <mergeCell ref="AA240:AA241"/>
    <mergeCell ref="AA252:AA253"/>
    <mergeCell ref="AB252:AB253"/>
    <mergeCell ref="AA226:AA227"/>
    <mergeCell ref="AB226:AB227"/>
    <mergeCell ref="AD224:AF225"/>
    <mergeCell ref="Z187:Z188"/>
    <mergeCell ref="AA187:AA188"/>
    <mergeCell ref="AB187:AB188"/>
    <mergeCell ref="AC187:AC188"/>
    <mergeCell ref="AA175:AA176"/>
    <mergeCell ref="AB175:AB176"/>
    <mergeCell ref="AC175:AC176"/>
    <mergeCell ref="R175:R176"/>
    <mergeCell ref="S175:X176"/>
    <mergeCell ref="Y175:Y176"/>
    <mergeCell ref="Z175:Z176"/>
    <mergeCell ref="S200:X200"/>
    <mergeCell ref="AD200:AF200"/>
    <mergeCell ref="R183:W183"/>
    <mergeCell ref="X183:Y183"/>
    <mergeCell ref="Z183:AE183"/>
    <mergeCell ref="R187:R188"/>
    <mergeCell ref="S187:X188"/>
    <mergeCell ref="Y187:Y188"/>
    <mergeCell ref="AD187:AF188"/>
    <mergeCell ref="AA189:AA190"/>
    <mergeCell ref="R197:W197"/>
    <mergeCell ref="X197:Y197"/>
    <mergeCell ref="Z197:AE197"/>
    <mergeCell ref="AB189:AB190"/>
    <mergeCell ref="AC189:AC190"/>
    <mergeCell ref="AD189:AF190"/>
    <mergeCell ref="R189:R190"/>
    <mergeCell ref="S189:X190"/>
    <mergeCell ref="Y189:Y190"/>
    <mergeCell ref="Z189:Z190"/>
    <mergeCell ref="AD203:AF204"/>
    <mergeCell ref="R201:R202"/>
    <mergeCell ref="S201:X202"/>
    <mergeCell ref="Y201:Y202"/>
    <mergeCell ref="Z201:Z202"/>
    <mergeCell ref="AA201:AA202"/>
    <mergeCell ref="AB201:AB202"/>
    <mergeCell ref="AC201:AC202"/>
    <mergeCell ref="AD201:AF202"/>
    <mergeCell ref="AA203:AA204"/>
    <mergeCell ref="AB203:AB204"/>
    <mergeCell ref="AC203:AC204"/>
    <mergeCell ref="S223:X223"/>
    <mergeCell ref="AD223:AF223"/>
    <mergeCell ref="R226:R227"/>
    <mergeCell ref="S226:X227"/>
    <mergeCell ref="AC224:AC225"/>
    <mergeCell ref="R224:R225"/>
    <mergeCell ref="S224:X225"/>
    <mergeCell ref="Y224:Y225"/>
    <mergeCell ref="Z224:Z225"/>
    <mergeCell ref="AC226:AC227"/>
    <mergeCell ref="AA224:AA225"/>
    <mergeCell ref="AB224:AB225"/>
    <mergeCell ref="AD226:AF227"/>
    <mergeCell ref="R203:R204"/>
    <mergeCell ref="S203:X204"/>
    <mergeCell ref="Y203:Y204"/>
    <mergeCell ref="Z203:Z204"/>
    <mergeCell ref="R220:W220"/>
    <mergeCell ref="X220:Y220"/>
    <mergeCell ref="Z220:AE220"/>
    <mergeCell ref="Y226:Y227"/>
    <mergeCell ref="Z226:Z227"/>
    <mergeCell ref="Z234:AE234"/>
    <mergeCell ref="R238:R239"/>
    <mergeCell ref="S238:X239"/>
    <mergeCell ref="AA238:AA239"/>
    <mergeCell ref="AB238:AB239"/>
    <mergeCell ref="AC238:AC239"/>
    <mergeCell ref="AD238:AF239"/>
    <mergeCell ref="Z240:Z241"/>
    <mergeCell ref="Y238:Y239"/>
    <mergeCell ref="R248:W248"/>
    <mergeCell ref="X248:Y248"/>
    <mergeCell ref="Z238:Z239"/>
    <mergeCell ref="R240:R241"/>
    <mergeCell ref="S240:X241"/>
    <mergeCell ref="Y240:Y241"/>
    <mergeCell ref="S251:X251"/>
    <mergeCell ref="Z248:AE248"/>
    <mergeCell ref="AD251:AF251"/>
    <mergeCell ref="AC252:AC253"/>
    <mergeCell ref="AD252:AF253"/>
    <mergeCell ref="R254:R255"/>
    <mergeCell ref="S254:X255"/>
    <mergeCell ref="Y254:Y255"/>
    <mergeCell ref="Z254:Z255"/>
    <mergeCell ref="R252:R253"/>
    <mergeCell ref="S252:X253"/>
    <mergeCell ref="Y252:Y253"/>
    <mergeCell ref="Z252:Z253"/>
    <mergeCell ref="AA289:AA290"/>
    <mergeCell ref="AC277:AC278"/>
    <mergeCell ref="AD277:AF278"/>
    <mergeCell ref="AC254:AC255"/>
    <mergeCell ref="AD254:AF255"/>
    <mergeCell ref="AA275:AA276"/>
    <mergeCell ref="AB275:AB276"/>
    <mergeCell ref="AC289:AC290"/>
    <mergeCell ref="Y277:Y278"/>
    <mergeCell ref="R277:R278"/>
    <mergeCell ref="R275:R276"/>
    <mergeCell ref="S275:X276"/>
    <mergeCell ref="Y275:Y276"/>
    <mergeCell ref="R271:W271"/>
    <mergeCell ref="X271:Y271"/>
    <mergeCell ref="R322:W322"/>
    <mergeCell ref="X322:Y322"/>
    <mergeCell ref="R326:R327"/>
    <mergeCell ref="Y342:Y343"/>
    <mergeCell ref="S325:X325"/>
    <mergeCell ref="Y326:Y327"/>
    <mergeCell ref="Z342:Z343"/>
    <mergeCell ref="R342:R343"/>
    <mergeCell ref="S342:X343"/>
    <mergeCell ref="AA342:AA343"/>
    <mergeCell ref="AC342:AC343"/>
    <mergeCell ref="AD342:AF343"/>
    <mergeCell ref="R291:R292"/>
    <mergeCell ref="S291:X292"/>
    <mergeCell ref="Y291:Y292"/>
    <mergeCell ref="Z285:AE285"/>
    <mergeCell ref="R289:R290"/>
    <mergeCell ref="AB289:AB290"/>
    <mergeCell ref="AD289:AF290"/>
    <mergeCell ref="AD274:AF274"/>
    <mergeCell ref="S277:X278"/>
    <mergeCell ref="AA254:AA255"/>
    <mergeCell ref="AB254:AB255"/>
    <mergeCell ref="Z271:AE271"/>
    <mergeCell ref="AA277:AA278"/>
    <mergeCell ref="Z277:Z278"/>
    <mergeCell ref="AB277:AB278"/>
    <mergeCell ref="AC275:AC276"/>
    <mergeCell ref="AD275:AF276"/>
    <mergeCell ref="S303:X304"/>
    <mergeCell ref="Y303:Y304"/>
    <mergeCell ref="S289:X290"/>
    <mergeCell ref="R285:W285"/>
    <mergeCell ref="Y289:Y290"/>
    <mergeCell ref="Z289:Z290"/>
    <mergeCell ref="AC303:AC304"/>
    <mergeCell ref="Z303:Z304"/>
    <mergeCell ref="S305:X306"/>
    <mergeCell ref="Y305:Y306"/>
    <mergeCell ref="X285:Y285"/>
    <mergeCell ref="R299:W299"/>
    <mergeCell ref="X299:Y299"/>
    <mergeCell ref="S302:X302"/>
    <mergeCell ref="R305:R306"/>
    <mergeCell ref="R303:R304"/>
    <mergeCell ref="AB291:AB292"/>
    <mergeCell ref="Z291:Z292"/>
    <mergeCell ref="Z401:AE401"/>
    <mergeCell ref="S404:X404"/>
    <mergeCell ref="AD404:AF404"/>
    <mergeCell ref="AC393:AC394"/>
    <mergeCell ref="AA393:AA394"/>
    <mergeCell ref="AB393:AB394"/>
    <mergeCell ref="AD393:AF394"/>
    <mergeCell ref="AA428:AA429"/>
    <mergeCell ref="AA405:AA406"/>
    <mergeCell ref="AC407:AC408"/>
    <mergeCell ref="Z424:AE424"/>
    <mergeCell ref="AA407:AA408"/>
    <mergeCell ref="AB407:AB408"/>
    <mergeCell ref="Z405:Z406"/>
    <mergeCell ref="Z393:Z394"/>
    <mergeCell ref="Z442:Z443"/>
    <mergeCell ref="AA377:AA378"/>
    <mergeCell ref="Y377:Y378"/>
    <mergeCell ref="R373:W373"/>
    <mergeCell ref="Z322:AE322"/>
    <mergeCell ref="AA303:AA304"/>
    <mergeCell ref="AB303:AB304"/>
    <mergeCell ref="AB326:AB327"/>
    <mergeCell ref="AA326:AA327"/>
    <mergeCell ref="AA305:AA306"/>
    <mergeCell ref="AB305:AB306"/>
    <mergeCell ref="Z305:Z306"/>
    <mergeCell ref="Z275:Z276"/>
    <mergeCell ref="S274:X274"/>
    <mergeCell ref="AD303:AF304"/>
    <mergeCell ref="AC291:AC292"/>
    <mergeCell ref="AD291:AF292"/>
    <mergeCell ref="AD305:AF306"/>
    <mergeCell ref="AC305:AC306"/>
    <mergeCell ref="Z299:AE299"/>
    <mergeCell ref="AD302:AF302"/>
    <mergeCell ref="AA291:AA292"/>
    <mergeCell ref="AC340:AC341"/>
    <mergeCell ref="AD340:AF341"/>
    <mergeCell ref="AC328:AC329"/>
    <mergeCell ref="AB342:AB343"/>
    <mergeCell ref="AD328:AF329"/>
    <mergeCell ref="AB328:AB329"/>
    <mergeCell ref="Z326:Z327"/>
    <mergeCell ref="R336:W336"/>
    <mergeCell ref="X336:Y336"/>
    <mergeCell ref="Z336:AE336"/>
    <mergeCell ref="R328:R329"/>
    <mergeCell ref="S328:X329"/>
    <mergeCell ref="Y328:Y329"/>
    <mergeCell ref="Z328:Z329"/>
    <mergeCell ref="AA328:AA329"/>
    <mergeCell ref="AD325:AF325"/>
    <mergeCell ref="AC326:AC327"/>
    <mergeCell ref="AD326:AF327"/>
    <mergeCell ref="R340:R341"/>
    <mergeCell ref="S340:X341"/>
    <mergeCell ref="Y340:Y341"/>
    <mergeCell ref="Z340:Z341"/>
    <mergeCell ref="AA340:AA341"/>
    <mergeCell ref="AB340:AB341"/>
    <mergeCell ref="S326:X327"/>
    <mergeCell ref="Z387:AE387"/>
    <mergeCell ref="R379:R380"/>
    <mergeCell ref="AA379:AA380"/>
    <mergeCell ref="AB379:AB380"/>
    <mergeCell ref="Z379:Z380"/>
    <mergeCell ref="AD356:AF357"/>
    <mergeCell ref="AB377:AB378"/>
    <mergeCell ref="R356:R357"/>
    <mergeCell ref="S356:X357"/>
    <mergeCell ref="Y356:Y357"/>
    <mergeCell ref="AB356:AB357"/>
    <mergeCell ref="AC356:AC357"/>
    <mergeCell ref="AA356:AA357"/>
    <mergeCell ref="Z356:Z357"/>
    <mergeCell ref="S377:X378"/>
    <mergeCell ref="AA391:AA392"/>
    <mergeCell ref="AB391:AB392"/>
    <mergeCell ref="AC377:AC378"/>
    <mergeCell ref="AD377:AF378"/>
    <mergeCell ref="AC391:AC392"/>
    <mergeCell ref="AD391:AF392"/>
    <mergeCell ref="AC379:AC380"/>
    <mergeCell ref="AD379:AF380"/>
    <mergeCell ref="R391:R392"/>
    <mergeCell ref="S391:X392"/>
    <mergeCell ref="Y391:Y392"/>
    <mergeCell ref="Z391:Z392"/>
    <mergeCell ref="R393:R394"/>
    <mergeCell ref="S393:X394"/>
    <mergeCell ref="Y393:Y394"/>
    <mergeCell ref="S376:X376"/>
    <mergeCell ref="Z373:AE373"/>
    <mergeCell ref="Z377:Z378"/>
    <mergeCell ref="AD376:AF376"/>
    <mergeCell ref="R377:R378"/>
    <mergeCell ref="Y379:Y380"/>
    <mergeCell ref="S379:X380"/>
    <mergeCell ref="X452:Y452"/>
    <mergeCell ref="Z452:AE452"/>
    <mergeCell ref="S455:X455"/>
    <mergeCell ref="AD455:AF455"/>
    <mergeCell ref="AA456:AA457"/>
    <mergeCell ref="S444:X445"/>
    <mergeCell ref="Y444:Y445"/>
    <mergeCell ref="Z444:Z445"/>
    <mergeCell ref="AB458:AB459"/>
    <mergeCell ref="AC458:AC459"/>
    <mergeCell ref="Y458:Y459"/>
    <mergeCell ref="Y456:Y457"/>
    <mergeCell ref="Z456:Z457"/>
    <mergeCell ref="AC444:AC445"/>
    <mergeCell ref="AD444:AF445"/>
    <mergeCell ref="AB444:AB445"/>
    <mergeCell ref="AD456:AF457"/>
    <mergeCell ref="AB456:AB457"/>
    <mergeCell ref="AC456:AC457"/>
    <mergeCell ref="R452:W452"/>
    <mergeCell ref="S456:X457"/>
    <mergeCell ref="R444:R445"/>
    <mergeCell ref="R407:R408"/>
    <mergeCell ref="S407:X408"/>
    <mergeCell ref="Y407:Y408"/>
    <mergeCell ref="R405:R406"/>
    <mergeCell ref="AC405:AC406"/>
    <mergeCell ref="AD407:AF408"/>
    <mergeCell ref="S405:X406"/>
    <mergeCell ref="Y405:Y406"/>
    <mergeCell ref="AB405:AB406"/>
    <mergeCell ref="Z407:Z408"/>
    <mergeCell ref="S427:X427"/>
    <mergeCell ref="AD427:AF427"/>
    <mergeCell ref="AB428:AB429"/>
    <mergeCell ref="AC428:AC429"/>
    <mergeCell ref="R424:W424"/>
    <mergeCell ref="AD428:AF429"/>
    <mergeCell ref="Z428:Z429"/>
    <mergeCell ref="X424:Y424"/>
    <mergeCell ref="Y428:Y429"/>
    <mergeCell ref="R438:W438"/>
    <mergeCell ref="X438:Y438"/>
    <mergeCell ref="Z438:AE438"/>
    <mergeCell ref="AA442:AA443"/>
    <mergeCell ref="AB442:AB443"/>
    <mergeCell ref="AC442:AC443"/>
    <mergeCell ref="AD442:AF443"/>
    <mergeCell ref="R442:R443"/>
    <mergeCell ref="S442:X443"/>
    <mergeCell ref="Y442:Y443"/>
    <mergeCell ref="R428:R429"/>
    <mergeCell ref="S428:X429"/>
    <mergeCell ref="Y430:Y431"/>
    <mergeCell ref="AA430:AA431"/>
    <mergeCell ref="AD430:AF431"/>
    <mergeCell ref="AA444:AA445"/>
    <mergeCell ref="Z430:Z431"/>
    <mergeCell ref="AB430:AB431"/>
    <mergeCell ref="AC430:AC431"/>
    <mergeCell ref="AD405:AF406"/>
    <mergeCell ref="R430:R431"/>
    <mergeCell ref="S430:X431"/>
    <mergeCell ref="Z546:Z547"/>
    <mergeCell ref="AA544:AA545"/>
    <mergeCell ref="AC546:AC547"/>
    <mergeCell ref="AD546:AF547"/>
    <mergeCell ref="AA546:AA547"/>
    <mergeCell ref="AB546:AB547"/>
    <mergeCell ref="AD544:AF545"/>
    <mergeCell ref="Z481:Z482"/>
    <mergeCell ref="S479:X480"/>
    <mergeCell ref="AB481:AB482"/>
    <mergeCell ref="AB479:AB480"/>
    <mergeCell ref="Z479:Z480"/>
    <mergeCell ref="Z540:AE540"/>
    <mergeCell ref="AB532:AB533"/>
    <mergeCell ref="Y507:Y508"/>
    <mergeCell ref="AC509:AC510"/>
    <mergeCell ref="AC532:AC533"/>
    <mergeCell ref="AC481:AC482"/>
    <mergeCell ref="AC479:AC480"/>
    <mergeCell ref="AA458:AA459"/>
    <mergeCell ref="AA479:AA480"/>
    <mergeCell ref="AA481:AA482"/>
    <mergeCell ref="Z475:AE475"/>
    <mergeCell ref="AD479:AF480"/>
    <mergeCell ref="AD478:AF478"/>
    <mergeCell ref="AD458:AF459"/>
    <mergeCell ref="Z458:Z459"/>
    <mergeCell ref="Z493:Z494"/>
    <mergeCell ref="AA493:AA494"/>
    <mergeCell ref="AD495:AF496"/>
    <mergeCell ref="R489:W489"/>
    <mergeCell ref="X489:Y489"/>
    <mergeCell ref="R495:R496"/>
    <mergeCell ref="Z489:AE489"/>
    <mergeCell ref="R493:R494"/>
    <mergeCell ref="S493:X494"/>
    <mergeCell ref="Y493:Y494"/>
    <mergeCell ref="AD493:AF494"/>
    <mergeCell ref="AC493:AC494"/>
    <mergeCell ref="AB493:AB494"/>
    <mergeCell ref="AA495:AA496"/>
    <mergeCell ref="AB495:AB496"/>
    <mergeCell ref="AD506:AF506"/>
    <mergeCell ref="AC495:AC496"/>
    <mergeCell ref="R503:W503"/>
    <mergeCell ref="X503:Y503"/>
    <mergeCell ref="Z503:AE503"/>
    <mergeCell ref="S506:X506"/>
    <mergeCell ref="S495:X496"/>
    <mergeCell ref="Y495:Y496"/>
    <mergeCell ref="Z495:Z496"/>
    <mergeCell ref="AD481:AF482"/>
    <mergeCell ref="Y530:Y531"/>
    <mergeCell ref="AC560:AC561"/>
    <mergeCell ref="AD560:AF561"/>
    <mergeCell ref="AA558:AA559"/>
    <mergeCell ref="AB558:AB559"/>
    <mergeCell ref="AC558:AC559"/>
    <mergeCell ref="AD558:AF559"/>
    <mergeCell ref="AA560:AA561"/>
    <mergeCell ref="AB560:AB561"/>
    <mergeCell ref="R558:R559"/>
    <mergeCell ref="S558:X559"/>
    <mergeCell ref="Y558:Y559"/>
    <mergeCell ref="Z558:Z559"/>
    <mergeCell ref="R560:R561"/>
    <mergeCell ref="S560:X561"/>
    <mergeCell ref="Y560:Y561"/>
    <mergeCell ref="Z560:Z561"/>
    <mergeCell ref="Z577:AE577"/>
    <mergeCell ref="S580:X580"/>
    <mergeCell ref="AD580:AF580"/>
    <mergeCell ref="R583:R584"/>
    <mergeCell ref="S583:X584"/>
    <mergeCell ref="Y583:Y584"/>
    <mergeCell ref="Z583:Z584"/>
    <mergeCell ref="AA583:AA584"/>
    <mergeCell ref="AB583:AB584"/>
    <mergeCell ref="AC583:AC584"/>
    <mergeCell ref="R507:R508"/>
    <mergeCell ref="AD509:AF510"/>
    <mergeCell ref="AB509:AB510"/>
    <mergeCell ref="AD507:AF508"/>
    <mergeCell ref="S507:X508"/>
    <mergeCell ref="Z509:Z510"/>
    <mergeCell ref="AC507:AC508"/>
    <mergeCell ref="Z507:Z508"/>
    <mergeCell ref="AA507:AA508"/>
    <mergeCell ref="R509:R510"/>
    <mergeCell ref="S509:X510"/>
    <mergeCell ref="Y509:Y510"/>
    <mergeCell ref="Z532:Z533"/>
    <mergeCell ref="AA532:AA533"/>
    <mergeCell ref="X526:Y526"/>
    <mergeCell ref="S530:X531"/>
    <mergeCell ref="AA509:AA510"/>
    <mergeCell ref="AA530:AA531"/>
    <mergeCell ref="AB530:AB531"/>
    <mergeCell ref="Z530:Z531"/>
    <mergeCell ref="AD532:AF533"/>
    <mergeCell ref="AB507:AB508"/>
    <mergeCell ref="Z526:AE526"/>
    <mergeCell ref="AC530:AC531"/>
    <mergeCell ref="AD530:AF531"/>
    <mergeCell ref="AD529:AF529"/>
    <mergeCell ref="R544:R545"/>
    <mergeCell ref="S544:X545"/>
    <mergeCell ref="Y544:Y545"/>
    <mergeCell ref="Z544:Z545"/>
    <mergeCell ref="AB544:AB545"/>
    <mergeCell ref="AC544:AC545"/>
    <mergeCell ref="S557:X557"/>
    <mergeCell ref="AD557:AF557"/>
    <mergeCell ref="R554:W554"/>
    <mergeCell ref="X554:Y554"/>
    <mergeCell ref="Z554:AE554"/>
    <mergeCell ref="R546:R547"/>
    <mergeCell ref="S608:X608"/>
    <mergeCell ref="X656:Y656"/>
    <mergeCell ref="S659:X659"/>
    <mergeCell ref="Y632:Y633"/>
    <mergeCell ref="AD608:AF608"/>
    <mergeCell ref="S597:X598"/>
    <mergeCell ref="Y597:Y598"/>
    <mergeCell ref="Z597:Z598"/>
    <mergeCell ref="AA597:AA598"/>
    <mergeCell ref="AD597:AF598"/>
    <mergeCell ref="AC595:AC596"/>
    <mergeCell ref="AB597:AB598"/>
    <mergeCell ref="AC597:AC598"/>
    <mergeCell ref="R597:R598"/>
    <mergeCell ref="R605:W605"/>
    <mergeCell ref="X605:Y605"/>
    <mergeCell ref="Z605:AE605"/>
    <mergeCell ref="AC609:AC610"/>
    <mergeCell ref="AA611:AA612"/>
    <mergeCell ref="AB611:AB612"/>
    <mergeCell ref="AD609:AF610"/>
    <mergeCell ref="R609:R610"/>
    <mergeCell ref="S609:X610"/>
    <mergeCell ref="Y609:Y610"/>
    <mergeCell ref="Z609:Z610"/>
    <mergeCell ref="AA609:AA610"/>
    <mergeCell ref="AB609:AB610"/>
    <mergeCell ref="AC611:AC612"/>
    <mergeCell ref="AD611:AF612"/>
    <mergeCell ref="R634:R635"/>
    <mergeCell ref="S634:X635"/>
    <mergeCell ref="Y634:Y635"/>
    <mergeCell ref="Z634:Z635"/>
    <mergeCell ref="R628:W628"/>
    <mergeCell ref="X628:Y628"/>
    <mergeCell ref="Y611:Y612"/>
    <mergeCell ref="Z611:Z612"/>
    <mergeCell ref="AB711:AB712"/>
    <mergeCell ref="AC711:AC712"/>
    <mergeCell ref="AD711:AF712"/>
    <mergeCell ref="AB634:AB635"/>
    <mergeCell ref="AC634:AC635"/>
    <mergeCell ref="Z628:AE628"/>
    <mergeCell ref="AB632:AB633"/>
    <mergeCell ref="Z632:Z633"/>
    <mergeCell ref="AA632:AA633"/>
    <mergeCell ref="AD631:AF631"/>
    <mergeCell ref="AD632:AF633"/>
    <mergeCell ref="AC632:AC633"/>
    <mergeCell ref="AD659:AF659"/>
    <mergeCell ref="R642:W642"/>
    <mergeCell ref="X642:Y642"/>
    <mergeCell ref="Z642:AE642"/>
    <mergeCell ref="R646:R647"/>
    <mergeCell ref="S646:X647"/>
    <mergeCell ref="Y646:Y647"/>
    <mergeCell ref="AD646:AF647"/>
    <mergeCell ref="AA648:AA649"/>
    <mergeCell ref="Z646:Z647"/>
    <mergeCell ref="Z648:Z649"/>
    <mergeCell ref="Z656:AE656"/>
    <mergeCell ref="AB648:AB649"/>
    <mergeCell ref="AC648:AC649"/>
    <mergeCell ref="AD648:AF649"/>
    <mergeCell ref="AD634:AF635"/>
    <mergeCell ref="AA646:AA647"/>
    <mergeCell ref="AB646:AB647"/>
    <mergeCell ref="AC646:AC647"/>
    <mergeCell ref="AA634:AA635"/>
    <mergeCell ref="R660:R661"/>
    <mergeCell ref="S660:X661"/>
    <mergeCell ref="Y660:Y661"/>
    <mergeCell ref="Y662:Y663"/>
    <mergeCell ref="R648:R649"/>
    <mergeCell ref="S648:X649"/>
    <mergeCell ref="Y648:Y649"/>
    <mergeCell ref="S631:X631"/>
    <mergeCell ref="R632:R633"/>
    <mergeCell ref="R711:R712"/>
    <mergeCell ref="S711:X712"/>
    <mergeCell ref="S632:X633"/>
    <mergeCell ref="AD683:AF684"/>
    <mergeCell ref="AD682:AF682"/>
    <mergeCell ref="AC683:AC684"/>
    <mergeCell ref="Y683:Y684"/>
    <mergeCell ref="Z683:Z684"/>
    <mergeCell ref="AA683:AA684"/>
    <mergeCell ref="AD733:AF733"/>
    <mergeCell ref="S713:X714"/>
    <mergeCell ref="Y713:Y714"/>
    <mergeCell ref="Z713:Z714"/>
    <mergeCell ref="AB713:AB714"/>
    <mergeCell ref="AC713:AC714"/>
    <mergeCell ref="AB748:AB749"/>
    <mergeCell ref="AC748:AC749"/>
    <mergeCell ref="R730:W730"/>
    <mergeCell ref="X730:Y730"/>
    <mergeCell ref="AD736:AF737"/>
    <mergeCell ref="R736:R737"/>
    <mergeCell ref="S736:X737"/>
    <mergeCell ref="Y736:Y737"/>
    <mergeCell ref="Z736:Z737"/>
    <mergeCell ref="AC736:AC737"/>
    <mergeCell ref="AC750:AC751"/>
    <mergeCell ref="AD750:AF751"/>
    <mergeCell ref="R744:W744"/>
    <mergeCell ref="X744:Y744"/>
    <mergeCell ref="Z744:AE744"/>
    <mergeCell ref="R748:R749"/>
    <mergeCell ref="S748:X749"/>
    <mergeCell ref="Y748:Y749"/>
    <mergeCell ref="Z748:Z749"/>
    <mergeCell ref="AA748:AA749"/>
    <mergeCell ref="AA660:AA661"/>
    <mergeCell ref="R662:R663"/>
    <mergeCell ref="S662:X663"/>
    <mergeCell ref="AD748:AF749"/>
    <mergeCell ref="R750:R751"/>
    <mergeCell ref="S750:X751"/>
    <mergeCell ref="Y750:Y751"/>
    <mergeCell ref="Z750:Z751"/>
    <mergeCell ref="AA750:AA751"/>
    <mergeCell ref="AB750:AB751"/>
    <mergeCell ref="Z662:Z663"/>
    <mergeCell ref="X679:Y679"/>
    <mergeCell ref="X693:Y693"/>
    <mergeCell ref="Z693:AE693"/>
    <mergeCell ref="AA685:AA686"/>
    <mergeCell ref="AB685:AB686"/>
    <mergeCell ref="AC685:AC686"/>
    <mergeCell ref="Z685:Z686"/>
    <mergeCell ref="AD685:AF686"/>
    <mergeCell ref="S685:X686"/>
    <mergeCell ref="AB660:AB661"/>
    <mergeCell ref="AB683:AB684"/>
    <mergeCell ref="Z679:AE679"/>
    <mergeCell ref="AA662:AA663"/>
    <mergeCell ref="AB662:AB663"/>
    <mergeCell ref="AC662:AC663"/>
    <mergeCell ref="AD662:AF663"/>
    <mergeCell ref="AC660:AC661"/>
    <mergeCell ref="AD660:AF661"/>
    <mergeCell ref="Z660:Z661"/>
    <mergeCell ref="R693:W693"/>
    <mergeCell ref="AC697:AC698"/>
    <mergeCell ref="Y685:Y686"/>
    <mergeCell ref="R697:R698"/>
    <mergeCell ref="S697:X698"/>
    <mergeCell ref="AB699:AB700"/>
    <mergeCell ref="Z707:AE707"/>
    <mergeCell ref="Z711:Z712"/>
    <mergeCell ref="R785:R786"/>
    <mergeCell ref="R781:W781"/>
    <mergeCell ref="S785:X786"/>
    <mergeCell ref="AD762:AF763"/>
    <mergeCell ref="R762:R763"/>
    <mergeCell ref="Z787:Z788"/>
    <mergeCell ref="AA787:AA788"/>
    <mergeCell ref="AB787:AB788"/>
    <mergeCell ref="AC787:AC788"/>
    <mergeCell ref="R764:R765"/>
    <mergeCell ref="S764:X765"/>
    <mergeCell ref="Y764:Y765"/>
    <mergeCell ref="AD785:AF786"/>
    <mergeCell ref="AC785:AC786"/>
    <mergeCell ref="Y785:Y786"/>
    <mergeCell ref="Z785:Z786"/>
    <mergeCell ref="AA785:AA786"/>
    <mergeCell ref="AB785:AB786"/>
    <mergeCell ref="AD713:AF714"/>
    <mergeCell ref="AA736:AA737"/>
    <mergeCell ref="AB736:AB737"/>
    <mergeCell ref="Z781:AE781"/>
    <mergeCell ref="S784:X784"/>
    <mergeCell ref="AD784:AF784"/>
    <mergeCell ref="AC764:AC765"/>
    <mergeCell ref="AC762:AC763"/>
    <mergeCell ref="R758:W758"/>
    <mergeCell ref="X758:Y758"/>
    <mergeCell ref="AC734:AC735"/>
    <mergeCell ref="AD734:AF735"/>
    <mergeCell ref="AD812:AF812"/>
    <mergeCell ref="AD801:AF802"/>
    <mergeCell ref="R795:W795"/>
    <mergeCell ref="X795:Y795"/>
    <mergeCell ref="Z795:AE795"/>
    <mergeCell ref="Z801:Z802"/>
    <mergeCell ref="R809:W809"/>
    <mergeCell ref="X809:Y809"/>
    <mergeCell ref="Z809:AE809"/>
    <mergeCell ref="R801:R802"/>
    <mergeCell ref="S787:X788"/>
    <mergeCell ref="Y787:Y788"/>
    <mergeCell ref="AD787:AF788"/>
    <mergeCell ref="AD799:AF800"/>
    <mergeCell ref="Z799:Z800"/>
    <mergeCell ref="AA799:AA800"/>
    <mergeCell ref="AB799:AB800"/>
    <mergeCell ref="AC799:AC800"/>
    <mergeCell ref="S801:X802"/>
    <mergeCell ref="R799:R800"/>
    <mergeCell ref="S799:X800"/>
    <mergeCell ref="Y799:Y800"/>
    <mergeCell ref="AC801:AC802"/>
    <mergeCell ref="AA801:AA802"/>
    <mergeCell ref="AB801:AB802"/>
    <mergeCell ref="Y801:Y802"/>
    <mergeCell ref="R734:R735"/>
    <mergeCell ref="S734:X735"/>
    <mergeCell ref="Y734:Y735"/>
    <mergeCell ref="AB734:AB735"/>
    <mergeCell ref="Z734:Z735"/>
    <mergeCell ref="AA734:AA735"/>
    <mergeCell ref="Z758:AE758"/>
    <mergeCell ref="S761:X761"/>
    <mergeCell ref="R813:R814"/>
    <mergeCell ref="S813:X814"/>
    <mergeCell ref="Y813:Y814"/>
    <mergeCell ref="S812:X812"/>
    <mergeCell ref="R832:W832"/>
    <mergeCell ref="AD813:AF814"/>
    <mergeCell ref="AB813:AB814"/>
    <mergeCell ref="AC813:AC814"/>
    <mergeCell ref="S815:X816"/>
    <mergeCell ref="Y815:Y816"/>
    <mergeCell ref="Z813:Z814"/>
    <mergeCell ref="AB815:AB816"/>
    <mergeCell ref="AA813:AA814"/>
    <mergeCell ref="AA815:AA816"/>
    <mergeCell ref="Z815:Z816"/>
    <mergeCell ref="AC815:AC816"/>
    <mergeCell ref="Z832:AE832"/>
    <mergeCell ref="R787:R788"/>
    <mergeCell ref="Z846:AE846"/>
    <mergeCell ref="R838:R839"/>
    <mergeCell ref="AD838:AF839"/>
    <mergeCell ref="R846:W846"/>
    <mergeCell ref="X846:Y846"/>
    <mergeCell ref="AD815:AF816"/>
    <mergeCell ref="AB838:AB839"/>
    <mergeCell ref="AA836:AA837"/>
    <mergeCell ref="AA838:AA839"/>
    <mergeCell ref="AD836:AF837"/>
    <mergeCell ref="AC836:AC837"/>
    <mergeCell ref="AD835:AF835"/>
    <mergeCell ref="AB836:AB837"/>
    <mergeCell ref="R815:R816"/>
    <mergeCell ref="X832:Y832"/>
    <mergeCell ref="S835:X835"/>
    <mergeCell ref="S838:X839"/>
    <mergeCell ref="Y838:Y839"/>
    <mergeCell ref="R836:R837"/>
    <mergeCell ref="R850:R851"/>
    <mergeCell ref="S850:X851"/>
    <mergeCell ref="Y850:Y851"/>
    <mergeCell ref="S836:X837"/>
    <mergeCell ref="Y836:Y837"/>
    <mergeCell ref="Z850:Z851"/>
    <mergeCell ref="AA850:AA851"/>
    <mergeCell ref="AB850:AB851"/>
    <mergeCell ref="Z852:Z853"/>
    <mergeCell ref="AC864:AC865"/>
    <mergeCell ref="AD864:AF865"/>
    <mergeCell ref="AA864:AA865"/>
    <mergeCell ref="AC850:AC851"/>
    <mergeCell ref="AD850:AF851"/>
    <mergeCell ref="AD852:AF853"/>
    <mergeCell ref="AA852:AA853"/>
    <mergeCell ref="AB852:AB853"/>
    <mergeCell ref="AC852:AC853"/>
    <mergeCell ref="R860:W860"/>
    <mergeCell ref="X860:Y860"/>
    <mergeCell ref="Z860:AE860"/>
    <mergeCell ref="R852:R853"/>
    <mergeCell ref="S852:X853"/>
    <mergeCell ref="Y852:Y853"/>
    <mergeCell ref="AC838:AC839"/>
    <mergeCell ref="Z838:Z839"/>
    <mergeCell ref="Z836:Z837"/>
    <mergeCell ref="AD901:AF902"/>
    <mergeCell ref="R901:R902"/>
    <mergeCell ref="S901:X902"/>
    <mergeCell ref="Y901:Y902"/>
    <mergeCell ref="Z901:Z902"/>
    <mergeCell ref="AC901:AC902"/>
    <mergeCell ref="AA901:AA902"/>
    <mergeCell ref="AB901:AB902"/>
    <mergeCell ref="S863:X863"/>
    <mergeCell ref="AD863:AF863"/>
    <mergeCell ref="AC889:AC890"/>
    <mergeCell ref="AD889:AF890"/>
    <mergeCell ref="AB866:AB867"/>
    <mergeCell ref="R883:W883"/>
    <mergeCell ref="X883:Y883"/>
    <mergeCell ref="AC887:AC888"/>
    <mergeCell ref="AD887:AF888"/>
    <mergeCell ref="R864:R865"/>
    <mergeCell ref="S864:X865"/>
    <mergeCell ref="Y864:Y865"/>
    <mergeCell ref="Z864:Z865"/>
    <mergeCell ref="AB864:AB865"/>
    <mergeCell ref="AD886:AF886"/>
    <mergeCell ref="AB887:AB888"/>
    <mergeCell ref="AA866:AA867"/>
    <mergeCell ref="R866:R867"/>
    <mergeCell ref="S866:X867"/>
    <mergeCell ref="Y866:Y867"/>
    <mergeCell ref="Z866:Z867"/>
    <mergeCell ref="Z883:AE883"/>
    <mergeCell ref="AC866:AC867"/>
    <mergeCell ref="AD866:AF867"/>
    <mergeCell ref="Z897:AE897"/>
    <mergeCell ref="AA889:AA890"/>
    <mergeCell ref="AB889:AB890"/>
    <mergeCell ref="Y887:Y888"/>
    <mergeCell ref="Y889:Y890"/>
    <mergeCell ref="Y1017:Y1018"/>
    <mergeCell ref="S1016:X1016"/>
    <mergeCell ref="R1013:W1013"/>
    <mergeCell ref="X1013:Y1013"/>
    <mergeCell ref="R940:R941"/>
    <mergeCell ref="Z985:AE985"/>
    <mergeCell ref="AA966:AA967"/>
    <mergeCell ref="R966:R967"/>
    <mergeCell ref="Z966:Z967"/>
    <mergeCell ref="R962:W962"/>
    <mergeCell ref="R917:R918"/>
    <mergeCell ref="R934:W934"/>
    <mergeCell ref="Z948:AE948"/>
    <mergeCell ref="AD940:AF941"/>
    <mergeCell ref="AA940:AA941"/>
    <mergeCell ref="AD917:AF918"/>
    <mergeCell ref="Z934:AE934"/>
    <mergeCell ref="AD937:AF937"/>
    <mergeCell ref="AC917:AC918"/>
    <mergeCell ref="AC938:AC939"/>
    <mergeCell ref="Y917:Y918"/>
    <mergeCell ref="S940:X941"/>
    <mergeCell ref="X934:Y934"/>
    <mergeCell ref="S937:X937"/>
    <mergeCell ref="Y940:Y941"/>
    <mergeCell ref="Z940:Z941"/>
    <mergeCell ref="AD952:AF953"/>
    <mergeCell ref="AA952:AA953"/>
    <mergeCell ref="AB952:AB953"/>
    <mergeCell ref="AA954:AA955"/>
    <mergeCell ref="AB954:AB955"/>
    <mergeCell ref="R948:W948"/>
    <mergeCell ref="X948:Y948"/>
    <mergeCell ref="Z952:Z953"/>
    <mergeCell ref="R954:R955"/>
    <mergeCell ref="S954:X955"/>
    <mergeCell ref="Y954:Y955"/>
    <mergeCell ref="Z954:Z955"/>
    <mergeCell ref="AC952:AC953"/>
    <mergeCell ref="AD938:AF939"/>
    <mergeCell ref="R938:R939"/>
    <mergeCell ref="S938:X939"/>
    <mergeCell ref="Y938:Y939"/>
    <mergeCell ref="AB938:AB939"/>
    <mergeCell ref="Z962:AE962"/>
    <mergeCell ref="S965:X965"/>
    <mergeCell ref="AD965:AF965"/>
    <mergeCell ref="AC954:AC955"/>
    <mergeCell ref="AD954:AF955"/>
    <mergeCell ref="AA917:AA918"/>
    <mergeCell ref="S917:X918"/>
    <mergeCell ref="S952:X953"/>
    <mergeCell ref="Y952:Y953"/>
    <mergeCell ref="R968:R969"/>
    <mergeCell ref="AA1105:AA1106"/>
    <mergeCell ref="R1064:W1064"/>
    <mergeCell ref="X1064:Y1064"/>
    <mergeCell ref="Z1064:AE1064"/>
    <mergeCell ref="AD1017:AF1018"/>
    <mergeCell ref="AB1017:AB1018"/>
    <mergeCell ref="AC1017:AC1018"/>
    <mergeCell ref="Z1017:Z1018"/>
    <mergeCell ref="AA1017:AA1018"/>
    <mergeCell ref="AA989:AA990"/>
    <mergeCell ref="AC966:AC967"/>
    <mergeCell ref="AD968:AF969"/>
    <mergeCell ref="AD966:AF967"/>
    <mergeCell ref="S966:X967"/>
    <mergeCell ref="Y966:Y967"/>
    <mergeCell ref="AB966:AB967"/>
    <mergeCell ref="Z968:Z969"/>
    <mergeCell ref="AA968:AA969"/>
    <mergeCell ref="AB968:AB969"/>
    <mergeCell ref="S988:X988"/>
    <mergeCell ref="AD988:AF988"/>
    <mergeCell ref="X985:Y985"/>
    <mergeCell ref="AD989:AF990"/>
    <mergeCell ref="AC968:AC969"/>
    <mergeCell ref="AD991:AF992"/>
    <mergeCell ref="Z991:Z992"/>
    <mergeCell ref="AA991:AA992"/>
    <mergeCell ref="AB991:AB992"/>
    <mergeCell ref="Z989:Z990"/>
    <mergeCell ref="AB940:AB941"/>
    <mergeCell ref="AC940:AC941"/>
    <mergeCell ref="Z938:Z939"/>
    <mergeCell ref="AA938:AA939"/>
    <mergeCell ref="AD1016:AF1016"/>
    <mergeCell ref="AD1005:AF1006"/>
    <mergeCell ref="R999:W999"/>
    <mergeCell ref="X999:Y999"/>
    <mergeCell ref="Z999:AE999"/>
    <mergeCell ref="AC1005:AC1006"/>
    <mergeCell ref="AA1005:AA1006"/>
    <mergeCell ref="AB1005:AB1006"/>
    <mergeCell ref="R1003:R1004"/>
    <mergeCell ref="AD1003:AF1004"/>
    <mergeCell ref="Z1013:AE1013"/>
    <mergeCell ref="R1005:R1006"/>
    <mergeCell ref="S1005:X1006"/>
    <mergeCell ref="AA1003:AA1004"/>
    <mergeCell ref="AB1003:AB1004"/>
    <mergeCell ref="S991:X992"/>
    <mergeCell ref="Z1005:Z1006"/>
    <mergeCell ref="AC1003:AC1004"/>
    <mergeCell ref="AC991:AC992"/>
    <mergeCell ref="R991:R992"/>
    <mergeCell ref="S989:X990"/>
    <mergeCell ref="S1003:X1004"/>
    <mergeCell ref="Y1003:Y1004"/>
    <mergeCell ref="Z1003:Z1004"/>
    <mergeCell ref="Y1005:Y1006"/>
    <mergeCell ref="AC989:AC990"/>
    <mergeCell ref="Y989:Y990"/>
    <mergeCell ref="Y991:Y992"/>
    <mergeCell ref="AB989:AB990"/>
    <mergeCell ref="R1017:R1018"/>
    <mergeCell ref="S1017:X1018"/>
    <mergeCell ref="AB1019:AB1020"/>
    <mergeCell ref="AA1019:AA1020"/>
    <mergeCell ref="AD1019:AF1020"/>
    <mergeCell ref="Z1101:AE1101"/>
    <mergeCell ref="AA1093:AA1094"/>
    <mergeCell ref="AB1093:AB1094"/>
    <mergeCell ref="AD1090:AF1090"/>
    <mergeCell ref="AC1093:AC1094"/>
    <mergeCell ref="AD1093:AF1094"/>
    <mergeCell ref="AB1091:AB1092"/>
    <mergeCell ref="AD1039:AF1039"/>
    <mergeCell ref="AC1042:AC1043"/>
    <mergeCell ref="AB1042:AB1043"/>
    <mergeCell ref="AB1040:AB1041"/>
    <mergeCell ref="Z1040:Z1041"/>
    <mergeCell ref="AD1040:AF1041"/>
    <mergeCell ref="AA1040:AA1041"/>
    <mergeCell ref="AC1040:AC1041"/>
    <mergeCell ref="AA1042:AA1043"/>
    <mergeCell ref="Z1019:Z1020"/>
    <mergeCell ref="R1036:W1036"/>
    <mergeCell ref="AC1019:AC1020"/>
    <mergeCell ref="Z1050:AE1050"/>
    <mergeCell ref="R1042:R1043"/>
    <mergeCell ref="AD1042:AF1043"/>
    <mergeCell ref="R1019:R1020"/>
    <mergeCell ref="S1042:X1043"/>
    <mergeCell ref="Y1042:Y1043"/>
    <mergeCell ref="Z1042:Z1043"/>
    <mergeCell ref="S1039:X1039"/>
    <mergeCell ref="Z1036:AE1036"/>
    <mergeCell ref="S1040:X1041"/>
    <mergeCell ref="Y1040:Y1041"/>
    <mergeCell ref="R1054:R1055"/>
    <mergeCell ref="S1054:X1055"/>
    <mergeCell ref="Y1054:Y1055"/>
    <mergeCell ref="R1050:W1050"/>
    <mergeCell ref="X1050:Y1050"/>
    <mergeCell ref="R1040:R1041"/>
    <mergeCell ref="AD1054:AF1055"/>
    <mergeCell ref="AD1056:AF1057"/>
    <mergeCell ref="AA1056:AA1057"/>
    <mergeCell ref="AB1056:AB1057"/>
    <mergeCell ref="AC1056:AC1057"/>
    <mergeCell ref="Z1054:Z1055"/>
    <mergeCell ref="AA1054:AA1055"/>
    <mergeCell ref="AB1054:AB1055"/>
    <mergeCell ref="AC1054:AC1055"/>
    <mergeCell ref="Z1056:Z1057"/>
    <mergeCell ref="S1090:X1090"/>
    <mergeCell ref="AC1091:AC1092"/>
    <mergeCell ref="AD1091:AF1092"/>
    <mergeCell ref="Z1091:Z1092"/>
    <mergeCell ref="AA1091:AA1092"/>
    <mergeCell ref="R1091:R1092"/>
    <mergeCell ref="S1091:X1092"/>
    <mergeCell ref="R1068:R1069"/>
    <mergeCell ref="S1068:X1069"/>
    <mergeCell ref="AB1068:AB1069"/>
    <mergeCell ref="AC1068:AC1069"/>
    <mergeCell ref="AD1068:AF1069"/>
    <mergeCell ref="AB1105:AB1106"/>
    <mergeCell ref="R1166:W1166"/>
    <mergeCell ref="X1166:Y1166"/>
    <mergeCell ref="Z1166:AE1166"/>
    <mergeCell ref="AC1158:AC1159"/>
    <mergeCell ref="AD1158:AF1159"/>
    <mergeCell ref="R1156:R1157"/>
    <mergeCell ref="S1156:X1157"/>
    <mergeCell ref="Z1107:Z1108"/>
    <mergeCell ref="AA1107:AA1108"/>
    <mergeCell ref="AB1107:AB1108"/>
    <mergeCell ref="S1107:X1108"/>
    <mergeCell ref="AD1105:AF1106"/>
    <mergeCell ref="R1105:R1106"/>
    <mergeCell ref="S1105:X1106"/>
    <mergeCell ref="Y1105:Y1106"/>
    <mergeCell ref="Z1105:Z1106"/>
    <mergeCell ref="AC1105:AC1106"/>
    <mergeCell ref="AD1118:AF1118"/>
    <mergeCell ref="Z1119:Z1120"/>
    <mergeCell ref="AB1119:AB1120"/>
    <mergeCell ref="AD1119:AF1120"/>
    <mergeCell ref="R1107:R1108"/>
    <mergeCell ref="R1115:W1115"/>
    <mergeCell ref="X1115:Y1115"/>
    <mergeCell ref="Z1115:AE1115"/>
    <mergeCell ref="AC1107:AC1108"/>
    <mergeCell ref="AD1107:AF1108"/>
    <mergeCell ref="S1067:X1067"/>
    <mergeCell ref="AD1067:AF1067"/>
    <mergeCell ref="Y1068:Y1069"/>
    <mergeCell ref="Z1068:Z1069"/>
    <mergeCell ref="AA1068:AA1069"/>
    <mergeCell ref="Z1087:AE1087"/>
    <mergeCell ref="AC1070:AC1071"/>
    <mergeCell ref="AD1070:AF1071"/>
    <mergeCell ref="Z1070:Z1071"/>
    <mergeCell ref="AB1070:AB1071"/>
    <mergeCell ref="X1087:Y1087"/>
    <mergeCell ref="Y1091:Y1092"/>
    <mergeCell ref="Y1093:Y1094"/>
    <mergeCell ref="R1093:R1094"/>
    <mergeCell ref="S1093:X1094"/>
    <mergeCell ref="Z1093:Z1094"/>
    <mergeCell ref="AA1070:AA1071"/>
    <mergeCell ref="R1070:R1071"/>
    <mergeCell ref="S1070:X1071"/>
    <mergeCell ref="Y1070:Y1071"/>
    <mergeCell ref="R1087:W1087"/>
    <mergeCell ref="R1121:R1122"/>
    <mergeCell ref="R1138:W1138"/>
    <mergeCell ref="Z1152:AE1152"/>
    <mergeCell ref="AD1144:AF1145"/>
    <mergeCell ref="AA1144:AA1145"/>
    <mergeCell ref="AD1121:AF1122"/>
    <mergeCell ref="Z1138:AE1138"/>
    <mergeCell ref="AD1141:AF1141"/>
    <mergeCell ref="AC1121:AC1122"/>
    <mergeCell ref="R1152:W1152"/>
    <mergeCell ref="X1152:Y1152"/>
    <mergeCell ref="Y1121:Y1122"/>
    <mergeCell ref="S1144:X1145"/>
    <mergeCell ref="X1138:Y1138"/>
    <mergeCell ref="Y1144:Y1145"/>
    <mergeCell ref="AC1170:AC1171"/>
    <mergeCell ref="AD1172:AF1173"/>
    <mergeCell ref="AD1170:AF1171"/>
    <mergeCell ref="S1170:X1171"/>
    <mergeCell ref="Y1170:Y1171"/>
    <mergeCell ref="AB1170:AB1171"/>
    <mergeCell ref="Z1172:Z1173"/>
    <mergeCell ref="AD1192:AF1192"/>
    <mergeCell ref="AD1193:AF1194"/>
    <mergeCell ref="Z1170:Z1171"/>
    <mergeCell ref="AA1170:AA1171"/>
    <mergeCell ref="R1170:R1171"/>
    <mergeCell ref="Z1195:Z1196"/>
    <mergeCell ref="AA1195:AA1196"/>
    <mergeCell ref="AB1195:AB1196"/>
    <mergeCell ref="Z1193:Z1194"/>
    <mergeCell ref="AA1193:AA1194"/>
    <mergeCell ref="Z1209:Z1210"/>
    <mergeCell ref="AC1207:AC1208"/>
    <mergeCell ref="S1195:X1196"/>
    <mergeCell ref="Y1195:Y1196"/>
    <mergeCell ref="AC1195:AC1196"/>
    <mergeCell ref="R1172:R1173"/>
    <mergeCell ref="S1172:X1173"/>
    <mergeCell ref="Y1172:Y1173"/>
    <mergeCell ref="Z1189:AE1189"/>
    <mergeCell ref="S1192:X1192"/>
    <mergeCell ref="AC1142:AC1143"/>
    <mergeCell ref="AB1144:AB1145"/>
    <mergeCell ref="AC1144:AC1145"/>
    <mergeCell ref="AC1193:AC1194"/>
    <mergeCell ref="Y1193:Y1194"/>
    <mergeCell ref="AD1220:AF1220"/>
    <mergeCell ref="AD1209:AF1210"/>
    <mergeCell ref="X1203:Y1203"/>
    <mergeCell ref="Z1203:AE1203"/>
    <mergeCell ref="AB1207:AB1208"/>
    <mergeCell ref="Z1144:Z1145"/>
    <mergeCell ref="AD1169:AF1169"/>
    <mergeCell ref="AA1209:AA1210"/>
    <mergeCell ref="AD1195:AF1196"/>
    <mergeCell ref="AD1207:AF1208"/>
    <mergeCell ref="R1195:R1196"/>
    <mergeCell ref="Z1217:AE1217"/>
    <mergeCell ref="R1209:R1210"/>
    <mergeCell ref="S1209:X1210"/>
    <mergeCell ref="S1207:X1208"/>
    <mergeCell ref="Y1207:Y1208"/>
    <mergeCell ref="Y1209:Y1210"/>
    <mergeCell ref="AC1156:AC1157"/>
    <mergeCell ref="AD1156:AF1157"/>
    <mergeCell ref="AA1156:AA1157"/>
    <mergeCell ref="AB1156:AB1157"/>
    <mergeCell ref="AA1158:AA1159"/>
    <mergeCell ref="AB1158:AB1159"/>
    <mergeCell ref="Y1156:Y1157"/>
    <mergeCell ref="Z1156:Z1157"/>
    <mergeCell ref="R1158:R1159"/>
    <mergeCell ref="S1158:X1159"/>
    <mergeCell ref="Y1158:Y1159"/>
    <mergeCell ref="Z1158:Z1159"/>
    <mergeCell ref="R1144:R1145"/>
    <mergeCell ref="R1221:R1222"/>
    <mergeCell ref="S1221:X1222"/>
    <mergeCell ref="Y1221:Y1222"/>
    <mergeCell ref="S1220:X1220"/>
    <mergeCell ref="R1207:R1208"/>
    <mergeCell ref="R1217:W1217"/>
    <mergeCell ref="R1240:W1240"/>
    <mergeCell ref="R1223:R1224"/>
    <mergeCell ref="AD1221:AF1222"/>
    <mergeCell ref="AB1221:AB1222"/>
    <mergeCell ref="AC1221:AC1222"/>
    <mergeCell ref="S1223:X1224"/>
    <mergeCell ref="Y1223:Y1224"/>
    <mergeCell ref="Z1221:Z1222"/>
    <mergeCell ref="AB1223:AB1224"/>
    <mergeCell ref="X1240:Y1240"/>
    <mergeCell ref="AD1223:AF1224"/>
    <mergeCell ref="AB1246:AB1247"/>
    <mergeCell ref="AB1244:AB1245"/>
    <mergeCell ref="Z1244:Z1245"/>
    <mergeCell ref="AA1244:AA1245"/>
    <mergeCell ref="AC1246:AC1247"/>
    <mergeCell ref="AA1172:AA1173"/>
    <mergeCell ref="AB1172:AB1173"/>
    <mergeCell ref="AA1221:AA1222"/>
    <mergeCell ref="AA1223:AA1224"/>
    <mergeCell ref="Z1223:Z1224"/>
    <mergeCell ref="AC1223:AC1224"/>
    <mergeCell ref="Z1207:Z1208"/>
    <mergeCell ref="AA1207:AA1208"/>
    <mergeCell ref="AB1209:AB1210"/>
    <mergeCell ref="AC1209:AC1210"/>
    <mergeCell ref="AB1193:AB1194"/>
    <mergeCell ref="X1189:Y1189"/>
    <mergeCell ref="AC1172:AC1173"/>
    <mergeCell ref="S1243:X1243"/>
    <mergeCell ref="Z1240:AE1240"/>
    <mergeCell ref="AC1244:AC1245"/>
    <mergeCell ref="S1244:X1245"/>
    <mergeCell ref="AD1244:AF1245"/>
    <mergeCell ref="AD1243:AF1243"/>
    <mergeCell ref="Y1244:Y1245"/>
    <mergeCell ref="R1254:W1254"/>
    <mergeCell ref="X1254:Y1254"/>
    <mergeCell ref="Z1258:Z1259"/>
    <mergeCell ref="Z1254:AE1254"/>
    <mergeCell ref="R1246:R1247"/>
    <mergeCell ref="AD1246:AF1247"/>
    <mergeCell ref="S1246:X1247"/>
    <mergeCell ref="Y1246:Y1247"/>
    <mergeCell ref="Z1246:Z1247"/>
    <mergeCell ref="AA1246:AA1247"/>
    <mergeCell ref="S1260:X1261"/>
    <mergeCell ref="Y1260:Y1261"/>
    <mergeCell ref="Z1260:Z1261"/>
    <mergeCell ref="R1258:R1259"/>
    <mergeCell ref="S1258:X1259"/>
    <mergeCell ref="Y1258:Y1259"/>
    <mergeCell ref="R1244:R1245"/>
    <mergeCell ref="AD1258:AF1259"/>
    <mergeCell ref="AD1260:AF1261"/>
    <mergeCell ref="AA1260:AA1261"/>
    <mergeCell ref="AB1260:AB1261"/>
    <mergeCell ref="AC1260:AC1261"/>
    <mergeCell ref="AA1258:AA1259"/>
    <mergeCell ref="AB1258:AB1259"/>
    <mergeCell ref="AC1258:AC1259"/>
    <mergeCell ref="R1260:R1261"/>
    <mergeCell ref="R1295:R1296"/>
    <mergeCell ref="AC1323:AC1324"/>
    <mergeCell ref="Y1323:Y1324"/>
    <mergeCell ref="AA1323:AA1324"/>
    <mergeCell ref="AA1325:AA1326"/>
    <mergeCell ref="S1325:X1326"/>
    <mergeCell ref="Y1311:Y1312"/>
    <mergeCell ref="Z1325:Z1326"/>
    <mergeCell ref="AB1325:AB1326"/>
    <mergeCell ref="S1322:X1322"/>
    <mergeCell ref="Z1291:AE1291"/>
    <mergeCell ref="AD1295:AF1296"/>
    <mergeCell ref="S1295:X1296"/>
    <mergeCell ref="S1294:X1294"/>
    <mergeCell ref="Z1295:Z1296"/>
    <mergeCell ref="AA1295:AA1296"/>
    <mergeCell ref="R1268:W1268"/>
    <mergeCell ref="X1268:Y1268"/>
    <mergeCell ref="Z1268:AE1268"/>
    <mergeCell ref="S1271:X1271"/>
    <mergeCell ref="AD1271:AF1271"/>
    <mergeCell ref="AC1297:AC1298"/>
    <mergeCell ref="AD1297:AF1298"/>
    <mergeCell ref="AB1274:AB1275"/>
    <mergeCell ref="R1291:W1291"/>
    <mergeCell ref="X1291:Y1291"/>
    <mergeCell ref="AC1274:AC1275"/>
    <mergeCell ref="AD1274:AF1275"/>
    <mergeCell ref="Z1274:Z1275"/>
    <mergeCell ref="AD1294:AF1294"/>
    <mergeCell ref="R1272:R1273"/>
    <mergeCell ref="S1272:X1273"/>
    <mergeCell ref="AB1272:AB1273"/>
    <mergeCell ref="AC1272:AC1273"/>
    <mergeCell ref="AD1272:AF1273"/>
    <mergeCell ref="AA1274:AA1275"/>
    <mergeCell ref="R1274:R1275"/>
    <mergeCell ref="S1274:X1275"/>
    <mergeCell ref="Y1274:Y1275"/>
    <mergeCell ref="Y1272:Y1273"/>
    <mergeCell ref="Z1272:Z1273"/>
    <mergeCell ref="AA1272:AA1273"/>
    <mergeCell ref="Z1305:AE1305"/>
    <mergeCell ref="AA1297:AA1298"/>
    <mergeCell ref="AB1297:AB1298"/>
    <mergeCell ref="Y1295:Y1296"/>
    <mergeCell ref="Y1297:Y1298"/>
    <mergeCell ref="R1297:R1298"/>
    <mergeCell ref="S1297:X1298"/>
    <mergeCell ref="Z1297:Z1298"/>
    <mergeCell ref="AB1295:AB1296"/>
    <mergeCell ref="AC1295:AC1296"/>
    <mergeCell ref="Z1356:AE1356"/>
    <mergeCell ref="AD1348:AF1349"/>
    <mergeCell ref="AA1348:AA1349"/>
    <mergeCell ref="AD1325:AF1326"/>
    <mergeCell ref="Z1342:AE1342"/>
    <mergeCell ref="AD1345:AF1345"/>
    <mergeCell ref="AC1325:AC1326"/>
    <mergeCell ref="AC1346:AC1347"/>
    <mergeCell ref="AB1348:AB1349"/>
    <mergeCell ref="AC1348:AC1349"/>
    <mergeCell ref="X1342:Y1342"/>
    <mergeCell ref="S1345:X1345"/>
    <mergeCell ref="Y1348:Y1349"/>
    <mergeCell ref="Z1348:Z1349"/>
    <mergeCell ref="R1325:R1326"/>
    <mergeCell ref="R1342:W1342"/>
    <mergeCell ref="Z1362:Z1363"/>
    <mergeCell ref="AC1360:AC1361"/>
    <mergeCell ref="AD1360:AF1361"/>
    <mergeCell ref="AA1360:AA1361"/>
    <mergeCell ref="AB1360:AB1361"/>
    <mergeCell ref="AA1362:AA1363"/>
    <mergeCell ref="AB1362:AB1363"/>
    <mergeCell ref="AA1309:AA1310"/>
    <mergeCell ref="AB1309:AB1310"/>
    <mergeCell ref="R1360:R1361"/>
    <mergeCell ref="S1360:X1361"/>
    <mergeCell ref="Y1360:Y1361"/>
    <mergeCell ref="Z1360:Z1361"/>
    <mergeCell ref="R1356:W1356"/>
    <mergeCell ref="X1356:Y1356"/>
    <mergeCell ref="Y1325:Y1326"/>
    <mergeCell ref="S1348:X1349"/>
    <mergeCell ref="Z1311:Z1312"/>
    <mergeCell ref="AA1311:AA1312"/>
    <mergeCell ref="AB1311:AB1312"/>
    <mergeCell ref="S1311:X1312"/>
    <mergeCell ref="AD1309:AF1310"/>
    <mergeCell ref="R1309:R1310"/>
    <mergeCell ref="S1309:X1310"/>
    <mergeCell ref="Y1309:Y1310"/>
    <mergeCell ref="Z1309:Z1310"/>
    <mergeCell ref="AC1309:AC1310"/>
    <mergeCell ref="AD1322:AF1322"/>
    <mergeCell ref="Z1323:Z1324"/>
    <mergeCell ref="AB1323:AB1324"/>
    <mergeCell ref="AD1323:AF1324"/>
    <mergeCell ref="R1311:R1312"/>
    <mergeCell ref="R1319:W1319"/>
    <mergeCell ref="X1319:Y1319"/>
    <mergeCell ref="Z1319:AE1319"/>
    <mergeCell ref="AC1311:AC1312"/>
    <mergeCell ref="AD1311:AF1312"/>
    <mergeCell ref="R1393:W1393"/>
    <mergeCell ref="AD1425:AF1426"/>
    <mergeCell ref="AB1425:AB1426"/>
    <mergeCell ref="AC1425:AC1426"/>
    <mergeCell ref="S1427:X1428"/>
    <mergeCell ref="Y1427:Y1428"/>
    <mergeCell ref="Z1425:Z1426"/>
    <mergeCell ref="AB1427:AB1428"/>
    <mergeCell ref="AA1425:AA1426"/>
    <mergeCell ref="R1370:W1370"/>
    <mergeCell ref="X1370:Y1370"/>
    <mergeCell ref="Z1370:AE1370"/>
    <mergeCell ref="S1373:X1373"/>
    <mergeCell ref="AD1373:AF1373"/>
    <mergeCell ref="AC1362:AC1363"/>
    <mergeCell ref="AD1362:AF1363"/>
    <mergeCell ref="AC1374:AC1375"/>
    <mergeCell ref="AD1376:AF1377"/>
    <mergeCell ref="AD1374:AF1375"/>
    <mergeCell ref="S1374:X1375"/>
    <mergeCell ref="Y1374:Y1375"/>
    <mergeCell ref="AB1374:AB1375"/>
    <mergeCell ref="Z1376:Z1377"/>
    <mergeCell ref="AA1376:AA1377"/>
    <mergeCell ref="AB1376:AB1377"/>
    <mergeCell ref="Z1374:Z1375"/>
    <mergeCell ref="AD1397:AF1398"/>
    <mergeCell ref="AC1376:AC1377"/>
    <mergeCell ref="AD1399:AF1400"/>
    <mergeCell ref="AA1374:AA1375"/>
    <mergeCell ref="R1374:R1375"/>
    <mergeCell ref="Z1399:Z1400"/>
    <mergeCell ref="AA1399:AA1400"/>
    <mergeCell ref="AB1399:AB1400"/>
    <mergeCell ref="Z1397:Z1398"/>
    <mergeCell ref="AA1397:AA1398"/>
    <mergeCell ref="R1376:R1377"/>
    <mergeCell ref="S1376:X1377"/>
    <mergeCell ref="Y1376:Y1377"/>
    <mergeCell ref="Z1393:AE1393"/>
    <mergeCell ref="S1396:X1396"/>
    <mergeCell ref="AD1396:AF1396"/>
    <mergeCell ref="X1393:Y1393"/>
    <mergeCell ref="AB1413:AB1414"/>
    <mergeCell ref="R1411:R1412"/>
    <mergeCell ref="AD1411:AF1412"/>
    <mergeCell ref="AD1462:AF1463"/>
    <mergeCell ref="AD1464:AF1465"/>
    <mergeCell ref="AA1464:AA1465"/>
    <mergeCell ref="AB1464:AB1465"/>
    <mergeCell ref="AC1464:AC1465"/>
    <mergeCell ref="Z1462:Z1463"/>
    <mergeCell ref="AA1462:AA1463"/>
    <mergeCell ref="AC1411:AC1412"/>
    <mergeCell ref="AC1399:AC1400"/>
    <mergeCell ref="R1399:R1400"/>
    <mergeCell ref="AD1424:AF1424"/>
    <mergeCell ref="AD1413:AF1414"/>
    <mergeCell ref="R1407:W1407"/>
    <mergeCell ref="X1407:Y1407"/>
    <mergeCell ref="Z1407:AE1407"/>
    <mergeCell ref="AC1413:AC1414"/>
    <mergeCell ref="AA1413:AA1414"/>
    <mergeCell ref="AC1397:AC1398"/>
    <mergeCell ref="Y1397:Y1398"/>
    <mergeCell ref="Y1399:Y1400"/>
    <mergeCell ref="AB1397:AB1398"/>
    <mergeCell ref="Z1421:AE1421"/>
    <mergeCell ref="R1413:R1414"/>
    <mergeCell ref="S1413:X1414"/>
    <mergeCell ref="AA1411:AA1412"/>
    <mergeCell ref="AB1411:AB1412"/>
    <mergeCell ref="S1399:X1400"/>
    <mergeCell ref="R1421:W1421"/>
    <mergeCell ref="X1421:Y1421"/>
    <mergeCell ref="S1397:X1398"/>
    <mergeCell ref="S1411:X1412"/>
    <mergeCell ref="Y1411:Y1412"/>
    <mergeCell ref="Z1411:Z1412"/>
    <mergeCell ref="Y1413:Y1414"/>
    <mergeCell ref="Z1413:Z1414"/>
    <mergeCell ref="AA1427:AA1428"/>
    <mergeCell ref="AD1427:AF1428"/>
    <mergeCell ref="R1425:R1426"/>
    <mergeCell ref="S1425:X1426"/>
    <mergeCell ref="Y1425:Y1426"/>
    <mergeCell ref="S1424:X1424"/>
    <mergeCell ref="R1397:R1398"/>
    <mergeCell ref="Z1509:AE1509"/>
    <mergeCell ref="AA1501:AA1502"/>
    <mergeCell ref="AB1501:AB1502"/>
    <mergeCell ref="Y1499:Y1500"/>
    <mergeCell ref="Y1501:Y1502"/>
    <mergeCell ref="R1501:R1502"/>
    <mergeCell ref="S1501:X1502"/>
    <mergeCell ref="Z1501:Z1502"/>
    <mergeCell ref="R1499:R1500"/>
    <mergeCell ref="AB1499:AB1500"/>
    <mergeCell ref="Z1450:Z1451"/>
    <mergeCell ref="AD1447:AF1447"/>
    <mergeCell ref="AC1450:AC1451"/>
    <mergeCell ref="AB1450:AB1451"/>
    <mergeCell ref="AB1448:AB1449"/>
    <mergeCell ref="Z1448:Z1449"/>
    <mergeCell ref="AD1448:AF1449"/>
    <mergeCell ref="AA1448:AA1449"/>
    <mergeCell ref="AC1448:AC1449"/>
    <mergeCell ref="AA1450:AA1451"/>
    <mergeCell ref="R1448:R1449"/>
    <mergeCell ref="Z1427:Z1428"/>
    <mergeCell ref="R1444:W1444"/>
    <mergeCell ref="AC1427:AC1428"/>
    <mergeCell ref="Z1458:AE1458"/>
    <mergeCell ref="R1450:R1451"/>
    <mergeCell ref="AD1450:AF1451"/>
    <mergeCell ref="R1427:R1428"/>
    <mergeCell ref="S1450:X1451"/>
    <mergeCell ref="Y1450:Y1451"/>
    <mergeCell ref="X1444:Y1444"/>
    <mergeCell ref="S1447:X1447"/>
    <mergeCell ref="Z1444:AE1444"/>
    <mergeCell ref="S1448:X1449"/>
    <mergeCell ref="Y1448:Y1449"/>
    <mergeCell ref="R1462:R1463"/>
    <mergeCell ref="S1462:X1463"/>
    <mergeCell ref="Y1462:Y1463"/>
    <mergeCell ref="R1458:W1458"/>
    <mergeCell ref="X1458:Y1458"/>
    <mergeCell ref="AB1462:AB1463"/>
    <mergeCell ref="AC1462:AC1463"/>
    <mergeCell ref="R1464:R1465"/>
    <mergeCell ref="S1464:X1465"/>
    <mergeCell ref="Y1464:Y1465"/>
    <mergeCell ref="Z1464:Z1465"/>
    <mergeCell ref="AC1499:AC1500"/>
    <mergeCell ref="AD1499:AF1500"/>
    <mergeCell ref="AA1499:AA1500"/>
    <mergeCell ref="Z1495:AE1495"/>
    <mergeCell ref="S1499:X1500"/>
    <mergeCell ref="S1498:X1498"/>
    <mergeCell ref="Z1499:Z1500"/>
    <mergeCell ref="R1472:W1472"/>
    <mergeCell ref="X1472:Y1472"/>
    <mergeCell ref="Z1472:AE1472"/>
    <mergeCell ref="S1475:X1475"/>
    <mergeCell ref="AD1475:AF1475"/>
    <mergeCell ref="AC1501:AC1502"/>
    <mergeCell ref="AD1501:AF1502"/>
    <mergeCell ref="AB1478:AB1479"/>
    <mergeCell ref="R1495:W1495"/>
    <mergeCell ref="X1495:Y1495"/>
    <mergeCell ref="AC1478:AC1479"/>
    <mergeCell ref="AD1478:AF1479"/>
    <mergeCell ref="Z1478:Z1479"/>
    <mergeCell ref="AD1498:AF1498"/>
    <mergeCell ref="R1476:R1477"/>
    <mergeCell ref="S1476:X1477"/>
    <mergeCell ref="AB1476:AB1477"/>
    <mergeCell ref="AC1476:AC1477"/>
    <mergeCell ref="AD1476:AF1477"/>
    <mergeCell ref="AA1478:AA1479"/>
    <mergeCell ref="R1478:R1479"/>
    <mergeCell ref="S1478:X1479"/>
    <mergeCell ref="Y1478:Y1479"/>
    <mergeCell ref="Y1476:Y1477"/>
    <mergeCell ref="Z1476:Z1477"/>
    <mergeCell ref="AA1476:AA1477"/>
    <mergeCell ref="R1529:R1530"/>
    <mergeCell ref="R1546:W1546"/>
    <mergeCell ref="Z1560:AE1560"/>
    <mergeCell ref="AD1552:AF1553"/>
    <mergeCell ref="AA1552:AA1553"/>
    <mergeCell ref="AD1529:AF1530"/>
    <mergeCell ref="Z1546:AE1546"/>
    <mergeCell ref="AD1549:AF1549"/>
    <mergeCell ref="AC1529:AC1530"/>
    <mergeCell ref="AC1550:AC1551"/>
    <mergeCell ref="S1552:X1553"/>
    <mergeCell ref="X1546:Y1546"/>
    <mergeCell ref="S1549:X1549"/>
    <mergeCell ref="Y1552:Y1553"/>
    <mergeCell ref="R1552:R1553"/>
    <mergeCell ref="Z1552:Z1553"/>
    <mergeCell ref="Z1566:Z1567"/>
    <mergeCell ref="AC1564:AC1565"/>
    <mergeCell ref="AD1564:AF1565"/>
    <mergeCell ref="AA1564:AA1565"/>
    <mergeCell ref="AB1564:AB1565"/>
    <mergeCell ref="AA1566:AA1567"/>
    <mergeCell ref="AB1566:AB1567"/>
    <mergeCell ref="AB1513:AB1514"/>
    <mergeCell ref="AC1566:AC1567"/>
    <mergeCell ref="AD1566:AF1567"/>
    <mergeCell ref="R1564:R1565"/>
    <mergeCell ref="S1564:X1565"/>
    <mergeCell ref="Y1564:Y1565"/>
    <mergeCell ref="Z1564:Z1565"/>
    <mergeCell ref="R1566:R1567"/>
    <mergeCell ref="S1566:X1567"/>
    <mergeCell ref="Y1566:Y1567"/>
    <mergeCell ref="AA1515:AA1516"/>
    <mergeCell ref="AB1515:AB1516"/>
    <mergeCell ref="S1515:X1516"/>
    <mergeCell ref="AD1513:AF1514"/>
    <mergeCell ref="R1513:R1514"/>
    <mergeCell ref="S1513:X1514"/>
    <mergeCell ref="Y1513:Y1514"/>
    <mergeCell ref="Z1513:Z1514"/>
    <mergeCell ref="AC1513:AC1514"/>
    <mergeCell ref="AA1513:AA1514"/>
    <mergeCell ref="AD1526:AF1526"/>
    <mergeCell ref="Z1527:Z1528"/>
    <mergeCell ref="AB1527:AB1528"/>
    <mergeCell ref="AD1527:AF1528"/>
    <mergeCell ref="R1515:R1516"/>
    <mergeCell ref="R1523:W1523"/>
    <mergeCell ref="X1523:Y1523"/>
    <mergeCell ref="Z1523:AE1523"/>
    <mergeCell ref="AC1515:AC1516"/>
    <mergeCell ref="AD1515:AF1516"/>
    <mergeCell ref="AC1527:AC1528"/>
    <mergeCell ref="Y1527:Y1528"/>
    <mergeCell ref="AA1527:AA1528"/>
    <mergeCell ref="AA1529:AA1530"/>
    <mergeCell ref="S1529:X1530"/>
    <mergeCell ref="Y1515:Y1516"/>
    <mergeCell ref="Z1529:Z1530"/>
    <mergeCell ref="AB1529:AB1530"/>
    <mergeCell ref="S1526:X1526"/>
    <mergeCell ref="Z1515:Z1516"/>
    <mergeCell ref="R1574:W1574"/>
    <mergeCell ref="X1574:Y1574"/>
    <mergeCell ref="Z1574:AE1574"/>
    <mergeCell ref="S1577:X1577"/>
    <mergeCell ref="AD1577:AF1577"/>
    <mergeCell ref="AD1629:AF1630"/>
    <mergeCell ref="AB1629:AB1630"/>
    <mergeCell ref="AC1629:AC1630"/>
    <mergeCell ref="S1615:X1616"/>
    <mergeCell ref="Y1615:Y1616"/>
    <mergeCell ref="Y1578:Y1579"/>
    <mergeCell ref="AB1578:AB1579"/>
    <mergeCell ref="Z1580:Z1581"/>
    <mergeCell ref="AA1580:AA1581"/>
    <mergeCell ref="AB1580:AB1581"/>
    <mergeCell ref="Z1578:Z1579"/>
    <mergeCell ref="Z1603:Z1604"/>
    <mergeCell ref="AA1603:AA1604"/>
    <mergeCell ref="AB1603:AB1604"/>
    <mergeCell ref="Z1601:Z1602"/>
    <mergeCell ref="AA1601:AA1602"/>
    <mergeCell ref="AC1578:AC1579"/>
    <mergeCell ref="S1600:X1600"/>
    <mergeCell ref="AD1600:AF1600"/>
    <mergeCell ref="X1597:Y1597"/>
    <mergeCell ref="R1597:W1597"/>
    <mergeCell ref="AD1601:AF1602"/>
    <mergeCell ref="AC1580:AC1581"/>
    <mergeCell ref="R1601:R1602"/>
    <mergeCell ref="AD1580:AF1581"/>
    <mergeCell ref="S1601:X1602"/>
    <mergeCell ref="AB1552:AB1553"/>
    <mergeCell ref="AC1552:AC1553"/>
    <mergeCell ref="R1580:R1581"/>
    <mergeCell ref="S1580:X1581"/>
    <mergeCell ref="Y1580:Y1581"/>
    <mergeCell ref="Z1597:AE1597"/>
    <mergeCell ref="AA1578:AA1579"/>
    <mergeCell ref="R1578:R1579"/>
    <mergeCell ref="AD1578:AF1579"/>
    <mergeCell ref="S1578:X1579"/>
    <mergeCell ref="AD1603:AF1604"/>
    <mergeCell ref="AD1615:AF1616"/>
    <mergeCell ref="R1603:R1604"/>
    <mergeCell ref="Z1625:AE1625"/>
    <mergeCell ref="R1617:R1618"/>
    <mergeCell ref="S1617:X1618"/>
    <mergeCell ref="AA1615:AA1616"/>
    <mergeCell ref="AB1615:AB1616"/>
    <mergeCell ref="S1603:X1604"/>
    <mergeCell ref="Z1617:Z1618"/>
    <mergeCell ref="Z1615:Z1616"/>
    <mergeCell ref="Y1617:Y1618"/>
    <mergeCell ref="AC1601:AC1602"/>
    <mergeCell ref="Y1601:Y1602"/>
    <mergeCell ref="Y1603:Y1604"/>
    <mergeCell ref="AC1603:AC1604"/>
    <mergeCell ref="AB1601:AB1602"/>
    <mergeCell ref="AD1631:AF1632"/>
    <mergeCell ref="R1629:R1630"/>
    <mergeCell ref="S1629:X1630"/>
    <mergeCell ref="Y1629:Y1630"/>
    <mergeCell ref="S1628:X1628"/>
    <mergeCell ref="R1625:W1625"/>
    <mergeCell ref="X1625:Y1625"/>
    <mergeCell ref="AD1628:AF1628"/>
    <mergeCell ref="AC1631:AC1632"/>
    <mergeCell ref="R1631:R1632"/>
    <mergeCell ref="S1631:X1632"/>
    <mergeCell ref="Y1631:Y1632"/>
    <mergeCell ref="Z1629:Z1630"/>
    <mergeCell ref="AB1631:AB1632"/>
    <mergeCell ref="AA1629:AA1630"/>
    <mergeCell ref="AA1631:AA1632"/>
    <mergeCell ref="Z1631:Z1632"/>
    <mergeCell ref="R1648:W1648"/>
    <mergeCell ref="Z1662:AE1662"/>
    <mergeCell ref="R1654:R1655"/>
    <mergeCell ref="AD1654:AF1655"/>
    <mergeCell ref="R1668:R1669"/>
    <mergeCell ref="S1668:X1669"/>
    <mergeCell ref="Y1668:Y1669"/>
    <mergeCell ref="Z1668:Z1669"/>
    <mergeCell ref="X1648:Y1648"/>
    <mergeCell ref="S1651:X1651"/>
    <mergeCell ref="Z1648:AE1648"/>
    <mergeCell ref="Y1652:Y1653"/>
    <mergeCell ref="R1666:R1667"/>
    <mergeCell ref="S1666:X1667"/>
    <mergeCell ref="AD1666:AF1667"/>
    <mergeCell ref="AD1668:AF1669"/>
    <mergeCell ref="AA1668:AA1669"/>
    <mergeCell ref="AB1668:AB1669"/>
    <mergeCell ref="AC1668:AC1669"/>
    <mergeCell ref="Z1666:Z1667"/>
    <mergeCell ref="AA1666:AA1667"/>
    <mergeCell ref="AB1666:AB1667"/>
    <mergeCell ref="AC1666:AC1667"/>
    <mergeCell ref="AD1617:AF1618"/>
    <mergeCell ref="R1611:W1611"/>
    <mergeCell ref="X1611:Y1611"/>
    <mergeCell ref="Z1611:AE1611"/>
    <mergeCell ref="AC1617:AC1618"/>
    <mergeCell ref="AA1617:AA1618"/>
    <mergeCell ref="AB1617:AB1618"/>
    <mergeCell ref="R1615:R1616"/>
    <mergeCell ref="AC1615:AC1616"/>
    <mergeCell ref="X1676:Y1676"/>
    <mergeCell ref="Z1676:AE1676"/>
    <mergeCell ref="S1679:X1679"/>
    <mergeCell ref="AD1679:AF1679"/>
    <mergeCell ref="AC1705:AC1706"/>
    <mergeCell ref="AD1705:AF1706"/>
    <mergeCell ref="AB1682:AB1683"/>
    <mergeCell ref="R1699:W1699"/>
    <mergeCell ref="X1699:Y1699"/>
    <mergeCell ref="Z1699:AE1699"/>
    <mergeCell ref="AC1682:AC1683"/>
    <mergeCell ref="AD1682:AF1683"/>
    <mergeCell ref="Z1682:Z1683"/>
    <mergeCell ref="AD1702:AF1702"/>
    <mergeCell ref="R1680:R1681"/>
    <mergeCell ref="S1680:X1681"/>
    <mergeCell ref="AB1680:AB1681"/>
    <mergeCell ref="AC1680:AC1681"/>
    <mergeCell ref="AD1680:AF1681"/>
    <mergeCell ref="AC1652:AC1653"/>
    <mergeCell ref="AA1654:AA1655"/>
    <mergeCell ref="AA1682:AA1683"/>
    <mergeCell ref="R1682:R1683"/>
    <mergeCell ref="S1682:X1683"/>
    <mergeCell ref="Y1682:Y1683"/>
    <mergeCell ref="Y1680:Y1681"/>
    <mergeCell ref="Z1680:Z1681"/>
    <mergeCell ref="AA1680:AA1681"/>
    <mergeCell ref="R1676:W1676"/>
    <mergeCell ref="S1654:X1655"/>
    <mergeCell ref="Y1654:Y1655"/>
    <mergeCell ref="Z1654:Z1655"/>
    <mergeCell ref="AD1651:AF1651"/>
    <mergeCell ref="AC1654:AC1655"/>
    <mergeCell ref="AB1654:AB1655"/>
    <mergeCell ref="AB1652:AB1653"/>
    <mergeCell ref="Z1652:Z1653"/>
    <mergeCell ref="AD1652:AF1653"/>
    <mergeCell ref="AA1652:AA1653"/>
    <mergeCell ref="Y1666:Y1667"/>
    <mergeCell ref="R1662:W1662"/>
    <mergeCell ref="X1662:Y1662"/>
    <mergeCell ref="R1652:R1653"/>
    <mergeCell ref="S1652:X1653"/>
    <mergeCell ref="AD1733:AF1734"/>
    <mergeCell ref="Z1750:AE1750"/>
    <mergeCell ref="AD1753:AF1753"/>
    <mergeCell ref="AC1733:AC1734"/>
    <mergeCell ref="AC1754:AC1755"/>
    <mergeCell ref="AB1756:AB1757"/>
    <mergeCell ref="AC1756:AC1757"/>
    <mergeCell ref="S1756:X1757"/>
    <mergeCell ref="X1750:Y1750"/>
    <mergeCell ref="S1753:X1753"/>
    <mergeCell ref="Y1756:Y1757"/>
    <mergeCell ref="Z1756:Z1757"/>
    <mergeCell ref="R1733:R1734"/>
    <mergeCell ref="R1750:W1750"/>
    <mergeCell ref="AD1768:AF1769"/>
    <mergeCell ref="AA1768:AA1769"/>
    <mergeCell ref="AB1768:AB1769"/>
    <mergeCell ref="AA1770:AA1771"/>
    <mergeCell ref="AB1770:AB1771"/>
    <mergeCell ref="R1764:W1764"/>
    <mergeCell ref="X1764:Y1764"/>
    <mergeCell ref="Z1764:AE1764"/>
    <mergeCell ref="Z1768:Z1769"/>
    <mergeCell ref="R1770:R1771"/>
    <mergeCell ref="S1770:X1771"/>
    <mergeCell ref="Y1770:Y1771"/>
    <mergeCell ref="Z1770:Z1771"/>
    <mergeCell ref="AC1768:AC1769"/>
    <mergeCell ref="AD1717:AF1718"/>
    <mergeCell ref="R1717:R1718"/>
    <mergeCell ref="S1717:X1718"/>
    <mergeCell ref="Y1717:Y1718"/>
    <mergeCell ref="Z1717:Z1718"/>
    <mergeCell ref="AC1717:AC1718"/>
    <mergeCell ref="AA1717:AA1718"/>
    <mergeCell ref="AB1717:AB1718"/>
    <mergeCell ref="R1719:R1720"/>
    <mergeCell ref="R1727:W1727"/>
    <mergeCell ref="X1727:Y1727"/>
    <mergeCell ref="Z1727:AE1727"/>
    <mergeCell ref="AC1719:AC1720"/>
    <mergeCell ref="AD1719:AF1720"/>
    <mergeCell ref="Z1719:Z1720"/>
    <mergeCell ref="AA1719:AA1720"/>
    <mergeCell ref="AB1719:AB1720"/>
    <mergeCell ref="S1719:X1720"/>
    <mergeCell ref="Y1719:Y1720"/>
    <mergeCell ref="Z1733:Z1734"/>
    <mergeCell ref="AB1733:AB1734"/>
    <mergeCell ref="S1730:X1730"/>
    <mergeCell ref="AD1730:AF1730"/>
    <mergeCell ref="Z1731:Z1732"/>
    <mergeCell ref="AB1731:AB1732"/>
    <mergeCell ref="AD1731:AF1732"/>
    <mergeCell ref="Y1733:Y1734"/>
    <mergeCell ref="R1731:R1732"/>
    <mergeCell ref="S1731:X1732"/>
    <mergeCell ref="AC1731:AC1732"/>
    <mergeCell ref="Y1731:Y1732"/>
    <mergeCell ref="AA1731:AA1732"/>
    <mergeCell ref="AA1733:AA1734"/>
    <mergeCell ref="S1733:X1734"/>
    <mergeCell ref="AC1805:AC1806"/>
    <mergeCell ref="Y1805:Y1806"/>
    <mergeCell ref="Y1807:Y1808"/>
    <mergeCell ref="AB1805:AB1806"/>
    <mergeCell ref="S1832:X1832"/>
    <mergeCell ref="R1829:W1829"/>
    <mergeCell ref="X1829:Y1829"/>
    <mergeCell ref="S1805:X1806"/>
    <mergeCell ref="S1819:X1820"/>
    <mergeCell ref="Y1819:Y1820"/>
    <mergeCell ref="AD1833:AF1834"/>
    <mergeCell ref="AB1833:AB1834"/>
    <mergeCell ref="AC1833:AC1834"/>
    <mergeCell ref="Z1833:Z1834"/>
    <mergeCell ref="AA1833:AA1834"/>
    <mergeCell ref="R1833:R1834"/>
    <mergeCell ref="S1833:X1834"/>
    <mergeCell ref="Y1833:Y1834"/>
    <mergeCell ref="R1778:W1778"/>
    <mergeCell ref="X1778:Y1778"/>
    <mergeCell ref="Z1778:AE1778"/>
    <mergeCell ref="S1781:X1781"/>
    <mergeCell ref="AD1781:AF1781"/>
    <mergeCell ref="AC1770:AC1771"/>
    <mergeCell ref="AD1770:AF1771"/>
    <mergeCell ref="AC1782:AC1783"/>
    <mergeCell ref="AD1784:AF1785"/>
    <mergeCell ref="AD1782:AF1783"/>
    <mergeCell ref="S1782:X1783"/>
    <mergeCell ref="Y1782:Y1783"/>
    <mergeCell ref="AB1782:AB1783"/>
    <mergeCell ref="Z1784:Z1785"/>
    <mergeCell ref="AA1784:AA1785"/>
    <mergeCell ref="AB1784:AB1785"/>
    <mergeCell ref="Z1782:Z1783"/>
    <mergeCell ref="AD1805:AF1806"/>
    <mergeCell ref="AC1784:AC1785"/>
    <mergeCell ref="AD1807:AF1808"/>
    <mergeCell ref="AA1782:AA1783"/>
    <mergeCell ref="R1782:R1783"/>
    <mergeCell ref="Z1807:Z1808"/>
    <mergeCell ref="AA1807:AA1808"/>
    <mergeCell ref="AB1807:AB1808"/>
    <mergeCell ref="Z1805:Z1806"/>
    <mergeCell ref="AA1805:AA1806"/>
    <mergeCell ref="R1784:R1785"/>
    <mergeCell ref="S1784:X1785"/>
    <mergeCell ref="Y1784:Y1785"/>
    <mergeCell ref="Z1801:AE1801"/>
    <mergeCell ref="S1804:X1804"/>
    <mergeCell ref="AD1804:AF1804"/>
    <mergeCell ref="X1801:Y1801"/>
    <mergeCell ref="R1805:R1806"/>
    <mergeCell ref="R1801:W1801"/>
    <mergeCell ref="S1807:X1808"/>
    <mergeCell ref="Z1852:AE1852"/>
    <mergeCell ref="S1856:X1857"/>
    <mergeCell ref="Y1856:Y1857"/>
    <mergeCell ref="R1870:R1871"/>
    <mergeCell ref="AD1870:AF1871"/>
    <mergeCell ref="AD1872:AF1873"/>
    <mergeCell ref="AA1872:AA1873"/>
    <mergeCell ref="AB1872:AB1873"/>
    <mergeCell ref="AC1872:AC1873"/>
    <mergeCell ref="Z1870:Z1871"/>
    <mergeCell ref="AA1870:AA1871"/>
    <mergeCell ref="AB1870:AB1871"/>
    <mergeCell ref="AC1870:AC1871"/>
    <mergeCell ref="AD1832:AF1832"/>
    <mergeCell ref="AD1821:AF1822"/>
    <mergeCell ref="R1815:W1815"/>
    <mergeCell ref="X1815:Y1815"/>
    <mergeCell ref="Z1815:AE1815"/>
    <mergeCell ref="AC1821:AC1822"/>
    <mergeCell ref="AA1821:AA1822"/>
    <mergeCell ref="AB1821:AB1822"/>
    <mergeCell ref="R1819:R1820"/>
    <mergeCell ref="AD1819:AF1820"/>
    <mergeCell ref="Z1829:AE1829"/>
    <mergeCell ref="R1821:R1822"/>
    <mergeCell ref="S1821:X1822"/>
    <mergeCell ref="AA1819:AA1820"/>
    <mergeCell ref="AB1819:AB1820"/>
    <mergeCell ref="Z1821:Z1822"/>
    <mergeCell ref="AC1819:AC1820"/>
    <mergeCell ref="AC1807:AC1808"/>
    <mergeCell ref="R1807:R1808"/>
    <mergeCell ref="Z1819:Z1820"/>
    <mergeCell ref="Y1821:Y1822"/>
    <mergeCell ref="AC1958:AC1959"/>
    <mergeCell ref="AB1960:AB1961"/>
    <mergeCell ref="AC1960:AC1961"/>
    <mergeCell ref="AC1884:AC1885"/>
    <mergeCell ref="AD1884:AF1885"/>
    <mergeCell ref="AA1884:AA1885"/>
    <mergeCell ref="AB1884:AB1885"/>
    <mergeCell ref="Z1903:AE1903"/>
    <mergeCell ref="AC1886:AC1887"/>
    <mergeCell ref="AD1886:AF1887"/>
    <mergeCell ref="Z1886:Z1887"/>
    <mergeCell ref="AC1909:AC1910"/>
    <mergeCell ref="AD1909:AF1910"/>
    <mergeCell ref="AB1886:AB1887"/>
    <mergeCell ref="AD1906:AF1906"/>
    <mergeCell ref="AD1907:AF1908"/>
    <mergeCell ref="S1884:X1885"/>
    <mergeCell ref="R1880:W1880"/>
    <mergeCell ref="X1880:Y1880"/>
    <mergeCell ref="Z1880:AE1880"/>
    <mergeCell ref="S1883:X1883"/>
    <mergeCell ref="AD1883:AF1883"/>
    <mergeCell ref="AB1835:AB1836"/>
    <mergeCell ref="AA1835:AA1836"/>
    <mergeCell ref="AD1835:AF1836"/>
    <mergeCell ref="AA1886:AA1887"/>
    <mergeCell ref="R1886:R1887"/>
    <mergeCell ref="S1886:X1887"/>
    <mergeCell ref="Y1886:Y1887"/>
    <mergeCell ref="Y1884:Y1885"/>
    <mergeCell ref="Z1884:Z1885"/>
    <mergeCell ref="R1884:R1885"/>
    <mergeCell ref="AB1858:AB1859"/>
    <mergeCell ref="AB1856:AB1857"/>
    <mergeCell ref="Z1856:Z1857"/>
    <mergeCell ref="AD1856:AF1857"/>
    <mergeCell ref="AA1856:AA1857"/>
    <mergeCell ref="AC1856:AC1857"/>
    <mergeCell ref="AA1858:AA1859"/>
    <mergeCell ref="AC1835:AC1836"/>
    <mergeCell ref="Z1866:AE1866"/>
    <mergeCell ref="R1858:R1859"/>
    <mergeCell ref="AD1858:AF1859"/>
    <mergeCell ref="R1835:R1836"/>
    <mergeCell ref="S1858:X1859"/>
    <mergeCell ref="Y1858:Y1859"/>
    <mergeCell ref="Z1858:Z1859"/>
    <mergeCell ref="AD1855:AF1855"/>
    <mergeCell ref="AC1858:AC1859"/>
    <mergeCell ref="S1870:X1871"/>
    <mergeCell ref="Y1870:Y1871"/>
    <mergeCell ref="R1866:W1866"/>
    <mergeCell ref="X1866:Y1866"/>
    <mergeCell ref="R1856:R1857"/>
    <mergeCell ref="Z1835:Z1836"/>
    <mergeCell ref="R1852:W1852"/>
    <mergeCell ref="S1835:X1836"/>
    <mergeCell ref="Y1835:Y1836"/>
    <mergeCell ref="R1872:R1873"/>
    <mergeCell ref="S1872:X1873"/>
    <mergeCell ref="Y1872:Y1873"/>
    <mergeCell ref="Z1872:Z1873"/>
    <mergeCell ref="X1852:Y1852"/>
    <mergeCell ref="S1855:X1855"/>
    <mergeCell ref="R1982:W1982"/>
    <mergeCell ref="Z1960:Z1961"/>
    <mergeCell ref="R1937:R1938"/>
    <mergeCell ref="R1954:W1954"/>
    <mergeCell ref="Z1968:AE1968"/>
    <mergeCell ref="AD1960:AF1961"/>
    <mergeCell ref="AA1960:AA1961"/>
    <mergeCell ref="AD1937:AF1938"/>
    <mergeCell ref="Z1954:AE1954"/>
    <mergeCell ref="AD1957:AF1957"/>
    <mergeCell ref="AC1937:AC1938"/>
    <mergeCell ref="R1968:W1968"/>
    <mergeCell ref="X1968:Y1968"/>
    <mergeCell ref="Y1937:Y1938"/>
    <mergeCell ref="S1960:X1961"/>
    <mergeCell ref="X1954:Y1954"/>
    <mergeCell ref="S1957:X1957"/>
    <mergeCell ref="Y1960:Y1961"/>
    <mergeCell ref="R1960:R1961"/>
    <mergeCell ref="S1974:X1975"/>
    <mergeCell ref="Y1974:Y1975"/>
    <mergeCell ref="Z1974:Z1975"/>
    <mergeCell ref="AC1972:AC1973"/>
    <mergeCell ref="AD1972:AF1973"/>
    <mergeCell ref="AA1972:AA1973"/>
    <mergeCell ref="AB1972:AB1973"/>
    <mergeCell ref="AA1974:AA1975"/>
    <mergeCell ref="AB1974:AB1975"/>
    <mergeCell ref="X1982:Y1982"/>
    <mergeCell ref="Z1982:AE1982"/>
    <mergeCell ref="S1985:X1985"/>
    <mergeCell ref="AD1985:AF1985"/>
    <mergeCell ref="R1917:W1917"/>
    <mergeCell ref="X1917:Y1917"/>
    <mergeCell ref="Z1917:AE1917"/>
    <mergeCell ref="AC1974:AC1975"/>
    <mergeCell ref="AD1974:AF1975"/>
    <mergeCell ref="R1972:R1973"/>
    <mergeCell ref="S1972:X1973"/>
    <mergeCell ref="Y1972:Y1973"/>
    <mergeCell ref="Z1972:Z1973"/>
    <mergeCell ref="R1974:R1975"/>
    <mergeCell ref="S1923:X1924"/>
    <mergeCell ref="AD1921:AF1922"/>
    <mergeCell ref="R1921:R1922"/>
    <mergeCell ref="S1921:X1922"/>
    <mergeCell ref="Y1921:Y1922"/>
    <mergeCell ref="Z1921:Z1922"/>
    <mergeCell ref="AC1921:AC1922"/>
    <mergeCell ref="AA1921:AA1922"/>
    <mergeCell ref="AB1921:AB1922"/>
    <mergeCell ref="AD1934:AF1934"/>
    <mergeCell ref="Z1935:Z1936"/>
    <mergeCell ref="AB1935:AB1936"/>
    <mergeCell ref="AD1935:AF1936"/>
    <mergeCell ref="R1923:R1924"/>
    <mergeCell ref="R1931:W1931"/>
    <mergeCell ref="X1931:Y1931"/>
    <mergeCell ref="Z1931:AE1931"/>
    <mergeCell ref="AC1923:AC1924"/>
    <mergeCell ref="AD1923:AF1924"/>
    <mergeCell ref="R1935:R1936"/>
    <mergeCell ref="S1935:X1936"/>
    <mergeCell ref="AC1935:AC1936"/>
    <mergeCell ref="AD2037:AF2038"/>
    <mergeCell ref="AB2037:AB2038"/>
    <mergeCell ref="AC2037:AC2038"/>
    <mergeCell ref="S2023:X2024"/>
    <mergeCell ref="Y2023:Y2024"/>
    <mergeCell ref="Z2023:Z2024"/>
    <mergeCell ref="AD1988:AF1989"/>
    <mergeCell ref="AD1986:AF1987"/>
    <mergeCell ref="S1986:X1987"/>
    <mergeCell ref="Y1986:Y1987"/>
    <mergeCell ref="AB1986:AB1987"/>
    <mergeCell ref="Z1988:Z1989"/>
    <mergeCell ref="AA1988:AA1989"/>
    <mergeCell ref="AB1988:AB1989"/>
    <mergeCell ref="Z1986:Z1987"/>
    <mergeCell ref="Z2011:Z2012"/>
    <mergeCell ref="AA2011:AA2012"/>
    <mergeCell ref="AB2011:AB2012"/>
    <mergeCell ref="Z2009:Z2010"/>
    <mergeCell ref="AA2009:AA2010"/>
    <mergeCell ref="AC1986:AC1987"/>
    <mergeCell ref="Z2005:AE2005"/>
    <mergeCell ref="S2008:X2008"/>
    <mergeCell ref="AD2008:AF2008"/>
    <mergeCell ref="X2005:Y2005"/>
    <mergeCell ref="R2005:W2005"/>
    <mergeCell ref="AD2009:AF2010"/>
    <mergeCell ref="R2009:R2010"/>
    <mergeCell ref="S2009:X2010"/>
    <mergeCell ref="AD2025:AF2026"/>
    <mergeCell ref="R2019:W2019"/>
    <mergeCell ref="X2019:Y2019"/>
    <mergeCell ref="Z2019:AE2019"/>
    <mergeCell ref="AC2025:AC2026"/>
    <mergeCell ref="AA2025:AA2026"/>
    <mergeCell ref="AB2025:AB2026"/>
    <mergeCell ref="R2023:R2024"/>
    <mergeCell ref="AC2023:AC2024"/>
    <mergeCell ref="AD2011:AF2012"/>
    <mergeCell ref="AD2023:AF2024"/>
    <mergeCell ref="R2011:R2012"/>
    <mergeCell ref="Z2033:AE2033"/>
    <mergeCell ref="R2025:R2026"/>
    <mergeCell ref="S2025:X2026"/>
    <mergeCell ref="AA2023:AA2024"/>
    <mergeCell ref="AB2023:AB2024"/>
    <mergeCell ref="S2011:X2012"/>
    <mergeCell ref="Z2025:Z2026"/>
    <mergeCell ref="Y2025:Y2026"/>
    <mergeCell ref="AC2009:AC2010"/>
    <mergeCell ref="Y2009:Y2010"/>
    <mergeCell ref="Y2011:Y2012"/>
    <mergeCell ref="AC2011:AC2012"/>
    <mergeCell ref="AB2009:AB2010"/>
    <mergeCell ref="R1988:R1989"/>
    <mergeCell ref="S1988:X1989"/>
    <mergeCell ref="Y1988:Y1989"/>
    <mergeCell ref="AC1988:AC1989"/>
    <mergeCell ref="AA1986:AA1987"/>
    <mergeCell ref="R1986:R1987"/>
    <mergeCell ref="AD2039:AF2040"/>
    <mergeCell ref="R2037:R2038"/>
    <mergeCell ref="S2037:X2038"/>
    <mergeCell ref="Y2037:Y2038"/>
    <mergeCell ref="S2036:X2036"/>
    <mergeCell ref="R2033:W2033"/>
    <mergeCell ref="X2033:Y2033"/>
    <mergeCell ref="AD2036:AF2036"/>
    <mergeCell ref="AC2039:AC2040"/>
    <mergeCell ref="S2039:X2040"/>
    <mergeCell ref="Y2039:Y2040"/>
    <mergeCell ref="Z2037:Z2038"/>
    <mergeCell ref="AB2039:AB2040"/>
    <mergeCell ref="AA2037:AA2038"/>
    <mergeCell ref="AA2039:AA2040"/>
    <mergeCell ref="R2121:W2121"/>
    <mergeCell ref="X2121:Y2121"/>
    <mergeCell ref="Z2121:AE2121"/>
    <mergeCell ref="AA2113:AA2114"/>
    <mergeCell ref="AB2113:AB2114"/>
    <mergeCell ref="Y2111:Y2112"/>
    <mergeCell ref="AD2062:AF2063"/>
    <mergeCell ref="R2039:R2040"/>
    <mergeCell ref="S2062:X2063"/>
    <mergeCell ref="Y2062:Y2063"/>
    <mergeCell ref="Z2062:Z2063"/>
    <mergeCell ref="AD2059:AF2059"/>
    <mergeCell ref="AC2062:AC2063"/>
    <mergeCell ref="AB2062:AB2063"/>
    <mergeCell ref="AB2060:AB2061"/>
    <mergeCell ref="Z2060:Z2061"/>
    <mergeCell ref="Y2074:Y2075"/>
    <mergeCell ref="R2070:W2070"/>
    <mergeCell ref="X2070:Y2070"/>
    <mergeCell ref="Z2074:Z2075"/>
    <mergeCell ref="S2060:X2061"/>
    <mergeCell ref="Z2039:Z2040"/>
    <mergeCell ref="R2056:W2056"/>
    <mergeCell ref="R2060:R2061"/>
    <mergeCell ref="Z2070:AE2070"/>
    <mergeCell ref="R2062:R2063"/>
    <mergeCell ref="R2076:R2077"/>
    <mergeCell ref="S2076:X2077"/>
    <mergeCell ref="Y2076:Y2077"/>
    <mergeCell ref="Z2076:Z2077"/>
    <mergeCell ref="X2056:Y2056"/>
    <mergeCell ref="S2059:X2059"/>
    <mergeCell ref="Z2056:AE2056"/>
    <mergeCell ref="Y2060:Y2061"/>
    <mergeCell ref="R2074:R2075"/>
    <mergeCell ref="S2074:X2075"/>
    <mergeCell ref="AD2074:AF2075"/>
    <mergeCell ref="AD2076:AF2077"/>
    <mergeCell ref="AA2076:AA2077"/>
    <mergeCell ref="AB2076:AB2077"/>
    <mergeCell ref="AC2076:AC2077"/>
    <mergeCell ref="AA2074:AA2075"/>
    <mergeCell ref="AB2074:AB2075"/>
    <mergeCell ref="AC2074:AC2075"/>
    <mergeCell ref="R2084:W2084"/>
    <mergeCell ref="X2084:Y2084"/>
    <mergeCell ref="Z2084:AE2084"/>
    <mergeCell ref="S2087:X2087"/>
    <mergeCell ref="AD2087:AF2087"/>
    <mergeCell ref="AB2090:AB2091"/>
    <mergeCell ref="R2107:W2107"/>
    <mergeCell ref="X2107:Y2107"/>
    <mergeCell ref="AD2110:AF2110"/>
    <mergeCell ref="R2088:R2089"/>
    <mergeCell ref="S2088:X2089"/>
    <mergeCell ref="AB2088:AB2089"/>
    <mergeCell ref="AC2088:AC2089"/>
    <mergeCell ref="AD2088:AF2089"/>
    <mergeCell ref="AA2090:AA2091"/>
    <mergeCell ref="Y2088:Y2089"/>
    <mergeCell ref="Z2088:Z2089"/>
    <mergeCell ref="AA2088:AA2089"/>
    <mergeCell ref="AC2090:AC2091"/>
    <mergeCell ref="AD2090:AF2091"/>
    <mergeCell ref="Z2090:Z2091"/>
    <mergeCell ref="Y2113:Y2114"/>
    <mergeCell ref="R2113:R2114"/>
    <mergeCell ref="S2113:X2114"/>
    <mergeCell ref="Z2113:Z2114"/>
    <mergeCell ref="R2090:R2091"/>
    <mergeCell ref="S2090:X2091"/>
    <mergeCell ref="Y2090:Y2091"/>
    <mergeCell ref="AD2060:AF2061"/>
    <mergeCell ref="AA2060:AA2061"/>
    <mergeCell ref="AC2060:AC2061"/>
    <mergeCell ref="AA2062:AA2063"/>
    <mergeCell ref="AD2125:AF2126"/>
    <mergeCell ref="R2125:R2126"/>
    <mergeCell ref="S2125:X2126"/>
    <mergeCell ref="Y2125:Y2126"/>
    <mergeCell ref="Z2125:Z2126"/>
    <mergeCell ref="AC2125:AC2126"/>
    <mergeCell ref="AA2125:AA2126"/>
    <mergeCell ref="AB2125:AB2126"/>
    <mergeCell ref="Z2141:Z2142"/>
    <mergeCell ref="AB2141:AB2142"/>
    <mergeCell ref="S2138:X2138"/>
    <mergeCell ref="AD2138:AF2138"/>
    <mergeCell ref="Z2139:Z2140"/>
    <mergeCell ref="AB2139:AB2140"/>
    <mergeCell ref="AD2139:AF2140"/>
    <mergeCell ref="R2139:R2140"/>
    <mergeCell ref="S2139:X2140"/>
    <mergeCell ref="AC2139:AC2140"/>
    <mergeCell ref="Y2139:Y2140"/>
    <mergeCell ref="AA2139:AA2140"/>
    <mergeCell ref="AA2141:AA2142"/>
    <mergeCell ref="S2141:X2142"/>
    <mergeCell ref="AA2162:AA2163"/>
    <mergeCell ref="R2192:R2193"/>
    <mergeCell ref="S2192:X2193"/>
    <mergeCell ref="Y2192:Y2193"/>
    <mergeCell ref="Z2209:AE2209"/>
    <mergeCell ref="S2212:X2212"/>
    <mergeCell ref="AD2212:AF2212"/>
    <mergeCell ref="X2209:Y2209"/>
    <mergeCell ref="AC2190:AC2191"/>
    <mergeCell ref="AD2192:AF2193"/>
    <mergeCell ref="AC2162:AC2163"/>
    <mergeCell ref="AB2164:AB2165"/>
    <mergeCell ref="AC2164:AC2165"/>
    <mergeCell ref="R2164:R2165"/>
    <mergeCell ref="AD2162:AF2163"/>
    <mergeCell ref="R2162:R2163"/>
    <mergeCell ref="S2162:X2163"/>
    <mergeCell ref="Y2162:Y2163"/>
    <mergeCell ref="AB2162:AB2163"/>
    <mergeCell ref="Z2162:Z2163"/>
    <mergeCell ref="Z2164:Z2165"/>
    <mergeCell ref="R2141:R2142"/>
    <mergeCell ref="R2158:W2158"/>
    <mergeCell ref="Z2172:AE2172"/>
    <mergeCell ref="AD2164:AF2165"/>
    <mergeCell ref="AA2164:AA2165"/>
    <mergeCell ref="AD2141:AF2142"/>
    <mergeCell ref="Z2158:AE2158"/>
    <mergeCell ref="AD2161:AF2161"/>
    <mergeCell ref="AC2141:AC2142"/>
    <mergeCell ref="R2172:W2172"/>
    <mergeCell ref="X2172:Y2172"/>
    <mergeCell ref="Y2141:Y2142"/>
    <mergeCell ref="S2164:X2165"/>
    <mergeCell ref="X2158:Y2158"/>
    <mergeCell ref="S2161:X2161"/>
    <mergeCell ref="Y2164:Y2165"/>
    <mergeCell ref="AC2176:AC2177"/>
    <mergeCell ref="AD2176:AF2177"/>
    <mergeCell ref="AA2176:AA2177"/>
    <mergeCell ref="AB2176:AB2177"/>
    <mergeCell ref="AA2178:AA2179"/>
    <mergeCell ref="AB2178:AB2179"/>
    <mergeCell ref="R2176:R2177"/>
    <mergeCell ref="S2176:X2177"/>
    <mergeCell ref="Y2176:Y2177"/>
    <mergeCell ref="Z2176:Z2177"/>
    <mergeCell ref="R2178:R2179"/>
    <mergeCell ref="S2178:X2179"/>
    <mergeCell ref="Y2178:Y2179"/>
    <mergeCell ref="Z2178:Z2179"/>
    <mergeCell ref="R2209:W2209"/>
    <mergeCell ref="AD2241:AF2242"/>
    <mergeCell ref="AB2241:AB2242"/>
    <mergeCell ref="AC2241:AC2242"/>
    <mergeCell ref="S2243:X2244"/>
    <mergeCell ref="Y2243:Y2244"/>
    <mergeCell ref="Z2241:Z2242"/>
    <mergeCell ref="AB2243:AB2244"/>
    <mergeCell ref="AA2241:AA2242"/>
    <mergeCell ref="R2186:W2186"/>
    <mergeCell ref="X2186:Y2186"/>
    <mergeCell ref="Z2186:AE2186"/>
    <mergeCell ref="S2189:X2189"/>
    <mergeCell ref="AD2189:AF2189"/>
    <mergeCell ref="AC2178:AC2179"/>
    <mergeCell ref="AD2178:AF2179"/>
    <mergeCell ref="AD2190:AF2191"/>
    <mergeCell ref="S2190:X2191"/>
    <mergeCell ref="Y2190:Y2191"/>
    <mergeCell ref="AB2190:AB2191"/>
    <mergeCell ref="Z2192:Z2193"/>
    <mergeCell ref="AA2192:AA2193"/>
    <mergeCell ref="AB2192:AB2193"/>
    <mergeCell ref="Z2190:Z2191"/>
    <mergeCell ref="AD2213:AF2214"/>
    <mergeCell ref="AC2192:AC2193"/>
    <mergeCell ref="AD2215:AF2216"/>
    <mergeCell ref="AA2190:AA2191"/>
    <mergeCell ref="R2190:R2191"/>
    <mergeCell ref="Z2215:Z2216"/>
    <mergeCell ref="AA2215:AA2216"/>
    <mergeCell ref="AB2215:AB2216"/>
    <mergeCell ref="Z2213:Z2214"/>
    <mergeCell ref="AA2213:AA2214"/>
    <mergeCell ref="AC2215:AC2216"/>
    <mergeCell ref="R2215:R2216"/>
    <mergeCell ref="AD2240:AF2240"/>
    <mergeCell ref="AD2229:AF2230"/>
    <mergeCell ref="R2223:W2223"/>
    <mergeCell ref="X2223:Y2223"/>
    <mergeCell ref="Z2223:AE2223"/>
    <mergeCell ref="AC2229:AC2230"/>
    <mergeCell ref="AA2229:AA2230"/>
    <mergeCell ref="AC2213:AC2214"/>
    <mergeCell ref="Y2213:Y2214"/>
    <mergeCell ref="Y2215:Y2216"/>
    <mergeCell ref="AB2213:AB2214"/>
    <mergeCell ref="Z2237:AE2237"/>
    <mergeCell ref="R2229:R2230"/>
    <mergeCell ref="S2229:X2230"/>
    <mergeCell ref="AA2227:AA2228"/>
    <mergeCell ref="AB2227:AB2228"/>
    <mergeCell ref="S2215:X2216"/>
    <mergeCell ref="R2237:W2237"/>
    <mergeCell ref="X2237:Y2237"/>
    <mergeCell ref="S2213:X2214"/>
    <mergeCell ref="S2227:X2228"/>
    <mergeCell ref="Y2227:Y2228"/>
    <mergeCell ref="Z2227:Z2228"/>
    <mergeCell ref="Y2229:Y2230"/>
    <mergeCell ref="Z2229:Z2230"/>
    <mergeCell ref="AA2243:AA2244"/>
    <mergeCell ref="AD2243:AF2244"/>
    <mergeCell ref="R2241:R2242"/>
    <mergeCell ref="S2241:X2242"/>
    <mergeCell ref="Y2241:Y2242"/>
    <mergeCell ref="S2240:X2240"/>
    <mergeCell ref="Z2243:Z2244"/>
    <mergeCell ref="R2213:R2214"/>
    <mergeCell ref="AC2266:AC2267"/>
    <mergeCell ref="AB2266:AB2267"/>
    <mergeCell ref="AB2264:AB2265"/>
    <mergeCell ref="Z2264:Z2265"/>
    <mergeCell ref="AD2264:AF2265"/>
    <mergeCell ref="AA2264:AA2265"/>
    <mergeCell ref="AC2264:AC2265"/>
    <mergeCell ref="AA2266:AA2267"/>
    <mergeCell ref="R2260:W2260"/>
    <mergeCell ref="AC2243:AC2244"/>
    <mergeCell ref="Z2274:AE2274"/>
    <mergeCell ref="R2266:R2267"/>
    <mergeCell ref="AD2266:AF2267"/>
    <mergeCell ref="R2243:R2244"/>
    <mergeCell ref="S2266:X2267"/>
    <mergeCell ref="Y2266:Y2267"/>
    <mergeCell ref="Z2266:Z2267"/>
    <mergeCell ref="AD2263:AF2263"/>
    <mergeCell ref="S2280:X2281"/>
    <mergeCell ref="Y2280:Y2281"/>
    <mergeCell ref="Z2280:Z2281"/>
    <mergeCell ref="X2260:Y2260"/>
    <mergeCell ref="S2263:X2263"/>
    <mergeCell ref="Z2260:AE2260"/>
    <mergeCell ref="S2264:X2265"/>
    <mergeCell ref="Y2264:Y2265"/>
    <mergeCell ref="S2278:X2279"/>
    <mergeCell ref="Y2278:Y2279"/>
    <mergeCell ref="AB2229:AB2230"/>
    <mergeCell ref="R2227:R2228"/>
    <mergeCell ref="AD2227:AF2228"/>
    <mergeCell ref="AA2278:AA2279"/>
    <mergeCell ref="AB2278:AB2279"/>
    <mergeCell ref="AC2278:AC2279"/>
    <mergeCell ref="R2278:R2279"/>
    <mergeCell ref="R2274:W2274"/>
    <mergeCell ref="X2274:Y2274"/>
    <mergeCell ref="R2264:R2265"/>
    <mergeCell ref="AC2227:AC2228"/>
    <mergeCell ref="AA2315:AA2316"/>
    <mergeCell ref="AC2315:AC2316"/>
    <mergeCell ref="R2343:R2344"/>
    <mergeCell ref="S2343:X2344"/>
    <mergeCell ref="AC2343:AC2344"/>
    <mergeCell ref="Y2343:Y2344"/>
    <mergeCell ref="AA2343:AA2344"/>
    <mergeCell ref="R2288:W2288"/>
    <mergeCell ref="X2288:Y2288"/>
    <mergeCell ref="Z2288:AE2288"/>
    <mergeCell ref="S2291:X2291"/>
    <mergeCell ref="AD2291:AF2291"/>
    <mergeCell ref="AC2317:AC2318"/>
    <mergeCell ref="AD2317:AF2318"/>
    <mergeCell ref="AB2294:AB2295"/>
    <mergeCell ref="R2311:W2311"/>
    <mergeCell ref="X2311:Y2311"/>
    <mergeCell ref="AC2294:AC2295"/>
    <mergeCell ref="AD2294:AF2295"/>
    <mergeCell ref="Z2294:Z2295"/>
    <mergeCell ref="AD2314:AF2314"/>
    <mergeCell ref="R2292:R2293"/>
    <mergeCell ref="S2292:X2293"/>
    <mergeCell ref="AB2292:AB2293"/>
    <mergeCell ref="AC2292:AC2293"/>
    <mergeCell ref="AD2292:AF2293"/>
    <mergeCell ref="AA2294:AA2295"/>
    <mergeCell ref="R2294:R2295"/>
    <mergeCell ref="S2294:X2295"/>
    <mergeCell ref="Y2294:Y2295"/>
    <mergeCell ref="Y2292:Y2293"/>
    <mergeCell ref="Z2292:Z2293"/>
    <mergeCell ref="AA2292:AA2293"/>
    <mergeCell ref="R2325:W2325"/>
    <mergeCell ref="X2325:Y2325"/>
    <mergeCell ref="Z2325:AE2325"/>
    <mergeCell ref="AA2317:AA2318"/>
    <mergeCell ref="AB2317:AB2318"/>
    <mergeCell ref="Y2315:Y2316"/>
    <mergeCell ref="Y2317:Y2318"/>
    <mergeCell ref="R2317:R2318"/>
    <mergeCell ref="S2317:X2318"/>
    <mergeCell ref="Z2317:Z2318"/>
    <mergeCell ref="AD2329:AF2330"/>
    <mergeCell ref="R2329:R2330"/>
    <mergeCell ref="S2329:X2330"/>
    <mergeCell ref="Y2329:Y2330"/>
    <mergeCell ref="Z2329:Z2330"/>
    <mergeCell ref="AC2329:AC2330"/>
    <mergeCell ref="AA2329:AA2330"/>
    <mergeCell ref="AB2329:AB2330"/>
    <mergeCell ref="AD2342:AF2342"/>
    <mergeCell ref="Z2343:Z2344"/>
    <mergeCell ref="AB2343:AB2344"/>
    <mergeCell ref="AD2343:AF2344"/>
    <mergeCell ref="R2331:R2332"/>
    <mergeCell ref="R2339:W2339"/>
    <mergeCell ref="X2339:Y2339"/>
    <mergeCell ref="Z2339:AE2339"/>
    <mergeCell ref="AC2331:AC2332"/>
    <mergeCell ref="AD2331:AF2332"/>
    <mergeCell ref="Y2331:Y2332"/>
    <mergeCell ref="AB2345:AB2346"/>
    <mergeCell ref="S2342:X2342"/>
    <mergeCell ref="Z2331:Z2332"/>
    <mergeCell ref="AA2331:AA2332"/>
    <mergeCell ref="AB2331:AB2332"/>
    <mergeCell ref="S2331:X2332"/>
    <mergeCell ref="AD2366:AF2367"/>
    <mergeCell ref="AB2366:AB2367"/>
    <mergeCell ref="Z2366:Z2367"/>
    <mergeCell ref="AC2366:AC2367"/>
    <mergeCell ref="AB2368:AB2369"/>
    <mergeCell ref="AC2368:AC2369"/>
    <mergeCell ref="Z2368:Z2369"/>
    <mergeCell ref="AD2433:AF2434"/>
    <mergeCell ref="AC2431:AC2432"/>
    <mergeCell ref="S2419:X2420"/>
    <mergeCell ref="Y2419:Y2420"/>
    <mergeCell ref="AC2419:AC2420"/>
    <mergeCell ref="S2431:X2432"/>
    <mergeCell ref="Y2431:Y2432"/>
    <mergeCell ref="Z2431:Z2432"/>
    <mergeCell ref="Y2433:Y2434"/>
    <mergeCell ref="AD2419:AF2420"/>
    <mergeCell ref="AD2431:AF2432"/>
    <mergeCell ref="R2419:R2420"/>
    <mergeCell ref="Z2441:AE2441"/>
    <mergeCell ref="R2433:R2434"/>
    <mergeCell ref="S2433:X2434"/>
    <mergeCell ref="AA2431:AA2432"/>
    <mergeCell ref="AB2431:AB2432"/>
    <mergeCell ref="Z2433:Z2434"/>
    <mergeCell ref="S2444:X2444"/>
    <mergeCell ref="AD2444:AF2444"/>
    <mergeCell ref="R2441:W2441"/>
    <mergeCell ref="X2441:Y2441"/>
    <mergeCell ref="Z2376:AE2376"/>
    <mergeCell ref="AD2368:AF2369"/>
    <mergeCell ref="AA2368:AA2369"/>
    <mergeCell ref="R2417:R2418"/>
    <mergeCell ref="R2413:W2413"/>
    <mergeCell ref="AD2345:AF2346"/>
    <mergeCell ref="Z2362:AE2362"/>
    <mergeCell ref="AD2365:AF2365"/>
    <mergeCell ref="AC2345:AC2346"/>
    <mergeCell ref="R2376:W2376"/>
    <mergeCell ref="X2376:Y2376"/>
    <mergeCell ref="Y2345:Y2346"/>
    <mergeCell ref="S2368:X2369"/>
    <mergeCell ref="X2362:Y2362"/>
    <mergeCell ref="S2365:X2365"/>
    <mergeCell ref="Y2368:Y2369"/>
    <mergeCell ref="R2368:R2369"/>
    <mergeCell ref="AC2380:AC2381"/>
    <mergeCell ref="AD2380:AF2381"/>
    <mergeCell ref="AA2380:AA2381"/>
    <mergeCell ref="AB2380:AB2381"/>
    <mergeCell ref="AA2382:AA2383"/>
    <mergeCell ref="AB2382:AB2383"/>
    <mergeCell ref="R2380:R2381"/>
    <mergeCell ref="S2380:X2381"/>
    <mergeCell ref="Y2380:Y2381"/>
    <mergeCell ref="Z2380:Z2381"/>
    <mergeCell ref="R2382:R2383"/>
    <mergeCell ref="S2382:X2383"/>
    <mergeCell ref="Y2382:Y2383"/>
    <mergeCell ref="Z2382:Z2383"/>
    <mergeCell ref="AC2417:AC2418"/>
    <mergeCell ref="AB2433:AB2434"/>
    <mergeCell ref="AC2447:AC2448"/>
    <mergeCell ref="R2390:W2390"/>
    <mergeCell ref="X2390:Y2390"/>
    <mergeCell ref="Z2390:AE2390"/>
    <mergeCell ref="S2393:X2393"/>
    <mergeCell ref="AD2393:AF2393"/>
    <mergeCell ref="AC2382:AC2383"/>
    <mergeCell ref="AD2382:AF2383"/>
    <mergeCell ref="AD2394:AF2395"/>
    <mergeCell ref="S2394:X2395"/>
    <mergeCell ref="Y2394:Y2395"/>
    <mergeCell ref="AB2394:AB2395"/>
    <mergeCell ref="Z2396:Z2397"/>
    <mergeCell ref="AA2396:AA2397"/>
    <mergeCell ref="AB2396:AB2397"/>
    <mergeCell ref="Z2419:Z2420"/>
    <mergeCell ref="AA2419:AA2420"/>
    <mergeCell ref="AB2419:AB2420"/>
    <mergeCell ref="Z2417:Z2418"/>
    <mergeCell ref="AA2417:AA2418"/>
    <mergeCell ref="AB2417:AB2418"/>
    <mergeCell ref="Z2413:AE2413"/>
    <mergeCell ref="S2416:X2416"/>
    <mergeCell ref="AD2416:AF2416"/>
    <mergeCell ref="X2413:Y2413"/>
    <mergeCell ref="AC2396:AC2397"/>
    <mergeCell ref="AD2417:AF2418"/>
    <mergeCell ref="AD2396:AF2397"/>
    <mergeCell ref="Y2417:Y2418"/>
    <mergeCell ref="R2396:R2397"/>
    <mergeCell ref="S2396:X2397"/>
    <mergeCell ref="Y2396:Y2397"/>
    <mergeCell ref="Z2394:Z2395"/>
    <mergeCell ref="AA2394:AA2395"/>
    <mergeCell ref="R2394:R2395"/>
    <mergeCell ref="AC2394:AC2395"/>
    <mergeCell ref="R2431:R2432"/>
    <mergeCell ref="R2427:W2427"/>
    <mergeCell ref="X2427:Y2427"/>
    <mergeCell ref="Z2427:AE2427"/>
    <mergeCell ref="AC2433:AC2434"/>
    <mergeCell ref="AA2433:AA2434"/>
    <mergeCell ref="AD2445:AF2446"/>
    <mergeCell ref="AB2445:AB2446"/>
    <mergeCell ref="AC2445:AC2446"/>
    <mergeCell ref="R2445:R2446"/>
    <mergeCell ref="S2445:X2446"/>
    <mergeCell ref="Y2445:Y2446"/>
    <mergeCell ref="Z2445:Z2446"/>
    <mergeCell ref="AA2445:AA2446"/>
    <mergeCell ref="S2447:X2448"/>
    <mergeCell ref="Y2447:Y2448"/>
    <mergeCell ref="Y2535:Y2536"/>
    <mergeCell ref="Z2535:Z2536"/>
    <mergeCell ref="AA2535:AA2536"/>
    <mergeCell ref="AB2535:AB2536"/>
    <mergeCell ref="AA2533:AA2534"/>
    <mergeCell ref="Y2498:Y2499"/>
    <mergeCell ref="AB2496:AB2497"/>
    <mergeCell ref="R2529:W2529"/>
    <mergeCell ref="AD2447:AF2448"/>
    <mergeCell ref="AB2470:AB2471"/>
    <mergeCell ref="AB2468:AB2469"/>
    <mergeCell ref="Z2468:Z2469"/>
    <mergeCell ref="AA2468:AA2469"/>
    <mergeCell ref="AA2470:AA2471"/>
    <mergeCell ref="AD2468:AF2469"/>
    <mergeCell ref="AD2467:AF2467"/>
    <mergeCell ref="AC2470:AC2471"/>
    <mergeCell ref="R2470:R2471"/>
    <mergeCell ref="AD2470:AF2471"/>
    <mergeCell ref="R2447:R2448"/>
    <mergeCell ref="S2470:X2471"/>
    <mergeCell ref="Y2470:Y2471"/>
    <mergeCell ref="Z2470:Z2471"/>
    <mergeCell ref="X2464:Y2464"/>
    <mergeCell ref="S2467:X2467"/>
    <mergeCell ref="Z2464:AE2464"/>
    <mergeCell ref="AC2468:AC2469"/>
    <mergeCell ref="AB2482:AB2483"/>
    <mergeCell ref="R2478:W2478"/>
    <mergeCell ref="X2478:Y2478"/>
    <mergeCell ref="Z2478:AE2478"/>
    <mergeCell ref="R2482:R2483"/>
    <mergeCell ref="S2482:X2483"/>
    <mergeCell ref="Y2482:Y2483"/>
    <mergeCell ref="Z2482:Z2483"/>
    <mergeCell ref="AC2482:AC2483"/>
    <mergeCell ref="AD2482:AF2483"/>
    <mergeCell ref="R2484:R2485"/>
    <mergeCell ref="S2484:X2485"/>
    <mergeCell ref="Y2484:Y2485"/>
    <mergeCell ref="Z2484:Z2485"/>
    <mergeCell ref="AD2484:AF2485"/>
    <mergeCell ref="AA2484:AA2485"/>
    <mergeCell ref="AB2484:AB2485"/>
    <mergeCell ref="AC2484:AC2485"/>
    <mergeCell ref="AA2482:AA2483"/>
    <mergeCell ref="Y2496:Y2497"/>
    <mergeCell ref="Z2496:Z2497"/>
    <mergeCell ref="X2492:Y2492"/>
    <mergeCell ref="Z2492:AE2492"/>
    <mergeCell ref="S2495:X2495"/>
    <mergeCell ref="AD2495:AF2495"/>
    <mergeCell ref="AC2496:AC2497"/>
    <mergeCell ref="AD2496:AF2497"/>
    <mergeCell ref="AB2447:AB2448"/>
    <mergeCell ref="AA2447:AA2448"/>
    <mergeCell ref="Z2447:Z2448"/>
    <mergeCell ref="AA2496:AA2497"/>
    <mergeCell ref="AC2521:AC2522"/>
    <mergeCell ref="AD2521:AF2522"/>
    <mergeCell ref="AB2498:AB2499"/>
    <mergeCell ref="R2515:W2515"/>
    <mergeCell ref="X2515:Y2515"/>
    <mergeCell ref="Z2515:AE2515"/>
    <mergeCell ref="AC2498:AC2499"/>
    <mergeCell ref="AD2498:AF2499"/>
    <mergeCell ref="Z2498:Z2499"/>
    <mergeCell ref="AD2518:AF2518"/>
    <mergeCell ref="AB2533:AB2534"/>
    <mergeCell ref="R2521:R2522"/>
    <mergeCell ref="S2521:X2522"/>
    <mergeCell ref="R2496:R2497"/>
    <mergeCell ref="S2496:X2497"/>
    <mergeCell ref="Z2521:Z2522"/>
    <mergeCell ref="AA2498:AA2499"/>
    <mergeCell ref="R2498:R2499"/>
    <mergeCell ref="S2498:X2499"/>
    <mergeCell ref="X2529:Y2529"/>
    <mergeCell ref="Z2529:AE2529"/>
    <mergeCell ref="AA2521:AA2522"/>
    <mergeCell ref="AB2521:AB2522"/>
    <mergeCell ref="Y2519:Y2520"/>
    <mergeCell ref="Y2521:Y2522"/>
    <mergeCell ref="AD2519:AF2520"/>
    <mergeCell ref="AD2533:AF2534"/>
    <mergeCell ref="R2533:R2534"/>
    <mergeCell ref="S2533:X2534"/>
    <mergeCell ref="Y2533:Y2534"/>
    <mergeCell ref="Z2533:Z2534"/>
    <mergeCell ref="AC2533:AC2534"/>
    <mergeCell ref="Z2519:Z2520"/>
    <mergeCell ref="AA2519:AA2520"/>
    <mergeCell ref="AB2519:AB2520"/>
    <mergeCell ref="AC2519:AC2520"/>
    <mergeCell ref="S2468:X2469"/>
    <mergeCell ref="Y2468:Y2469"/>
    <mergeCell ref="R2519:R2520"/>
    <mergeCell ref="S2519:X2520"/>
    <mergeCell ref="S2518:X2518"/>
    <mergeCell ref="R2464:W2464"/>
    <mergeCell ref="R2468:R2469"/>
    <mergeCell ref="R2492:W2492"/>
    <mergeCell ref="R2631:W2631"/>
    <mergeCell ref="X2631:Y2631"/>
    <mergeCell ref="Z2631:AE2631"/>
    <mergeCell ref="AC2637:AC2638"/>
    <mergeCell ref="AA2637:AA2638"/>
    <mergeCell ref="AB2637:AB2638"/>
    <mergeCell ref="R2635:R2636"/>
    <mergeCell ref="AD2635:AF2636"/>
    <mergeCell ref="Z2645:AE2645"/>
    <mergeCell ref="R2637:R2638"/>
    <mergeCell ref="S2637:X2638"/>
    <mergeCell ref="AA2635:AA2636"/>
    <mergeCell ref="AB2635:AB2636"/>
    <mergeCell ref="S2623:X2624"/>
    <mergeCell ref="Z2637:Z2638"/>
    <mergeCell ref="AC2635:AC2636"/>
    <mergeCell ref="AC2623:AC2624"/>
    <mergeCell ref="AB2547:AB2548"/>
    <mergeCell ref="AD2569:AF2569"/>
    <mergeCell ref="AA2598:AA2599"/>
    <mergeCell ref="R2598:R2599"/>
    <mergeCell ref="AC2598:AC2599"/>
    <mergeCell ref="AB2549:AB2550"/>
    <mergeCell ref="AC2549:AC2550"/>
    <mergeCell ref="AD2549:AF2550"/>
    <mergeCell ref="AD2547:AF2548"/>
    <mergeCell ref="R2547:R2548"/>
    <mergeCell ref="S2547:X2548"/>
    <mergeCell ref="AC2547:AC2548"/>
    <mergeCell ref="Y2547:Y2548"/>
    <mergeCell ref="AA2547:AA2548"/>
    <mergeCell ref="Z2547:Z2548"/>
    <mergeCell ref="Y2549:Y2550"/>
    <mergeCell ref="X2566:Y2566"/>
    <mergeCell ref="R2549:R2550"/>
    <mergeCell ref="R2566:W2566"/>
    <mergeCell ref="Z2566:AE2566"/>
    <mergeCell ref="AA2549:AA2550"/>
    <mergeCell ref="S2549:X2550"/>
    <mergeCell ref="Z2549:Z2550"/>
    <mergeCell ref="AB2572:AB2573"/>
    <mergeCell ref="AC2572:AC2573"/>
    <mergeCell ref="AC2600:AC2601"/>
    <mergeCell ref="AC2584:AC2585"/>
    <mergeCell ref="AD2584:AF2585"/>
    <mergeCell ref="AA2584:AA2585"/>
    <mergeCell ref="AB2584:AB2585"/>
    <mergeCell ref="AA2586:AA2587"/>
    <mergeCell ref="AB2586:AB2587"/>
    <mergeCell ref="R2584:R2585"/>
    <mergeCell ref="S2584:X2585"/>
    <mergeCell ref="Y2584:Y2585"/>
    <mergeCell ref="Z2584:Z2585"/>
    <mergeCell ref="R2586:R2587"/>
    <mergeCell ref="S2586:X2587"/>
    <mergeCell ref="Y2586:Y2587"/>
    <mergeCell ref="Z2586:Z2587"/>
    <mergeCell ref="R2594:W2594"/>
    <mergeCell ref="X2594:Y2594"/>
    <mergeCell ref="Z2594:AE2594"/>
    <mergeCell ref="S2597:X2597"/>
    <mergeCell ref="AD2597:AF2597"/>
    <mergeCell ref="AC2586:AC2587"/>
    <mergeCell ref="AD2586:AF2587"/>
    <mergeCell ref="AD2600:AF2601"/>
    <mergeCell ref="AD2598:AF2599"/>
    <mergeCell ref="S2598:X2599"/>
    <mergeCell ref="Y2598:Y2599"/>
    <mergeCell ref="AB2598:AB2599"/>
    <mergeCell ref="Z2600:Z2601"/>
    <mergeCell ref="AA2600:AA2601"/>
    <mergeCell ref="AB2600:AB2601"/>
    <mergeCell ref="Z2598:Z2599"/>
    <mergeCell ref="R2600:R2601"/>
    <mergeCell ref="S2600:X2601"/>
    <mergeCell ref="Y2600:Y2601"/>
    <mergeCell ref="R2623:R2624"/>
    <mergeCell ref="Z2635:Z2636"/>
    <mergeCell ref="Y2637:Y2638"/>
    <mergeCell ref="AC2621:AC2622"/>
    <mergeCell ref="Y2621:Y2622"/>
    <mergeCell ref="Y2623:Y2624"/>
    <mergeCell ref="AB2621:AB2622"/>
    <mergeCell ref="R2621:R2622"/>
    <mergeCell ref="R2617:W2617"/>
    <mergeCell ref="R2645:W2645"/>
    <mergeCell ref="X2645:Y2645"/>
    <mergeCell ref="S2621:X2622"/>
    <mergeCell ref="S2635:X2636"/>
    <mergeCell ref="Y2635:Y2636"/>
    <mergeCell ref="Z2623:Z2624"/>
    <mergeCell ref="AA2623:AA2624"/>
    <mergeCell ref="AB2623:AB2624"/>
    <mergeCell ref="Z2621:Z2622"/>
    <mergeCell ref="AA2621:AA2622"/>
    <mergeCell ref="Z2617:AE2617"/>
    <mergeCell ref="S2620:X2620"/>
    <mergeCell ref="AD2620:AF2620"/>
    <mergeCell ref="X2617:Y2617"/>
    <mergeCell ref="AD2651:AF2652"/>
    <mergeCell ref="AB2672:AB2673"/>
    <mergeCell ref="Z2672:Z2673"/>
    <mergeCell ref="AD2672:AF2673"/>
    <mergeCell ref="AA2672:AA2673"/>
    <mergeCell ref="AC2672:AC2673"/>
    <mergeCell ref="AA2674:AA2675"/>
    <mergeCell ref="Z2682:AE2682"/>
    <mergeCell ref="R2674:R2675"/>
    <mergeCell ref="AD2674:AF2675"/>
    <mergeCell ref="R2651:R2652"/>
    <mergeCell ref="S2674:X2675"/>
    <mergeCell ref="Y2674:Y2675"/>
    <mergeCell ref="Z2674:Z2675"/>
    <mergeCell ref="AD2671:AF2671"/>
    <mergeCell ref="AC2674:AC2675"/>
    <mergeCell ref="AB2674:AB2675"/>
    <mergeCell ref="AD2621:AF2622"/>
    <mergeCell ref="S2671:X2671"/>
    <mergeCell ref="S2672:X2673"/>
    <mergeCell ref="AD2623:AF2624"/>
    <mergeCell ref="Z2651:Z2652"/>
    <mergeCell ref="R2668:W2668"/>
    <mergeCell ref="AC2651:AC2652"/>
    <mergeCell ref="AD2649:AF2650"/>
    <mergeCell ref="AB2649:AB2650"/>
    <mergeCell ref="AC2649:AC2650"/>
    <mergeCell ref="S2651:X2652"/>
    <mergeCell ref="X2668:Y2668"/>
    <mergeCell ref="Z2668:AE2668"/>
    <mergeCell ref="R2649:R2650"/>
    <mergeCell ref="S2649:X2650"/>
    <mergeCell ref="Y2649:Y2650"/>
    <mergeCell ref="S2648:X2648"/>
    <mergeCell ref="Y2651:Y2652"/>
    <mergeCell ref="Z2649:Z2650"/>
    <mergeCell ref="AB2651:AB2652"/>
    <mergeCell ref="AA2649:AA2650"/>
    <mergeCell ref="AA2651:AA2652"/>
    <mergeCell ref="AD2648:AF2648"/>
    <mergeCell ref="AD2637:AF2638"/>
    <mergeCell ref="AC2702:AC2703"/>
    <mergeCell ref="AD2702:AF2703"/>
    <mergeCell ref="Z2702:Z2703"/>
    <mergeCell ref="AD2722:AF2722"/>
    <mergeCell ref="R2700:R2701"/>
    <mergeCell ref="S2700:X2701"/>
    <mergeCell ref="AB2700:AB2701"/>
    <mergeCell ref="AC2700:AC2701"/>
    <mergeCell ref="AD2700:AF2701"/>
    <mergeCell ref="R2702:R2703"/>
    <mergeCell ref="S2702:X2703"/>
    <mergeCell ref="Y2702:Y2703"/>
    <mergeCell ref="Y2700:Y2701"/>
    <mergeCell ref="Z2700:Z2701"/>
    <mergeCell ref="AA2700:AA2701"/>
    <mergeCell ref="R2672:R2673"/>
    <mergeCell ref="S2722:X2722"/>
    <mergeCell ref="Z2719:AE2719"/>
    <mergeCell ref="AA2702:AA2703"/>
    <mergeCell ref="X2719:Y2719"/>
    <mergeCell ref="Y2672:Y2673"/>
    <mergeCell ref="R2686:R2687"/>
    <mergeCell ref="S2686:X2687"/>
    <mergeCell ref="Y2686:Y2687"/>
    <mergeCell ref="R2682:W2682"/>
    <mergeCell ref="X2682:Y2682"/>
    <mergeCell ref="AA2686:AA2687"/>
    <mergeCell ref="AB2686:AB2687"/>
    <mergeCell ref="AC2686:AC2687"/>
    <mergeCell ref="R2688:R2689"/>
    <mergeCell ref="S2688:X2689"/>
    <mergeCell ref="Y2688:Y2689"/>
    <mergeCell ref="Z2688:Z2689"/>
    <mergeCell ref="Z2686:Z2687"/>
    <mergeCell ref="R2739:R2740"/>
    <mergeCell ref="R2747:W2747"/>
    <mergeCell ref="X2747:Y2747"/>
    <mergeCell ref="Z2747:AE2747"/>
    <mergeCell ref="AC2739:AC2740"/>
    <mergeCell ref="AD2739:AF2740"/>
    <mergeCell ref="Z2739:Z2740"/>
    <mergeCell ref="AA2739:AA2740"/>
    <mergeCell ref="AB2739:AB2740"/>
    <mergeCell ref="S2739:X2740"/>
    <mergeCell ref="Y2739:Y2740"/>
    <mergeCell ref="Z2753:Z2754"/>
    <mergeCell ref="AB2753:AB2754"/>
    <mergeCell ref="S2750:X2750"/>
    <mergeCell ref="AD2750:AF2750"/>
    <mergeCell ref="Z2751:Z2752"/>
    <mergeCell ref="AB2751:AB2752"/>
    <mergeCell ref="AD2751:AF2752"/>
    <mergeCell ref="AB2776:AB2777"/>
    <mergeCell ref="AC2776:AC2777"/>
    <mergeCell ref="R2751:R2752"/>
    <mergeCell ref="S2751:X2752"/>
    <mergeCell ref="AC2751:AC2752"/>
    <mergeCell ref="Y2751:Y2752"/>
    <mergeCell ref="AA2751:AA2752"/>
    <mergeCell ref="AA2753:AA2754"/>
    <mergeCell ref="S2753:X2754"/>
    <mergeCell ref="Z2776:Z2777"/>
    <mergeCell ref="R2753:R2754"/>
    <mergeCell ref="R2770:W2770"/>
    <mergeCell ref="Z2784:AE2784"/>
    <mergeCell ref="AD2776:AF2777"/>
    <mergeCell ref="AA2776:AA2777"/>
    <mergeCell ref="AD2753:AF2754"/>
    <mergeCell ref="Z2770:AE2770"/>
    <mergeCell ref="AD2773:AF2773"/>
    <mergeCell ref="AC2753:AC2754"/>
    <mergeCell ref="R2784:W2784"/>
    <mergeCell ref="X2784:Y2784"/>
    <mergeCell ref="Y2753:Y2754"/>
    <mergeCell ref="S2776:X2777"/>
    <mergeCell ref="X2770:Y2770"/>
    <mergeCell ref="S2773:X2773"/>
    <mergeCell ref="Y2776:Y2777"/>
    <mergeCell ref="Y2788:Y2789"/>
    <mergeCell ref="S2852:X2852"/>
    <mergeCell ref="R2849:W2849"/>
    <mergeCell ref="AC2839:AC2840"/>
    <mergeCell ref="AC2827:AC2828"/>
    <mergeCell ref="R2827:R2828"/>
    <mergeCell ref="S2825:X2826"/>
    <mergeCell ref="S2839:X2840"/>
    <mergeCell ref="AC2841:AC2842"/>
    <mergeCell ref="Y2825:Y2826"/>
    <mergeCell ref="Y2827:Y2828"/>
    <mergeCell ref="AB2825:AB2826"/>
    <mergeCell ref="AC2788:AC2789"/>
    <mergeCell ref="AD2788:AF2789"/>
    <mergeCell ref="AA2788:AA2789"/>
    <mergeCell ref="AB2788:AB2789"/>
    <mergeCell ref="AA2790:AA2791"/>
    <mergeCell ref="AB2790:AB2791"/>
    <mergeCell ref="R2790:R2791"/>
    <mergeCell ref="S2790:X2791"/>
    <mergeCell ref="Y2790:Y2791"/>
    <mergeCell ref="Z2790:Z2791"/>
    <mergeCell ref="R2798:W2798"/>
    <mergeCell ref="X2798:Y2798"/>
    <mergeCell ref="Z2798:AE2798"/>
    <mergeCell ref="S2802:X2803"/>
    <mergeCell ref="Y2802:Y2803"/>
    <mergeCell ref="AB2802:AB2803"/>
    <mergeCell ref="X2849:Y2849"/>
    <mergeCell ref="S2827:X2828"/>
    <mergeCell ref="Z2788:Z2789"/>
    <mergeCell ref="Y2841:Y2842"/>
    <mergeCell ref="Y2839:Y2840"/>
    <mergeCell ref="Z2839:Z2840"/>
    <mergeCell ref="AA2841:AA2842"/>
    <mergeCell ref="AD2801:AF2801"/>
    <mergeCell ref="AC2790:AC2791"/>
    <mergeCell ref="AD2790:AF2791"/>
    <mergeCell ref="AC2802:AC2803"/>
    <mergeCell ref="AD2804:AF2805"/>
    <mergeCell ref="AD2802:AF2803"/>
    <mergeCell ref="Z2804:Z2805"/>
    <mergeCell ref="AA2804:AA2805"/>
    <mergeCell ref="AB2804:AB2805"/>
    <mergeCell ref="Z2802:Z2803"/>
    <mergeCell ref="AD2825:AF2826"/>
    <mergeCell ref="AC2804:AC2805"/>
    <mergeCell ref="AC2825:AC2826"/>
    <mergeCell ref="AD2827:AF2828"/>
    <mergeCell ref="AA2802:AA2803"/>
    <mergeCell ref="R2802:R2803"/>
    <mergeCell ref="Z2827:Z2828"/>
    <mergeCell ref="AA2827:AA2828"/>
    <mergeCell ref="AB2827:AB2828"/>
    <mergeCell ref="Z2825:Z2826"/>
    <mergeCell ref="AA2825:AA2826"/>
    <mergeCell ref="R2804:R2805"/>
    <mergeCell ref="S2804:X2805"/>
    <mergeCell ref="Y2804:Y2805"/>
    <mergeCell ref="Z2821:AE2821"/>
    <mergeCell ref="S2824:X2824"/>
    <mergeCell ref="AD2824:AF2824"/>
    <mergeCell ref="X2821:Y2821"/>
    <mergeCell ref="AD2852:AF2852"/>
    <mergeCell ref="AD2841:AF2842"/>
    <mergeCell ref="R2835:W2835"/>
    <mergeCell ref="X2835:Y2835"/>
    <mergeCell ref="Z2835:AE2835"/>
    <mergeCell ref="AB2841:AB2842"/>
    <mergeCell ref="R2839:R2840"/>
    <mergeCell ref="AD2839:AF2840"/>
    <mergeCell ref="Z2849:AE2849"/>
    <mergeCell ref="R2841:R2842"/>
    <mergeCell ref="S2841:X2842"/>
    <mergeCell ref="AA2839:AA2840"/>
    <mergeCell ref="AB2839:AB2840"/>
    <mergeCell ref="Z2841:Z2842"/>
    <mergeCell ref="AB2890:AB2891"/>
    <mergeCell ref="AC2890:AC2891"/>
    <mergeCell ref="R2892:R2893"/>
    <mergeCell ref="S2892:X2893"/>
    <mergeCell ref="Y2892:Y2893"/>
    <mergeCell ref="Z2892:Z2893"/>
    <mergeCell ref="R2853:R2854"/>
    <mergeCell ref="S2853:X2854"/>
    <mergeCell ref="Y2853:Y2854"/>
    <mergeCell ref="AD2890:AF2891"/>
    <mergeCell ref="AD2892:AF2893"/>
    <mergeCell ref="AA2892:AA2893"/>
    <mergeCell ref="AB2892:AB2893"/>
    <mergeCell ref="AC2892:AC2893"/>
    <mergeCell ref="Z2890:Z2891"/>
    <mergeCell ref="AA2890:AA2891"/>
    <mergeCell ref="AD2853:AF2854"/>
    <mergeCell ref="AB2853:AB2854"/>
    <mergeCell ref="AC2853:AC2854"/>
    <mergeCell ref="S2855:X2856"/>
    <mergeCell ref="Y2855:Y2856"/>
    <mergeCell ref="Z2853:Z2854"/>
    <mergeCell ref="AB2855:AB2856"/>
    <mergeCell ref="AA2853:AA2854"/>
    <mergeCell ref="Z2876:Z2877"/>
    <mergeCell ref="AD2876:AF2877"/>
    <mergeCell ref="AA2876:AA2877"/>
    <mergeCell ref="AC2876:AC2877"/>
    <mergeCell ref="AA2878:AA2879"/>
    <mergeCell ref="AC2855:AC2856"/>
    <mergeCell ref="AD2875:AF2875"/>
    <mergeCell ref="AC2878:AC2879"/>
    <mergeCell ref="AA2855:AA2856"/>
    <mergeCell ref="AD2855:AF2856"/>
    <mergeCell ref="AB2878:AB2879"/>
    <mergeCell ref="AB2876:AB2877"/>
    <mergeCell ref="R2876:R2877"/>
    <mergeCell ref="Z2855:Z2856"/>
    <mergeCell ref="R2872:W2872"/>
    <mergeCell ref="Z2886:AE2886"/>
    <mergeCell ref="R2878:R2879"/>
    <mergeCell ref="AD2878:AF2879"/>
    <mergeCell ref="R2855:R2856"/>
    <mergeCell ref="S2878:X2879"/>
    <mergeCell ref="Y2878:Y2879"/>
    <mergeCell ref="Z2878:Z2879"/>
    <mergeCell ref="X2872:Y2872"/>
    <mergeCell ref="S2875:X2875"/>
    <mergeCell ref="Z2872:AE2872"/>
    <mergeCell ref="S2876:X2877"/>
    <mergeCell ref="Y2876:Y2877"/>
    <mergeCell ref="AB2927:AB2928"/>
    <mergeCell ref="AC2927:AC2928"/>
    <mergeCell ref="AA2929:AA2930"/>
    <mergeCell ref="AB2904:AB2905"/>
    <mergeCell ref="R2900:W2900"/>
    <mergeCell ref="X2900:Y2900"/>
    <mergeCell ref="Z2900:AE2900"/>
    <mergeCell ref="S2903:X2903"/>
    <mergeCell ref="AD2903:AF2903"/>
    <mergeCell ref="Y2927:Y2928"/>
    <mergeCell ref="Y2929:Y2930"/>
    <mergeCell ref="R2929:R2930"/>
    <mergeCell ref="S2929:X2930"/>
    <mergeCell ref="Z2929:Z2930"/>
    <mergeCell ref="AD2941:AF2942"/>
    <mergeCell ref="R2941:R2942"/>
    <mergeCell ref="S2941:X2942"/>
    <mergeCell ref="Y2941:Y2942"/>
    <mergeCell ref="Z2941:Z2942"/>
    <mergeCell ref="AC2941:AC2942"/>
    <mergeCell ref="AA2941:AA2942"/>
    <mergeCell ref="AB2941:AB2942"/>
    <mergeCell ref="R2943:R2944"/>
    <mergeCell ref="R2951:W2951"/>
    <mergeCell ref="X2951:Y2951"/>
    <mergeCell ref="Z2951:AE2951"/>
    <mergeCell ref="AC2943:AC2944"/>
    <mergeCell ref="AD2943:AF2944"/>
    <mergeCell ref="Z2943:Z2944"/>
    <mergeCell ref="AA2943:AA2944"/>
    <mergeCell ref="AB2943:AB2944"/>
    <mergeCell ref="S2943:X2944"/>
    <mergeCell ref="Y2943:Y2944"/>
    <mergeCell ref="Z2923:AE2923"/>
    <mergeCell ref="AC2906:AC2907"/>
    <mergeCell ref="AD2926:AF2926"/>
    <mergeCell ref="AD2927:AF2928"/>
    <mergeCell ref="AA2906:AA2907"/>
    <mergeCell ref="AD2906:AF2907"/>
    <mergeCell ref="AB2980:AB2981"/>
    <mergeCell ref="AC2980:AC2981"/>
    <mergeCell ref="Z2980:Z2981"/>
    <mergeCell ref="AD2978:AF2979"/>
    <mergeCell ref="AD2929:AF2930"/>
    <mergeCell ref="AD2954:AF2954"/>
    <mergeCell ref="Z2955:Z2956"/>
    <mergeCell ref="AB2955:AB2956"/>
    <mergeCell ref="AD2955:AF2956"/>
    <mergeCell ref="AC2955:AC2956"/>
    <mergeCell ref="Y2955:Y2956"/>
    <mergeCell ref="AA2955:AA2956"/>
    <mergeCell ref="AA2957:AA2958"/>
    <mergeCell ref="S2957:X2958"/>
    <mergeCell ref="R2957:R2958"/>
    <mergeCell ref="Y2957:Y2958"/>
    <mergeCell ref="AC2992:AC2993"/>
    <mergeCell ref="R2974:W2974"/>
    <mergeCell ref="Z2988:AE2988"/>
    <mergeCell ref="AD2980:AF2981"/>
    <mergeCell ref="AA2980:AA2981"/>
    <mergeCell ref="AD2957:AF2958"/>
    <mergeCell ref="Z2974:AE2974"/>
    <mergeCell ref="AD2977:AF2977"/>
    <mergeCell ref="AC2957:AC2958"/>
    <mergeCell ref="R2988:W2988"/>
    <mergeCell ref="Z2992:Z2993"/>
    <mergeCell ref="R2994:R2995"/>
    <mergeCell ref="S2980:X2981"/>
    <mergeCell ref="X2974:Y2974"/>
    <mergeCell ref="S2977:X2977"/>
    <mergeCell ref="Y2980:Y2981"/>
    <mergeCell ref="R2980:R2981"/>
    <mergeCell ref="X2988:Y2988"/>
    <mergeCell ref="R2978:R2979"/>
    <mergeCell ref="AB2929:AB2930"/>
    <mergeCell ref="AD2992:AF2993"/>
    <mergeCell ref="AA2992:AA2993"/>
    <mergeCell ref="AB2992:AB2993"/>
    <mergeCell ref="AA2994:AA2995"/>
    <mergeCell ref="AB2994:AB2995"/>
    <mergeCell ref="R2992:R2993"/>
    <mergeCell ref="S2992:X2993"/>
    <mergeCell ref="Y2992:Y2993"/>
    <mergeCell ref="S2978:X2979"/>
    <mergeCell ref="Y2978:Y2979"/>
    <mergeCell ref="AB2978:AB2979"/>
    <mergeCell ref="Z2978:Z2979"/>
    <mergeCell ref="AA2978:AA2979"/>
    <mergeCell ref="R2937:W2937"/>
    <mergeCell ref="X2937:Y2937"/>
    <mergeCell ref="Z2937:AE2937"/>
    <mergeCell ref="R2955:R2956"/>
    <mergeCell ref="S2955:X2956"/>
    <mergeCell ref="AC2929:AC2930"/>
    <mergeCell ref="Z2957:Z2958"/>
    <mergeCell ref="AB2957:AB2958"/>
    <mergeCell ref="S2954:X2954"/>
    <mergeCell ref="AC2978:AC2979"/>
    <mergeCell ref="R3002:W3002"/>
    <mergeCell ref="X3002:Y3002"/>
    <mergeCell ref="Z3002:AE3002"/>
    <mergeCell ref="R3025:W3025"/>
    <mergeCell ref="R3029:R3030"/>
    <mergeCell ref="R3031:R3032"/>
    <mergeCell ref="AC3029:AC3030"/>
    <mergeCell ref="Z3029:Z3030"/>
    <mergeCell ref="AB3029:AB3030"/>
    <mergeCell ref="S3005:X3005"/>
    <mergeCell ref="AD3005:AF3005"/>
    <mergeCell ref="AC2994:AC2995"/>
    <mergeCell ref="AD2994:AF2995"/>
    <mergeCell ref="AC3008:AC3009"/>
    <mergeCell ref="AC3006:AC3007"/>
    <mergeCell ref="AD3008:AF3009"/>
    <mergeCell ref="S2994:X2995"/>
    <mergeCell ref="Y2994:Y2995"/>
    <mergeCell ref="Z2994:Z2995"/>
    <mergeCell ref="AB3006:AB3007"/>
    <mergeCell ref="Z3008:Z3009"/>
    <mergeCell ref="AA3008:AA3009"/>
    <mergeCell ref="AB3008:AB3009"/>
    <mergeCell ref="Z3006:Z3007"/>
    <mergeCell ref="AA3006:AA3007"/>
    <mergeCell ref="Y3029:Y3030"/>
    <mergeCell ref="S3029:X3030"/>
    <mergeCell ref="X3025:Y3025"/>
    <mergeCell ref="R3039:W3039"/>
    <mergeCell ref="AD3006:AF3007"/>
    <mergeCell ref="R3006:R3007"/>
    <mergeCell ref="Z3031:Z3032"/>
    <mergeCell ref="AA3031:AA3032"/>
    <mergeCell ref="AB3031:AB3032"/>
    <mergeCell ref="AC3031:AC3032"/>
    <mergeCell ref="R3008:R3009"/>
    <mergeCell ref="S3006:X3007"/>
    <mergeCell ref="Y3006:Y3007"/>
    <mergeCell ref="AD3031:AF3032"/>
    <mergeCell ref="S3008:X3009"/>
    <mergeCell ref="Y3008:Y3009"/>
    <mergeCell ref="Z3025:AE3025"/>
    <mergeCell ref="S3028:X3028"/>
    <mergeCell ref="AD3028:AF3028"/>
    <mergeCell ref="AD3029:AF3030"/>
    <mergeCell ref="X3039:Y3039"/>
    <mergeCell ref="Z3039:AE3039"/>
    <mergeCell ref="AA3029:AA3030"/>
    <mergeCell ref="AA3043:AA3044"/>
    <mergeCell ref="AB3043:AB3044"/>
    <mergeCell ref="AC3043:AC3044"/>
    <mergeCell ref="AD3043:AF3044"/>
    <mergeCell ref="S3031:X3032"/>
    <mergeCell ref="Y3031:Y3032"/>
    <mergeCell ref="Y3045:Y3046"/>
    <mergeCell ref="Z3045:Z3046"/>
    <mergeCell ref="R3053:W3053"/>
    <mergeCell ref="X3053:Y3053"/>
    <mergeCell ref="Z3053:AE3053"/>
    <mergeCell ref="R3045:R3046"/>
    <mergeCell ref="S3045:X3046"/>
    <mergeCell ref="AA3045:AA3046"/>
    <mergeCell ref="AC3045:AC3046"/>
    <mergeCell ref="AD3045:AF3046"/>
    <mergeCell ref="AD3056:AF3056"/>
    <mergeCell ref="AD3057:AF3058"/>
    <mergeCell ref="AC3057:AC3058"/>
    <mergeCell ref="AB3057:AB3058"/>
    <mergeCell ref="AA3057:AA3058"/>
    <mergeCell ref="AB3045:AB3046"/>
    <mergeCell ref="R3043:R3044"/>
    <mergeCell ref="S3043:X3044"/>
    <mergeCell ref="Y3043:Y3044"/>
    <mergeCell ref="Z3043:Z3044"/>
    <mergeCell ref="R3057:R3058"/>
    <mergeCell ref="S3057:X3058"/>
    <mergeCell ref="Y3057:Y3058"/>
    <mergeCell ref="S3056:X3056"/>
    <mergeCell ref="Z3057:Z3058"/>
    <mergeCell ref="Y3059:Y3060"/>
    <mergeCell ref="Z3059:Z3060"/>
    <mergeCell ref="AA3059:AA3060"/>
    <mergeCell ref="AD3096:AF3097"/>
    <mergeCell ref="R3090:W3090"/>
    <mergeCell ref="X3090:Y3090"/>
    <mergeCell ref="AC3096:AC3097"/>
    <mergeCell ref="AB3082:AB3083"/>
    <mergeCell ref="AB3059:AB3060"/>
    <mergeCell ref="AC3059:AC3060"/>
    <mergeCell ref="AD3059:AF3060"/>
    <mergeCell ref="R3059:R3060"/>
    <mergeCell ref="S3059:X3060"/>
    <mergeCell ref="AB3094:AB3095"/>
    <mergeCell ref="R3076:W3076"/>
    <mergeCell ref="X3076:Y3076"/>
    <mergeCell ref="Z3076:AE3076"/>
    <mergeCell ref="Z3094:Z3095"/>
    <mergeCell ref="AA3094:AA3095"/>
    <mergeCell ref="AB3108:AB3109"/>
    <mergeCell ref="AA3096:AA3097"/>
    <mergeCell ref="Y3108:Y3109"/>
    <mergeCell ref="AB3096:AB3097"/>
    <mergeCell ref="Z3090:AE3090"/>
    <mergeCell ref="R3094:R3095"/>
    <mergeCell ref="S3094:X3095"/>
    <mergeCell ref="Y3094:Y3095"/>
    <mergeCell ref="AD3094:AF3095"/>
    <mergeCell ref="AC3094:AC3095"/>
    <mergeCell ref="AC3082:AC3083"/>
    <mergeCell ref="AC3080:AC3081"/>
    <mergeCell ref="S3082:X3083"/>
    <mergeCell ref="AA3080:AA3081"/>
    <mergeCell ref="AB3080:AB3081"/>
    <mergeCell ref="Z3080:Z3081"/>
    <mergeCell ref="Y3082:Y3083"/>
    <mergeCell ref="Y3080:Y3081"/>
    <mergeCell ref="S3080:X3081"/>
    <mergeCell ref="AD3079:AF3079"/>
    <mergeCell ref="AD3082:AF3083"/>
    <mergeCell ref="AD3080:AF3081"/>
    <mergeCell ref="S3079:X3079"/>
    <mergeCell ref="AA3082:AA3083"/>
    <mergeCell ref="Z3082:Z3083"/>
    <mergeCell ref="R3082:R3083"/>
    <mergeCell ref="R3080:R3081"/>
    <mergeCell ref="AD3145:AF3146"/>
    <mergeCell ref="S3145:X3146"/>
    <mergeCell ref="Y3145:Y3146"/>
    <mergeCell ref="AD3133:AF3134"/>
    <mergeCell ref="AA3133:AA3134"/>
    <mergeCell ref="AB3133:AB3134"/>
    <mergeCell ref="AC3145:AC3146"/>
    <mergeCell ref="R3141:W3141"/>
    <mergeCell ref="X3141:Y3141"/>
    <mergeCell ref="Z3145:Z3146"/>
    <mergeCell ref="R3155:W3155"/>
    <mergeCell ref="X3155:Y3155"/>
    <mergeCell ref="Z3155:AE3155"/>
    <mergeCell ref="Y3161:Y3162"/>
    <mergeCell ref="Z3147:Z3148"/>
    <mergeCell ref="AA3145:AA3146"/>
    <mergeCell ref="AB3145:AB3146"/>
    <mergeCell ref="R3145:R3146"/>
    <mergeCell ref="Y3147:Y3148"/>
    <mergeCell ref="AD3147:AF3148"/>
    <mergeCell ref="R3110:R3111"/>
    <mergeCell ref="S3110:X3111"/>
    <mergeCell ref="Y3110:Y3111"/>
    <mergeCell ref="Z3110:Z3111"/>
    <mergeCell ref="AA3147:AA3148"/>
    <mergeCell ref="AB3147:AB3148"/>
    <mergeCell ref="S3147:X3148"/>
    <mergeCell ref="R3147:R3148"/>
    <mergeCell ref="R3127:W3127"/>
    <mergeCell ref="AD3158:AF3158"/>
    <mergeCell ref="AB3161:AB3162"/>
    <mergeCell ref="AA3159:AA3160"/>
    <mergeCell ref="AA3110:AA3111"/>
    <mergeCell ref="AC3147:AC3148"/>
    <mergeCell ref="AB3159:AB3160"/>
    <mergeCell ref="AA3161:AA3162"/>
    <mergeCell ref="AC3133:AC3134"/>
    <mergeCell ref="R3133:R3134"/>
    <mergeCell ref="AD3184:AF3185"/>
    <mergeCell ref="AA3184:AA3185"/>
    <mergeCell ref="AB3184:AB3185"/>
    <mergeCell ref="Z3178:AE3178"/>
    <mergeCell ref="AD3181:AF3181"/>
    <mergeCell ref="AC3184:AC3185"/>
    <mergeCell ref="AD3161:AF3162"/>
    <mergeCell ref="AC3159:AC3160"/>
    <mergeCell ref="AD3159:AF3160"/>
    <mergeCell ref="R3159:R3160"/>
    <mergeCell ref="S3159:X3160"/>
    <mergeCell ref="Y3159:Y3160"/>
    <mergeCell ref="Z3159:Z3160"/>
    <mergeCell ref="R3161:R3162"/>
    <mergeCell ref="S3161:X3162"/>
    <mergeCell ref="Z3161:Z3162"/>
    <mergeCell ref="X3178:Y3178"/>
    <mergeCell ref="X3192:Y3192"/>
    <mergeCell ref="R3184:R3185"/>
    <mergeCell ref="S3184:X3185"/>
    <mergeCell ref="Y3184:Y3185"/>
    <mergeCell ref="AC3161:AC3162"/>
    <mergeCell ref="Z3192:AE3192"/>
    <mergeCell ref="R3196:R3197"/>
    <mergeCell ref="S3196:X3197"/>
    <mergeCell ref="Y3196:Y3197"/>
    <mergeCell ref="AD3196:AF3197"/>
    <mergeCell ref="AC3196:AC3197"/>
    <mergeCell ref="Z3196:Z3197"/>
    <mergeCell ref="AA3196:AA3197"/>
    <mergeCell ref="AB3196:AB3197"/>
    <mergeCell ref="R3192:W3192"/>
    <mergeCell ref="AD3198:AF3199"/>
    <mergeCell ref="R3198:R3199"/>
    <mergeCell ref="S3198:X3199"/>
    <mergeCell ref="Y3198:Y3199"/>
    <mergeCell ref="Z3198:Z3199"/>
    <mergeCell ref="AA3198:AA3199"/>
    <mergeCell ref="AD3182:AF3183"/>
    <mergeCell ref="AC3182:AC3183"/>
    <mergeCell ref="AA3182:AA3183"/>
    <mergeCell ref="AB3182:AB3183"/>
    <mergeCell ref="R3182:R3183"/>
    <mergeCell ref="S3182:X3183"/>
    <mergeCell ref="Y3182:Y3183"/>
    <mergeCell ref="Z3182:Z3183"/>
    <mergeCell ref="S3181:X3181"/>
    <mergeCell ref="Z3184:Z3185"/>
    <mergeCell ref="R3178:W3178"/>
    <mergeCell ref="S3212:X3213"/>
    <mergeCell ref="Y3212:Y3213"/>
    <mergeCell ref="Z3212:Z3213"/>
    <mergeCell ref="AC3212:AC3213"/>
    <mergeCell ref="AD3212:AF3213"/>
    <mergeCell ref="AA3212:AA3213"/>
    <mergeCell ref="AB3212:AB3213"/>
    <mergeCell ref="Z3229:AE3229"/>
    <mergeCell ref="R3243:W3243"/>
    <mergeCell ref="X3243:Y3243"/>
    <mergeCell ref="Z3243:AE3243"/>
    <mergeCell ref="Y3235:Y3236"/>
    <mergeCell ref="Z3235:Z3236"/>
    <mergeCell ref="AA3235:AA3236"/>
    <mergeCell ref="AB3235:AB3236"/>
    <mergeCell ref="AC3235:AC3236"/>
    <mergeCell ref="AD3247:AF3248"/>
    <mergeCell ref="R3247:R3248"/>
    <mergeCell ref="S3247:X3248"/>
    <mergeCell ref="Y3247:Y3248"/>
    <mergeCell ref="Z3247:Z3248"/>
    <mergeCell ref="AB3247:AB3248"/>
    <mergeCell ref="AA3247:AA3248"/>
    <mergeCell ref="AC3247:AC3248"/>
    <mergeCell ref="Y3233:Y3234"/>
    <mergeCell ref="Z3233:Z3234"/>
    <mergeCell ref="R3235:R3236"/>
    <mergeCell ref="S3235:X3236"/>
    <mergeCell ref="R3233:R3234"/>
    <mergeCell ref="S3233:X3234"/>
    <mergeCell ref="R3229:W3229"/>
    <mergeCell ref="X3229:Y3229"/>
    <mergeCell ref="AD3235:AF3236"/>
    <mergeCell ref="AC3233:AC3234"/>
    <mergeCell ref="AD3233:AF3234"/>
    <mergeCell ref="AA3233:AA3234"/>
    <mergeCell ref="AB3233:AB3234"/>
    <mergeCell ref="S3232:X3232"/>
    <mergeCell ref="AD3232:AF3232"/>
    <mergeCell ref="M721:N721"/>
    <mergeCell ref="AC3298:AC3299"/>
    <mergeCell ref="R3308:W3308"/>
    <mergeCell ref="X3308:Y3308"/>
    <mergeCell ref="Z3308:AE3308"/>
    <mergeCell ref="Z3298:Z3299"/>
    <mergeCell ref="AA3298:AA3299"/>
    <mergeCell ref="AB3298:AB3299"/>
    <mergeCell ref="R3300:R3301"/>
    <mergeCell ref="R3298:R3299"/>
    <mergeCell ref="AB3300:AB3301"/>
    <mergeCell ref="AC3300:AC3301"/>
    <mergeCell ref="AD3300:AF3301"/>
    <mergeCell ref="AB3312:AB3313"/>
    <mergeCell ref="AC3312:AC3313"/>
    <mergeCell ref="AD3335:AF3336"/>
    <mergeCell ref="AD3312:AF3313"/>
    <mergeCell ref="AB3284:AB3285"/>
    <mergeCell ref="R3284:R3285"/>
    <mergeCell ref="S3284:X3285"/>
    <mergeCell ref="Y3284:Y3285"/>
    <mergeCell ref="Z3284:Z3285"/>
    <mergeCell ref="AA3284:AA3285"/>
    <mergeCell ref="S3260:X3260"/>
    <mergeCell ref="AD3260:AF3260"/>
    <mergeCell ref="S3249:X3250"/>
    <mergeCell ref="Y3249:Y3250"/>
    <mergeCell ref="Z3249:Z3250"/>
    <mergeCell ref="AA3249:AA3250"/>
    <mergeCell ref="AB3249:AB3250"/>
    <mergeCell ref="AC3249:AC3250"/>
    <mergeCell ref="AD3249:AF3250"/>
    <mergeCell ref="R3249:R3250"/>
    <mergeCell ref="R3257:W3257"/>
    <mergeCell ref="X3257:Y3257"/>
    <mergeCell ref="Z3257:AE3257"/>
    <mergeCell ref="X3280:Y3280"/>
    <mergeCell ref="AB3261:AB3262"/>
    <mergeCell ref="AC3261:AC3262"/>
    <mergeCell ref="Z3280:AE3280"/>
    <mergeCell ref="AD3261:AF3262"/>
    <mergeCell ref="AA3263:AA3264"/>
    <mergeCell ref="AB3263:AB3264"/>
    <mergeCell ref="AC3263:AC3264"/>
    <mergeCell ref="AD3263:AF3264"/>
    <mergeCell ref="AA3261:AA3262"/>
    <mergeCell ref="R3261:R3262"/>
    <mergeCell ref="S3261:X3262"/>
    <mergeCell ref="Y3261:Y3262"/>
    <mergeCell ref="Z3261:Z3262"/>
    <mergeCell ref="R3263:R3264"/>
    <mergeCell ref="S3263:X3264"/>
    <mergeCell ref="Y3263:Y3264"/>
    <mergeCell ref="Z3263:Z3264"/>
    <mergeCell ref="R3286:R3287"/>
    <mergeCell ref="S3286:X3287"/>
    <mergeCell ref="Y3286:Y3287"/>
    <mergeCell ref="S3283:X3283"/>
    <mergeCell ref="R3280:W3280"/>
    <mergeCell ref="AA3210:AA3211"/>
    <mergeCell ref="AB3210:AB3211"/>
    <mergeCell ref="R3206:W3206"/>
    <mergeCell ref="X3206:Y3206"/>
    <mergeCell ref="Z3206:AE3206"/>
    <mergeCell ref="M2273:P2274"/>
    <mergeCell ref="Z3365:Z3366"/>
    <mergeCell ref="AA3363:AA3364"/>
    <mergeCell ref="AC3365:AC3366"/>
    <mergeCell ref="M219:P220"/>
    <mergeCell ref="M235:P236"/>
    <mergeCell ref="A624:P624"/>
    <mergeCell ref="J546:J547"/>
    <mergeCell ref="K546:K547"/>
    <mergeCell ref="M466:N466"/>
    <mergeCell ref="M517:N517"/>
    <mergeCell ref="Z3314:Z3315"/>
    <mergeCell ref="R3312:R3313"/>
    <mergeCell ref="S3312:X3313"/>
    <mergeCell ref="Y3312:Y3313"/>
    <mergeCell ref="Z3312:Z3313"/>
    <mergeCell ref="AA3312:AA3313"/>
    <mergeCell ref="AA3335:AA3336"/>
    <mergeCell ref="AD3314:AF3315"/>
    <mergeCell ref="R3345:W3345"/>
    <mergeCell ref="X3345:Y3345"/>
    <mergeCell ref="Z3345:AE3345"/>
    <mergeCell ref="R3337:R3338"/>
    <mergeCell ref="S3337:X3338"/>
    <mergeCell ref="R3314:R3315"/>
    <mergeCell ref="S3314:X3315"/>
    <mergeCell ref="Y3314:Y3315"/>
    <mergeCell ref="Z3335:Z3336"/>
    <mergeCell ref="AD3337:AF3338"/>
    <mergeCell ref="Z3331:AE3331"/>
    <mergeCell ref="S3334:X3334"/>
    <mergeCell ref="AD3334:AF3334"/>
    <mergeCell ref="AA3337:AA3338"/>
    <mergeCell ref="AB3337:AB3338"/>
    <mergeCell ref="AC3337:AC3338"/>
    <mergeCell ref="Y3337:Y3338"/>
    <mergeCell ref="Z3337:Z3338"/>
    <mergeCell ref="AC3286:AC3287"/>
    <mergeCell ref="S3362:X3362"/>
    <mergeCell ref="AB3335:AB3336"/>
    <mergeCell ref="AC3349:AC3350"/>
    <mergeCell ref="R3349:R3350"/>
    <mergeCell ref="S3349:X3350"/>
    <mergeCell ref="Y3349:Y3350"/>
    <mergeCell ref="Z3349:Z3350"/>
    <mergeCell ref="AC3335:AC3336"/>
    <mergeCell ref="Y3335:Y3336"/>
    <mergeCell ref="AD3283:AF3283"/>
    <mergeCell ref="R3294:W3294"/>
    <mergeCell ref="X3294:Y3294"/>
    <mergeCell ref="Z3294:AE3294"/>
    <mergeCell ref="AD3286:AF3287"/>
    <mergeCell ref="AA3286:AA3287"/>
    <mergeCell ref="AB3286:AB3287"/>
    <mergeCell ref="Z3286:Z3287"/>
    <mergeCell ref="AD3284:AF3285"/>
    <mergeCell ref="AC3284:AC3285"/>
    <mergeCell ref="S3298:X3299"/>
    <mergeCell ref="Y3298:Y3299"/>
    <mergeCell ref="S3335:X3336"/>
    <mergeCell ref="R3331:W3331"/>
    <mergeCell ref="X3331:Y3331"/>
    <mergeCell ref="R3335:R3336"/>
    <mergeCell ref="S3311:X3311"/>
    <mergeCell ref="R3351:R3352"/>
    <mergeCell ref="Z3351:Z3352"/>
    <mergeCell ref="AA3349:AA3350"/>
    <mergeCell ref="AD3362:AF3362"/>
    <mergeCell ref="AA3351:AA3352"/>
    <mergeCell ref="AB3351:AB3352"/>
    <mergeCell ref="AD3351:AF3352"/>
    <mergeCell ref="R3359:W3359"/>
    <mergeCell ref="X3359:Y3359"/>
    <mergeCell ref="AD3349:AF3350"/>
    <mergeCell ref="AB3349:AB3350"/>
    <mergeCell ref="AC3351:AC3352"/>
    <mergeCell ref="AB3365:AB3366"/>
    <mergeCell ref="Z3359:AE3359"/>
    <mergeCell ref="AD3363:AF3364"/>
    <mergeCell ref="AD3365:AF3366"/>
    <mergeCell ref="AB3363:AB3364"/>
    <mergeCell ref="AD3108:AF3109"/>
    <mergeCell ref="R3104:W3104"/>
    <mergeCell ref="X3104:Y3104"/>
    <mergeCell ref="Z3104:AE3104"/>
    <mergeCell ref="S3107:X3107"/>
    <mergeCell ref="R3108:R3109"/>
    <mergeCell ref="S3108:X3109"/>
    <mergeCell ref="AD3107:AF3107"/>
    <mergeCell ref="AC3108:AC3109"/>
    <mergeCell ref="S3158:X3158"/>
    <mergeCell ref="AC3110:AC3111"/>
    <mergeCell ref="Y3131:Y3132"/>
    <mergeCell ref="Z3131:Z3132"/>
    <mergeCell ref="AB3110:AB3111"/>
    <mergeCell ref="S3130:X3130"/>
    <mergeCell ref="AC3131:AC3132"/>
    <mergeCell ref="Z3127:AE3127"/>
    <mergeCell ref="S3131:X3132"/>
    <mergeCell ref="AD3110:AF3111"/>
    <mergeCell ref="S3351:X3352"/>
    <mergeCell ref="Y3351:Y3352"/>
    <mergeCell ref="AA3314:AA3315"/>
    <mergeCell ref="AB3314:AB3315"/>
    <mergeCell ref="AC3314:AC3315"/>
    <mergeCell ref="AB3198:AB3199"/>
    <mergeCell ref="AC3198:AC3199"/>
    <mergeCell ref="AA3365:AA3366"/>
    <mergeCell ref="AC3363:AC3364"/>
    <mergeCell ref="R3363:R3364"/>
    <mergeCell ref="S3363:X3364"/>
    <mergeCell ref="S3365:X3366"/>
    <mergeCell ref="Y3365:Y3366"/>
    <mergeCell ref="AD3311:AF3311"/>
    <mergeCell ref="Y3300:Y3301"/>
    <mergeCell ref="Z3300:Z3301"/>
    <mergeCell ref="AA3300:AA3301"/>
    <mergeCell ref="S3300:X3301"/>
    <mergeCell ref="AD3298:AF3299"/>
    <mergeCell ref="S3209:X3209"/>
    <mergeCell ref="AD3209:AF3209"/>
    <mergeCell ref="R3210:R3211"/>
    <mergeCell ref="S3210:X3211"/>
    <mergeCell ref="Y3210:Y3211"/>
    <mergeCell ref="Z3210:Z3211"/>
    <mergeCell ref="AC3210:AC3211"/>
    <mergeCell ref="AD3210:AF3211"/>
    <mergeCell ref="R3212:R3213"/>
    <mergeCell ref="J1872:J1873"/>
    <mergeCell ref="L1872:L1873"/>
    <mergeCell ref="K2210:K2211"/>
    <mergeCell ref="L2210:L2211"/>
    <mergeCell ref="B2208:G2209"/>
    <mergeCell ref="Y3363:Y3364"/>
    <mergeCell ref="Z3363:Z3364"/>
    <mergeCell ref="R3365:R3366"/>
    <mergeCell ref="M1127:P1127"/>
    <mergeCell ref="M1129:N1129"/>
    <mergeCell ref="H1167:H1168"/>
    <mergeCell ref="B1115:G1115"/>
    <mergeCell ref="B1114:G1114"/>
    <mergeCell ref="K973:P973"/>
    <mergeCell ref="F1022:I1022"/>
    <mergeCell ref="B1062:G1062"/>
    <mergeCell ref="A1167:A1168"/>
    <mergeCell ref="J1792:L1792"/>
    <mergeCell ref="M1790:P1790"/>
    <mergeCell ref="D1792:G1792"/>
    <mergeCell ref="F1787:I1787"/>
    <mergeCell ref="F1788:I1788"/>
    <mergeCell ref="K1789:P1789"/>
    <mergeCell ref="F1782:K1782"/>
    <mergeCell ref="M1777:P1778"/>
    <mergeCell ref="H1772:H1773"/>
    <mergeCell ref="B1778:G1778"/>
    <mergeCell ref="J1777:J1778"/>
    <mergeCell ref="K1777:K1778"/>
    <mergeCell ref="I1772:I1773"/>
    <mergeCell ref="B1776:G1776"/>
    <mergeCell ref="K1772:K1773"/>
    <mergeCell ref="K1779:K1780"/>
    <mergeCell ref="A1777:A1778"/>
    <mergeCell ref="B1777:G1777"/>
    <mergeCell ref="H1777:H1778"/>
    <mergeCell ref="I1777:I1778"/>
    <mergeCell ref="B1779:G1779"/>
    <mergeCell ref="H1779:H1780"/>
    <mergeCell ref="I1779:I1780"/>
    <mergeCell ref="M1076:P1076"/>
    <mergeCell ref="A1032:P1032"/>
    <mergeCell ref="F1278:I1278"/>
    <mergeCell ref="G1478:H1478"/>
    <mergeCell ref="L1777:L1778"/>
    <mergeCell ref="F1227:I1227"/>
    <mergeCell ref="K1228:P1228"/>
    <mergeCell ref="F1277:I1277"/>
    <mergeCell ref="A1765:A1766"/>
    <mergeCell ref="B1765:G1766"/>
    <mergeCell ref="L1758:L1759"/>
    <mergeCell ref="A1758:A1759"/>
    <mergeCell ref="B1758:G1759"/>
    <mergeCell ref="H1758:H1759"/>
    <mergeCell ref="L1763:L1764"/>
    <mergeCell ref="J1772:J1773"/>
    <mergeCell ref="M1769:P1769"/>
    <mergeCell ref="A1770:A1771"/>
    <mergeCell ref="B1770:G1771"/>
    <mergeCell ref="H1770:H1771"/>
    <mergeCell ref="I1770:I1771"/>
    <mergeCell ref="L1772:L1773"/>
    <mergeCell ref="M1772:P1773"/>
    <mergeCell ref="A1772:A1773"/>
    <mergeCell ref="B1772:G1773"/>
    <mergeCell ref="G1783:H1783"/>
    <mergeCell ref="I1783:J1783"/>
    <mergeCell ref="K1751:K1752"/>
    <mergeCell ref="L1770:L1771"/>
    <mergeCell ref="M1770:P1771"/>
    <mergeCell ref="K1770:K1771"/>
    <mergeCell ref="J1770:J1771"/>
    <mergeCell ref="A2205:P2205"/>
    <mergeCell ref="A1858:A1859"/>
    <mergeCell ref="B1858:G1859"/>
    <mergeCell ref="H1858:H1859"/>
    <mergeCell ref="M1851:P1852"/>
    <mergeCell ref="M1858:P1859"/>
    <mergeCell ref="L1853:L1854"/>
    <mergeCell ref="M1864:P1864"/>
    <mergeCell ref="J1865:J1866"/>
    <mergeCell ref="K1865:K1866"/>
    <mergeCell ref="M1860:P1861"/>
    <mergeCell ref="M1865:P1866"/>
    <mergeCell ref="K1858:K1859"/>
    <mergeCell ref="B1864:G1864"/>
    <mergeCell ref="B1867:G1868"/>
    <mergeCell ref="H1867:H1868"/>
    <mergeCell ref="J1860:J1861"/>
    <mergeCell ref="K1860:K1861"/>
    <mergeCell ref="L1860:L1861"/>
    <mergeCell ref="L1865:L1866"/>
    <mergeCell ref="H1865:H1866"/>
    <mergeCell ref="I1865:I1866"/>
    <mergeCell ref="K1867:K1868"/>
    <mergeCell ref="A1860:A1861"/>
    <mergeCell ref="B1860:G1861"/>
    <mergeCell ref="H1860:H1861"/>
    <mergeCell ref="I1860:I1861"/>
    <mergeCell ref="A1865:A1866"/>
    <mergeCell ref="B1865:G1866"/>
    <mergeCell ref="K2095:P2095"/>
    <mergeCell ref="M1872:P1873"/>
    <mergeCell ref="M1892:P1892"/>
    <mergeCell ref="M1894:N1894"/>
    <mergeCell ref="M1878:P1878"/>
    <mergeCell ref="L1874:L1875"/>
    <mergeCell ref="H1874:H1875"/>
    <mergeCell ref="J1874:J1875"/>
    <mergeCell ref="A1867:A1868"/>
    <mergeCell ref="M1879:P1880"/>
    <mergeCell ref="H2185:H2186"/>
    <mergeCell ref="M2096:P2096"/>
    <mergeCell ref="O2099:P2099"/>
    <mergeCell ref="O2150:P2150"/>
    <mergeCell ref="O2201:P2201"/>
    <mergeCell ref="I2185:I2186"/>
    <mergeCell ref="B2187:G2187"/>
    <mergeCell ref="H2187:H2188"/>
    <mergeCell ref="B2186:G2186"/>
    <mergeCell ref="J2185:J2186"/>
    <mergeCell ref="A2187:A2188"/>
    <mergeCell ref="M2187:P2188"/>
    <mergeCell ref="K2185:K2186"/>
    <mergeCell ref="A2180:A2181"/>
    <mergeCell ref="B2180:G2181"/>
    <mergeCell ref="H2180:H2181"/>
    <mergeCell ref="I2180:I2181"/>
    <mergeCell ref="J2200:L2200"/>
    <mergeCell ref="M2200:N2200"/>
    <mergeCell ref="B2188:G2188"/>
    <mergeCell ref="I2191:J2191"/>
    <mergeCell ref="M2198:P2198"/>
    <mergeCell ref="F2:I2"/>
    <mergeCell ref="F3:I3"/>
    <mergeCell ref="F53:I53"/>
    <mergeCell ref="F54:I54"/>
    <mergeCell ref="K55:P55"/>
    <mergeCell ref="A12:P12"/>
    <mergeCell ref="H36:H37"/>
    <mergeCell ref="M14:P14"/>
    <mergeCell ref="A38:A39"/>
    <mergeCell ref="A597:A598"/>
    <mergeCell ref="A592:A593"/>
    <mergeCell ref="B592:G593"/>
    <mergeCell ref="H592:H593"/>
    <mergeCell ref="I592:I593"/>
    <mergeCell ref="K4:P4"/>
    <mergeCell ref="K565:P565"/>
    <mergeCell ref="D262:G262"/>
    <mergeCell ref="F257:I257"/>
    <mergeCell ref="F258:I258"/>
    <mergeCell ref="M603:P603"/>
    <mergeCell ref="L604:L605"/>
    <mergeCell ref="M599:P600"/>
    <mergeCell ref="I604:I605"/>
    <mergeCell ref="J604:J605"/>
    <mergeCell ref="K599:K600"/>
    <mergeCell ref="M604:P605"/>
    <mergeCell ref="J599:J600"/>
    <mergeCell ref="K604:K605"/>
    <mergeCell ref="B604:G604"/>
    <mergeCell ref="B607:G607"/>
    <mergeCell ref="I606:I607"/>
    <mergeCell ref="J606:J607"/>
    <mergeCell ref="A606:A607"/>
    <mergeCell ref="B605:G605"/>
    <mergeCell ref="H604:H605"/>
    <mergeCell ref="H606:H607"/>
    <mergeCell ref="B603:G603"/>
    <mergeCell ref="A604:A605"/>
    <mergeCell ref="B606:G606"/>
    <mergeCell ref="I400:I401"/>
    <mergeCell ref="L233:L234"/>
    <mergeCell ref="M249:P250"/>
    <mergeCell ref="L247:L248"/>
    <mergeCell ref="L242:L243"/>
    <mergeCell ref="M239:P239"/>
    <mergeCell ref="M247:P248"/>
    <mergeCell ref="M311:P311"/>
    <mergeCell ref="F410:I410"/>
    <mergeCell ref="F411:I411"/>
    <mergeCell ref="K412:P412"/>
    <mergeCell ref="G406:H406"/>
    <mergeCell ref="I406:J406"/>
    <mergeCell ref="I402:I403"/>
    <mergeCell ref="F405:K405"/>
    <mergeCell ref="K514:P514"/>
    <mergeCell ref="F563:I563"/>
    <mergeCell ref="F564:I564"/>
    <mergeCell ref="M515:P515"/>
    <mergeCell ref="I560:J560"/>
    <mergeCell ref="M7:N7"/>
    <mergeCell ref="M109:N109"/>
    <mergeCell ref="M160:N160"/>
    <mergeCell ref="M364:N364"/>
    <mergeCell ref="M29:P30"/>
    <mergeCell ref="J3237:J3238"/>
    <mergeCell ref="A3235:A3236"/>
    <mergeCell ref="B3235:G3236"/>
    <mergeCell ref="J3235:J3236"/>
    <mergeCell ref="A3237:A3238"/>
    <mergeCell ref="B3237:G3238"/>
    <mergeCell ref="H3237:H3238"/>
    <mergeCell ref="I3237:I3238"/>
    <mergeCell ref="B3234:G3234"/>
    <mergeCell ref="M3234:P3234"/>
    <mergeCell ref="L3235:L3236"/>
    <mergeCell ref="K3235:K3236"/>
    <mergeCell ref="H3235:H3236"/>
    <mergeCell ref="I3235:I3236"/>
    <mergeCell ref="K3237:K3238"/>
    <mergeCell ref="M3235:P3236"/>
    <mergeCell ref="M3244:P3245"/>
    <mergeCell ref="K3244:K3245"/>
    <mergeCell ref="L3244:L3245"/>
    <mergeCell ref="B3241:G3241"/>
    <mergeCell ref="M3241:P3241"/>
    <mergeCell ref="J3242:J3243"/>
    <mergeCell ref="B2949:G2949"/>
    <mergeCell ref="L3242:L3243"/>
    <mergeCell ref="M3242:P3243"/>
    <mergeCell ref="A3249:A3250"/>
    <mergeCell ref="B3249:G3250"/>
    <mergeCell ref="H3249:H3250"/>
    <mergeCell ref="J3244:J3245"/>
    <mergeCell ref="I3244:I3245"/>
    <mergeCell ref="A3244:A3245"/>
    <mergeCell ref="B3244:G3245"/>
    <mergeCell ref="A3242:A3243"/>
    <mergeCell ref="B3242:G3243"/>
    <mergeCell ref="H3242:H3243"/>
    <mergeCell ref="I3242:I3243"/>
    <mergeCell ref="B3248:G3248"/>
    <mergeCell ref="H3244:H3245"/>
    <mergeCell ref="B3227:G3227"/>
    <mergeCell ref="M3227:P3227"/>
    <mergeCell ref="A3225:P3225"/>
    <mergeCell ref="G3223:I3223"/>
    <mergeCell ref="J3220:L3220"/>
    <mergeCell ref="M3220:N3220"/>
    <mergeCell ref="G3224:I3224"/>
    <mergeCell ref="M3200:P3201"/>
    <mergeCell ref="K3200:K3201"/>
    <mergeCell ref="L3200:L3201"/>
    <mergeCell ref="M3204:P3204"/>
    <mergeCell ref="I3211:J3211"/>
    <mergeCell ref="B3208:G3208"/>
    <mergeCell ref="L3207:L3208"/>
    <mergeCell ref="M3207:P3208"/>
    <mergeCell ref="J3200:J3201"/>
    <mergeCell ref="J3205:J3206"/>
    <mergeCell ref="H3207:H3208"/>
    <mergeCell ref="I3207:I3208"/>
    <mergeCell ref="H3193:H3194"/>
    <mergeCell ref="I3193:I3194"/>
    <mergeCell ref="M3218:P3218"/>
    <mergeCell ref="K3198:K3199"/>
    <mergeCell ref="A3207:A3208"/>
    <mergeCell ref="O3221:P3221"/>
    <mergeCell ref="I151:J151"/>
    <mergeCell ref="G151:H151"/>
    <mergeCell ref="M566:P566"/>
    <mergeCell ref="L655:L656"/>
    <mergeCell ref="J655:J656"/>
    <mergeCell ref="M648:P649"/>
    <mergeCell ref="A1930:A1931"/>
    <mergeCell ref="B1930:G1930"/>
    <mergeCell ref="H1930:H1931"/>
    <mergeCell ref="I1930:I1931"/>
    <mergeCell ref="B1933:G1933"/>
    <mergeCell ref="M1930:P1931"/>
    <mergeCell ref="L1932:L1933"/>
    <mergeCell ref="M1932:P1933"/>
    <mergeCell ref="K1881:K1882"/>
    <mergeCell ref="I1881:I1882"/>
    <mergeCell ref="J1879:J1880"/>
    <mergeCell ref="K1872:K1873"/>
    <mergeCell ref="K1879:K1880"/>
    <mergeCell ref="M1881:P1882"/>
    <mergeCell ref="I1872:I1873"/>
    <mergeCell ref="J1881:J1882"/>
    <mergeCell ref="G1936:H1936"/>
    <mergeCell ref="I1936:J1936"/>
    <mergeCell ref="B1932:G1932"/>
    <mergeCell ref="H1932:H1933"/>
    <mergeCell ref="I1932:I1933"/>
    <mergeCell ref="B1901:G1901"/>
    <mergeCell ref="K1853:K1854"/>
    <mergeCell ref="L1858:L1859"/>
    <mergeCell ref="I1853:I1854"/>
    <mergeCell ref="I1858:I1859"/>
    <mergeCell ref="B1857:G1857"/>
    <mergeCell ref="J1858:J1859"/>
    <mergeCell ref="B749:G749"/>
    <mergeCell ref="M555:P556"/>
    <mergeCell ref="J548:J549"/>
    <mergeCell ref="G152:H152"/>
    <mergeCell ref="F1119:K1119"/>
    <mergeCell ref="G1120:H1120"/>
    <mergeCell ref="I1120:J1120"/>
    <mergeCell ref="B1116:G1116"/>
    <mergeCell ref="H1116:H1117"/>
    <mergeCell ref="I1116:I1117"/>
    <mergeCell ref="J1116:J1117"/>
    <mergeCell ref="G1132:I1132"/>
    <mergeCell ref="G1133:I1133"/>
    <mergeCell ref="G1121:H1121"/>
    <mergeCell ref="I1121:J1121"/>
    <mergeCell ref="A1134:P1134"/>
    <mergeCell ref="A1132:F1132"/>
    <mergeCell ref="J1132:O1132"/>
    <mergeCell ref="K1381:P1381"/>
    <mergeCell ref="K1343:K1344"/>
    <mergeCell ref="J1343:J1344"/>
    <mergeCell ref="J1341:J1342"/>
    <mergeCell ref="K1341:K1342"/>
    <mergeCell ref="F1226:I1226"/>
    <mergeCell ref="K1075:P1075"/>
    <mergeCell ref="F1124:I1124"/>
    <mergeCell ref="F1125:I1125"/>
    <mergeCell ref="K1126:P1126"/>
    <mergeCell ref="F1175:I1175"/>
    <mergeCell ref="J1129:L1129"/>
    <mergeCell ref="F3216:I3216"/>
    <mergeCell ref="K3217:P3217"/>
    <mergeCell ref="G3212:H3212"/>
    <mergeCell ref="I3212:J3212"/>
    <mergeCell ref="B3206:G3206"/>
    <mergeCell ref="I3200:I3201"/>
    <mergeCell ref="K2180:K2181"/>
    <mergeCell ref="L2180:L2181"/>
    <mergeCell ref="M2180:P2181"/>
    <mergeCell ref="J3286:J3287"/>
    <mergeCell ref="K3286:K3287"/>
    <mergeCell ref="F2751:K2751"/>
    <mergeCell ref="G2752:H2752"/>
    <mergeCell ref="D2251:G2251"/>
    <mergeCell ref="J1867:J1868"/>
    <mergeCell ref="M2746:P2747"/>
    <mergeCell ref="M2732:P2733"/>
    <mergeCell ref="M2725:P2726"/>
    <mergeCell ref="M2578:P2578"/>
    <mergeCell ref="M2710:N2710"/>
    <mergeCell ref="M2720:P2721"/>
    <mergeCell ref="H2268:H2269"/>
    <mergeCell ref="I2268:I2269"/>
    <mergeCell ref="O2915:P2915"/>
    <mergeCell ref="O2966:P2966"/>
    <mergeCell ref="O3017:P3017"/>
    <mergeCell ref="O3068:P3068"/>
    <mergeCell ref="O3119:P3119"/>
    <mergeCell ref="O3170:P3170"/>
    <mergeCell ref="D2965:G2965"/>
    <mergeCell ref="D3016:G3016"/>
    <mergeCell ref="G3058:H3058"/>
    <mergeCell ref="H2987:H2988"/>
    <mergeCell ref="J3070:O3070"/>
    <mergeCell ref="G3070:I3070"/>
    <mergeCell ref="K3258:K3259"/>
    <mergeCell ref="B3257:G3257"/>
    <mergeCell ref="A3123:P3123"/>
    <mergeCell ref="B1871:G1871"/>
    <mergeCell ref="A2715:P2715"/>
    <mergeCell ref="B3205:G3205"/>
    <mergeCell ref="K3193:K3194"/>
    <mergeCell ref="B3207:G3207"/>
    <mergeCell ref="I2727:I2728"/>
    <mergeCell ref="L2929:L2930"/>
    <mergeCell ref="M2929:P2930"/>
    <mergeCell ref="I2871:I2872"/>
    <mergeCell ref="J2866:O2866"/>
    <mergeCell ref="I3198:I3199"/>
    <mergeCell ref="J3198:J3199"/>
    <mergeCell ref="L3198:L3199"/>
    <mergeCell ref="M3198:P3199"/>
    <mergeCell ref="B3193:G3194"/>
    <mergeCell ref="G3211:H3211"/>
    <mergeCell ref="M3205:P3206"/>
    <mergeCell ref="A2203:F2203"/>
    <mergeCell ref="J2203:O2203"/>
    <mergeCell ref="G2204:I2204"/>
    <mergeCell ref="M2228:P2228"/>
    <mergeCell ref="I2929:I2930"/>
    <mergeCell ref="A3251:A3252"/>
    <mergeCell ref="B3251:G3252"/>
    <mergeCell ref="M3248:P3248"/>
    <mergeCell ref="K3319:P3319"/>
    <mergeCell ref="M3271:N3271"/>
    <mergeCell ref="K3309:K3310"/>
    <mergeCell ref="B3306:G3306"/>
    <mergeCell ref="J3307:J3308"/>
    <mergeCell ref="M3302:P3303"/>
    <mergeCell ref="K2720:K2721"/>
    <mergeCell ref="J2727:J2728"/>
    <mergeCell ref="G2714:I2714"/>
    <mergeCell ref="A2718:A2719"/>
    <mergeCell ref="A2720:A2721"/>
    <mergeCell ref="M2761:N2761"/>
    <mergeCell ref="D2302:G2302"/>
    <mergeCell ref="D2353:G2353"/>
    <mergeCell ref="D2404:G2404"/>
    <mergeCell ref="D2455:G2455"/>
    <mergeCell ref="K2280:K2281"/>
    <mergeCell ref="K2146:P2146"/>
    <mergeCell ref="F2195:I2195"/>
    <mergeCell ref="F2196:I2196"/>
    <mergeCell ref="K2197:P2197"/>
    <mergeCell ref="K2758:P2758"/>
    <mergeCell ref="D2506:G2506"/>
    <mergeCell ref="B2749:G2749"/>
    <mergeCell ref="M2741:P2742"/>
    <mergeCell ref="L2741:L2742"/>
    <mergeCell ref="B2745:G2745"/>
    <mergeCell ref="M2745:P2745"/>
    <mergeCell ref="L2746:L2747"/>
    <mergeCell ref="K2741:K2742"/>
    <mergeCell ref="L2748:L2749"/>
    <mergeCell ref="H2741:H2742"/>
    <mergeCell ref="I2741:I2742"/>
    <mergeCell ref="F2298:I2298"/>
    <mergeCell ref="K2299:P2299"/>
    <mergeCell ref="O2813:P2813"/>
    <mergeCell ref="O2864:P2864"/>
    <mergeCell ref="A3054:A3055"/>
    <mergeCell ref="K3054:K3055"/>
    <mergeCell ref="I3054:I3055"/>
    <mergeCell ref="B3055:G3055"/>
    <mergeCell ref="B3204:G3204"/>
    <mergeCell ref="H3133:H3134"/>
    <mergeCell ref="I3133:I3134"/>
    <mergeCell ref="G3059:H3059"/>
    <mergeCell ref="I3059:J3059"/>
    <mergeCell ref="J3067:L3067"/>
    <mergeCell ref="F3057:K3057"/>
    <mergeCell ref="F2756:I2756"/>
    <mergeCell ref="F2757:I2757"/>
    <mergeCell ref="L3026:L3027"/>
    <mergeCell ref="I3031:I3032"/>
    <mergeCell ref="A2741:A2742"/>
    <mergeCell ref="A3258:A3259"/>
    <mergeCell ref="F3210:K3210"/>
    <mergeCell ref="A3205:A3206"/>
    <mergeCell ref="M2810:P2810"/>
    <mergeCell ref="F3261:K3261"/>
    <mergeCell ref="G3262:H3262"/>
    <mergeCell ref="I3262:J3262"/>
    <mergeCell ref="M3269:P3269"/>
    <mergeCell ref="M3306:P3306"/>
    <mergeCell ref="F3165:I3165"/>
    <mergeCell ref="K3166:P3166"/>
    <mergeCell ref="I866:J866"/>
    <mergeCell ref="F864:K864"/>
    <mergeCell ref="G865:H865"/>
    <mergeCell ref="K871:P871"/>
    <mergeCell ref="F920:I920"/>
    <mergeCell ref="F921:I921"/>
    <mergeCell ref="K922:P922"/>
    <mergeCell ref="F971:I971"/>
    <mergeCell ref="F972:I972"/>
    <mergeCell ref="F915:K915"/>
    <mergeCell ref="A3200:A3201"/>
    <mergeCell ref="B3200:G3201"/>
    <mergeCell ref="H3205:H3206"/>
    <mergeCell ref="I3205:I3206"/>
    <mergeCell ref="J3207:J3208"/>
    <mergeCell ref="H3200:H3201"/>
    <mergeCell ref="I2259:I2260"/>
    <mergeCell ref="L2259:L2260"/>
    <mergeCell ref="J2259:J2260"/>
    <mergeCell ref="K2259:K2260"/>
    <mergeCell ref="G2090:H2090"/>
    <mergeCell ref="L2178:L2179"/>
    <mergeCell ref="M2178:P2179"/>
    <mergeCell ref="K2178:K2179"/>
    <mergeCell ref="J2178:J2179"/>
    <mergeCell ref="D7:G7"/>
    <mergeCell ref="D58:G58"/>
    <mergeCell ref="D109:G109"/>
    <mergeCell ref="D160:G160"/>
    <mergeCell ref="D211:G211"/>
    <mergeCell ref="K2748:K2749"/>
    <mergeCell ref="L2732:L2733"/>
    <mergeCell ref="J2732:J2733"/>
    <mergeCell ref="B2747:G2747"/>
    <mergeCell ref="A2725:A2726"/>
    <mergeCell ref="B2725:G2726"/>
    <mergeCell ref="H2725:H2726"/>
    <mergeCell ref="I2725:I2726"/>
    <mergeCell ref="A2727:A2728"/>
    <mergeCell ref="H2727:H2728"/>
    <mergeCell ref="H2732:H2733"/>
    <mergeCell ref="I2732:I2733"/>
    <mergeCell ref="A2739:A2740"/>
    <mergeCell ref="B2739:G2740"/>
    <mergeCell ref="H2739:H2740"/>
    <mergeCell ref="I2739:I2740"/>
    <mergeCell ref="A2734:A2735"/>
    <mergeCell ref="A2748:A2749"/>
    <mergeCell ref="K2732:K2733"/>
    <mergeCell ref="M2739:P2740"/>
    <mergeCell ref="M2734:P2735"/>
    <mergeCell ref="K2734:K2735"/>
    <mergeCell ref="L2734:L2735"/>
    <mergeCell ref="K2739:K2740"/>
    <mergeCell ref="L2739:L2740"/>
    <mergeCell ref="A2732:A2733"/>
    <mergeCell ref="B2732:G2733"/>
    <mergeCell ref="H2734:H2735"/>
    <mergeCell ref="I2734:I2735"/>
    <mergeCell ref="J2734:J2735"/>
    <mergeCell ref="J2739:J2740"/>
    <mergeCell ref="F2297:I2297"/>
    <mergeCell ref="G610:H610"/>
    <mergeCell ref="I610:J610"/>
    <mergeCell ref="D721:G721"/>
    <mergeCell ref="D772:G772"/>
    <mergeCell ref="D823:G823"/>
    <mergeCell ref="D874:G874"/>
    <mergeCell ref="D925:G925"/>
    <mergeCell ref="G763:H763"/>
    <mergeCell ref="A877:F877"/>
    <mergeCell ref="B847:G848"/>
    <mergeCell ref="H845:H846"/>
    <mergeCell ref="B912:G912"/>
    <mergeCell ref="D1333:G1333"/>
    <mergeCell ref="D1129:G1129"/>
    <mergeCell ref="D1180:G1180"/>
    <mergeCell ref="D1231:G1231"/>
    <mergeCell ref="B1168:G1168"/>
    <mergeCell ref="B1167:G1167"/>
    <mergeCell ref="G1172:H1172"/>
    <mergeCell ref="F1272:K1272"/>
    <mergeCell ref="G1273:H1273"/>
    <mergeCell ref="B1881:G1881"/>
    <mergeCell ref="B1880:G1880"/>
    <mergeCell ref="I1879:I1880"/>
    <mergeCell ref="A2259:A2260"/>
    <mergeCell ref="B2259:G2260"/>
    <mergeCell ref="O8:P8"/>
    <mergeCell ref="O59:P59"/>
    <mergeCell ref="O110:P110"/>
    <mergeCell ref="O161:P161"/>
    <mergeCell ref="O212:P212"/>
    <mergeCell ref="O263:P263"/>
    <mergeCell ref="O314:P314"/>
    <mergeCell ref="O365:P365"/>
    <mergeCell ref="O416:P416"/>
    <mergeCell ref="O467:P467"/>
    <mergeCell ref="O518:P518"/>
    <mergeCell ref="O569:P569"/>
    <mergeCell ref="O620:P620"/>
    <mergeCell ref="O671:P671"/>
    <mergeCell ref="O722:P722"/>
    <mergeCell ref="O773:P773"/>
    <mergeCell ref="O824:P824"/>
    <mergeCell ref="O875:P875"/>
    <mergeCell ref="O926:P926"/>
    <mergeCell ref="O977:P977"/>
    <mergeCell ref="O1028:P1028"/>
    <mergeCell ref="O1079:P1079"/>
    <mergeCell ref="O1130:P1130"/>
    <mergeCell ref="O1181:P1181"/>
    <mergeCell ref="O1232:P1232"/>
    <mergeCell ref="O1283:P1283"/>
    <mergeCell ref="O1334:P1334"/>
    <mergeCell ref="O1385:P1385"/>
    <mergeCell ref="O1436:P1436"/>
    <mergeCell ref="O1487:P1487"/>
    <mergeCell ref="O1538:P1538"/>
    <mergeCell ref="O1589:P1589"/>
    <mergeCell ref="O1640:P1640"/>
    <mergeCell ref="K106:P106"/>
    <mergeCell ref="A114:P114"/>
    <mergeCell ref="F150:K150"/>
    <mergeCell ref="F614:I614"/>
    <mergeCell ref="F1023:I1023"/>
    <mergeCell ref="K1024:P1024"/>
    <mergeCell ref="F1073:I1073"/>
    <mergeCell ref="F1074:I1074"/>
    <mergeCell ref="K1058:K1059"/>
    <mergeCell ref="L1058:L1059"/>
    <mergeCell ref="M1058:P1059"/>
    <mergeCell ref="I1273:J1273"/>
    <mergeCell ref="B909:G909"/>
    <mergeCell ref="M946:P946"/>
    <mergeCell ref="M925:N925"/>
    <mergeCell ref="M719:P719"/>
    <mergeCell ref="A675:P675"/>
    <mergeCell ref="A726:P726"/>
    <mergeCell ref="I1478:J1478"/>
    <mergeCell ref="F1476:K1476"/>
    <mergeCell ref="I1477:J1477"/>
    <mergeCell ref="J1466:J1467"/>
    <mergeCell ref="F1328:I1328"/>
    <mergeCell ref="F1329:I1329"/>
    <mergeCell ref="K1330:P1330"/>
    <mergeCell ref="M1025:P1025"/>
    <mergeCell ref="O2252:P2252"/>
    <mergeCell ref="O2303:P2303"/>
    <mergeCell ref="O2354:P2354"/>
    <mergeCell ref="O2405:P2405"/>
    <mergeCell ref="O2456:P2456"/>
    <mergeCell ref="O2507:P2507"/>
    <mergeCell ref="O2558:P2558"/>
    <mergeCell ref="O2609:P2609"/>
    <mergeCell ref="O2660:P2660"/>
    <mergeCell ref="O2711:P2711"/>
    <mergeCell ref="O2762:P2762"/>
    <mergeCell ref="O1844:P1844"/>
    <mergeCell ref="O1895:P1895"/>
    <mergeCell ref="A2273:A2274"/>
    <mergeCell ref="B2273:G2274"/>
    <mergeCell ref="B2272:G2272"/>
    <mergeCell ref="A1872:A1873"/>
    <mergeCell ref="L1867:L1868"/>
    <mergeCell ref="M1867:P1868"/>
    <mergeCell ref="D2098:G2098"/>
    <mergeCell ref="F1379:I1379"/>
    <mergeCell ref="F1380:I1380"/>
    <mergeCell ref="K2266:K2267"/>
    <mergeCell ref="J2261:J2262"/>
    <mergeCell ref="G2713:I2713"/>
    <mergeCell ref="K2248:P2248"/>
    <mergeCell ref="F2247:I2247"/>
    <mergeCell ref="F2451:I2451"/>
    <mergeCell ref="F2348:I2348"/>
    <mergeCell ref="F2349:I2349"/>
    <mergeCell ref="A2746:A2747"/>
    <mergeCell ref="B2746:G2746"/>
    <mergeCell ref="H2746:H2747"/>
    <mergeCell ref="I2746:I2747"/>
    <mergeCell ref="J2746:J2747"/>
    <mergeCell ref="K2746:K2747"/>
    <mergeCell ref="M2738:P2738"/>
    <mergeCell ref="B2734:G2735"/>
    <mergeCell ref="G1898:I1898"/>
    <mergeCell ref="K2523:K2524"/>
    <mergeCell ref="M1857:P1857"/>
    <mergeCell ref="J1853:J1854"/>
    <mergeCell ref="B1872:G1873"/>
    <mergeCell ref="O1691:P1691"/>
    <mergeCell ref="O1742:P1742"/>
    <mergeCell ref="O1793:P1793"/>
    <mergeCell ref="I1874:I1875"/>
    <mergeCell ref="J2238:J2239"/>
    <mergeCell ref="B2239:G2239"/>
    <mergeCell ref="G2243:H2243"/>
    <mergeCell ref="I2090:J2090"/>
    <mergeCell ref="F2088:K2088"/>
    <mergeCell ref="H2083:H2084"/>
    <mergeCell ref="I2748:I2749"/>
    <mergeCell ref="J2748:J2749"/>
    <mergeCell ref="B2207:G2207"/>
    <mergeCell ref="M2207:P2207"/>
    <mergeCell ref="O3323:P3323"/>
    <mergeCell ref="G2753:H2753"/>
    <mergeCell ref="I2753:J2753"/>
    <mergeCell ref="D2761:G2761"/>
    <mergeCell ref="F3063:I3063"/>
    <mergeCell ref="K3064:P3064"/>
    <mergeCell ref="F3113:I3113"/>
    <mergeCell ref="F3114:I3114"/>
    <mergeCell ref="K3115:P3115"/>
    <mergeCell ref="M3065:P3065"/>
    <mergeCell ref="G3110:H3110"/>
    <mergeCell ref="I3110:J3110"/>
    <mergeCell ref="I3109:J3109"/>
    <mergeCell ref="I2987:I2988"/>
    <mergeCell ref="I2752:J2752"/>
    <mergeCell ref="B2748:G2748"/>
    <mergeCell ref="B2738:G2738"/>
    <mergeCell ref="D3322:G3322"/>
    <mergeCell ref="D3067:G3067"/>
    <mergeCell ref="D3118:G3118"/>
    <mergeCell ref="I3288:I3289"/>
    <mergeCell ref="L3288:L3289"/>
    <mergeCell ref="J3300:J3301"/>
    <mergeCell ref="L3293:L3294"/>
    <mergeCell ref="F3312:K3312"/>
    <mergeCell ref="L3300:L3301"/>
    <mergeCell ref="K3242:K3243"/>
    <mergeCell ref="L3237:L3238"/>
    <mergeCell ref="B3153:G3153"/>
    <mergeCell ref="I3154:I3155"/>
    <mergeCell ref="H3154:H3155"/>
    <mergeCell ref="B3142:G3143"/>
    <mergeCell ref="H3142:H3143"/>
    <mergeCell ref="I3142:I3143"/>
    <mergeCell ref="J3140:J3141"/>
    <mergeCell ref="B2741:G2742"/>
    <mergeCell ref="H2748:H2749"/>
    <mergeCell ref="I3058:J3058"/>
    <mergeCell ref="I3026:I3027"/>
    <mergeCell ref="J3026:J3027"/>
    <mergeCell ref="M3237:P3238"/>
    <mergeCell ref="F3062:I3062"/>
    <mergeCell ref="A3070:F3070"/>
    <mergeCell ref="M2935:P2935"/>
    <mergeCell ref="A1899:P1899"/>
    <mergeCell ref="M2098:N2098"/>
    <mergeCell ref="K3268:P3268"/>
    <mergeCell ref="F3317:I3317"/>
    <mergeCell ref="F3318:I3318"/>
    <mergeCell ref="B3258:G3258"/>
    <mergeCell ref="H3258:H3259"/>
    <mergeCell ref="I3258:I3259"/>
    <mergeCell ref="J3258:J3259"/>
    <mergeCell ref="K3207:K3208"/>
    <mergeCell ref="B2929:G2930"/>
    <mergeCell ref="H2929:H2930"/>
    <mergeCell ref="G3263:H3263"/>
    <mergeCell ref="I3263:J3263"/>
    <mergeCell ref="J3271:L3271"/>
    <mergeCell ref="J3118:L3118"/>
    <mergeCell ref="M3286:P3287"/>
    <mergeCell ref="I3281:I3282"/>
    <mergeCell ref="J3279:J3280"/>
    <mergeCell ref="L3281:L3282"/>
    <mergeCell ref="G3275:I3275"/>
    <mergeCell ref="J3040:J3041"/>
    <mergeCell ref="M3047:P3048"/>
    <mergeCell ref="F2246:I2246"/>
    <mergeCell ref="F2093:I2093"/>
    <mergeCell ref="F2094:I2094"/>
    <mergeCell ref="G1886:H1886"/>
    <mergeCell ref="I1886:J1886"/>
    <mergeCell ref="F1884:K1884"/>
    <mergeCell ref="A1897:F1897"/>
    <mergeCell ref="J1897:O1897"/>
    <mergeCell ref="M1874:P1875"/>
    <mergeCell ref="B1878:G1878"/>
    <mergeCell ref="A1874:A1875"/>
    <mergeCell ref="G1885:H1885"/>
    <mergeCell ref="I1885:J1885"/>
    <mergeCell ref="L2231:L2232"/>
    <mergeCell ref="A1879:A1880"/>
    <mergeCell ref="B1879:G1879"/>
    <mergeCell ref="H1879:H1880"/>
    <mergeCell ref="H1881:H1882"/>
    <mergeCell ref="A1881:A1882"/>
    <mergeCell ref="B1882:G1882"/>
    <mergeCell ref="O3272:P3272"/>
    <mergeCell ref="H2697:H2698"/>
    <mergeCell ref="I2702:J2702"/>
    <mergeCell ref="F2700:K2700"/>
    <mergeCell ref="F2654:I2654"/>
    <mergeCell ref="F2655:I2655"/>
    <mergeCell ref="K2261:K2262"/>
    <mergeCell ref="L2266:L2267"/>
    <mergeCell ref="J2268:J2269"/>
    <mergeCell ref="K2268:K2269"/>
    <mergeCell ref="L2268:L2269"/>
    <mergeCell ref="M2184:P2184"/>
    <mergeCell ref="M1901:P1901"/>
    <mergeCell ref="K1932:K1933"/>
    <mergeCell ref="M1925:P1926"/>
    <mergeCell ref="L1925:L1926"/>
    <mergeCell ref="H2259:H2260"/>
    <mergeCell ref="G2203:I2203"/>
    <mergeCell ref="L2208:L2209"/>
    <mergeCell ref="B1931:G1931"/>
    <mergeCell ref="J1894:L1894"/>
    <mergeCell ref="F1889:I1889"/>
    <mergeCell ref="F1890:I1890"/>
    <mergeCell ref="K1891:P1891"/>
    <mergeCell ref="K1874:K1875"/>
    <mergeCell ref="F3215:I3215"/>
  </mergeCells>
  <phoneticPr fontId="1" type="noConversion"/>
  <dataValidations count="2">
    <dataValidation type="list" allowBlank="1" showInputMessage="1" showErrorMessage="1" sqref="B36:G39 B29:G32 B22:G25 B3177:G3180 B3198:G3201 B3191:G3194 B3184:G3187 B3228:G3231 B3249:G3252 B3242:G3245 B3235:G3238 B3279:G3282 B3300:G3303 B3293:G3296 B3286:G3289 B66:G69 B87:G90 B80:G83 B73:G76 B117:G120 B138:G141 B131:G134 B124:G127 B168:G171 B189:G192 B182:G185 B175:G178 B219:G222 B240:G243 B233:G236 B226:G229 B270:G273 B291:G294 B284:G287 B277:G280 B321:G324 B342:G345 B335:G338 B328:G331 B372:G375 B393:G396 B386:G389 B379:G382 B423:G426 B444:G447 B437:G440 B430:G433 B474:G477 B495:G498 B488:G491 B481:G484 B525:G528 B546:G549 B539:G542 B532:G535 B576:G579 B597:G600 B590:G593 B583:G586 B627:G630 B648:G651 B641:G644 B634:G637 B678:G681 B699:G702 B692:G695 B685:G688 B729:G732 B750:G753 B743:G746 B736:G739 B780:G783 B801:G804 B794:G797 B787:G790 B831:G834 B852:G855 B845:G848 B838:G841 B882:G885 B903:G906 B896:G899 B889:G892 B933:G936 B954:G957 B947:G950 B940:G943 B984:G987 B1005:G1008 B998:G1001 B991:G994 B1035:G1038 B1056:G1059 B1049:G1052 B1042:G1045 B1086:G1089 B1107:G1110 B1100:G1103 B1093:G1096 B1137:G1140 B1158:G1161 B1151:G1154 B1144:G1147 B1188:G1191 B1209:G1212 B1202:G1205 B1195:G1198 B1239:G1242 B1260:G1263 B1253:G1256 B1246:G1249 B1290:G1293 B1311:G1314 B1304:G1307 B1297:G1300 B1341:G1344 B1362:G1365 B1355:G1358 B1348:G1351 B1392:G1395 B1413:G1416 B1406:G1409 B1399:G1402 B1443:G1446 B1464:G1467 B1457:G1460 B1450:G1453 B1494:G1497 B1515:G1518 B1508:G1511 B1501:G1504 B1545:G1548 B1566:G1569 B1559:G1562 B1552:G1555 B1596:G1599 B1617:G1620 B1610:G1613 B1603:G1606 B1647:G1650 B1668:G1671 B1661:G1664 B1654:G1657 B1698:G1701 B1719:G1722 B1712:G1715 B1705:G1708 B1749:G1752 B1770:G1773 B1763:G1766 B1756:G1759 B1800:G1803 B1821:G1824 B1814:G1817 B1807:G1810 B1851:G1854 B1872:G1875 B1865:G1868 B1858:G1861 B1902:G1905 B1923:G1926 B1916:G1919 B1909:G1912 B1953:G1956 B1974:G1977 B1967:G1970 B1960:G1963 B2004:G2007 B2025:G2028 B2018:G2021 B2011:G2014 B2055:G2058 B2076:G2079 B2069:G2072 B2062:G2065 B2106:G2109 B2127:G2130 B2120:G2123 B2113:G2116 B2157:G2160 B2178:G2181 B2171:G2174 B2164:G2167 B2208:G2211 B2229:G2232 B2222:G2225 B2215:G2218 B2259:G2262 B2280:G2283 B2273:G2276 B2266:G2269 B2310:G2313 B2331:G2334 B2324:G2327 B2317:G2320 B2361:G2364 B2382:G2385 B2375:G2378 B2368:G2371 B2412:G2415 B2433:G2436 B2426:G2429 B2419:G2422 B2463:G2466 B2484:G2487 B2477:G2480 B2470:G2473 B2514:G2517 B2535:G2538 B2528:G2531 B2521:G2524 B2565:G2568 B2586:G2589 B2579:G2582 B2572:G2575 B2616:G2619 B2637:G2640 B2630:G2633 B2623:G2626 B2667:G2670 B2688:G2691 B2681:G2684 B2674:G2677 B2718:G2721 B2739:G2742 B2732:G2735 B2725:G2728 B2769:G2772 B2790:G2793 B2783:G2786 B2776:G2779 B2820:G2823 B2841:G2844 B2834:G2837 B2827:G2830 B2871:G2874 B2892:G2895 B2885:G2888 B2878:G2881 B2922:G2925 B2943:G2946 B2936:G2939 B2929:G2932 B2973:G2976 B2994:G2997 B2987:G2990 B2980:G2983 B3024:G3027 B3045:G3048 B3038:G3041 B3031:G3034 B3075:G3078 B3096:G3099 B3089:G3092 B3082:G3085 B3126:G3129 B3147:G3150 B3140:G3143 B3133:G3136 B3337:G3340 B3344:G3347 B3351:G3354 B3330:G3333 B15:G18" xr:uid="{00000000-0002-0000-0300-000000000000}">
      <formula1>CHOOSE(VLOOKUP($A15,$AM$1:$AN$12,2,FALSE),AV,BV,CV,DV,EV,FV,GV,HV,IV,JV,KV,LV)</formula1>
    </dataValidation>
    <dataValidation type="list" allowBlank="1" showInputMessage="1" showErrorMessage="1" sqref="B46:G46 B3155:G3155 B3157:G3157 B3206:G3206 B3208:G3208 B3257:G3257 B3259:G3259 B3308:G3308 B3310:G3310 B95:G95 B97:G97 B146:G146 B148:G148 B197:G197 B199:G199 B248:G248 B250:G250 B299:G299 B301:G301 B350:G350 B352:G352 B401:G401 B403:G403 B452:G452 B454:G454 B503:G503 B505:G505 B554:G554 B556:G556 B605:G605 B607:G607 B656:G656 B658:G658 B707:G707 B709:G709 B758:G758 B760:G760 B809:G809 B811:G811 B860:G860 B862:G862 B911:G911 B913:G913 B962:G962 B964:G964 B1013:G1013 B1015:G1015 B1064:G1064 B1066:G1066 B1115:G1115 B1117:G1117 B1166:G1166 B1168:G1168 B1217:G1217 B1219:G1219 B1268:G1268 B1270:G1270 B1319:G1319 B1321:G1321 B1370:G1370 B1372:G1372 B1421:G1421 B1423:G1423 B1472:G1472 B1474:G1474 B1523:G1523 B1525:G1525 B1574:G1574 B1576:G1576 B1625:G1625 B1627:G1627 B1676:G1676 B1678:G1678 B1727:G1727 B1729:G1729 B1778:G1778 B1780:G1780 B1829:G1829 B1831:G1831 B1880:G1880 B1882:G1882 B1931:G1931 B1933:G1933 B1982:G1982 B1984:G1984 B2033:G2033 B2035:G2035 B2084:G2084 B2086:G2086 B2135:G2135 B2137:G2137 B2186:G2186 B2188:G2188 B2237:G2237 B2239:G2239 B2288:G2288 B2290:G2290 B2339:G2339 B2341:G2341 B2390:G2390 B2392:G2392 B2441:G2441 B2443:G2443 B2492:G2492 B2494:G2494 B2543:G2543 B2545:G2545 B2594:G2594 B2596:G2596 B2645:G2645 B2647:G2647 B2696:G2696 B2698:G2698 B2747:G2747 B2749:G2749 B2798:G2798 B2800:G2800 B2849:G2849 B2851:G2851 B2900:G2900 B2902:G2902 B2951:G2951 B2953:G2953 B3002:G3002 B3004:G3004 B3053:G3053 B3055:G3055 B3104:G3104 B3106:G3106 B44:G44 B3359:G3359 B3361:G3361" xr:uid="{00000000-0002-0000-0300-000001000000}">
      <formula1>CHOOSE(VLOOKUP($A43,$AM$1:$AN$12,2,FALSE),AV,BV,CV,DV,EV,FV,GV,HV,IV,JV,KV,LV)</formula1>
    </dataValidation>
  </dataValidations>
  <pageMargins left="0.75" right="0.75" top="1" bottom="1" header="0.5" footer="0.5"/>
  <pageSetup pageOrder="overThenDown" orientation="portrait" r:id="rId1"/>
  <headerFooter alignWithMargins="0"/>
  <rowBreaks count="65" manualBreakCount="65">
    <brk id="51" max="31" man="1"/>
    <brk id="102" max="31" man="1"/>
    <brk id="153" max="31" man="1"/>
    <brk id="204" max="31" man="1"/>
    <brk id="255" max="31" man="1"/>
    <brk id="306" max="31" man="1"/>
    <brk id="357" max="31" man="1"/>
    <brk id="408" max="31" man="1"/>
    <brk id="459" max="31" man="1"/>
    <brk id="510" max="31" man="1"/>
    <brk id="561" max="31" man="1"/>
    <brk id="612" max="31" man="1"/>
    <brk id="663" max="31" man="1"/>
    <brk id="714" max="31" man="1"/>
    <brk id="765" max="31" man="1"/>
    <brk id="816" max="31" man="1"/>
    <brk id="867" max="31" man="1"/>
    <brk id="918" max="31" man="1"/>
    <brk id="969" max="31" man="1"/>
    <brk id="1020" max="31" man="1"/>
    <brk id="1071" max="31" man="1"/>
    <brk id="1122" max="31" man="1"/>
    <brk id="1173" max="31" man="1"/>
    <brk id="1224" max="31" man="1"/>
    <brk id="1275" max="31" man="1"/>
    <brk id="1326" max="31" man="1"/>
    <brk id="1377" max="31" man="1"/>
    <brk id="1428" max="31" man="1"/>
    <brk id="1479" max="31" man="1"/>
    <brk id="1530" max="31" man="1"/>
    <brk id="1581" max="31" man="1"/>
    <brk id="1632" max="31" man="1"/>
    <brk id="1683" max="31" man="1"/>
    <brk id="1734" max="31" man="1"/>
    <brk id="1785" max="31" man="1"/>
    <brk id="1836" max="31" man="1"/>
    <brk id="1887" max="31" man="1"/>
    <brk id="1938" max="31" man="1"/>
    <brk id="1989" max="31" man="1"/>
    <brk id="2040" max="31" man="1"/>
    <brk id="2091" max="31" man="1"/>
    <brk id="2142" max="31" man="1"/>
    <brk id="2193" max="31" man="1"/>
    <brk id="2244" max="31" man="1"/>
    <brk id="2295" max="31" man="1"/>
    <brk id="2346" max="31" man="1"/>
    <brk id="2397" max="31" man="1"/>
    <brk id="2448" max="31" man="1"/>
    <brk id="2499" max="31" man="1"/>
    <brk id="2550" max="31" man="1"/>
    <brk id="2601" max="31" man="1"/>
    <brk id="2652" max="31" man="1"/>
    <brk id="2703" max="31" man="1"/>
    <brk id="2754" max="31" man="1"/>
    <brk id="2805" max="31" man="1"/>
    <brk id="2856" max="31" man="1"/>
    <brk id="2907" max="31" man="1"/>
    <brk id="2958" max="31" man="1"/>
    <brk id="3009" max="31" man="1"/>
    <brk id="3060" max="31" man="1"/>
    <brk id="3111" max="31" man="1"/>
    <brk id="3162" max="31" man="1"/>
    <brk id="3213" max="31" man="1"/>
    <brk id="3264" max="31" man="1"/>
    <brk id="3315" max="31" man="1"/>
  </rowBreaks>
  <colBreaks count="1" manualBreakCount="1">
    <brk id="16" max="336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J264"/>
  <sheetViews>
    <sheetView zoomScaleNormal="100" workbookViewId="0">
      <selection activeCell="K1" sqref="K1"/>
    </sheetView>
  </sheetViews>
  <sheetFormatPr defaultRowHeight="13.2" x14ac:dyDescent="0.25"/>
  <cols>
    <col min="1" max="1" width="50.6640625" customWidth="1"/>
    <col min="2" max="3" width="25.77734375" customWidth="1"/>
    <col min="4" max="4" width="6.44140625" bestFit="1" customWidth="1"/>
    <col min="5" max="5" width="10.6640625" bestFit="1" customWidth="1"/>
    <col min="6" max="10" width="9.21875" style="7"/>
  </cols>
  <sheetData>
    <row r="1" spans="1:10" x14ac:dyDescent="0.25">
      <c r="A1" s="55" t="e">
        <f>$B1&amp;";"&amp;VLOOKUP($B1,Players!$C$4:$G$132,5,FALSE)&amp;";"&amp;IF(ISERROR(VLOOKUP($B1,Players!$C$4:$G$132,2,FALSE)),0,VLOOKUP($B1,Players!$C$4:$G$132,2,FALSE))&amp;";"&amp;$C1&amp;";"&amp;VLOOKUP($C1,Players!$C$4:$G$132,5,FALSE)&amp;";"&amp;IF(ISERROR(VLOOKUP($C1,Players!$C$4:$G$132,2,FALSE)),0,VLOOKUP($C1,Players!$C$4:$G$132,2,FALSE))&amp;"|"</f>
        <v>#N/A</v>
      </c>
      <c r="B1" t="str">
        <f>IF(Team_Matches!$Q15="W",Team_Matches!$B15,IF(Team_Matches!$Q17="W",Team_Matches!$B17,""))</f>
        <v/>
      </c>
      <c r="C1" t="str">
        <f>IF(Team_Matches!$Q15="L",Team_Matches!$B15,IF(Team_Matches!$Q17="L",Team_Matches!$B17,""))</f>
        <v/>
      </c>
      <c r="D1" t="str">
        <f>CONCATENATE(Team_Matches!$B9," vs ",Team_Matches!$K9)</f>
        <v>A vs L</v>
      </c>
      <c r="E1" t="str">
        <f>Team_Matches!A13</f>
        <v>1st Singles</v>
      </c>
      <c r="F1" s="7" t="str">
        <f>IF(Team_Matches!$Q15&lt;&gt;"",IF(Team_Matches!H15&gt;Team_Matches!H17,MIN(Team_Matches!H15,Team_Matches!H17),-MIN(Team_Matches!H15,Team_Matches!H17))*IF(Team_Matches!$Q15="W",1,-1),"")</f>
        <v/>
      </c>
      <c r="G1" s="7" t="str">
        <f>IF(Team_Matches!$Q15&lt;&gt;"",IF(Team_Matches!I15&gt;Team_Matches!I17,MIN(Team_Matches!I15,Team_Matches!I17),-MIN(Team_Matches!I15,Team_Matches!I17))*IF(Team_Matches!$Q15="W",1,-1),"")</f>
        <v/>
      </c>
      <c r="H1" s="7" t="str">
        <f>IF(Team_Matches!$Q15&lt;&gt;"",IF(Team_Matches!J15&gt;Team_Matches!J17,MIN(Team_Matches!J15,Team_Matches!J17),-MIN(Team_Matches!J15,Team_Matches!J17))*IF(Team_Matches!$Q15="W",1,-1),"")</f>
        <v/>
      </c>
      <c r="I1" s="7" t="str">
        <f>IF(Team_Matches!$Q15&lt;&gt;"",IF(Team_Matches!K15=Team_Matches!K17,"",IF(Team_Matches!K15&gt;Team_Matches!K17,MIN(Team_Matches!K15,Team_Matches!K17),-MIN(Team_Matches!K15,Team_Matches!K17))*IF(Team_Matches!$Q15="W",1,-1)),"")</f>
        <v/>
      </c>
      <c r="J1" s="7" t="str">
        <f>IF(Team_Matches!$Q15&lt;&gt;"",IF(Team_Matches!L15=Team_Matches!L17,"",IF(Team_Matches!L15&gt;Team_Matches!L17,MIN(Team_Matches!L15,Team_Matches!L17),-MIN(Team_Matches!L15,Team_Matches!L17))*IF(Team_Matches!$Q15="W",1,-1)),"")</f>
        <v/>
      </c>
    </row>
    <row r="2" spans="1:10" x14ac:dyDescent="0.25">
      <c r="A2" s="55" t="e">
        <f>$B2&amp;";"&amp;VLOOKUP($B2,Players!$C$4:$G$132,5,FALSE)&amp;";"&amp;IF(ISERROR(VLOOKUP($B2,Players!$C$4:$G$132,2,FALSE)),0,VLOOKUP($B2,Players!$C$4:$G$132,2,FALSE))&amp;";"&amp;$C2&amp;";"&amp;VLOOKUP($C2,Players!$C$4:$G$132,5,FALSE)&amp;";"&amp;IF(ISERROR(VLOOKUP($C2,Players!$C$4:$G$132,2,FALSE)),0,VLOOKUP($C2,Players!$C$4:$G$132,2,FALSE))&amp;"|"</f>
        <v>#N/A</v>
      </c>
      <c r="B2" t="str">
        <f>IF(Team_Matches!$Q22="W",Team_Matches!$B22,IF(Team_Matches!$Q24="W",Team_Matches!$B24,""))</f>
        <v/>
      </c>
      <c r="C2" t="str">
        <f>IF(Team_Matches!$Q22="L",Team_Matches!$B22,IF(Team_Matches!$Q24="L",Team_Matches!$B24,""))</f>
        <v/>
      </c>
      <c r="D2" t="str">
        <f>CONCATENATE(Team_Matches!$B9," vs ",Team_Matches!$K9)</f>
        <v>A vs L</v>
      </c>
      <c r="E2" t="str">
        <f>Team_Matches!$A20</f>
        <v>2nd Singles</v>
      </c>
      <c r="F2" s="7" t="str">
        <f>IF(Team_Matches!$Q22&lt;&gt;"",IF(Team_Matches!H22&gt;Team_Matches!H24,MIN(Team_Matches!H22,Team_Matches!H24),-MIN(Team_Matches!H22,Team_Matches!H24))*IF(Team_Matches!$Q22="W",1,-1),"")</f>
        <v/>
      </c>
      <c r="G2" s="7" t="str">
        <f>IF(Team_Matches!$Q22&lt;&gt;"",IF(Team_Matches!I22&gt;Team_Matches!I24,MIN(Team_Matches!I22,Team_Matches!I24),-MIN(Team_Matches!I22,Team_Matches!I24))*IF(Team_Matches!$Q22="W",1,-1),"")</f>
        <v/>
      </c>
      <c r="H2" s="7" t="str">
        <f>IF(Team_Matches!$Q22&lt;&gt;"",IF(Team_Matches!J22&gt;Team_Matches!J24,MIN(Team_Matches!J22,Team_Matches!J24),-MIN(Team_Matches!J22,Team_Matches!J24))*IF(Team_Matches!$Q22="W",1,-1),"")</f>
        <v/>
      </c>
      <c r="I2" s="7" t="str">
        <f>IF(Team_Matches!$Q22&lt;&gt;"",IF(Team_Matches!K22=Team_Matches!K24,"",IF(Team_Matches!K22&gt;Team_Matches!K24,MIN(Team_Matches!K22,Team_Matches!K24),-MIN(Team_Matches!K22,Team_Matches!K24))*IF(Team_Matches!$Q22="W",1,-1)),"")</f>
        <v/>
      </c>
      <c r="J2" s="7" t="str">
        <f>IF(Team_Matches!$Q22&lt;&gt;"",IF(Team_Matches!L22=Team_Matches!L24,"",IF(Team_Matches!L22&gt;Team_Matches!L24,MIN(Team_Matches!L22,Team_Matches!L24),-MIN(Team_Matches!L22,Team_Matches!L24))*IF(Team_Matches!$Q22="W",1,-1)),"")</f>
        <v/>
      </c>
    </row>
    <row r="3" spans="1:10" x14ac:dyDescent="0.25">
      <c r="A3" s="55" t="e">
        <f>$B3&amp;";"&amp;VLOOKUP($B3,Players!$C$4:$G$132,5,FALSE)&amp;";"&amp;IF(ISERROR(VLOOKUP($B3,Players!$C$4:$G$132,2,FALSE)),0,VLOOKUP($B3,Players!$C$4:$G$132,2,FALSE))&amp;";"&amp;$C3&amp;";"&amp;VLOOKUP($C3,Players!$C$4:$G$132,5,FALSE)&amp;";"&amp;IF(ISERROR(VLOOKUP($C3,Players!$C$4:$G$132,2,FALSE)),0,VLOOKUP($C3,Players!$C$4:$G$132,2,FALSE))&amp;"|"</f>
        <v>#N/A</v>
      </c>
      <c r="B3" t="str">
        <f>IF(Team_Matches!$Q29="W",Team_Matches!$B29,IF(Team_Matches!$Q31="W",Team_Matches!$B31,""))</f>
        <v/>
      </c>
      <c r="C3" t="str">
        <f>IF(Team_Matches!$Q29="L",Team_Matches!$B29,IF(Team_Matches!$Q31="L",Team_Matches!$B31,""))</f>
        <v/>
      </c>
      <c r="D3" t="str">
        <f>CONCATENATE(Team_Matches!$B9," vs ",Team_Matches!$K9)</f>
        <v>A vs L</v>
      </c>
      <c r="E3" t="str">
        <f>Team_Matches!$A27</f>
        <v>3rd Singles</v>
      </c>
      <c r="F3" s="7" t="str">
        <f>IF(Team_Matches!$Q29&lt;&gt;"",IF(Team_Matches!H29&gt;Team_Matches!H31,MIN(Team_Matches!H29,Team_Matches!H31),-MIN(Team_Matches!H29,Team_Matches!H31))*IF(Team_Matches!$Q29="W",1,-1),"")</f>
        <v/>
      </c>
      <c r="G3" s="7" t="str">
        <f>IF(Team_Matches!$Q29&lt;&gt;"",IF(Team_Matches!I29&gt;Team_Matches!I31,MIN(Team_Matches!I29,Team_Matches!I31),-MIN(Team_Matches!I29,Team_Matches!I31))*IF(Team_Matches!$Q29="W",1,-1),"")</f>
        <v/>
      </c>
      <c r="H3" s="7" t="str">
        <f>IF(Team_Matches!$Q29&lt;&gt;"",IF(Team_Matches!J29&gt;Team_Matches!J31,MIN(Team_Matches!J29,Team_Matches!J31),-MIN(Team_Matches!J29,Team_Matches!J31))*IF(Team_Matches!$Q29="W",1,-1),"")</f>
        <v/>
      </c>
      <c r="I3" s="7" t="str">
        <f>IF(Team_Matches!$Q29&lt;&gt;"",IF(Team_Matches!K29=Team_Matches!K31,"",IF(Team_Matches!K29&gt;Team_Matches!K31,MIN(Team_Matches!K29,Team_Matches!K31),-MIN(Team_Matches!K29,Team_Matches!K31))*IF(Team_Matches!$Q29="W",1,-1)),"")</f>
        <v/>
      </c>
      <c r="J3" s="7" t="str">
        <f>IF(Team_Matches!$Q29&lt;&gt;"",IF(Team_Matches!L29=Team_Matches!L31,"",IF(Team_Matches!L29&gt;Team_Matches!L31,MIN(Team_Matches!L29,Team_Matches!L31),-MIN(Team_Matches!L29,Team_Matches!L31))*IF(Team_Matches!$Q29="W",1,-1)),"")</f>
        <v/>
      </c>
    </row>
    <row r="4" spans="1:10" x14ac:dyDescent="0.25">
      <c r="A4" s="55" t="e">
        <f ca="1">$B4&amp;";"&amp;VLOOKUP($B4,Players!$C$4:$G$132,5,FALSE)&amp;";"&amp;IF(ISERROR(VLOOKUP($B4,Players!$C$4:$G$132,2,FALSE)),0,VLOOKUP($B4,Players!$C$4:$G$132,2,FALSE))&amp;";"&amp;$C4&amp;";"&amp;VLOOKUP($C4,Players!$C$4:$G$132,5,FALSE)&amp;";"&amp;IF(ISERROR(VLOOKUP($C4,Players!$C$4:$G$132,2,FALSE)),0,VLOOKUP($C4,Players!$C$4:$G$132,2,FALSE))&amp;"|"</f>
        <v>#N/A</v>
      </c>
      <c r="B4" t="str">
        <f ca="1">IF(Team_Matches!$Q36="W",Team_Matches!$B36,IF(Team_Matches!$Q38="W",Team_Matches!$B38,""))</f>
        <v/>
      </c>
      <c r="C4" t="str">
        <f ca="1">IF(Team_Matches!$Q36="L",Team_Matches!$B36,IF(Team_Matches!$Q38="L",Team_Matches!$B38,""))</f>
        <v/>
      </c>
      <c r="D4" t="str">
        <f>CONCATENATE(Team_Matches!$B9," vs ",Team_Matches!$K9)</f>
        <v>A vs L</v>
      </c>
      <c r="E4" t="str">
        <f>Team_Matches!$A34</f>
        <v>4th Singles</v>
      </c>
      <c r="F4" s="7" t="str">
        <f ca="1">IF(Team_Matches!$Q36&lt;&gt;"",IF(Team_Matches!H36&gt;Team_Matches!H38,MIN(Team_Matches!H36,Team_Matches!H38),-MIN(Team_Matches!H36,Team_Matches!H38))*IF(Team_Matches!$Q36="W",1,-1),"")</f>
        <v/>
      </c>
      <c r="G4" s="7" t="str">
        <f ca="1">IF(Team_Matches!$Q36&lt;&gt;"",IF(Team_Matches!I36&gt;Team_Matches!I38,MIN(Team_Matches!I36,Team_Matches!I38),-MIN(Team_Matches!I36,Team_Matches!I38))*IF(Team_Matches!$Q36="W",1,-1),"")</f>
        <v/>
      </c>
      <c r="H4" s="7" t="str">
        <f ca="1">IF(Team_Matches!$Q36&lt;&gt;"",IF(Team_Matches!J36&gt;Team_Matches!J38,MIN(Team_Matches!J36,Team_Matches!J38),-MIN(Team_Matches!J36,Team_Matches!J38))*IF(Team_Matches!$Q36="W",1,-1),"")</f>
        <v/>
      </c>
      <c r="I4" s="7" t="str">
        <f ca="1">IF(Team_Matches!$Q36&lt;&gt;"",IF(Team_Matches!K36=Team_Matches!K38,"",IF(Team_Matches!K36&gt;Team_Matches!K38,MIN(Team_Matches!K36,Team_Matches!K38),-MIN(Team_Matches!K36,Team_Matches!K38))*IF(Team_Matches!$Q36="W",1,-1)),"")</f>
        <v/>
      </c>
      <c r="J4" s="7" t="str">
        <f ca="1">IF(Team_Matches!$Q36&lt;&gt;"",IF(Team_Matches!L36=Team_Matches!L38,"",IF(Team_Matches!L36&gt;Team_Matches!L38,MIN(Team_Matches!L36,Team_Matches!L38),-MIN(Team_Matches!L36,Team_Matches!L38))*IF(Team_Matches!$Q36="W",1,-1)),"")</f>
        <v/>
      </c>
    </row>
    <row r="5" spans="1:10" x14ac:dyDescent="0.25">
      <c r="A5" s="55" t="e">
        <f>$B5&amp;";"&amp;VLOOKUP($B5,Players!$C$4:$G$132,5,FALSE)&amp;";"&amp;IF(ISERROR(VLOOKUP($B5,Players!$C$4:$G$132,2,FALSE)),0,VLOOKUP($B5,Players!$C$4:$G$132,2,FALSE))&amp;";"&amp;$C5&amp;";"&amp;VLOOKUP($C5,Players!$C$4:$G$132,5,FALSE)&amp;";"&amp;IF(ISERROR(VLOOKUP($C5,Players!$C$4:$G$132,2,FALSE)),0,VLOOKUP($C5,Players!$C$4:$G$132,2,FALSE))&amp;"|"</f>
        <v>#N/A</v>
      </c>
      <c r="B5" t="str">
        <f>IF(Team_Matches!$Q66="W",Team_Matches!$B66,IF(Team_Matches!$Q68="W",Team_Matches!$B68,""))</f>
        <v/>
      </c>
      <c r="C5" t="str">
        <f>IF(Team_Matches!$Q66="L",Team_Matches!$B66,IF(Team_Matches!$Q68="L",Team_Matches!$B68,""))</f>
        <v/>
      </c>
      <c r="D5" t="str">
        <f>CONCATENATE(Team_Matches!$B60," vs ",Team_Matches!$K60)</f>
        <v>B vs K</v>
      </c>
      <c r="E5" t="str">
        <f>Team_Matches!A64</f>
        <v>1st Singles</v>
      </c>
      <c r="F5" s="7" t="str">
        <f>IF(Team_Matches!$Q66&lt;&gt;"",IF(Team_Matches!H66&gt;Team_Matches!H68,MIN(Team_Matches!H66,Team_Matches!H68),-MIN(Team_Matches!H66,Team_Matches!H68))*IF(Team_Matches!$Q66="W",1,-1),"")</f>
        <v/>
      </c>
      <c r="G5" s="7" t="str">
        <f>IF(Team_Matches!$Q66&lt;&gt;"",IF(Team_Matches!I66&gt;Team_Matches!I68,MIN(Team_Matches!I66,Team_Matches!I68),-MIN(Team_Matches!I66,Team_Matches!I68))*IF(Team_Matches!$Q66="W",1,-1),"")</f>
        <v/>
      </c>
      <c r="H5" s="7" t="str">
        <f>IF(Team_Matches!$Q66&lt;&gt;"",IF(Team_Matches!J66&gt;Team_Matches!J68,MIN(Team_Matches!J66,Team_Matches!J68),-MIN(Team_Matches!J66,Team_Matches!J68))*IF(Team_Matches!$Q66="W",1,-1),"")</f>
        <v/>
      </c>
      <c r="I5" s="7" t="str">
        <f>IF(Team_Matches!$Q66&lt;&gt;"",IF(Team_Matches!K66=Team_Matches!K68,"",IF(Team_Matches!K66&gt;Team_Matches!K68,MIN(Team_Matches!K66,Team_Matches!K68),-MIN(Team_Matches!K66,Team_Matches!K68))*IF(Team_Matches!$Q66="W",1,-1)),"")</f>
        <v/>
      </c>
      <c r="J5" s="7" t="str">
        <f>IF(Team_Matches!$Q66&lt;&gt;"",IF(Team_Matches!L66=Team_Matches!L68,"",IF(Team_Matches!L66&gt;Team_Matches!L68,MIN(Team_Matches!L66,Team_Matches!L68),-MIN(Team_Matches!L66,Team_Matches!L68))*IF(Team_Matches!$Q66="W",1,-1)),"")</f>
        <v/>
      </c>
    </row>
    <row r="6" spans="1:10" x14ac:dyDescent="0.25">
      <c r="A6" s="55" t="e">
        <f>$B6&amp;";"&amp;VLOOKUP($B6,Players!$C$4:$G$132,5,FALSE)&amp;";"&amp;IF(ISERROR(VLOOKUP($B6,Players!$C$4:$G$132,2,FALSE)),0,VLOOKUP($B6,Players!$C$4:$G$132,2,FALSE))&amp;";"&amp;$C6&amp;";"&amp;VLOOKUP($C6,Players!$C$4:$G$132,5,FALSE)&amp;";"&amp;IF(ISERROR(VLOOKUP($C6,Players!$C$4:$G$132,2,FALSE)),0,VLOOKUP($C6,Players!$C$4:$G$132,2,FALSE))&amp;"|"</f>
        <v>#N/A</v>
      </c>
      <c r="B6" t="str">
        <f>IF(Team_Matches!$Q73="W",Team_Matches!$B73,IF(Team_Matches!$Q75="W",Team_Matches!$B75,""))</f>
        <v/>
      </c>
      <c r="C6" t="str">
        <f>IF(Team_Matches!$Q73="L",Team_Matches!$B73,IF(Team_Matches!$Q75="L",Team_Matches!$B75,""))</f>
        <v/>
      </c>
      <c r="D6" t="str">
        <f>CONCATENATE(Team_Matches!$B60," vs ",Team_Matches!$K60)</f>
        <v>B vs K</v>
      </c>
      <c r="E6" t="str">
        <f>Team_Matches!$A71</f>
        <v>2nd Singles</v>
      </c>
      <c r="F6" s="7" t="str">
        <f>IF(Team_Matches!$Q73&lt;&gt;"",IF(Team_Matches!H73&gt;Team_Matches!H75,MIN(Team_Matches!H73,Team_Matches!H75),-MIN(Team_Matches!H73,Team_Matches!H75))*IF(Team_Matches!$Q73="W",1,-1),"")</f>
        <v/>
      </c>
      <c r="G6" s="7" t="str">
        <f>IF(Team_Matches!$Q73&lt;&gt;"",IF(Team_Matches!I73&gt;Team_Matches!I75,MIN(Team_Matches!I73,Team_Matches!I75),-MIN(Team_Matches!I73,Team_Matches!I75))*IF(Team_Matches!$Q73="W",1,-1),"")</f>
        <v/>
      </c>
      <c r="H6" s="7" t="str">
        <f>IF(Team_Matches!$Q73&lt;&gt;"",IF(Team_Matches!J73&gt;Team_Matches!J75,MIN(Team_Matches!J73,Team_Matches!J75),-MIN(Team_Matches!J73,Team_Matches!J75))*IF(Team_Matches!$Q73="W",1,-1),"")</f>
        <v/>
      </c>
      <c r="I6" s="7" t="str">
        <f>IF(Team_Matches!$Q73&lt;&gt;"",IF(Team_Matches!K73=Team_Matches!K75,"",IF(Team_Matches!K73&gt;Team_Matches!K75,MIN(Team_Matches!K73,Team_Matches!K75),-MIN(Team_Matches!K73,Team_Matches!K75))*IF(Team_Matches!$Q73="W",1,-1)),"")</f>
        <v/>
      </c>
      <c r="J6" s="7" t="str">
        <f>IF(Team_Matches!$Q73&lt;&gt;"",IF(Team_Matches!L73=Team_Matches!L75,"",IF(Team_Matches!L73&gt;Team_Matches!L75,MIN(Team_Matches!L73,Team_Matches!L75),-MIN(Team_Matches!L73,Team_Matches!L75))*IF(Team_Matches!$Q73="W",1,-1)),"")</f>
        <v/>
      </c>
    </row>
    <row r="7" spans="1:10" x14ac:dyDescent="0.25">
      <c r="A7" s="55" t="e">
        <f>$B7&amp;";"&amp;VLOOKUP($B7,Players!$C$4:$G$132,5,FALSE)&amp;";"&amp;IF(ISERROR(VLOOKUP($B7,Players!$C$4:$G$132,2,FALSE)),0,VLOOKUP($B7,Players!$C$4:$G$132,2,FALSE))&amp;";"&amp;$C7&amp;";"&amp;VLOOKUP($C7,Players!$C$4:$G$132,5,FALSE)&amp;";"&amp;IF(ISERROR(VLOOKUP($C7,Players!$C$4:$G$132,2,FALSE)),0,VLOOKUP($C7,Players!$C$4:$G$132,2,FALSE))&amp;"|"</f>
        <v>#N/A</v>
      </c>
      <c r="B7" t="str">
        <f>IF(Team_Matches!$Q80="W",Team_Matches!$B80,IF(Team_Matches!$Q82="W",Team_Matches!$B82,""))</f>
        <v/>
      </c>
      <c r="C7" t="str">
        <f>IF(Team_Matches!$Q80="L",Team_Matches!$B80,IF(Team_Matches!$Q82="L",Team_Matches!$B82,""))</f>
        <v/>
      </c>
      <c r="D7" t="str">
        <f>CONCATENATE(Team_Matches!$B60," vs ",Team_Matches!$K60)</f>
        <v>B vs K</v>
      </c>
      <c r="E7" t="str">
        <f>Team_Matches!$A78</f>
        <v>3rd Singles</v>
      </c>
      <c r="F7" s="7" t="str">
        <f>IF(Team_Matches!$Q80&lt;&gt;"",IF(Team_Matches!H80&gt;Team_Matches!H82,MIN(Team_Matches!H80,Team_Matches!H82),-MIN(Team_Matches!H80,Team_Matches!H82))*IF(Team_Matches!$Q80="W",1,-1),"")</f>
        <v/>
      </c>
      <c r="G7" s="7" t="str">
        <f>IF(Team_Matches!$Q80&lt;&gt;"",IF(Team_Matches!I80&gt;Team_Matches!I82,MIN(Team_Matches!I80,Team_Matches!I82),-MIN(Team_Matches!I80,Team_Matches!I82))*IF(Team_Matches!$Q80="W",1,-1),"")</f>
        <v/>
      </c>
      <c r="H7" s="7" t="str">
        <f>IF(Team_Matches!$Q80&lt;&gt;"",IF(Team_Matches!J80&gt;Team_Matches!J82,MIN(Team_Matches!J80,Team_Matches!J82),-MIN(Team_Matches!J80,Team_Matches!J82))*IF(Team_Matches!$Q80="W",1,-1),"")</f>
        <v/>
      </c>
      <c r="I7" s="7" t="str">
        <f>IF(Team_Matches!$Q80&lt;&gt;"",IF(Team_Matches!K80=Team_Matches!K82,"",IF(Team_Matches!K80&gt;Team_Matches!K82,MIN(Team_Matches!K80,Team_Matches!K82),-MIN(Team_Matches!K80,Team_Matches!K82))*IF(Team_Matches!$Q80="W",1,-1)),"")</f>
        <v/>
      </c>
      <c r="J7" s="7" t="str">
        <f>IF(Team_Matches!$Q80&lt;&gt;"",IF(Team_Matches!L80=Team_Matches!L82,"",IF(Team_Matches!L80&gt;Team_Matches!L82,MIN(Team_Matches!L80,Team_Matches!L82),-MIN(Team_Matches!L80,Team_Matches!L82))*IF(Team_Matches!$Q80="W",1,-1)),"")</f>
        <v/>
      </c>
    </row>
    <row r="8" spans="1:10" x14ac:dyDescent="0.25">
      <c r="A8" s="55" t="e">
        <f ca="1">$B8&amp;";"&amp;VLOOKUP($B8,Players!$C$4:$G$132,5,FALSE)&amp;";"&amp;IF(ISERROR(VLOOKUP($B8,Players!$C$4:$G$132,2,FALSE)),0,VLOOKUP($B8,Players!$C$4:$G$132,2,FALSE))&amp;";"&amp;$C8&amp;";"&amp;VLOOKUP($C8,Players!$C$4:$G$132,5,FALSE)&amp;";"&amp;IF(ISERROR(VLOOKUP($C8,Players!$C$4:$G$132,2,FALSE)),0,VLOOKUP($C8,Players!$C$4:$G$132,2,FALSE))&amp;"|"</f>
        <v>#N/A</v>
      </c>
      <c r="B8" t="str">
        <f ca="1">IF(Team_Matches!$Q87="W",Team_Matches!$B87,IF(Team_Matches!$Q89="W",Team_Matches!$B89,""))</f>
        <v/>
      </c>
      <c r="C8" t="str">
        <f ca="1">IF(Team_Matches!$Q87="L",Team_Matches!$B87,IF(Team_Matches!$Q89="L",Team_Matches!$B89,""))</f>
        <v/>
      </c>
      <c r="D8" t="str">
        <f>CONCATENATE(Team_Matches!$B60," vs ",Team_Matches!$K60)</f>
        <v>B vs K</v>
      </c>
      <c r="E8" t="str">
        <f>Team_Matches!$A85</f>
        <v>4th Singles</v>
      </c>
      <c r="F8" s="7" t="str">
        <f ca="1">IF(Team_Matches!$Q87&lt;&gt;"",IF(Team_Matches!H87&gt;Team_Matches!H89,MIN(Team_Matches!H87,Team_Matches!H89),-MIN(Team_Matches!H87,Team_Matches!H89))*IF(Team_Matches!$Q87="W",1,-1),"")</f>
        <v/>
      </c>
      <c r="G8" s="7" t="str">
        <f ca="1">IF(Team_Matches!$Q87&lt;&gt;"",IF(Team_Matches!I87&gt;Team_Matches!I89,MIN(Team_Matches!I87,Team_Matches!I89),-MIN(Team_Matches!I87,Team_Matches!I89))*IF(Team_Matches!$Q87="W",1,-1),"")</f>
        <v/>
      </c>
      <c r="H8" s="7" t="str">
        <f ca="1">IF(Team_Matches!$Q87&lt;&gt;"",IF(Team_Matches!J87&gt;Team_Matches!J89,MIN(Team_Matches!J87,Team_Matches!J89),-MIN(Team_Matches!J87,Team_Matches!J89))*IF(Team_Matches!$Q87="W",1,-1),"")</f>
        <v/>
      </c>
      <c r="I8" s="7" t="str">
        <f ca="1">IF(Team_Matches!$Q87&lt;&gt;"",IF(Team_Matches!K87=Team_Matches!K89,"",IF(Team_Matches!K87&gt;Team_Matches!K89,MIN(Team_Matches!K87,Team_Matches!K89),-MIN(Team_Matches!K87,Team_Matches!K89))*IF(Team_Matches!$Q87="W",1,-1)),"")</f>
        <v/>
      </c>
      <c r="J8" s="7" t="str">
        <f ca="1">IF(Team_Matches!$Q87&lt;&gt;"",IF(Team_Matches!L87=Team_Matches!L89,"",IF(Team_Matches!L87&gt;Team_Matches!L89,MIN(Team_Matches!L87,Team_Matches!L89),-MIN(Team_Matches!L87,Team_Matches!L89))*IF(Team_Matches!$Q87="W",1,-1)),"")</f>
        <v/>
      </c>
    </row>
    <row r="9" spans="1:10" x14ac:dyDescent="0.25">
      <c r="A9" s="55" t="e">
        <f>$B9&amp;";"&amp;VLOOKUP($B9,Players!$C$4:$G$132,5,FALSE)&amp;";"&amp;IF(ISERROR(VLOOKUP($B9,Players!$C$4:$G$132,2,FALSE)),0,VLOOKUP($B9,Players!$C$4:$G$132,2,FALSE))&amp;";"&amp;$C9&amp;";"&amp;VLOOKUP($C9,Players!$C$4:$G$132,5,FALSE)&amp;";"&amp;IF(ISERROR(VLOOKUP($C9,Players!$C$4:$G$132,2,FALSE)),0,VLOOKUP($C9,Players!$C$4:$G$132,2,FALSE))&amp;"|"</f>
        <v>#N/A</v>
      </c>
      <c r="B9" t="str">
        <f>IF(Team_Matches!$Q117="W",Team_Matches!$B117,IF(Team_Matches!$Q119="W",Team_Matches!$B119,""))</f>
        <v/>
      </c>
      <c r="C9" t="str">
        <f>IF(Team_Matches!$Q117="L",Team_Matches!$B117,IF(Team_Matches!$Q119="L",Team_Matches!$B119,""))</f>
        <v/>
      </c>
      <c r="D9" t="str">
        <f>CONCATENATE(Team_Matches!$B111," vs ",Team_Matches!$K111)</f>
        <v>C vs J</v>
      </c>
      <c r="E9" t="str">
        <f>Team_Matches!A115</f>
        <v>1st Singles</v>
      </c>
      <c r="F9" s="7" t="str">
        <f>IF(Team_Matches!$Q117&lt;&gt;"",IF(Team_Matches!H117&gt;Team_Matches!H119,MIN(Team_Matches!H117,Team_Matches!H119),-MIN(Team_Matches!H117,Team_Matches!H119))*IF(Team_Matches!$Q117="W",1,-1),"")</f>
        <v/>
      </c>
      <c r="G9" s="7" t="str">
        <f>IF(Team_Matches!$Q117&lt;&gt;"",IF(Team_Matches!I117&gt;Team_Matches!I119,MIN(Team_Matches!I117,Team_Matches!I119),-MIN(Team_Matches!I117,Team_Matches!I119))*IF(Team_Matches!$Q117="W",1,-1),"")</f>
        <v/>
      </c>
      <c r="H9" s="7" t="str">
        <f>IF(Team_Matches!$Q117&lt;&gt;"",IF(Team_Matches!J117&gt;Team_Matches!J119,MIN(Team_Matches!J117,Team_Matches!J119),-MIN(Team_Matches!J117,Team_Matches!J119))*IF(Team_Matches!$Q117="W",1,-1),"")</f>
        <v/>
      </c>
      <c r="I9" s="7" t="str">
        <f>IF(Team_Matches!$Q117&lt;&gt;"",IF(Team_Matches!K117=Team_Matches!K119,"",IF(Team_Matches!K117&gt;Team_Matches!K119,MIN(Team_Matches!K117,Team_Matches!K119),-MIN(Team_Matches!K117,Team_Matches!K119))*IF(Team_Matches!$Q117="W",1,-1)),"")</f>
        <v/>
      </c>
      <c r="J9" s="7" t="str">
        <f>IF(Team_Matches!$Q117&lt;&gt;"",IF(Team_Matches!L117=Team_Matches!L119,"",IF(Team_Matches!L117&gt;Team_Matches!L119,MIN(Team_Matches!L117,Team_Matches!L119),-MIN(Team_Matches!L117,Team_Matches!L119))*IF(Team_Matches!$Q117="W",1,-1)),"")</f>
        <v/>
      </c>
    </row>
    <row r="10" spans="1:10" x14ac:dyDescent="0.25">
      <c r="A10" s="55" t="e">
        <f>$B10&amp;";"&amp;VLOOKUP($B10,Players!$C$4:$G$132,5,FALSE)&amp;";"&amp;IF(ISERROR(VLOOKUP($B10,Players!$C$4:$G$132,2,FALSE)),0,VLOOKUP($B10,Players!$C$4:$G$132,2,FALSE))&amp;";"&amp;$C10&amp;";"&amp;VLOOKUP($C10,Players!$C$4:$G$132,5,FALSE)&amp;";"&amp;IF(ISERROR(VLOOKUP($C10,Players!$C$4:$G$132,2,FALSE)),0,VLOOKUP($C10,Players!$C$4:$G$132,2,FALSE))&amp;"|"</f>
        <v>#N/A</v>
      </c>
      <c r="B10" t="str">
        <f>IF(Team_Matches!$Q124="W",Team_Matches!$B124,IF(Team_Matches!$Q126="W",Team_Matches!$B126,""))</f>
        <v/>
      </c>
      <c r="C10" t="str">
        <f>IF(Team_Matches!$Q124="L",Team_Matches!$B124,IF(Team_Matches!$Q126="L",Team_Matches!$B126,""))</f>
        <v/>
      </c>
      <c r="D10" t="str">
        <f>CONCATENATE(Team_Matches!$B111," vs ",Team_Matches!$K111)</f>
        <v>C vs J</v>
      </c>
      <c r="E10" t="str">
        <f>Team_Matches!$A122</f>
        <v>2nd Singles</v>
      </c>
      <c r="F10" s="7" t="str">
        <f>IF(Team_Matches!$Q124&lt;&gt;"",IF(Team_Matches!H124&gt;Team_Matches!H126,MIN(Team_Matches!H124,Team_Matches!H126),-MIN(Team_Matches!H124,Team_Matches!H126))*IF(Team_Matches!$Q124="W",1,-1),"")</f>
        <v/>
      </c>
      <c r="G10" s="7" t="str">
        <f>IF(Team_Matches!$Q124&lt;&gt;"",IF(Team_Matches!I124&gt;Team_Matches!I126,MIN(Team_Matches!I124,Team_Matches!I126),-MIN(Team_Matches!I124,Team_Matches!I126))*IF(Team_Matches!$Q124="W",1,-1),"")</f>
        <v/>
      </c>
      <c r="H10" s="7" t="str">
        <f>IF(Team_Matches!$Q124&lt;&gt;"",IF(Team_Matches!J124&gt;Team_Matches!J126,MIN(Team_Matches!J124,Team_Matches!J126),-MIN(Team_Matches!J124,Team_Matches!J126))*IF(Team_Matches!$Q124="W",1,-1),"")</f>
        <v/>
      </c>
      <c r="I10" s="7" t="str">
        <f>IF(Team_Matches!$Q124&lt;&gt;"",IF(Team_Matches!K124=Team_Matches!K126,"",IF(Team_Matches!K124&gt;Team_Matches!K126,MIN(Team_Matches!K124,Team_Matches!K126),-MIN(Team_Matches!K124,Team_Matches!K126))*IF(Team_Matches!$Q124="W",1,-1)),"")</f>
        <v/>
      </c>
      <c r="J10" s="7" t="str">
        <f>IF(Team_Matches!$Q124&lt;&gt;"",IF(Team_Matches!L124=Team_Matches!L126,"",IF(Team_Matches!L124&gt;Team_Matches!L126,MIN(Team_Matches!L124,Team_Matches!L126),-MIN(Team_Matches!L124,Team_Matches!L126))*IF(Team_Matches!$Q124="W",1,-1)),"")</f>
        <v/>
      </c>
    </row>
    <row r="11" spans="1:10" x14ac:dyDescent="0.25">
      <c r="A11" s="55" t="e">
        <f>$B11&amp;";"&amp;VLOOKUP($B11,Players!$C$4:$G$132,5,FALSE)&amp;";"&amp;IF(ISERROR(VLOOKUP($B11,Players!$C$4:$G$132,2,FALSE)),0,VLOOKUP($B11,Players!$C$4:$G$132,2,FALSE))&amp;";"&amp;$C11&amp;";"&amp;VLOOKUP($C11,Players!$C$4:$G$132,5,FALSE)&amp;";"&amp;IF(ISERROR(VLOOKUP($C11,Players!$C$4:$G$132,2,FALSE)),0,VLOOKUP($C11,Players!$C$4:$G$132,2,FALSE))&amp;"|"</f>
        <v>#N/A</v>
      </c>
      <c r="B11" t="str">
        <f>IF(Team_Matches!$Q131="W",Team_Matches!$B131,IF(Team_Matches!$Q133="W",Team_Matches!$B133,""))</f>
        <v/>
      </c>
      <c r="C11" t="str">
        <f>IF(Team_Matches!$Q131="L",Team_Matches!$B131,IF(Team_Matches!$Q133="L",Team_Matches!$B133,""))</f>
        <v/>
      </c>
      <c r="D11" t="str">
        <f>CONCATENATE(Team_Matches!$B111," vs ",Team_Matches!$K111)</f>
        <v>C vs J</v>
      </c>
      <c r="E11" t="str">
        <f>Team_Matches!$A129</f>
        <v>3rd Singles</v>
      </c>
      <c r="F11" s="7" t="str">
        <f>IF(Team_Matches!$Q131&lt;&gt;"",IF(Team_Matches!H131&gt;Team_Matches!H133,MIN(Team_Matches!H131,Team_Matches!H133),-MIN(Team_Matches!H131,Team_Matches!H133))*IF(Team_Matches!$Q131="W",1,-1),"")</f>
        <v/>
      </c>
      <c r="G11" s="7" t="str">
        <f>IF(Team_Matches!$Q131&lt;&gt;"",IF(Team_Matches!I131&gt;Team_Matches!I133,MIN(Team_Matches!I131,Team_Matches!I133),-MIN(Team_Matches!I131,Team_Matches!I133))*IF(Team_Matches!$Q131="W",1,-1),"")</f>
        <v/>
      </c>
      <c r="H11" s="7" t="str">
        <f>IF(Team_Matches!$Q131&lt;&gt;"",IF(Team_Matches!J131&gt;Team_Matches!J133,MIN(Team_Matches!J131,Team_Matches!J133),-MIN(Team_Matches!J131,Team_Matches!J133))*IF(Team_Matches!$Q131="W",1,-1),"")</f>
        <v/>
      </c>
      <c r="I11" s="7" t="str">
        <f>IF(Team_Matches!$Q131&lt;&gt;"",IF(Team_Matches!K131=Team_Matches!K133,"",IF(Team_Matches!K131&gt;Team_Matches!K133,MIN(Team_Matches!K131,Team_Matches!K133),-MIN(Team_Matches!K131,Team_Matches!K133))*IF(Team_Matches!$Q131="W",1,-1)),"")</f>
        <v/>
      </c>
      <c r="J11" s="7" t="str">
        <f>IF(Team_Matches!$Q131&lt;&gt;"",IF(Team_Matches!L131=Team_Matches!L133,"",IF(Team_Matches!L131&gt;Team_Matches!L133,MIN(Team_Matches!L131,Team_Matches!L133),-MIN(Team_Matches!L131,Team_Matches!L133))*IF(Team_Matches!$Q131="W",1,-1)),"")</f>
        <v/>
      </c>
    </row>
    <row r="12" spans="1:10" x14ac:dyDescent="0.25">
      <c r="A12" s="55" t="e">
        <f ca="1">$B12&amp;";"&amp;VLOOKUP($B12,Players!$C$4:$G$132,5,FALSE)&amp;";"&amp;IF(ISERROR(VLOOKUP($B12,Players!$C$4:$G$132,2,FALSE)),0,VLOOKUP($B12,Players!$C$4:$G$132,2,FALSE))&amp;";"&amp;$C12&amp;";"&amp;VLOOKUP($C12,Players!$C$4:$G$132,5,FALSE)&amp;";"&amp;IF(ISERROR(VLOOKUP($C12,Players!$C$4:$G$132,2,FALSE)),0,VLOOKUP($C12,Players!$C$4:$G$132,2,FALSE))&amp;"|"</f>
        <v>#N/A</v>
      </c>
      <c r="B12" t="str">
        <f ca="1">IF(Team_Matches!$Q138="W",Team_Matches!$B138,IF(Team_Matches!$Q140="W",Team_Matches!$B140,""))</f>
        <v/>
      </c>
      <c r="C12" t="str">
        <f ca="1">IF(Team_Matches!$Q138="L",Team_Matches!$B138,IF(Team_Matches!$Q140="L",Team_Matches!$B140,""))</f>
        <v/>
      </c>
      <c r="D12" t="str">
        <f>CONCATENATE(Team_Matches!$B111," vs ",Team_Matches!$K111)</f>
        <v>C vs J</v>
      </c>
      <c r="E12" t="str">
        <f>Team_Matches!$A136</f>
        <v>4th Singles</v>
      </c>
      <c r="F12" s="7" t="str">
        <f ca="1">IF(Team_Matches!$Q138&lt;&gt;"",IF(Team_Matches!H138&gt;Team_Matches!H140,MIN(Team_Matches!H138,Team_Matches!H140),-MIN(Team_Matches!H138,Team_Matches!H140))*IF(Team_Matches!$Q138="W",1,-1),"")</f>
        <v/>
      </c>
      <c r="G12" s="7" t="str">
        <f ca="1">IF(Team_Matches!$Q138&lt;&gt;"",IF(Team_Matches!I138&gt;Team_Matches!I140,MIN(Team_Matches!I138,Team_Matches!I140),-MIN(Team_Matches!I138,Team_Matches!I140))*IF(Team_Matches!$Q138="W",1,-1),"")</f>
        <v/>
      </c>
      <c r="H12" s="7" t="str">
        <f ca="1">IF(Team_Matches!$Q138&lt;&gt;"",IF(Team_Matches!J138&gt;Team_Matches!J140,MIN(Team_Matches!J138,Team_Matches!J140),-MIN(Team_Matches!J138,Team_Matches!J140))*IF(Team_Matches!$Q138="W",1,-1),"")</f>
        <v/>
      </c>
      <c r="I12" s="7" t="str">
        <f ca="1">IF(Team_Matches!$Q138&lt;&gt;"",IF(Team_Matches!K138=Team_Matches!K140,"",IF(Team_Matches!K138&gt;Team_Matches!K140,MIN(Team_Matches!K138,Team_Matches!K140),-MIN(Team_Matches!K138,Team_Matches!K140))*IF(Team_Matches!$Q138="W",1,-1)),"")</f>
        <v/>
      </c>
      <c r="J12" s="7" t="str">
        <f ca="1">IF(Team_Matches!$Q138&lt;&gt;"",IF(Team_Matches!L138=Team_Matches!L140,"",IF(Team_Matches!L138&gt;Team_Matches!L140,MIN(Team_Matches!L138,Team_Matches!L140),-MIN(Team_Matches!L138,Team_Matches!L140))*IF(Team_Matches!$Q138="W",1,-1)),"")</f>
        <v/>
      </c>
    </row>
    <row r="13" spans="1:10" x14ac:dyDescent="0.25">
      <c r="A13" s="55" t="e">
        <f>$B13&amp;";"&amp;VLOOKUP($B13,Players!$C$4:$G$132,5,FALSE)&amp;";"&amp;IF(ISERROR(VLOOKUP($B13,Players!$C$4:$G$132,2,FALSE)),0,VLOOKUP($B13,Players!$C$4:$G$132,2,FALSE))&amp;";"&amp;$C13&amp;";"&amp;VLOOKUP($C13,Players!$C$4:$G$132,5,FALSE)&amp;";"&amp;IF(ISERROR(VLOOKUP($C13,Players!$C$4:$G$132,2,FALSE)),0,VLOOKUP($C13,Players!$C$4:$G$132,2,FALSE))&amp;"|"</f>
        <v>#N/A</v>
      </c>
      <c r="B13" t="str">
        <f>IF(Team_Matches!$Q168="W",Team_Matches!$B168,IF(Team_Matches!$Q170="W",Team_Matches!$B170,""))</f>
        <v/>
      </c>
      <c r="C13" t="str">
        <f>IF(Team_Matches!$Q168="L",Team_Matches!$B168,IF(Team_Matches!$Q170="L",Team_Matches!$B170,""))</f>
        <v/>
      </c>
      <c r="D13" t="str">
        <f>CONCATENATE(Team_Matches!$B162," vs ",Team_Matches!$K162)</f>
        <v>D vs I</v>
      </c>
      <c r="E13" t="str">
        <f>Team_Matches!A166</f>
        <v>1st Singles</v>
      </c>
      <c r="F13" s="7" t="str">
        <f>IF(Team_Matches!$Q168&lt;&gt;"",IF(Team_Matches!H168&gt;Team_Matches!H170,MIN(Team_Matches!H168,Team_Matches!H170),-MIN(Team_Matches!H168,Team_Matches!H170))*IF(Team_Matches!$Q168="W",1,-1),"")</f>
        <v/>
      </c>
      <c r="G13" s="7" t="str">
        <f>IF(Team_Matches!$Q168&lt;&gt;"",IF(Team_Matches!I168&gt;Team_Matches!I170,MIN(Team_Matches!I168,Team_Matches!I170),-MIN(Team_Matches!I168,Team_Matches!I170))*IF(Team_Matches!$Q168="W",1,-1),"")</f>
        <v/>
      </c>
      <c r="H13" s="7" t="str">
        <f>IF(Team_Matches!$Q168&lt;&gt;"",IF(Team_Matches!J168&gt;Team_Matches!J170,MIN(Team_Matches!J168,Team_Matches!J170),-MIN(Team_Matches!J168,Team_Matches!J170))*IF(Team_Matches!$Q168="W",1,-1),"")</f>
        <v/>
      </c>
      <c r="I13" s="7" t="str">
        <f>IF(Team_Matches!$Q168&lt;&gt;"",IF(Team_Matches!K168=Team_Matches!K170,"",IF(Team_Matches!K168&gt;Team_Matches!K170,MIN(Team_Matches!K168,Team_Matches!K170),-MIN(Team_Matches!K168,Team_Matches!K170))*IF(Team_Matches!$Q168="W",1,-1)),"")</f>
        <v/>
      </c>
      <c r="J13" s="7" t="str">
        <f>IF(Team_Matches!$Q168&lt;&gt;"",IF(Team_Matches!L168=Team_Matches!L170,"",IF(Team_Matches!L168&gt;Team_Matches!L170,MIN(Team_Matches!L168,Team_Matches!L170),-MIN(Team_Matches!L168,Team_Matches!L170))*IF(Team_Matches!$Q168="W",1,-1)),"")</f>
        <v/>
      </c>
    </row>
    <row r="14" spans="1:10" x14ac:dyDescent="0.25">
      <c r="A14" s="55" t="e">
        <f>$B14&amp;";"&amp;VLOOKUP($B14,Players!$C$4:$G$132,5,FALSE)&amp;";"&amp;IF(ISERROR(VLOOKUP($B14,Players!$C$4:$G$132,2,FALSE)),0,VLOOKUP($B14,Players!$C$4:$G$132,2,FALSE))&amp;";"&amp;$C14&amp;";"&amp;VLOOKUP($C14,Players!$C$4:$G$132,5,FALSE)&amp;";"&amp;IF(ISERROR(VLOOKUP($C14,Players!$C$4:$G$132,2,FALSE)),0,VLOOKUP($C14,Players!$C$4:$G$132,2,FALSE))&amp;"|"</f>
        <v>#N/A</v>
      </c>
      <c r="B14" t="str">
        <f>IF(Team_Matches!$Q175="W",Team_Matches!$B175,IF(Team_Matches!$Q177="W",Team_Matches!$B177,""))</f>
        <v/>
      </c>
      <c r="C14" t="str">
        <f>IF(Team_Matches!$Q175="L",Team_Matches!$B175,IF(Team_Matches!$Q177="L",Team_Matches!$B177,""))</f>
        <v/>
      </c>
      <c r="D14" t="str">
        <f>CONCATENATE(Team_Matches!$B162," vs ",Team_Matches!$K162)</f>
        <v>D vs I</v>
      </c>
      <c r="E14" t="str">
        <f>Team_Matches!$A173</f>
        <v>2nd Singles</v>
      </c>
      <c r="F14" s="7" t="str">
        <f>IF(Team_Matches!$Q175&lt;&gt;"",IF(Team_Matches!H175&gt;Team_Matches!H177,MIN(Team_Matches!H175,Team_Matches!H177),-MIN(Team_Matches!H175,Team_Matches!H177))*IF(Team_Matches!$Q175="W",1,-1),"")</f>
        <v/>
      </c>
      <c r="G14" s="7" t="str">
        <f>IF(Team_Matches!$Q175&lt;&gt;"",IF(Team_Matches!I175&gt;Team_Matches!I177,MIN(Team_Matches!I175,Team_Matches!I177),-MIN(Team_Matches!I175,Team_Matches!I177))*IF(Team_Matches!$Q175="W",1,-1),"")</f>
        <v/>
      </c>
      <c r="H14" s="7" t="str">
        <f>IF(Team_Matches!$Q175&lt;&gt;"",IF(Team_Matches!J175&gt;Team_Matches!J177,MIN(Team_Matches!J175,Team_Matches!J177),-MIN(Team_Matches!J175,Team_Matches!J177))*IF(Team_Matches!$Q175="W",1,-1),"")</f>
        <v/>
      </c>
      <c r="I14" s="7" t="str">
        <f>IF(Team_Matches!$Q175&lt;&gt;"",IF(Team_Matches!K175=Team_Matches!K177,"",IF(Team_Matches!K175&gt;Team_Matches!K177,MIN(Team_Matches!K175,Team_Matches!K177),-MIN(Team_Matches!K175,Team_Matches!K177))*IF(Team_Matches!$Q175="W",1,-1)),"")</f>
        <v/>
      </c>
      <c r="J14" s="7" t="str">
        <f>IF(Team_Matches!$Q175&lt;&gt;"",IF(Team_Matches!L175=Team_Matches!L177,"",IF(Team_Matches!L175&gt;Team_Matches!L177,MIN(Team_Matches!L175,Team_Matches!L177),-MIN(Team_Matches!L175,Team_Matches!L177))*IF(Team_Matches!$Q175="W",1,-1)),"")</f>
        <v/>
      </c>
    </row>
    <row r="15" spans="1:10" x14ac:dyDescent="0.25">
      <c r="A15" s="55" t="e">
        <f>$B15&amp;";"&amp;VLOOKUP($B15,Players!$C$4:$G$132,5,FALSE)&amp;";"&amp;IF(ISERROR(VLOOKUP($B15,Players!$C$4:$G$132,2,FALSE)),0,VLOOKUP($B15,Players!$C$4:$G$132,2,FALSE))&amp;";"&amp;$C15&amp;";"&amp;VLOOKUP($C15,Players!$C$4:$G$132,5,FALSE)&amp;";"&amp;IF(ISERROR(VLOOKUP($C15,Players!$C$4:$G$132,2,FALSE)),0,VLOOKUP($C15,Players!$C$4:$G$132,2,FALSE))&amp;"|"</f>
        <v>#N/A</v>
      </c>
      <c r="B15" t="str">
        <f>IF(Team_Matches!$Q182="W",Team_Matches!$B182,IF(Team_Matches!$Q184="W",Team_Matches!$B184,""))</f>
        <v/>
      </c>
      <c r="C15" t="str">
        <f>IF(Team_Matches!$Q182="L",Team_Matches!$B182,IF(Team_Matches!$Q184="L",Team_Matches!$B184,""))</f>
        <v/>
      </c>
      <c r="D15" t="str">
        <f>CONCATENATE(Team_Matches!$B162," vs ",Team_Matches!$K162)</f>
        <v>D vs I</v>
      </c>
      <c r="E15" t="str">
        <f>Team_Matches!$A180</f>
        <v>3rd Singles</v>
      </c>
      <c r="F15" s="7" t="str">
        <f>IF(Team_Matches!$Q182&lt;&gt;"",IF(Team_Matches!H182&gt;Team_Matches!H184,MIN(Team_Matches!H182,Team_Matches!H184),-MIN(Team_Matches!H182,Team_Matches!H184))*IF(Team_Matches!$Q182="W",1,-1),"")</f>
        <v/>
      </c>
      <c r="G15" s="7" t="str">
        <f>IF(Team_Matches!$Q182&lt;&gt;"",IF(Team_Matches!I182&gt;Team_Matches!I184,MIN(Team_Matches!I182,Team_Matches!I184),-MIN(Team_Matches!I182,Team_Matches!I184))*IF(Team_Matches!$Q182="W",1,-1),"")</f>
        <v/>
      </c>
      <c r="H15" s="7" t="str">
        <f>IF(Team_Matches!$Q182&lt;&gt;"",IF(Team_Matches!J182&gt;Team_Matches!J184,MIN(Team_Matches!J182,Team_Matches!J184),-MIN(Team_Matches!J182,Team_Matches!J184))*IF(Team_Matches!$Q182="W",1,-1),"")</f>
        <v/>
      </c>
      <c r="I15" s="7" t="str">
        <f>IF(Team_Matches!$Q182&lt;&gt;"",IF(Team_Matches!K182=Team_Matches!K184,"",IF(Team_Matches!K182&gt;Team_Matches!K184,MIN(Team_Matches!K182,Team_Matches!K184),-MIN(Team_Matches!K182,Team_Matches!K184))*IF(Team_Matches!$Q182="W",1,-1)),"")</f>
        <v/>
      </c>
      <c r="J15" s="7" t="str">
        <f>IF(Team_Matches!$Q182&lt;&gt;"",IF(Team_Matches!L182=Team_Matches!L184,"",IF(Team_Matches!L182&gt;Team_Matches!L184,MIN(Team_Matches!L182,Team_Matches!L184),-MIN(Team_Matches!L182,Team_Matches!L184))*IF(Team_Matches!$Q182="W",1,-1)),"")</f>
        <v/>
      </c>
    </row>
    <row r="16" spans="1:10" x14ac:dyDescent="0.25">
      <c r="A16" s="55" t="e">
        <f ca="1">$B16&amp;";"&amp;VLOOKUP($B16,Players!$C$4:$G$132,5,FALSE)&amp;";"&amp;IF(ISERROR(VLOOKUP($B16,Players!$C$4:$G$132,2,FALSE)),0,VLOOKUP($B16,Players!$C$4:$G$132,2,FALSE))&amp;";"&amp;$C16&amp;";"&amp;VLOOKUP($C16,Players!$C$4:$G$132,5,FALSE)&amp;";"&amp;IF(ISERROR(VLOOKUP($C16,Players!$C$4:$G$132,2,FALSE)),0,VLOOKUP($C16,Players!$C$4:$G$132,2,FALSE))&amp;"|"</f>
        <v>#N/A</v>
      </c>
      <c r="B16" t="str">
        <f ca="1">IF(Team_Matches!$Q189="W",Team_Matches!$B189,IF(Team_Matches!$Q191="W",Team_Matches!$B191,""))</f>
        <v/>
      </c>
      <c r="C16" t="str">
        <f ca="1">IF(Team_Matches!$Q189="L",Team_Matches!$B189,IF(Team_Matches!$Q191="L",Team_Matches!$B191,""))</f>
        <v/>
      </c>
      <c r="D16" t="str">
        <f>CONCATENATE(Team_Matches!$B162," vs ",Team_Matches!$K162)</f>
        <v>D vs I</v>
      </c>
      <c r="E16" t="str">
        <f>Team_Matches!$A187</f>
        <v>4th Singles</v>
      </c>
      <c r="F16" s="7" t="str">
        <f ca="1">IF(Team_Matches!$Q189&lt;&gt;"",IF(Team_Matches!H189&gt;Team_Matches!H191,MIN(Team_Matches!H189,Team_Matches!H191),-MIN(Team_Matches!H189,Team_Matches!H191))*IF(Team_Matches!$Q189="W",1,-1),"")</f>
        <v/>
      </c>
      <c r="G16" s="7" t="str">
        <f ca="1">IF(Team_Matches!$Q189&lt;&gt;"",IF(Team_Matches!I189&gt;Team_Matches!I191,MIN(Team_Matches!I189,Team_Matches!I191),-MIN(Team_Matches!I189,Team_Matches!I191))*IF(Team_Matches!$Q189="W",1,-1),"")</f>
        <v/>
      </c>
      <c r="H16" s="7" t="str">
        <f ca="1">IF(Team_Matches!$Q189&lt;&gt;"",IF(Team_Matches!J189&gt;Team_Matches!J191,MIN(Team_Matches!J189,Team_Matches!J191),-MIN(Team_Matches!J189,Team_Matches!J191))*IF(Team_Matches!$Q189="W",1,-1),"")</f>
        <v/>
      </c>
      <c r="I16" s="7" t="str">
        <f ca="1">IF(Team_Matches!$Q189&lt;&gt;"",IF(Team_Matches!K189=Team_Matches!K191,"",IF(Team_Matches!K189&gt;Team_Matches!K191,MIN(Team_Matches!K189,Team_Matches!K191),-MIN(Team_Matches!K189,Team_Matches!K191))*IF(Team_Matches!$Q189="W",1,-1)),"")</f>
        <v/>
      </c>
      <c r="J16" s="7" t="str">
        <f ca="1">IF(Team_Matches!$Q189&lt;&gt;"",IF(Team_Matches!L189=Team_Matches!L191,"",IF(Team_Matches!L189&gt;Team_Matches!L191,MIN(Team_Matches!L189,Team_Matches!L191),-MIN(Team_Matches!L189,Team_Matches!L191))*IF(Team_Matches!$Q189="W",1,-1)),"")</f>
        <v/>
      </c>
    </row>
    <row r="17" spans="1:10" x14ac:dyDescent="0.25">
      <c r="A17" s="55" t="e">
        <f>$B17&amp;";"&amp;VLOOKUP($B17,Players!$C$4:$G$132,5,FALSE)&amp;";"&amp;IF(ISERROR(VLOOKUP($B17,Players!$C$4:$G$132,2,FALSE)),0,VLOOKUP($B17,Players!$C$4:$G$132,2,FALSE))&amp;";"&amp;$C17&amp;";"&amp;VLOOKUP($C17,Players!$C$4:$G$132,5,FALSE)&amp;";"&amp;IF(ISERROR(VLOOKUP($C17,Players!$C$4:$G$132,2,FALSE)),0,VLOOKUP($C17,Players!$C$4:$G$132,2,FALSE))&amp;"|"</f>
        <v>#N/A</v>
      </c>
      <c r="B17" t="str">
        <f>IF(Team_Matches!$Q219="W",Team_Matches!$B219,IF(Team_Matches!$Q221="W",Team_Matches!$B221,""))</f>
        <v/>
      </c>
      <c r="C17" t="str">
        <f>IF(Team_Matches!$Q219="L",Team_Matches!$B219,IF(Team_Matches!$Q221="L",Team_Matches!$B221,""))</f>
        <v/>
      </c>
      <c r="D17" t="str">
        <f>CONCATENATE(Team_Matches!$B213," vs ",Team_Matches!$K213)</f>
        <v>E vs H</v>
      </c>
      <c r="E17" t="str">
        <f>Team_Matches!A217</f>
        <v>1st Singles</v>
      </c>
      <c r="F17" s="7" t="str">
        <f>IF(Team_Matches!$Q219&lt;&gt;"",IF(Team_Matches!H219&gt;Team_Matches!H221,MIN(Team_Matches!H219,Team_Matches!H221),-MIN(Team_Matches!H219,Team_Matches!H221))*IF(Team_Matches!$Q219="W",1,-1),"")</f>
        <v/>
      </c>
      <c r="G17" s="7" t="str">
        <f>IF(Team_Matches!$Q219&lt;&gt;"",IF(Team_Matches!I219&gt;Team_Matches!I221,MIN(Team_Matches!I219,Team_Matches!I221),-MIN(Team_Matches!I219,Team_Matches!I221))*IF(Team_Matches!$Q219="W",1,-1),"")</f>
        <v/>
      </c>
      <c r="H17" s="7" t="str">
        <f>IF(Team_Matches!$Q219&lt;&gt;"",IF(Team_Matches!J219&gt;Team_Matches!J221,MIN(Team_Matches!J219,Team_Matches!J221),-MIN(Team_Matches!J219,Team_Matches!J221))*IF(Team_Matches!$Q219="W",1,-1),"")</f>
        <v/>
      </c>
      <c r="I17" s="7" t="str">
        <f>IF(Team_Matches!$Q219&lt;&gt;"",IF(Team_Matches!K219=Team_Matches!K221,"",IF(Team_Matches!K219&gt;Team_Matches!K221,MIN(Team_Matches!K219,Team_Matches!K221),-MIN(Team_Matches!K219,Team_Matches!K221))*IF(Team_Matches!$Q219="W",1,-1)),"")</f>
        <v/>
      </c>
      <c r="J17" s="7" t="str">
        <f>IF(Team_Matches!$Q219&lt;&gt;"",IF(Team_Matches!L219=Team_Matches!L221,"",IF(Team_Matches!L219&gt;Team_Matches!L221,MIN(Team_Matches!L219,Team_Matches!L221),-MIN(Team_Matches!L219,Team_Matches!L221))*IF(Team_Matches!$Q219="W",1,-1)),"")</f>
        <v/>
      </c>
    </row>
    <row r="18" spans="1:10" x14ac:dyDescent="0.25">
      <c r="A18" s="55" t="e">
        <f>$B18&amp;";"&amp;VLOOKUP($B18,Players!$C$4:$G$132,5,FALSE)&amp;";"&amp;IF(ISERROR(VLOOKUP($B18,Players!$C$4:$G$132,2,FALSE)),0,VLOOKUP($B18,Players!$C$4:$G$132,2,FALSE))&amp;";"&amp;$C18&amp;";"&amp;VLOOKUP($C18,Players!$C$4:$G$132,5,FALSE)&amp;";"&amp;IF(ISERROR(VLOOKUP($C18,Players!$C$4:$G$132,2,FALSE)),0,VLOOKUP($C18,Players!$C$4:$G$132,2,FALSE))&amp;"|"</f>
        <v>#N/A</v>
      </c>
      <c r="B18" t="str">
        <f>IF(Team_Matches!$Q226="W",Team_Matches!$B226,IF(Team_Matches!$Q228="W",Team_Matches!$B228,""))</f>
        <v/>
      </c>
      <c r="C18" t="str">
        <f>IF(Team_Matches!$Q226="L",Team_Matches!$B226,IF(Team_Matches!$Q228="L",Team_Matches!$B228,""))</f>
        <v/>
      </c>
      <c r="D18" t="str">
        <f>CONCATENATE(Team_Matches!$B213," vs ",Team_Matches!$K213)</f>
        <v>E vs H</v>
      </c>
      <c r="E18" t="str">
        <f>Team_Matches!$A224</f>
        <v>2nd Singles</v>
      </c>
      <c r="F18" s="7" t="str">
        <f>IF(Team_Matches!$Q226&lt;&gt;"",IF(Team_Matches!H226&gt;Team_Matches!H228,MIN(Team_Matches!H226,Team_Matches!H228),-MIN(Team_Matches!H226,Team_Matches!H228))*IF(Team_Matches!$Q226="W",1,-1),"")</f>
        <v/>
      </c>
      <c r="G18" s="7" t="str">
        <f>IF(Team_Matches!$Q226&lt;&gt;"",IF(Team_Matches!I226&gt;Team_Matches!I228,MIN(Team_Matches!I226,Team_Matches!I228),-MIN(Team_Matches!I226,Team_Matches!I228))*IF(Team_Matches!$Q226="W",1,-1),"")</f>
        <v/>
      </c>
      <c r="H18" s="7" t="str">
        <f>IF(Team_Matches!$Q226&lt;&gt;"",IF(Team_Matches!J226&gt;Team_Matches!J228,MIN(Team_Matches!J226,Team_Matches!J228),-MIN(Team_Matches!J226,Team_Matches!J228))*IF(Team_Matches!$Q226="W",1,-1),"")</f>
        <v/>
      </c>
      <c r="I18" s="7" t="str">
        <f>IF(Team_Matches!$Q226&lt;&gt;"",IF(Team_Matches!K226=Team_Matches!K228,"",IF(Team_Matches!K226&gt;Team_Matches!K228,MIN(Team_Matches!K226,Team_Matches!K228),-MIN(Team_Matches!K226,Team_Matches!K228))*IF(Team_Matches!$Q226="W",1,-1)),"")</f>
        <v/>
      </c>
      <c r="J18" s="7" t="str">
        <f>IF(Team_Matches!$Q226&lt;&gt;"",IF(Team_Matches!L226=Team_Matches!L228,"",IF(Team_Matches!L226&gt;Team_Matches!L228,MIN(Team_Matches!L226,Team_Matches!L228),-MIN(Team_Matches!L226,Team_Matches!L228))*IF(Team_Matches!$Q226="W",1,-1)),"")</f>
        <v/>
      </c>
    </row>
    <row r="19" spans="1:10" x14ac:dyDescent="0.25">
      <c r="A19" s="55" t="e">
        <f>$B19&amp;";"&amp;VLOOKUP($B19,Players!$C$4:$G$132,5,FALSE)&amp;";"&amp;IF(ISERROR(VLOOKUP($B19,Players!$C$4:$G$132,2,FALSE)),0,VLOOKUP($B19,Players!$C$4:$G$132,2,FALSE))&amp;";"&amp;$C19&amp;";"&amp;VLOOKUP($C19,Players!$C$4:$G$132,5,FALSE)&amp;";"&amp;IF(ISERROR(VLOOKUP($C19,Players!$C$4:$G$132,2,FALSE)),0,VLOOKUP($C19,Players!$C$4:$G$132,2,FALSE))&amp;"|"</f>
        <v>#N/A</v>
      </c>
      <c r="B19" t="str">
        <f>IF(Team_Matches!$Q233="W",Team_Matches!$B233,IF(Team_Matches!$Q235="W",Team_Matches!$B235,""))</f>
        <v/>
      </c>
      <c r="C19" t="str">
        <f>IF(Team_Matches!$Q233="L",Team_Matches!$B233,IF(Team_Matches!$Q235="L",Team_Matches!$B235,""))</f>
        <v/>
      </c>
      <c r="D19" t="str">
        <f>CONCATENATE(Team_Matches!$B213," vs ",Team_Matches!$K213)</f>
        <v>E vs H</v>
      </c>
      <c r="E19" t="str">
        <f>Team_Matches!$A231</f>
        <v>3rd Singles</v>
      </c>
      <c r="F19" s="7" t="str">
        <f>IF(Team_Matches!$Q233&lt;&gt;"",IF(Team_Matches!H233&gt;Team_Matches!H235,MIN(Team_Matches!H233,Team_Matches!H235),-MIN(Team_Matches!H233,Team_Matches!H235))*IF(Team_Matches!$Q233="W",1,-1),"")</f>
        <v/>
      </c>
      <c r="G19" s="7" t="str">
        <f>IF(Team_Matches!$Q233&lt;&gt;"",IF(Team_Matches!I233&gt;Team_Matches!I235,MIN(Team_Matches!I233,Team_Matches!I235),-MIN(Team_Matches!I233,Team_Matches!I235))*IF(Team_Matches!$Q233="W",1,-1),"")</f>
        <v/>
      </c>
      <c r="H19" s="7" t="str">
        <f>IF(Team_Matches!$Q233&lt;&gt;"",IF(Team_Matches!J233&gt;Team_Matches!J235,MIN(Team_Matches!J233,Team_Matches!J235),-MIN(Team_Matches!J233,Team_Matches!J235))*IF(Team_Matches!$Q233="W",1,-1),"")</f>
        <v/>
      </c>
      <c r="I19" s="7" t="str">
        <f>IF(Team_Matches!$Q233&lt;&gt;"",IF(Team_Matches!K233=Team_Matches!K235,"",IF(Team_Matches!K233&gt;Team_Matches!K235,MIN(Team_Matches!K233,Team_Matches!K235),-MIN(Team_Matches!K233,Team_Matches!K235))*IF(Team_Matches!$Q233="W",1,-1)),"")</f>
        <v/>
      </c>
      <c r="J19" s="7" t="str">
        <f>IF(Team_Matches!$Q233&lt;&gt;"",IF(Team_Matches!L233=Team_Matches!L235,"",IF(Team_Matches!L233&gt;Team_Matches!L235,MIN(Team_Matches!L233,Team_Matches!L235),-MIN(Team_Matches!L233,Team_Matches!L235))*IF(Team_Matches!$Q233="W",1,-1)),"")</f>
        <v/>
      </c>
    </row>
    <row r="20" spans="1:10" x14ac:dyDescent="0.25">
      <c r="A20" s="55" t="e">
        <f ca="1">$B20&amp;";"&amp;VLOOKUP($B20,Players!$C$4:$G$132,5,FALSE)&amp;";"&amp;IF(ISERROR(VLOOKUP($B20,Players!$C$4:$G$132,2,FALSE)),0,VLOOKUP($B20,Players!$C$4:$G$132,2,FALSE))&amp;";"&amp;$C20&amp;";"&amp;VLOOKUP($C20,Players!$C$4:$G$132,5,FALSE)&amp;";"&amp;IF(ISERROR(VLOOKUP($C20,Players!$C$4:$G$132,2,FALSE)),0,VLOOKUP($C20,Players!$C$4:$G$132,2,FALSE))&amp;"|"</f>
        <v>#N/A</v>
      </c>
      <c r="B20" t="str">
        <f ca="1">IF(Team_Matches!$Q240="W",Team_Matches!$B240,IF(Team_Matches!$Q242="W",Team_Matches!$B242,""))</f>
        <v/>
      </c>
      <c r="C20" t="str">
        <f ca="1">IF(Team_Matches!$Q240="L",Team_Matches!$B240,IF(Team_Matches!$Q242="L",Team_Matches!$B242,""))</f>
        <v/>
      </c>
      <c r="D20" t="str">
        <f>CONCATENATE(Team_Matches!$B213," vs ",Team_Matches!$K213)</f>
        <v>E vs H</v>
      </c>
      <c r="E20" t="str">
        <f>Team_Matches!$A238</f>
        <v>4th Singles</v>
      </c>
      <c r="F20" s="7" t="str">
        <f ca="1">IF(Team_Matches!$Q240&lt;&gt;"",IF(Team_Matches!H240&gt;Team_Matches!H242,MIN(Team_Matches!H240,Team_Matches!H242),-MIN(Team_Matches!H240,Team_Matches!H242))*IF(Team_Matches!$Q240="W",1,-1),"")</f>
        <v/>
      </c>
      <c r="G20" s="7" t="str">
        <f ca="1">IF(Team_Matches!$Q240&lt;&gt;"",IF(Team_Matches!I240&gt;Team_Matches!I242,MIN(Team_Matches!I240,Team_Matches!I242),-MIN(Team_Matches!I240,Team_Matches!I242))*IF(Team_Matches!$Q240="W",1,-1),"")</f>
        <v/>
      </c>
      <c r="H20" s="7" t="str">
        <f ca="1">IF(Team_Matches!$Q240&lt;&gt;"",IF(Team_Matches!J240&gt;Team_Matches!J242,MIN(Team_Matches!J240,Team_Matches!J242),-MIN(Team_Matches!J240,Team_Matches!J242))*IF(Team_Matches!$Q240="W",1,-1),"")</f>
        <v/>
      </c>
      <c r="I20" s="7" t="str">
        <f ca="1">IF(Team_Matches!$Q240&lt;&gt;"",IF(Team_Matches!K240=Team_Matches!K242,"",IF(Team_Matches!K240&gt;Team_Matches!K242,MIN(Team_Matches!K240,Team_Matches!K242),-MIN(Team_Matches!K240,Team_Matches!K242))*IF(Team_Matches!$Q240="W",1,-1)),"")</f>
        <v/>
      </c>
      <c r="J20" s="7" t="str">
        <f ca="1">IF(Team_Matches!$Q240&lt;&gt;"",IF(Team_Matches!L240=Team_Matches!L242,"",IF(Team_Matches!L240&gt;Team_Matches!L242,MIN(Team_Matches!L240,Team_Matches!L242),-MIN(Team_Matches!L240,Team_Matches!L242))*IF(Team_Matches!$Q240="W",1,-1)),"")</f>
        <v/>
      </c>
    </row>
    <row r="21" spans="1:10" x14ac:dyDescent="0.25">
      <c r="A21" s="55" t="e">
        <f>$B21&amp;";"&amp;VLOOKUP($B21,Players!$C$4:$G$132,5,FALSE)&amp;";"&amp;IF(ISERROR(VLOOKUP($B21,Players!$C$4:$G$132,2,FALSE)),0,VLOOKUP($B21,Players!$C$4:$G$132,2,FALSE))&amp;";"&amp;$C21&amp;";"&amp;VLOOKUP($C21,Players!$C$4:$G$132,5,FALSE)&amp;";"&amp;IF(ISERROR(VLOOKUP($C21,Players!$C$4:$G$132,2,FALSE)),0,VLOOKUP($C21,Players!$C$4:$G$132,2,FALSE))&amp;"|"</f>
        <v>#N/A</v>
      </c>
      <c r="B21" t="str">
        <f>IF(Team_Matches!$Q270="W",Team_Matches!$B270,IF(Team_Matches!$Q272="W",Team_Matches!$B272,""))</f>
        <v/>
      </c>
      <c r="C21" t="str">
        <f>IF(Team_Matches!$Q270="L",Team_Matches!$B270,IF(Team_Matches!$Q272="L",Team_Matches!$B272,""))</f>
        <v/>
      </c>
      <c r="D21" t="str">
        <f>CONCATENATE(Team_Matches!$B264," vs ",Team_Matches!$K264)</f>
        <v>F vs G</v>
      </c>
      <c r="E21" t="str">
        <f>Team_Matches!A268</f>
        <v>1st Singles</v>
      </c>
      <c r="F21" s="7" t="str">
        <f>IF(Team_Matches!$Q270&lt;&gt;"",IF(Team_Matches!H270&gt;Team_Matches!H272,MIN(Team_Matches!H270,Team_Matches!H272),-MIN(Team_Matches!H270,Team_Matches!H272))*IF(Team_Matches!$Q270="W",1,-1),"")</f>
        <v/>
      </c>
      <c r="G21" s="7" t="str">
        <f>IF(Team_Matches!$Q270&lt;&gt;"",IF(Team_Matches!I270&gt;Team_Matches!I272,MIN(Team_Matches!I270,Team_Matches!I272),-MIN(Team_Matches!I270,Team_Matches!I272))*IF(Team_Matches!$Q270="W",1,-1),"")</f>
        <v/>
      </c>
      <c r="H21" s="7" t="str">
        <f>IF(Team_Matches!$Q270&lt;&gt;"",IF(Team_Matches!J270&gt;Team_Matches!J272,MIN(Team_Matches!J270,Team_Matches!J272),-MIN(Team_Matches!J270,Team_Matches!J272))*IF(Team_Matches!$Q270="W",1,-1),"")</f>
        <v/>
      </c>
      <c r="I21" s="7" t="str">
        <f>IF(Team_Matches!$Q270&lt;&gt;"",IF(Team_Matches!K270=Team_Matches!K272,"",IF(Team_Matches!K270&gt;Team_Matches!K272,MIN(Team_Matches!K270,Team_Matches!K272),-MIN(Team_Matches!K270,Team_Matches!K272))*IF(Team_Matches!$Q270="W",1,-1)),"")</f>
        <v/>
      </c>
      <c r="J21" s="7" t="str">
        <f>IF(Team_Matches!$Q270&lt;&gt;"",IF(Team_Matches!L270=Team_Matches!L272,"",IF(Team_Matches!L270&gt;Team_Matches!L272,MIN(Team_Matches!L270,Team_Matches!L272),-MIN(Team_Matches!L270,Team_Matches!L272))*IF(Team_Matches!$Q270="W",1,-1)),"")</f>
        <v/>
      </c>
    </row>
    <row r="22" spans="1:10" x14ac:dyDescent="0.25">
      <c r="A22" s="55" t="e">
        <f>$B22&amp;";"&amp;VLOOKUP($B22,Players!$C$4:$G$132,5,FALSE)&amp;";"&amp;IF(ISERROR(VLOOKUP($B22,Players!$C$4:$G$132,2,FALSE)),0,VLOOKUP($B22,Players!$C$4:$G$132,2,FALSE))&amp;";"&amp;$C22&amp;";"&amp;VLOOKUP($C22,Players!$C$4:$G$132,5,FALSE)&amp;";"&amp;IF(ISERROR(VLOOKUP($C22,Players!$C$4:$G$132,2,FALSE)),0,VLOOKUP($C22,Players!$C$4:$G$132,2,FALSE))&amp;"|"</f>
        <v>#N/A</v>
      </c>
      <c r="B22" t="str">
        <f>IF(Team_Matches!$Q277="W",Team_Matches!$B277,IF(Team_Matches!$Q279="W",Team_Matches!$B279,""))</f>
        <v/>
      </c>
      <c r="C22" t="str">
        <f>IF(Team_Matches!$Q277="L",Team_Matches!$B277,IF(Team_Matches!$Q279="L",Team_Matches!$B279,""))</f>
        <v/>
      </c>
      <c r="D22" t="str">
        <f>CONCATENATE(Team_Matches!$B264," vs ",Team_Matches!$K264)</f>
        <v>F vs G</v>
      </c>
      <c r="E22" t="str">
        <f>Team_Matches!$A275</f>
        <v>2nd Singles</v>
      </c>
      <c r="F22" s="7" t="str">
        <f>IF(Team_Matches!$Q277&lt;&gt;"",IF(Team_Matches!H277&gt;Team_Matches!H279,MIN(Team_Matches!H277,Team_Matches!H279),-MIN(Team_Matches!H277,Team_Matches!H279))*IF(Team_Matches!$Q277="W",1,-1),"")</f>
        <v/>
      </c>
      <c r="G22" s="7" t="str">
        <f>IF(Team_Matches!$Q277&lt;&gt;"",IF(Team_Matches!I277&gt;Team_Matches!I279,MIN(Team_Matches!I277,Team_Matches!I279),-MIN(Team_Matches!I277,Team_Matches!I279))*IF(Team_Matches!$Q277="W",1,-1),"")</f>
        <v/>
      </c>
      <c r="H22" s="7" t="str">
        <f>IF(Team_Matches!$Q277&lt;&gt;"",IF(Team_Matches!J277&gt;Team_Matches!J279,MIN(Team_Matches!J277,Team_Matches!J279),-MIN(Team_Matches!J277,Team_Matches!J279))*IF(Team_Matches!$Q277="W",1,-1),"")</f>
        <v/>
      </c>
      <c r="I22" s="7" t="str">
        <f>IF(Team_Matches!$Q277&lt;&gt;"",IF(Team_Matches!K277=Team_Matches!K279,"",IF(Team_Matches!K277&gt;Team_Matches!K279,MIN(Team_Matches!K277,Team_Matches!K279),-MIN(Team_Matches!K277,Team_Matches!K279))*IF(Team_Matches!$Q277="W",1,-1)),"")</f>
        <v/>
      </c>
      <c r="J22" s="7" t="str">
        <f>IF(Team_Matches!$Q277&lt;&gt;"",IF(Team_Matches!L277=Team_Matches!L279,"",IF(Team_Matches!L277&gt;Team_Matches!L279,MIN(Team_Matches!L277,Team_Matches!L279),-MIN(Team_Matches!L277,Team_Matches!L279))*IF(Team_Matches!$Q277="W",1,-1)),"")</f>
        <v/>
      </c>
    </row>
    <row r="23" spans="1:10" x14ac:dyDescent="0.25">
      <c r="A23" s="55" t="e">
        <f>$B23&amp;";"&amp;VLOOKUP($B23,Players!$C$4:$G$132,5,FALSE)&amp;";"&amp;IF(ISERROR(VLOOKUP($B23,Players!$C$4:$G$132,2,FALSE)),0,VLOOKUP($B23,Players!$C$4:$G$132,2,FALSE))&amp;";"&amp;$C23&amp;";"&amp;VLOOKUP($C23,Players!$C$4:$G$132,5,FALSE)&amp;";"&amp;IF(ISERROR(VLOOKUP($C23,Players!$C$4:$G$132,2,FALSE)),0,VLOOKUP($C23,Players!$C$4:$G$132,2,FALSE))&amp;"|"</f>
        <v>#N/A</v>
      </c>
      <c r="B23" t="str">
        <f>IF(Team_Matches!$Q284="W",Team_Matches!$B284,IF(Team_Matches!$Q286="W",Team_Matches!$B286,""))</f>
        <v/>
      </c>
      <c r="C23" t="str">
        <f>IF(Team_Matches!$Q284="L",Team_Matches!$B284,IF(Team_Matches!$Q286="L",Team_Matches!$B286,""))</f>
        <v/>
      </c>
      <c r="D23" t="str">
        <f>CONCATENATE(Team_Matches!$B264," vs ",Team_Matches!$K264)</f>
        <v>F vs G</v>
      </c>
      <c r="E23" t="str">
        <f>Team_Matches!$A282</f>
        <v>3rd Singles</v>
      </c>
      <c r="F23" s="7" t="str">
        <f>IF(Team_Matches!$Q284&lt;&gt;"",IF(Team_Matches!H284&gt;Team_Matches!H286,MIN(Team_Matches!H284,Team_Matches!H286),-MIN(Team_Matches!H284,Team_Matches!H286))*IF(Team_Matches!$Q284="W",1,-1),"")</f>
        <v/>
      </c>
      <c r="G23" s="7" t="str">
        <f>IF(Team_Matches!$Q284&lt;&gt;"",IF(Team_Matches!I284&gt;Team_Matches!I286,MIN(Team_Matches!I284,Team_Matches!I286),-MIN(Team_Matches!I284,Team_Matches!I286))*IF(Team_Matches!$Q284="W",1,-1),"")</f>
        <v/>
      </c>
      <c r="H23" s="7" t="str">
        <f>IF(Team_Matches!$Q284&lt;&gt;"",IF(Team_Matches!J284&gt;Team_Matches!J286,MIN(Team_Matches!J284,Team_Matches!J286),-MIN(Team_Matches!J284,Team_Matches!J286))*IF(Team_Matches!$Q284="W",1,-1),"")</f>
        <v/>
      </c>
      <c r="I23" s="7" t="str">
        <f>IF(Team_Matches!$Q284&lt;&gt;"",IF(Team_Matches!K284=Team_Matches!K286,"",IF(Team_Matches!K284&gt;Team_Matches!K286,MIN(Team_Matches!K284,Team_Matches!K286),-MIN(Team_Matches!K284,Team_Matches!K286))*IF(Team_Matches!$Q284="W",1,-1)),"")</f>
        <v/>
      </c>
      <c r="J23" s="7" t="str">
        <f>IF(Team_Matches!$Q284&lt;&gt;"",IF(Team_Matches!L284=Team_Matches!L286,"",IF(Team_Matches!L284&gt;Team_Matches!L286,MIN(Team_Matches!L284,Team_Matches!L286),-MIN(Team_Matches!L284,Team_Matches!L286))*IF(Team_Matches!$Q284="W",1,-1)),"")</f>
        <v/>
      </c>
    </row>
    <row r="24" spans="1:10" x14ac:dyDescent="0.25">
      <c r="A24" s="55" t="e">
        <f ca="1">$B24&amp;";"&amp;VLOOKUP($B24,Players!$C$4:$G$132,5,FALSE)&amp;";"&amp;IF(ISERROR(VLOOKUP($B24,Players!$C$4:$G$132,2,FALSE)),0,VLOOKUP($B24,Players!$C$4:$G$132,2,FALSE))&amp;";"&amp;$C24&amp;";"&amp;VLOOKUP($C24,Players!$C$4:$G$132,5,FALSE)&amp;";"&amp;IF(ISERROR(VLOOKUP($C24,Players!$C$4:$G$132,2,FALSE)),0,VLOOKUP($C24,Players!$C$4:$G$132,2,FALSE))&amp;"|"</f>
        <v>#N/A</v>
      </c>
      <c r="B24" t="str">
        <f ca="1">IF(Team_Matches!$Q291="W",Team_Matches!$B291,IF(Team_Matches!$Q293="W",Team_Matches!$B293,""))</f>
        <v/>
      </c>
      <c r="C24" t="str">
        <f ca="1">IF(Team_Matches!$Q291="L",Team_Matches!$B291,IF(Team_Matches!$Q293="L",Team_Matches!$B293,""))</f>
        <v/>
      </c>
      <c r="D24" t="str">
        <f>CONCATENATE(Team_Matches!$B264," vs ",Team_Matches!$K264)</f>
        <v>F vs G</v>
      </c>
      <c r="E24" t="str">
        <f>Team_Matches!$A289</f>
        <v>4th Singles</v>
      </c>
      <c r="F24" s="7" t="str">
        <f ca="1">IF(Team_Matches!$Q291&lt;&gt;"",IF(Team_Matches!H291&gt;Team_Matches!H293,MIN(Team_Matches!H291,Team_Matches!H293),-MIN(Team_Matches!H291,Team_Matches!H293))*IF(Team_Matches!$Q291="W",1,-1),"")</f>
        <v/>
      </c>
      <c r="G24" s="7" t="str">
        <f ca="1">IF(Team_Matches!$Q291&lt;&gt;"",IF(Team_Matches!I291&gt;Team_Matches!I293,MIN(Team_Matches!I291,Team_Matches!I293),-MIN(Team_Matches!I291,Team_Matches!I293))*IF(Team_Matches!$Q291="W",1,-1),"")</f>
        <v/>
      </c>
      <c r="H24" s="7" t="str">
        <f ca="1">IF(Team_Matches!$Q291&lt;&gt;"",IF(Team_Matches!J291&gt;Team_Matches!J293,MIN(Team_Matches!J291,Team_Matches!J293),-MIN(Team_Matches!J291,Team_Matches!J293))*IF(Team_Matches!$Q291="W",1,-1),"")</f>
        <v/>
      </c>
      <c r="I24" s="7" t="str">
        <f ca="1">IF(Team_Matches!$Q291&lt;&gt;"",IF(Team_Matches!K291=Team_Matches!K293,"",IF(Team_Matches!K291&gt;Team_Matches!K293,MIN(Team_Matches!K291,Team_Matches!K293),-MIN(Team_Matches!K291,Team_Matches!K293))*IF(Team_Matches!$Q291="W",1,-1)),"")</f>
        <v/>
      </c>
      <c r="J24" s="7" t="str">
        <f ca="1">IF(Team_Matches!$Q291&lt;&gt;"",IF(Team_Matches!L291=Team_Matches!L293,"",IF(Team_Matches!L291&gt;Team_Matches!L293,MIN(Team_Matches!L291,Team_Matches!L293),-MIN(Team_Matches!L291,Team_Matches!L293))*IF(Team_Matches!$Q291="W",1,-1)),"")</f>
        <v/>
      </c>
    </row>
    <row r="25" spans="1:10" x14ac:dyDescent="0.25">
      <c r="A25" s="55" t="e">
        <f>$B25&amp;";"&amp;VLOOKUP($B25,Players!$C$4:$G$132,5,FALSE)&amp;";"&amp;IF(ISERROR(VLOOKUP($B25,Players!$C$4:$G$132,2,FALSE)),0,VLOOKUP($B25,Players!$C$4:$G$132,2,FALSE))&amp;";"&amp;$C25&amp;";"&amp;VLOOKUP($C25,Players!$C$4:$G$132,5,FALSE)&amp;";"&amp;IF(ISERROR(VLOOKUP($C25,Players!$C$4:$G$132,2,FALSE)),0,VLOOKUP($C25,Players!$C$4:$G$132,2,FALSE))&amp;"|"</f>
        <v>#N/A</v>
      </c>
      <c r="B25" t="str">
        <f>IF(Team_Matches!$Q321="W",Team_Matches!$B321,IF(Team_Matches!$Q323="W",Team_Matches!$B323,""))</f>
        <v/>
      </c>
      <c r="C25" t="str">
        <f>IF(Team_Matches!$Q321="L",Team_Matches!$B321,IF(Team_Matches!$Q323="L",Team_Matches!$B323,""))</f>
        <v/>
      </c>
      <c r="D25" t="str">
        <f>CONCATENATE(Team_Matches!$B315," vs ",Team_Matches!$K315)</f>
        <v>A vs K</v>
      </c>
      <c r="E25" t="str">
        <f>Team_Matches!A319</f>
        <v>1st Singles</v>
      </c>
      <c r="F25" s="7" t="str">
        <f>IF(Team_Matches!$Q321&lt;&gt;"",IF(Team_Matches!H321&gt;Team_Matches!H323,MIN(Team_Matches!H321,Team_Matches!H323),-MIN(Team_Matches!H321,Team_Matches!H323))*IF(Team_Matches!$Q321="W",1,-1),"")</f>
        <v/>
      </c>
      <c r="G25" s="7" t="str">
        <f>IF(Team_Matches!$Q321&lt;&gt;"",IF(Team_Matches!I321&gt;Team_Matches!I323,MIN(Team_Matches!I321,Team_Matches!I323),-MIN(Team_Matches!I321,Team_Matches!I323))*IF(Team_Matches!$Q321="W",1,-1),"")</f>
        <v/>
      </c>
      <c r="H25" s="7" t="str">
        <f>IF(Team_Matches!$Q321&lt;&gt;"",IF(Team_Matches!J321&gt;Team_Matches!J323,MIN(Team_Matches!J321,Team_Matches!J323),-MIN(Team_Matches!J321,Team_Matches!J323))*IF(Team_Matches!$Q321="W",1,-1),"")</f>
        <v/>
      </c>
      <c r="I25" s="7" t="str">
        <f>IF(Team_Matches!$Q321&lt;&gt;"",IF(Team_Matches!K321=Team_Matches!K323,"",IF(Team_Matches!K321&gt;Team_Matches!K323,MIN(Team_Matches!K321,Team_Matches!K323),-MIN(Team_Matches!K321,Team_Matches!K323))*IF(Team_Matches!$Q321="W",1,-1)),"")</f>
        <v/>
      </c>
      <c r="J25" s="7" t="str">
        <f>IF(Team_Matches!$Q321&lt;&gt;"",IF(Team_Matches!L321=Team_Matches!L323,"",IF(Team_Matches!L321&gt;Team_Matches!L323,MIN(Team_Matches!L321,Team_Matches!L323),-MIN(Team_Matches!L321,Team_Matches!L323))*IF(Team_Matches!$Q321="W",1,-1)),"")</f>
        <v/>
      </c>
    </row>
    <row r="26" spans="1:10" x14ac:dyDescent="0.25">
      <c r="A26" s="55" t="e">
        <f>$B26&amp;";"&amp;VLOOKUP($B26,Players!$C$4:$G$132,5,FALSE)&amp;";"&amp;IF(ISERROR(VLOOKUP($B26,Players!$C$4:$G$132,2,FALSE)),0,VLOOKUP($B26,Players!$C$4:$G$132,2,FALSE))&amp;";"&amp;$C26&amp;";"&amp;VLOOKUP($C26,Players!$C$4:$G$132,5,FALSE)&amp;";"&amp;IF(ISERROR(VLOOKUP($C26,Players!$C$4:$G$132,2,FALSE)),0,VLOOKUP($C26,Players!$C$4:$G$132,2,FALSE))&amp;"|"</f>
        <v>#N/A</v>
      </c>
      <c r="B26" t="str">
        <f>IF(Team_Matches!$Q328="W",Team_Matches!$B328,IF(Team_Matches!$Q330="W",Team_Matches!$B330,""))</f>
        <v/>
      </c>
      <c r="C26" t="str">
        <f>IF(Team_Matches!$Q328="L",Team_Matches!$B328,IF(Team_Matches!$Q330="L",Team_Matches!$B330,""))</f>
        <v/>
      </c>
      <c r="D26" t="str">
        <f>CONCATENATE(Team_Matches!$B315," vs ",Team_Matches!$K315)</f>
        <v>A vs K</v>
      </c>
      <c r="E26" t="str">
        <f>Team_Matches!$A326</f>
        <v>2nd Singles</v>
      </c>
      <c r="F26" s="7" t="str">
        <f>IF(Team_Matches!$Q328&lt;&gt;"",IF(Team_Matches!H328&gt;Team_Matches!H330,MIN(Team_Matches!H328,Team_Matches!H330),-MIN(Team_Matches!H328,Team_Matches!H330))*IF(Team_Matches!$Q328="W",1,-1),"")</f>
        <v/>
      </c>
      <c r="G26" s="7" t="str">
        <f>IF(Team_Matches!$Q328&lt;&gt;"",IF(Team_Matches!I328&gt;Team_Matches!I330,MIN(Team_Matches!I328,Team_Matches!I330),-MIN(Team_Matches!I328,Team_Matches!I330))*IF(Team_Matches!$Q328="W",1,-1),"")</f>
        <v/>
      </c>
      <c r="H26" s="7" t="str">
        <f>IF(Team_Matches!$Q328&lt;&gt;"",IF(Team_Matches!J328&gt;Team_Matches!J330,MIN(Team_Matches!J328,Team_Matches!J330),-MIN(Team_Matches!J328,Team_Matches!J330))*IF(Team_Matches!$Q328="W",1,-1),"")</f>
        <v/>
      </c>
      <c r="I26" s="7" t="str">
        <f>IF(Team_Matches!$Q328&lt;&gt;"",IF(Team_Matches!K328=Team_Matches!K330,"",IF(Team_Matches!K328&gt;Team_Matches!K330,MIN(Team_Matches!K328,Team_Matches!K330),-MIN(Team_Matches!K328,Team_Matches!K330))*IF(Team_Matches!$Q328="W",1,-1)),"")</f>
        <v/>
      </c>
      <c r="J26" s="7" t="str">
        <f>IF(Team_Matches!$Q328&lt;&gt;"",IF(Team_Matches!L328=Team_Matches!L330,"",IF(Team_Matches!L328&gt;Team_Matches!L330,MIN(Team_Matches!L328,Team_Matches!L330),-MIN(Team_Matches!L328,Team_Matches!L330))*IF(Team_Matches!$Q328="W",1,-1)),"")</f>
        <v/>
      </c>
    </row>
    <row r="27" spans="1:10" x14ac:dyDescent="0.25">
      <c r="A27" s="55" t="e">
        <f>$B27&amp;";"&amp;VLOOKUP($B27,Players!$C$4:$G$132,5,FALSE)&amp;";"&amp;IF(ISERROR(VLOOKUP($B27,Players!$C$4:$G$132,2,FALSE)),0,VLOOKUP($B27,Players!$C$4:$G$132,2,FALSE))&amp;";"&amp;$C27&amp;";"&amp;VLOOKUP($C27,Players!$C$4:$G$132,5,FALSE)&amp;";"&amp;IF(ISERROR(VLOOKUP($C27,Players!$C$4:$G$132,2,FALSE)),0,VLOOKUP($C27,Players!$C$4:$G$132,2,FALSE))&amp;"|"</f>
        <v>#N/A</v>
      </c>
      <c r="B27" t="str">
        <f>IF(Team_Matches!$Q335="W",Team_Matches!$B335,IF(Team_Matches!$Q337="W",Team_Matches!$B337,""))</f>
        <v/>
      </c>
      <c r="C27" t="str">
        <f>IF(Team_Matches!$Q335="L",Team_Matches!$B335,IF(Team_Matches!$Q337="L",Team_Matches!$B337,""))</f>
        <v/>
      </c>
      <c r="D27" t="str">
        <f>CONCATENATE(Team_Matches!$B315," vs ",Team_Matches!$K315)</f>
        <v>A vs K</v>
      </c>
      <c r="E27" t="str">
        <f>Team_Matches!$A333</f>
        <v>3rd Singles</v>
      </c>
      <c r="F27" s="7" t="str">
        <f>IF(Team_Matches!$Q335&lt;&gt;"",IF(Team_Matches!H335&gt;Team_Matches!H337,MIN(Team_Matches!H335,Team_Matches!H337),-MIN(Team_Matches!H335,Team_Matches!H337))*IF(Team_Matches!$Q335="W",1,-1),"")</f>
        <v/>
      </c>
      <c r="G27" s="7" t="str">
        <f>IF(Team_Matches!$Q335&lt;&gt;"",IF(Team_Matches!I335&gt;Team_Matches!I337,MIN(Team_Matches!I335,Team_Matches!I337),-MIN(Team_Matches!I335,Team_Matches!I337))*IF(Team_Matches!$Q335="W",1,-1),"")</f>
        <v/>
      </c>
      <c r="H27" s="7" t="str">
        <f>IF(Team_Matches!$Q335&lt;&gt;"",IF(Team_Matches!J335&gt;Team_Matches!J337,MIN(Team_Matches!J335,Team_Matches!J337),-MIN(Team_Matches!J335,Team_Matches!J337))*IF(Team_Matches!$Q335="W",1,-1),"")</f>
        <v/>
      </c>
      <c r="I27" s="7" t="str">
        <f>IF(Team_Matches!$Q335&lt;&gt;"",IF(Team_Matches!K335=Team_Matches!K337,"",IF(Team_Matches!K335&gt;Team_Matches!K337,MIN(Team_Matches!K335,Team_Matches!K337),-MIN(Team_Matches!K335,Team_Matches!K337))*IF(Team_Matches!$Q335="W",1,-1)),"")</f>
        <v/>
      </c>
      <c r="J27" s="7" t="str">
        <f>IF(Team_Matches!$Q335&lt;&gt;"",IF(Team_Matches!L335=Team_Matches!L337,"",IF(Team_Matches!L335&gt;Team_Matches!L337,MIN(Team_Matches!L335,Team_Matches!L337),-MIN(Team_Matches!L335,Team_Matches!L337))*IF(Team_Matches!$Q335="W",1,-1)),"")</f>
        <v/>
      </c>
    </row>
    <row r="28" spans="1:10" x14ac:dyDescent="0.25">
      <c r="A28" s="55" t="e">
        <f ca="1">$B28&amp;";"&amp;VLOOKUP($B28,Players!$C$4:$G$132,5,FALSE)&amp;";"&amp;IF(ISERROR(VLOOKUP($B28,Players!$C$4:$G$132,2,FALSE)),0,VLOOKUP($B28,Players!$C$4:$G$132,2,FALSE))&amp;";"&amp;$C28&amp;";"&amp;VLOOKUP($C28,Players!$C$4:$G$132,5,FALSE)&amp;";"&amp;IF(ISERROR(VLOOKUP($C28,Players!$C$4:$G$132,2,FALSE)),0,VLOOKUP($C28,Players!$C$4:$G$132,2,FALSE))&amp;"|"</f>
        <v>#N/A</v>
      </c>
      <c r="B28" t="str">
        <f ca="1">IF(Team_Matches!$Q342="W",Team_Matches!$B342,IF(Team_Matches!$Q344="W",Team_Matches!$B344,""))</f>
        <v/>
      </c>
      <c r="C28" t="str">
        <f ca="1">IF(Team_Matches!$Q342="L",Team_Matches!$B342,IF(Team_Matches!$Q344="L",Team_Matches!$B344,""))</f>
        <v/>
      </c>
      <c r="D28" t="str">
        <f>CONCATENATE(Team_Matches!$B315," vs ",Team_Matches!$K315)</f>
        <v>A vs K</v>
      </c>
      <c r="E28" t="str">
        <f>Team_Matches!$A340</f>
        <v>4th Singles</v>
      </c>
      <c r="F28" s="7" t="str">
        <f ca="1">IF(Team_Matches!$Q342&lt;&gt;"",IF(Team_Matches!H342&gt;Team_Matches!H344,MIN(Team_Matches!H342,Team_Matches!H344),-MIN(Team_Matches!H342,Team_Matches!H344))*IF(Team_Matches!$Q342="W",1,-1),"")</f>
        <v/>
      </c>
      <c r="G28" s="7" t="str">
        <f ca="1">IF(Team_Matches!$Q342&lt;&gt;"",IF(Team_Matches!I342&gt;Team_Matches!I344,MIN(Team_Matches!I342,Team_Matches!I344),-MIN(Team_Matches!I342,Team_Matches!I344))*IF(Team_Matches!$Q342="W",1,-1),"")</f>
        <v/>
      </c>
      <c r="H28" s="7" t="str">
        <f ca="1">IF(Team_Matches!$Q342&lt;&gt;"",IF(Team_Matches!J342&gt;Team_Matches!J344,MIN(Team_Matches!J342,Team_Matches!J344),-MIN(Team_Matches!J342,Team_Matches!J344))*IF(Team_Matches!$Q342="W",1,-1),"")</f>
        <v/>
      </c>
      <c r="I28" s="7" t="str">
        <f ca="1">IF(Team_Matches!$Q342&lt;&gt;"",IF(Team_Matches!K342=Team_Matches!K344,"",IF(Team_Matches!K342&gt;Team_Matches!K344,MIN(Team_Matches!K342,Team_Matches!K344),-MIN(Team_Matches!K342,Team_Matches!K344))*IF(Team_Matches!$Q342="W",1,-1)),"")</f>
        <v/>
      </c>
      <c r="J28" s="7" t="str">
        <f ca="1">IF(Team_Matches!$Q342&lt;&gt;"",IF(Team_Matches!L342=Team_Matches!L344,"",IF(Team_Matches!L342&gt;Team_Matches!L344,MIN(Team_Matches!L342,Team_Matches!L344),-MIN(Team_Matches!L342,Team_Matches!L344))*IF(Team_Matches!$Q342="W",1,-1)),"")</f>
        <v/>
      </c>
    </row>
    <row r="29" spans="1:10" x14ac:dyDescent="0.25">
      <c r="A29" s="55" t="e">
        <f>$B29&amp;";"&amp;VLOOKUP($B29,Players!$C$4:$G$132,5,FALSE)&amp;";"&amp;IF(ISERROR(VLOOKUP($B29,Players!$C$4:$G$132,2,FALSE)),0,VLOOKUP($B29,Players!$C$4:$G$132,2,FALSE))&amp;";"&amp;$C29&amp;";"&amp;VLOOKUP($C29,Players!$C$4:$G$132,5,FALSE)&amp;";"&amp;IF(ISERROR(VLOOKUP($C29,Players!$C$4:$G$132,2,FALSE)),0,VLOOKUP($C29,Players!$C$4:$G$132,2,FALSE))&amp;"|"</f>
        <v>#N/A</v>
      </c>
      <c r="B29" t="str">
        <f>IF(Team_Matches!$Q372="W",Team_Matches!$B372,IF(Team_Matches!$Q374="W",Team_Matches!$B374,""))</f>
        <v/>
      </c>
      <c r="C29" t="str">
        <f>IF(Team_Matches!$Q372="L",Team_Matches!$B372,IF(Team_Matches!$Q374="L",Team_Matches!$B374,""))</f>
        <v/>
      </c>
      <c r="D29" t="str">
        <f>CONCATENATE(Team_Matches!$B366," vs ",Team_Matches!$K366)</f>
        <v>J vs L</v>
      </c>
      <c r="E29" t="str">
        <f>Team_Matches!A370</f>
        <v>1st Singles</v>
      </c>
      <c r="F29" s="7" t="str">
        <f>IF(Team_Matches!$Q372&lt;&gt;"",IF(Team_Matches!H372&gt;Team_Matches!H374,MIN(Team_Matches!H372,Team_Matches!H374),-MIN(Team_Matches!H372,Team_Matches!H374))*IF(Team_Matches!$Q372="W",1,-1),"")</f>
        <v/>
      </c>
      <c r="G29" s="7" t="str">
        <f>IF(Team_Matches!$Q372&lt;&gt;"",IF(Team_Matches!I372&gt;Team_Matches!I374,MIN(Team_Matches!I372,Team_Matches!I374),-MIN(Team_Matches!I372,Team_Matches!I374))*IF(Team_Matches!$Q372="W",1,-1),"")</f>
        <v/>
      </c>
      <c r="H29" s="7" t="str">
        <f>IF(Team_Matches!$Q372&lt;&gt;"",IF(Team_Matches!J372&gt;Team_Matches!J374,MIN(Team_Matches!J372,Team_Matches!J374),-MIN(Team_Matches!J372,Team_Matches!J374))*IF(Team_Matches!$Q372="W",1,-1),"")</f>
        <v/>
      </c>
      <c r="I29" s="7" t="str">
        <f>IF(Team_Matches!$Q372&lt;&gt;"",IF(Team_Matches!K372=Team_Matches!K374,"",IF(Team_Matches!K372&gt;Team_Matches!K374,MIN(Team_Matches!K372,Team_Matches!K374),-MIN(Team_Matches!K372,Team_Matches!K374))*IF(Team_Matches!$Q372="W",1,-1)),"")</f>
        <v/>
      </c>
      <c r="J29" s="7" t="str">
        <f>IF(Team_Matches!$Q372&lt;&gt;"",IF(Team_Matches!L372=Team_Matches!L374,"",IF(Team_Matches!L372&gt;Team_Matches!L374,MIN(Team_Matches!L372,Team_Matches!L374),-MIN(Team_Matches!L372,Team_Matches!L374))*IF(Team_Matches!$Q372="W",1,-1)),"")</f>
        <v/>
      </c>
    </row>
    <row r="30" spans="1:10" x14ac:dyDescent="0.25">
      <c r="A30" s="55" t="e">
        <f>$B30&amp;";"&amp;VLOOKUP($B30,Players!$C$4:$G$132,5,FALSE)&amp;";"&amp;IF(ISERROR(VLOOKUP($B30,Players!$C$4:$G$132,2,FALSE)),0,VLOOKUP($B30,Players!$C$4:$G$132,2,FALSE))&amp;";"&amp;$C30&amp;";"&amp;VLOOKUP($C30,Players!$C$4:$G$132,5,FALSE)&amp;";"&amp;IF(ISERROR(VLOOKUP($C30,Players!$C$4:$G$132,2,FALSE)),0,VLOOKUP($C30,Players!$C$4:$G$132,2,FALSE))&amp;"|"</f>
        <v>#N/A</v>
      </c>
      <c r="B30" t="str">
        <f>IF(Team_Matches!$Q379="W",Team_Matches!$B379,IF(Team_Matches!$Q381="W",Team_Matches!$B381,""))</f>
        <v/>
      </c>
      <c r="C30" t="str">
        <f>IF(Team_Matches!$Q379="L",Team_Matches!$B379,IF(Team_Matches!$Q381="L",Team_Matches!$B381,""))</f>
        <v/>
      </c>
      <c r="D30" t="str">
        <f>CONCATENATE(Team_Matches!$B366," vs ",Team_Matches!$K366)</f>
        <v>J vs L</v>
      </c>
      <c r="E30" t="str">
        <f>Team_Matches!$A377</f>
        <v>2nd Singles</v>
      </c>
      <c r="F30" s="7" t="str">
        <f>IF(Team_Matches!$Q379&lt;&gt;"",IF(Team_Matches!H379&gt;Team_Matches!H381,MIN(Team_Matches!H379,Team_Matches!H381),-MIN(Team_Matches!H379,Team_Matches!H381))*IF(Team_Matches!$Q379="W",1,-1),"")</f>
        <v/>
      </c>
      <c r="G30" s="7" t="str">
        <f>IF(Team_Matches!$Q379&lt;&gt;"",IF(Team_Matches!I379&gt;Team_Matches!I381,MIN(Team_Matches!I379,Team_Matches!I381),-MIN(Team_Matches!I379,Team_Matches!I381))*IF(Team_Matches!$Q379="W",1,-1),"")</f>
        <v/>
      </c>
      <c r="H30" s="7" t="str">
        <f>IF(Team_Matches!$Q379&lt;&gt;"",IF(Team_Matches!J379&gt;Team_Matches!J381,MIN(Team_Matches!J379,Team_Matches!J381),-MIN(Team_Matches!J379,Team_Matches!J381))*IF(Team_Matches!$Q379="W",1,-1),"")</f>
        <v/>
      </c>
      <c r="I30" s="7" t="str">
        <f>IF(Team_Matches!$Q379&lt;&gt;"",IF(Team_Matches!K379=Team_Matches!K381,"",IF(Team_Matches!K379&gt;Team_Matches!K381,MIN(Team_Matches!K379,Team_Matches!K381),-MIN(Team_Matches!K379,Team_Matches!K381))*IF(Team_Matches!$Q379="W",1,-1)),"")</f>
        <v/>
      </c>
      <c r="J30" s="7" t="str">
        <f>IF(Team_Matches!$Q379&lt;&gt;"",IF(Team_Matches!L379=Team_Matches!L381,"",IF(Team_Matches!L379&gt;Team_Matches!L381,MIN(Team_Matches!L379,Team_Matches!L381),-MIN(Team_Matches!L379,Team_Matches!L381))*IF(Team_Matches!$Q379="W",1,-1)),"")</f>
        <v/>
      </c>
    </row>
    <row r="31" spans="1:10" x14ac:dyDescent="0.25">
      <c r="A31" s="55" t="e">
        <f>$B31&amp;";"&amp;VLOOKUP($B31,Players!$C$4:$G$132,5,FALSE)&amp;";"&amp;IF(ISERROR(VLOOKUP($B31,Players!$C$4:$G$132,2,FALSE)),0,VLOOKUP($B31,Players!$C$4:$G$132,2,FALSE))&amp;";"&amp;$C31&amp;";"&amp;VLOOKUP($C31,Players!$C$4:$G$132,5,FALSE)&amp;";"&amp;IF(ISERROR(VLOOKUP($C31,Players!$C$4:$G$132,2,FALSE)),0,VLOOKUP($C31,Players!$C$4:$G$132,2,FALSE))&amp;"|"</f>
        <v>#N/A</v>
      </c>
      <c r="B31" t="str">
        <f>IF(Team_Matches!$Q386="W",Team_Matches!$B386,IF(Team_Matches!$Q388="W",Team_Matches!$B388,""))</f>
        <v/>
      </c>
      <c r="C31" t="str">
        <f>IF(Team_Matches!$Q386="L",Team_Matches!$B386,IF(Team_Matches!$Q388="L",Team_Matches!$B388,""))</f>
        <v/>
      </c>
      <c r="D31" t="str">
        <f>CONCATENATE(Team_Matches!$B366," vs ",Team_Matches!$K366)</f>
        <v>J vs L</v>
      </c>
      <c r="E31" t="str">
        <f>Team_Matches!$A384</f>
        <v>3rd Singles</v>
      </c>
      <c r="F31" s="7" t="str">
        <f>IF(Team_Matches!$Q386&lt;&gt;"",IF(Team_Matches!H386&gt;Team_Matches!H388,MIN(Team_Matches!H386,Team_Matches!H388),-MIN(Team_Matches!H386,Team_Matches!H388))*IF(Team_Matches!$Q386="W",1,-1),"")</f>
        <v/>
      </c>
      <c r="G31" s="7" t="str">
        <f>IF(Team_Matches!$Q386&lt;&gt;"",IF(Team_Matches!I386&gt;Team_Matches!I388,MIN(Team_Matches!I386,Team_Matches!I388),-MIN(Team_Matches!I386,Team_Matches!I388))*IF(Team_Matches!$Q386="W",1,-1),"")</f>
        <v/>
      </c>
      <c r="H31" s="7" t="str">
        <f>IF(Team_Matches!$Q386&lt;&gt;"",IF(Team_Matches!J386&gt;Team_Matches!J388,MIN(Team_Matches!J386,Team_Matches!J388),-MIN(Team_Matches!J386,Team_Matches!J388))*IF(Team_Matches!$Q386="W",1,-1),"")</f>
        <v/>
      </c>
      <c r="I31" s="7" t="str">
        <f>IF(Team_Matches!$Q386&lt;&gt;"",IF(Team_Matches!K386=Team_Matches!K388,"",IF(Team_Matches!K386&gt;Team_Matches!K388,MIN(Team_Matches!K386,Team_Matches!K388),-MIN(Team_Matches!K386,Team_Matches!K388))*IF(Team_Matches!$Q386="W",1,-1)),"")</f>
        <v/>
      </c>
      <c r="J31" s="7" t="str">
        <f>IF(Team_Matches!$Q386&lt;&gt;"",IF(Team_Matches!L386=Team_Matches!L388,"",IF(Team_Matches!L386&gt;Team_Matches!L388,MIN(Team_Matches!L386,Team_Matches!L388),-MIN(Team_Matches!L386,Team_Matches!L388))*IF(Team_Matches!$Q386="W",1,-1)),"")</f>
        <v/>
      </c>
    </row>
    <row r="32" spans="1:10" x14ac:dyDescent="0.25">
      <c r="A32" s="55" t="e">
        <f ca="1">$B32&amp;";"&amp;VLOOKUP($B32,Players!$C$4:$G$132,5,FALSE)&amp;";"&amp;IF(ISERROR(VLOOKUP($B32,Players!$C$4:$G$132,2,FALSE)),0,VLOOKUP($B32,Players!$C$4:$G$132,2,FALSE))&amp;";"&amp;$C32&amp;";"&amp;VLOOKUP($C32,Players!$C$4:$G$132,5,FALSE)&amp;";"&amp;IF(ISERROR(VLOOKUP($C32,Players!$C$4:$G$132,2,FALSE)),0,VLOOKUP($C32,Players!$C$4:$G$132,2,FALSE))&amp;"|"</f>
        <v>#N/A</v>
      </c>
      <c r="B32" t="str">
        <f ca="1">IF(Team_Matches!$Q393="W",Team_Matches!$B393,IF(Team_Matches!$Q395="W",Team_Matches!$B395,""))</f>
        <v/>
      </c>
      <c r="C32" t="str">
        <f ca="1">IF(Team_Matches!$Q393="L",Team_Matches!$B393,IF(Team_Matches!$Q395="L",Team_Matches!$B395,""))</f>
        <v/>
      </c>
      <c r="D32" t="str">
        <f>CONCATENATE(Team_Matches!$B366," vs ",Team_Matches!$K366)</f>
        <v>J vs L</v>
      </c>
      <c r="E32" t="str">
        <f>Team_Matches!$A391</f>
        <v>4th Singles</v>
      </c>
      <c r="F32" s="7" t="str">
        <f ca="1">IF(Team_Matches!$Q393&lt;&gt;"",IF(Team_Matches!H393&gt;Team_Matches!H395,MIN(Team_Matches!H393,Team_Matches!H395),-MIN(Team_Matches!H393,Team_Matches!H395))*IF(Team_Matches!$Q393="W",1,-1),"")</f>
        <v/>
      </c>
      <c r="G32" s="7" t="str">
        <f ca="1">IF(Team_Matches!$Q393&lt;&gt;"",IF(Team_Matches!I393&gt;Team_Matches!I395,MIN(Team_Matches!I393,Team_Matches!I395),-MIN(Team_Matches!I393,Team_Matches!I395))*IF(Team_Matches!$Q393="W",1,-1),"")</f>
        <v/>
      </c>
      <c r="H32" s="7" t="str">
        <f ca="1">IF(Team_Matches!$Q393&lt;&gt;"",IF(Team_Matches!J393&gt;Team_Matches!J395,MIN(Team_Matches!J393,Team_Matches!J395),-MIN(Team_Matches!J393,Team_Matches!J395))*IF(Team_Matches!$Q393="W",1,-1),"")</f>
        <v/>
      </c>
      <c r="I32" s="7" t="str">
        <f ca="1">IF(Team_Matches!$Q393&lt;&gt;"",IF(Team_Matches!K393=Team_Matches!K395,"",IF(Team_Matches!K393&gt;Team_Matches!K395,MIN(Team_Matches!K393,Team_Matches!K395),-MIN(Team_Matches!K393,Team_Matches!K395))*IF(Team_Matches!$Q393="W",1,-1)),"")</f>
        <v/>
      </c>
      <c r="J32" s="7" t="str">
        <f ca="1">IF(Team_Matches!$Q393&lt;&gt;"",IF(Team_Matches!L393=Team_Matches!L395,"",IF(Team_Matches!L393&gt;Team_Matches!L395,MIN(Team_Matches!L393,Team_Matches!L395),-MIN(Team_Matches!L393,Team_Matches!L395))*IF(Team_Matches!$Q393="W",1,-1)),"")</f>
        <v/>
      </c>
    </row>
    <row r="33" spans="1:10" x14ac:dyDescent="0.25">
      <c r="A33" s="55" t="e">
        <f>$B33&amp;";"&amp;VLOOKUP($B33,Players!$C$4:$G$132,5,FALSE)&amp;";"&amp;IF(ISERROR(VLOOKUP($B33,Players!$C$4:$G$132,2,FALSE)),0,VLOOKUP($B33,Players!$C$4:$G$132,2,FALSE))&amp;";"&amp;$C33&amp;";"&amp;VLOOKUP($C33,Players!$C$4:$G$132,5,FALSE)&amp;";"&amp;IF(ISERROR(VLOOKUP($C33,Players!$C$4:$G$132,2,FALSE)),0,VLOOKUP($C33,Players!$C$4:$G$132,2,FALSE))&amp;"|"</f>
        <v>#N/A</v>
      </c>
      <c r="B33" t="str">
        <f>IF(Team_Matches!$Q423="W",Team_Matches!$B423,IF(Team_Matches!$Q425="W",Team_Matches!$B425,""))</f>
        <v/>
      </c>
      <c r="C33" t="str">
        <f>IF(Team_Matches!$Q423="L",Team_Matches!$B423,IF(Team_Matches!$Q425="L",Team_Matches!$B425,""))</f>
        <v/>
      </c>
      <c r="D33" t="str">
        <f>CONCATENATE(Team_Matches!$B417," vs ",Team_Matches!$K417)</f>
        <v>B vs I</v>
      </c>
      <c r="E33" t="str">
        <f>Team_Matches!A421</f>
        <v>1st Singles</v>
      </c>
      <c r="F33" s="7" t="str">
        <f>IF(Team_Matches!$Q423&lt;&gt;"",IF(Team_Matches!H423&gt;Team_Matches!H425,MIN(Team_Matches!H423,Team_Matches!H425),-MIN(Team_Matches!H423,Team_Matches!H425))*IF(Team_Matches!$Q423="W",1,-1),"")</f>
        <v/>
      </c>
      <c r="G33" s="7" t="str">
        <f>IF(Team_Matches!$Q423&lt;&gt;"",IF(Team_Matches!I423&gt;Team_Matches!I425,MIN(Team_Matches!I423,Team_Matches!I425),-MIN(Team_Matches!I423,Team_Matches!I425))*IF(Team_Matches!$Q423="W",1,-1),"")</f>
        <v/>
      </c>
      <c r="H33" s="7" t="str">
        <f>IF(Team_Matches!$Q423&lt;&gt;"",IF(Team_Matches!J423&gt;Team_Matches!J425,MIN(Team_Matches!J423,Team_Matches!J425),-MIN(Team_Matches!J423,Team_Matches!J425))*IF(Team_Matches!$Q423="W",1,-1),"")</f>
        <v/>
      </c>
      <c r="I33" s="7" t="str">
        <f>IF(Team_Matches!$Q423&lt;&gt;"",IF(Team_Matches!K423=Team_Matches!K425,"",IF(Team_Matches!K423&gt;Team_Matches!K425,MIN(Team_Matches!K423,Team_Matches!K425),-MIN(Team_Matches!K423,Team_Matches!K425))*IF(Team_Matches!$Q423="W",1,-1)),"")</f>
        <v/>
      </c>
      <c r="J33" s="7" t="str">
        <f>IF(Team_Matches!$Q423&lt;&gt;"",IF(Team_Matches!L423=Team_Matches!L425,"",IF(Team_Matches!L423&gt;Team_Matches!L425,MIN(Team_Matches!L423,Team_Matches!L425),-MIN(Team_Matches!L423,Team_Matches!L425))*IF(Team_Matches!$Q423="W",1,-1)),"")</f>
        <v/>
      </c>
    </row>
    <row r="34" spans="1:10" x14ac:dyDescent="0.25">
      <c r="A34" s="55" t="e">
        <f>$B34&amp;";"&amp;VLOOKUP($B34,Players!$C$4:$G$132,5,FALSE)&amp;";"&amp;IF(ISERROR(VLOOKUP($B34,Players!$C$4:$G$132,2,FALSE)),0,VLOOKUP($B34,Players!$C$4:$G$132,2,FALSE))&amp;";"&amp;$C34&amp;";"&amp;VLOOKUP($C34,Players!$C$4:$G$132,5,FALSE)&amp;";"&amp;IF(ISERROR(VLOOKUP($C34,Players!$C$4:$G$132,2,FALSE)),0,VLOOKUP($C34,Players!$C$4:$G$132,2,FALSE))&amp;"|"</f>
        <v>#N/A</v>
      </c>
      <c r="B34" t="str">
        <f>IF(Team_Matches!$Q430="W",Team_Matches!$B430,IF(Team_Matches!$Q432="W",Team_Matches!$B432,""))</f>
        <v/>
      </c>
      <c r="C34" t="str">
        <f>IF(Team_Matches!$Q430="L",Team_Matches!$B430,IF(Team_Matches!$Q432="L",Team_Matches!$B432,""))</f>
        <v/>
      </c>
      <c r="D34" t="str">
        <f>CONCATENATE(Team_Matches!$B417," vs ",Team_Matches!$K417)</f>
        <v>B vs I</v>
      </c>
      <c r="E34" t="str">
        <f>Team_Matches!$A428</f>
        <v>2nd Singles</v>
      </c>
      <c r="F34" s="7" t="str">
        <f>IF(Team_Matches!$Q430&lt;&gt;"",IF(Team_Matches!H430&gt;Team_Matches!H432,MIN(Team_Matches!H430,Team_Matches!H432),-MIN(Team_Matches!H430,Team_Matches!H432))*IF(Team_Matches!$Q430="W",1,-1),"")</f>
        <v/>
      </c>
      <c r="G34" s="7" t="str">
        <f>IF(Team_Matches!$Q430&lt;&gt;"",IF(Team_Matches!I430&gt;Team_Matches!I432,MIN(Team_Matches!I430,Team_Matches!I432),-MIN(Team_Matches!I430,Team_Matches!I432))*IF(Team_Matches!$Q430="W",1,-1),"")</f>
        <v/>
      </c>
      <c r="H34" s="7" t="str">
        <f>IF(Team_Matches!$Q430&lt;&gt;"",IF(Team_Matches!J430&gt;Team_Matches!J432,MIN(Team_Matches!J430,Team_Matches!J432),-MIN(Team_Matches!J430,Team_Matches!J432))*IF(Team_Matches!$Q430="W",1,-1),"")</f>
        <v/>
      </c>
      <c r="I34" s="7" t="str">
        <f>IF(Team_Matches!$Q430&lt;&gt;"",IF(Team_Matches!K430=Team_Matches!K432,"",IF(Team_Matches!K430&gt;Team_Matches!K432,MIN(Team_Matches!K430,Team_Matches!K432),-MIN(Team_Matches!K430,Team_Matches!K432))*IF(Team_Matches!$Q430="W",1,-1)),"")</f>
        <v/>
      </c>
      <c r="J34" s="7" t="str">
        <f>IF(Team_Matches!$Q430&lt;&gt;"",IF(Team_Matches!L430=Team_Matches!L432,"",IF(Team_Matches!L430&gt;Team_Matches!L432,MIN(Team_Matches!L430,Team_Matches!L432),-MIN(Team_Matches!L430,Team_Matches!L432))*IF(Team_Matches!$Q430="W",1,-1)),"")</f>
        <v/>
      </c>
    </row>
    <row r="35" spans="1:10" x14ac:dyDescent="0.25">
      <c r="A35" s="55" t="e">
        <f>$B35&amp;";"&amp;VLOOKUP($B35,Players!$C$4:$G$132,5,FALSE)&amp;";"&amp;IF(ISERROR(VLOOKUP($B35,Players!$C$4:$G$132,2,FALSE)),0,VLOOKUP($B35,Players!$C$4:$G$132,2,FALSE))&amp;";"&amp;$C35&amp;";"&amp;VLOOKUP($C35,Players!$C$4:$G$132,5,FALSE)&amp;";"&amp;IF(ISERROR(VLOOKUP($C35,Players!$C$4:$G$132,2,FALSE)),0,VLOOKUP($C35,Players!$C$4:$G$132,2,FALSE))&amp;"|"</f>
        <v>#N/A</v>
      </c>
      <c r="B35" t="str">
        <f>IF(Team_Matches!$Q437="W",Team_Matches!$B437,IF(Team_Matches!$Q439="W",Team_Matches!$B439,""))</f>
        <v/>
      </c>
      <c r="C35" t="str">
        <f>IF(Team_Matches!$Q437="L",Team_Matches!$B437,IF(Team_Matches!$Q439="L",Team_Matches!$B439,""))</f>
        <v/>
      </c>
      <c r="D35" t="str">
        <f>CONCATENATE(Team_Matches!$B417," vs ",Team_Matches!$K417)</f>
        <v>B vs I</v>
      </c>
      <c r="E35" t="str">
        <f>Team_Matches!$A435</f>
        <v>3rd Singles</v>
      </c>
      <c r="F35" s="7" t="str">
        <f>IF(Team_Matches!$Q437&lt;&gt;"",IF(Team_Matches!H437&gt;Team_Matches!H439,MIN(Team_Matches!H437,Team_Matches!H439),-MIN(Team_Matches!H437,Team_Matches!H439))*IF(Team_Matches!$Q437="W",1,-1),"")</f>
        <v/>
      </c>
      <c r="G35" s="7" t="str">
        <f>IF(Team_Matches!$Q437&lt;&gt;"",IF(Team_Matches!I437&gt;Team_Matches!I439,MIN(Team_Matches!I437,Team_Matches!I439),-MIN(Team_Matches!I437,Team_Matches!I439))*IF(Team_Matches!$Q437="W",1,-1),"")</f>
        <v/>
      </c>
      <c r="H35" s="7" t="str">
        <f>IF(Team_Matches!$Q437&lt;&gt;"",IF(Team_Matches!J437&gt;Team_Matches!J439,MIN(Team_Matches!J437,Team_Matches!J439),-MIN(Team_Matches!J437,Team_Matches!J439))*IF(Team_Matches!$Q437="W",1,-1),"")</f>
        <v/>
      </c>
      <c r="I35" s="7" t="str">
        <f>IF(Team_Matches!$Q437&lt;&gt;"",IF(Team_Matches!K437=Team_Matches!K439,"",IF(Team_Matches!K437&gt;Team_Matches!K439,MIN(Team_Matches!K437,Team_Matches!K439),-MIN(Team_Matches!K437,Team_Matches!K439))*IF(Team_Matches!$Q437="W",1,-1)),"")</f>
        <v/>
      </c>
      <c r="J35" s="7" t="str">
        <f>IF(Team_Matches!$Q437&lt;&gt;"",IF(Team_Matches!L437=Team_Matches!L439,"",IF(Team_Matches!L437&gt;Team_Matches!L439,MIN(Team_Matches!L437,Team_Matches!L439),-MIN(Team_Matches!L437,Team_Matches!L439))*IF(Team_Matches!$Q437="W",1,-1)),"")</f>
        <v/>
      </c>
    </row>
    <row r="36" spans="1:10" x14ac:dyDescent="0.25">
      <c r="A36" s="55" t="e">
        <f ca="1">$B36&amp;";"&amp;VLOOKUP($B36,Players!$C$4:$G$132,5,FALSE)&amp;";"&amp;IF(ISERROR(VLOOKUP($B36,Players!$C$4:$G$132,2,FALSE)),0,VLOOKUP($B36,Players!$C$4:$G$132,2,FALSE))&amp;";"&amp;$C36&amp;";"&amp;VLOOKUP($C36,Players!$C$4:$G$132,5,FALSE)&amp;";"&amp;IF(ISERROR(VLOOKUP($C36,Players!$C$4:$G$132,2,FALSE)),0,VLOOKUP($C36,Players!$C$4:$G$132,2,FALSE))&amp;"|"</f>
        <v>#N/A</v>
      </c>
      <c r="B36" t="str">
        <f ca="1">IF(Team_Matches!$Q444="W",Team_Matches!$B444,IF(Team_Matches!$Q446="W",Team_Matches!$B446,""))</f>
        <v/>
      </c>
      <c r="C36" t="str">
        <f ca="1">IF(Team_Matches!$Q444="L",Team_Matches!$B444,IF(Team_Matches!$Q446="L",Team_Matches!$B446,""))</f>
        <v/>
      </c>
      <c r="D36" t="str">
        <f>CONCATENATE(Team_Matches!$B417," vs ",Team_Matches!$K417)</f>
        <v>B vs I</v>
      </c>
      <c r="E36" t="str">
        <f>Team_Matches!$A442</f>
        <v>4th Singles</v>
      </c>
      <c r="F36" s="7" t="str">
        <f ca="1">IF(Team_Matches!$Q444&lt;&gt;"",IF(Team_Matches!H444&gt;Team_Matches!H446,MIN(Team_Matches!H444,Team_Matches!H446),-MIN(Team_Matches!H444,Team_Matches!H446))*IF(Team_Matches!$Q444="W",1,-1),"")</f>
        <v/>
      </c>
      <c r="G36" s="7" t="str">
        <f ca="1">IF(Team_Matches!$Q444&lt;&gt;"",IF(Team_Matches!I444&gt;Team_Matches!I446,MIN(Team_Matches!I444,Team_Matches!I446),-MIN(Team_Matches!I444,Team_Matches!I446))*IF(Team_Matches!$Q444="W",1,-1),"")</f>
        <v/>
      </c>
      <c r="H36" s="7" t="str">
        <f ca="1">IF(Team_Matches!$Q444&lt;&gt;"",IF(Team_Matches!J444&gt;Team_Matches!J446,MIN(Team_Matches!J444,Team_Matches!J446),-MIN(Team_Matches!J444,Team_Matches!J446))*IF(Team_Matches!$Q444="W",1,-1),"")</f>
        <v/>
      </c>
      <c r="I36" s="7" t="str">
        <f ca="1">IF(Team_Matches!$Q444&lt;&gt;"",IF(Team_Matches!K444=Team_Matches!K446,"",IF(Team_Matches!K444&gt;Team_Matches!K446,MIN(Team_Matches!K444,Team_Matches!K446),-MIN(Team_Matches!K444,Team_Matches!K446))*IF(Team_Matches!$Q444="W",1,-1)),"")</f>
        <v/>
      </c>
      <c r="J36" s="7" t="str">
        <f ca="1">IF(Team_Matches!$Q444&lt;&gt;"",IF(Team_Matches!L444=Team_Matches!L446,"",IF(Team_Matches!L444&gt;Team_Matches!L446,MIN(Team_Matches!L444,Team_Matches!L446),-MIN(Team_Matches!L444,Team_Matches!L446))*IF(Team_Matches!$Q444="W",1,-1)),"")</f>
        <v/>
      </c>
    </row>
    <row r="37" spans="1:10" x14ac:dyDescent="0.25">
      <c r="A37" s="55" t="e">
        <f>$B37&amp;";"&amp;VLOOKUP($B37,Players!$C$4:$G$132,5,FALSE)&amp;";"&amp;IF(ISERROR(VLOOKUP($B37,Players!$C$4:$G$132,2,FALSE)),0,VLOOKUP($B37,Players!$C$4:$G$132,2,FALSE))&amp;";"&amp;$C37&amp;";"&amp;VLOOKUP($C37,Players!$C$4:$G$132,5,FALSE)&amp;";"&amp;IF(ISERROR(VLOOKUP($C37,Players!$C$4:$G$132,2,FALSE)),0,VLOOKUP($C37,Players!$C$4:$G$132,2,FALSE))&amp;"|"</f>
        <v>#N/A</v>
      </c>
      <c r="B37" t="str">
        <f>IF(Team_Matches!$Q474="W",Team_Matches!$B474,IF(Team_Matches!$Q476="W",Team_Matches!$B476,""))</f>
        <v/>
      </c>
      <c r="C37" t="str">
        <f>IF(Team_Matches!$Q474="L",Team_Matches!$B474,IF(Team_Matches!$Q476="L",Team_Matches!$B476,""))</f>
        <v/>
      </c>
      <c r="D37" t="str">
        <f>CONCATENATE(Team_Matches!$B468," vs ",Team_Matches!$K468)</f>
        <v>C vs H</v>
      </c>
      <c r="E37" t="str">
        <f>Team_Matches!A472</f>
        <v>1st Singles</v>
      </c>
      <c r="F37" s="7" t="str">
        <f>IF(Team_Matches!$Q474&lt;&gt;"",IF(Team_Matches!H474&gt;Team_Matches!H476,MIN(Team_Matches!H474,Team_Matches!H476),-MIN(Team_Matches!H474,Team_Matches!H476))*IF(Team_Matches!$Q474="W",1,-1),"")</f>
        <v/>
      </c>
      <c r="G37" s="7" t="str">
        <f>IF(Team_Matches!$Q474&lt;&gt;"",IF(Team_Matches!I474&gt;Team_Matches!I476,MIN(Team_Matches!I474,Team_Matches!I476),-MIN(Team_Matches!I474,Team_Matches!I476))*IF(Team_Matches!$Q474="W",1,-1),"")</f>
        <v/>
      </c>
      <c r="H37" s="7" t="str">
        <f>IF(Team_Matches!$Q474&lt;&gt;"",IF(Team_Matches!J474&gt;Team_Matches!J476,MIN(Team_Matches!J474,Team_Matches!J476),-MIN(Team_Matches!J474,Team_Matches!J476))*IF(Team_Matches!$Q474="W",1,-1),"")</f>
        <v/>
      </c>
      <c r="I37" s="7" t="str">
        <f>IF(Team_Matches!$Q474&lt;&gt;"",IF(Team_Matches!K474=Team_Matches!K476,"",IF(Team_Matches!K474&gt;Team_Matches!K476,MIN(Team_Matches!K474,Team_Matches!K476),-MIN(Team_Matches!K474,Team_Matches!K476))*IF(Team_Matches!$Q474="W",1,-1)),"")</f>
        <v/>
      </c>
      <c r="J37" s="7" t="str">
        <f>IF(Team_Matches!$Q474&lt;&gt;"",IF(Team_Matches!L474=Team_Matches!L476,"",IF(Team_Matches!L474&gt;Team_Matches!L476,MIN(Team_Matches!L474,Team_Matches!L476),-MIN(Team_Matches!L474,Team_Matches!L476))*IF(Team_Matches!$Q474="W",1,-1)),"")</f>
        <v/>
      </c>
    </row>
    <row r="38" spans="1:10" x14ac:dyDescent="0.25">
      <c r="A38" s="55" t="e">
        <f>$B38&amp;";"&amp;VLOOKUP($B38,Players!$C$4:$G$132,5,FALSE)&amp;";"&amp;IF(ISERROR(VLOOKUP($B38,Players!$C$4:$G$132,2,FALSE)),0,VLOOKUP($B38,Players!$C$4:$G$132,2,FALSE))&amp;";"&amp;$C38&amp;";"&amp;VLOOKUP($C38,Players!$C$4:$G$132,5,FALSE)&amp;";"&amp;IF(ISERROR(VLOOKUP($C38,Players!$C$4:$G$132,2,FALSE)),0,VLOOKUP($C38,Players!$C$4:$G$132,2,FALSE))&amp;"|"</f>
        <v>#N/A</v>
      </c>
      <c r="B38" t="str">
        <f>IF(Team_Matches!$Q481="W",Team_Matches!$B481,IF(Team_Matches!$Q483="W",Team_Matches!$B483,""))</f>
        <v/>
      </c>
      <c r="C38" t="str">
        <f>IF(Team_Matches!$Q481="L",Team_Matches!$B481,IF(Team_Matches!$Q483="L",Team_Matches!$B483,""))</f>
        <v/>
      </c>
      <c r="D38" t="str">
        <f>CONCATENATE(Team_Matches!$B468," vs ",Team_Matches!$K468)</f>
        <v>C vs H</v>
      </c>
      <c r="E38" t="str">
        <f>Team_Matches!$A479</f>
        <v>2nd Singles</v>
      </c>
      <c r="F38" s="7" t="str">
        <f>IF(Team_Matches!$Q481&lt;&gt;"",IF(Team_Matches!H481&gt;Team_Matches!H483,MIN(Team_Matches!H481,Team_Matches!H483),-MIN(Team_Matches!H481,Team_Matches!H483))*IF(Team_Matches!$Q481="W",1,-1),"")</f>
        <v/>
      </c>
      <c r="G38" s="7" t="str">
        <f>IF(Team_Matches!$Q481&lt;&gt;"",IF(Team_Matches!I481&gt;Team_Matches!I483,MIN(Team_Matches!I481,Team_Matches!I483),-MIN(Team_Matches!I481,Team_Matches!I483))*IF(Team_Matches!$Q481="W",1,-1),"")</f>
        <v/>
      </c>
      <c r="H38" s="7" t="str">
        <f>IF(Team_Matches!$Q481&lt;&gt;"",IF(Team_Matches!J481&gt;Team_Matches!J483,MIN(Team_Matches!J481,Team_Matches!J483),-MIN(Team_Matches!J481,Team_Matches!J483))*IF(Team_Matches!$Q481="W",1,-1),"")</f>
        <v/>
      </c>
      <c r="I38" s="7" t="str">
        <f>IF(Team_Matches!$Q481&lt;&gt;"",IF(Team_Matches!K481=Team_Matches!K483,"",IF(Team_Matches!K481&gt;Team_Matches!K483,MIN(Team_Matches!K481,Team_Matches!K483),-MIN(Team_Matches!K481,Team_Matches!K483))*IF(Team_Matches!$Q481="W",1,-1)),"")</f>
        <v/>
      </c>
      <c r="J38" s="7" t="str">
        <f>IF(Team_Matches!$Q481&lt;&gt;"",IF(Team_Matches!L481=Team_Matches!L483,"",IF(Team_Matches!L481&gt;Team_Matches!L483,MIN(Team_Matches!L481,Team_Matches!L483),-MIN(Team_Matches!L481,Team_Matches!L483))*IF(Team_Matches!$Q481="W",1,-1)),"")</f>
        <v/>
      </c>
    </row>
    <row r="39" spans="1:10" x14ac:dyDescent="0.25">
      <c r="A39" s="55" t="e">
        <f>$B39&amp;";"&amp;VLOOKUP($B39,Players!$C$4:$G$132,5,FALSE)&amp;";"&amp;IF(ISERROR(VLOOKUP($B39,Players!$C$4:$G$132,2,FALSE)),0,VLOOKUP($B39,Players!$C$4:$G$132,2,FALSE))&amp;";"&amp;$C39&amp;";"&amp;VLOOKUP($C39,Players!$C$4:$G$132,5,FALSE)&amp;";"&amp;IF(ISERROR(VLOOKUP($C39,Players!$C$4:$G$132,2,FALSE)),0,VLOOKUP($C39,Players!$C$4:$G$132,2,FALSE))&amp;"|"</f>
        <v>#N/A</v>
      </c>
      <c r="B39" t="str">
        <f>IF(Team_Matches!$Q488="W",Team_Matches!$B488,IF(Team_Matches!$Q490="W",Team_Matches!$B490,""))</f>
        <v/>
      </c>
      <c r="C39" t="str">
        <f>IF(Team_Matches!$Q488="L",Team_Matches!$B488,IF(Team_Matches!$Q490="L",Team_Matches!$B490,""))</f>
        <v/>
      </c>
      <c r="D39" t="str">
        <f>CONCATENATE(Team_Matches!$B468," vs ",Team_Matches!$K468)</f>
        <v>C vs H</v>
      </c>
      <c r="E39" t="str">
        <f>Team_Matches!$A486</f>
        <v>3rd Singles</v>
      </c>
      <c r="F39" s="7" t="str">
        <f>IF(Team_Matches!$Q488&lt;&gt;"",IF(Team_Matches!H488&gt;Team_Matches!H490,MIN(Team_Matches!H488,Team_Matches!H490),-MIN(Team_Matches!H488,Team_Matches!H490))*IF(Team_Matches!$Q488="W",1,-1),"")</f>
        <v/>
      </c>
      <c r="G39" s="7" t="str">
        <f>IF(Team_Matches!$Q488&lt;&gt;"",IF(Team_Matches!I488&gt;Team_Matches!I490,MIN(Team_Matches!I488,Team_Matches!I490),-MIN(Team_Matches!I488,Team_Matches!I490))*IF(Team_Matches!$Q488="W",1,-1),"")</f>
        <v/>
      </c>
      <c r="H39" s="7" t="str">
        <f>IF(Team_Matches!$Q488&lt;&gt;"",IF(Team_Matches!J488&gt;Team_Matches!J490,MIN(Team_Matches!J488,Team_Matches!J490),-MIN(Team_Matches!J488,Team_Matches!J490))*IF(Team_Matches!$Q488="W",1,-1),"")</f>
        <v/>
      </c>
      <c r="I39" s="7" t="str">
        <f>IF(Team_Matches!$Q488&lt;&gt;"",IF(Team_Matches!K488=Team_Matches!K490,"",IF(Team_Matches!K488&gt;Team_Matches!K490,MIN(Team_Matches!K488,Team_Matches!K490),-MIN(Team_Matches!K488,Team_Matches!K490))*IF(Team_Matches!$Q488="W",1,-1)),"")</f>
        <v/>
      </c>
      <c r="J39" s="7" t="str">
        <f>IF(Team_Matches!$Q488&lt;&gt;"",IF(Team_Matches!L488=Team_Matches!L490,"",IF(Team_Matches!L488&gt;Team_Matches!L490,MIN(Team_Matches!L488,Team_Matches!L490),-MIN(Team_Matches!L488,Team_Matches!L490))*IF(Team_Matches!$Q488="W",1,-1)),"")</f>
        <v/>
      </c>
    </row>
    <row r="40" spans="1:10" x14ac:dyDescent="0.25">
      <c r="A40" s="55" t="e">
        <f ca="1">$B40&amp;";"&amp;VLOOKUP($B40,Players!$C$4:$G$132,5,FALSE)&amp;";"&amp;IF(ISERROR(VLOOKUP($B40,Players!$C$4:$G$132,2,FALSE)),0,VLOOKUP($B40,Players!$C$4:$G$132,2,FALSE))&amp;";"&amp;$C40&amp;";"&amp;VLOOKUP($C40,Players!$C$4:$G$132,5,FALSE)&amp;";"&amp;IF(ISERROR(VLOOKUP($C40,Players!$C$4:$G$132,2,FALSE)),0,VLOOKUP($C40,Players!$C$4:$G$132,2,FALSE))&amp;"|"</f>
        <v>#N/A</v>
      </c>
      <c r="B40" t="str">
        <f ca="1">IF(Team_Matches!$Q495="W",Team_Matches!$B495,IF(Team_Matches!$Q497="W",Team_Matches!$B497,""))</f>
        <v/>
      </c>
      <c r="C40" t="str">
        <f ca="1">IF(Team_Matches!$Q495="L",Team_Matches!$B495,IF(Team_Matches!$Q497="L",Team_Matches!$B497,""))</f>
        <v/>
      </c>
      <c r="D40" t="str">
        <f>CONCATENATE(Team_Matches!$B468," vs ",Team_Matches!$K468)</f>
        <v>C vs H</v>
      </c>
      <c r="E40" t="str">
        <f>Team_Matches!$A493</f>
        <v>4th Singles</v>
      </c>
      <c r="F40" s="7" t="str">
        <f ca="1">IF(Team_Matches!$Q495&lt;&gt;"",IF(Team_Matches!H495&gt;Team_Matches!H497,MIN(Team_Matches!H495,Team_Matches!H497),-MIN(Team_Matches!H495,Team_Matches!H497))*IF(Team_Matches!$Q495="W",1,-1),"")</f>
        <v/>
      </c>
      <c r="G40" s="7" t="str">
        <f ca="1">IF(Team_Matches!$Q495&lt;&gt;"",IF(Team_Matches!I495&gt;Team_Matches!I497,MIN(Team_Matches!I495,Team_Matches!I497),-MIN(Team_Matches!I495,Team_Matches!I497))*IF(Team_Matches!$Q495="W",1,-1),"")</f>
        <v/>
      </c>
      <c r="H40" s="7" t="str">
        <f ca="1">IF(Team_Matches!$Q495&lt;&gt;"",IF(Team_Matches!J495&gt;Team_Matches!J497,MIN(Team_Matches!J495,Team_Matches!J497),-MIN(Team_Matches!J495,Team_Matches!J497))*IF(Team_Matches!$Q495="W",1,-1),"")</f>
        <v/>
      </c>
      <c r="I40" s="7" t="str">
        <f ca="1">IF(Team_Matches!$Q495&lt;&gt;"",IF(Team_Matches!K495=Team_Matches!K497,"",IF(Team_Matches!K495&gt;Team_Matches!K497,MIN(Team_Matches!K495,Team_Matches!K497),-MIN(Team_Matches!K495,Team_Matches!K497))*IF(Team_Matches!$Q495="W",1,-1)),"")</f>
        <v/>
      </c>
      <c r="J40" s="7" t="str">
        <f ca="1">IF(Team_Matches!$Q495&lt;&gt;"",IF(Team_Matches!L495=Team_Matches!L497,"",IF(Team_Matches!L495&gt;Team_Matches!L497,MIN(Team_Matches!L495,Team_Matches!L497),-MIN(Team_Matches!L495,Team_Matches!L497))*IF(Team_Matches!$Q495="W",1,-1)),"")</f>
        <v/>
      </c>
    </row>
    <row r="41" spans="1:10" x14ac:dyDescent="0.25">
      <c r="A41" s="55" t="e">
        <f>$B41&amp;";"&amp;VLOOKUP($B41,Players!$C$4:$G$132,5,FALSE)&amp;";"&amp;IF(ISERROR(VLOOKUP($B41,Players!$C$4:$G$132,2,FALSE)),0,VLOOKUP($B41,Players!$C$4:$G$132,2,FALSE))&amp;";"&amp;$C41&amp;";"&amp;VLOOKUP($C41,Players!$C$4:$G$132,5,FALSE)&amp;";"&amp;IF(ISERROR(VLOOKUP($C41,Players!$C$4:$G$132,2,FALSE)),0,VLOOKUP($C41,Players!$C$4:$G$132,2,FALSE))&amp;"|"</f>
        <v>#N/A</v>
      </c>
      <c r="B41" t="str">
        <f>IF(Team_Matches!$Q525="W",Team_Matches!$B525,IF(Team_Matches!$Q527="W",Team_Matches!$B527,""))</f>
        <v/>
      </c>
      <c r="C41" t="str">
        <f>IF(Team_Matches!$Q525="L",Team_Matches!$B525,IF(Team_Matches!$Q527="L",Team_Matches!$B527,""))</f>
        <v/>
      </c>
      <c r="D41" t="str">
        <f>CONCATENATE(Team_Matches!$B519," vs ",Team_Matches!$K519)</f>
        <v>D vs G</v>
      </c>
      <c r="E41" t="str">
        <f>Team_Matches!A523</f>
        <v>1st Singles</v>
      </c>
      <c r="F41" s="7" t="str">
        <f>IF(Team_Matches!$Q525&lt;&gt;"",IF(Team_Matches!H525&gt;Team_Matches!H527,MIN(Team_Matches!H525,Team_Matches!H527),-MIN(Team_Matches!H525,Team_Matches!H527))*IF(Team_Matches!$Q525="W",1,-1),"")</f>
        <v/>
      </c>
      <c r="G41" s="7" t="str">
        <f>IF(Team_Matches!$Q525&lt;&gt;"",IF(Team_Matches!I525&gt;Team_Matches!I527,MIN(Team_Matches!I525,Team_Matches!I527),-MIN(Team_Matches!I525,Team_Matches!I527))*IF(Team_Matches!$Q525="W",1,-1),"")</f>
        <v/>
      </c>
      <c r="H41" s="7" t="str">
        <f>IF(Team_Matches!$Q525&lt;&gt;"",IF(Team_Matches!J525&gt;Team_Matches!J527,MIN(Team_Matches!J525,Team_Matches!J527),-MIN(Team_Matches!J525,Team_Matches!J527))*IF(Team_Matches!$Q525="W",1,-1),"")</f>
        <v/>
      </c>
      <c r="I41" s="7" t="str">
        <f>IF(Team_Matches!$Q525&lt;&gt;"",IF(Team_Matches!K525=Team_Matches!K527,"",IF(Team_Matches!K525&gt;Team_Matches!K527,MIN(Team_Matches!K525,Team_Matches!K527),-MIN(Team_Matches!K525,Team_Matches!K527))*IF(Team_Matches!$Q525="W",1,-1)),"")</f>
        <v/>
      </c>
      <c r="J41" s="7" t="str">
        <f>IF(Team_Matches!$Q525&lt;&gt;"",IF(Team_Matches!L525=Team_Matches!L527,"",IF(Team_Matches!L525&gt;Team_Matches!L527,MIN(Team_Matches!L525,Team_Matches!L527),-MIN(Team_Matches!L525,Team_Matches!L527))*IF(Team_Matches!$Q525="W",1,-1)),"")</f>
        <v/>
      </c>
    </row>
    <row r="42" spans="1:10" x14ac:dyDescent="0.25">
      <c r="A42" s="55" t="e">
        <f>$B42&amp;";"&amp;VLOOKUP($B42,Players!$C$4:$G$132,5,FALSE)&amp;";"&amp;IF(ISERROR(VLOOKUP($B42,Players!$C$4:$G$132,2,FALSE)),0,VLOOKUP($B42,Players!$C$4:$G$132,2,FALSE))&amp;";"&amp;$C42&amp;";"&amp;VLOOKUP($C42,Players!$C$4:$G$132,5,FALSE)&amp;";"&amp;IF(ISERROR(VLOOKUP($C42,Players!$C$4:$G$132,2,FALSE)),0,VLOOKUP($C42,Players!$C$4:$G$132,2,FALSE))&amp;"|"</f>
        <v>#N/A</v>
      </c>
      <c r="B42" t="str">
        <f>IF(Team_Matches!$Q532="W",Team_Matches!$B532,IF(Team_Matches!$Q534="W",Team_Matches!$B534,""))</f>
        <v/>
      </c>
      <c r="C42" t="str">
        <f>IF(Team_Matches!$Q532="L",Team_Matches!$B532,IF(Team_Matches!$Q534="L",Team_Matches!$B534,""))</f>
        <v/>
      </c>
      <c r="D42" t="str">
        <f>CONCATENATE(Team_Matches!$B519," vs ",Team_Matches!$K519)</f>
        <v>D vs G</v>
      </c>
      <c r="E42" t="str">
        <f>Team_Matches!$A530</f>
        <v>2nd Singles</v>
      </c>
      <c r="F42" s="7" t="str">
        <f>IF(Team_Matches!$Q532&lt;&gt;"",IF(Team_Matches!H532&gt;Team_Matches!H534,MIN(Team_Matches!H532,Team_Matches!H534),-MIN(Team_Matches!H532,Team_Matches!H534))*IF(Team_Matches!$Q532="W",1,-1),"")</f>
        <v/>
      </c>
      <c r="G42" s="7" t="str">
        <f>IF(Team_Matches!$Q532&lt;&gt;"",IF(Team_Matches!I532&gt;Team_Matches!I534,MIN(Team_Matches!I532,Team_Matches!I534),-MIN(Team_Matches!I532,Team_Matches!I534))*IF(Team_Matches!$Q532="W",1,-1),"")</f>
        <v/>
      </c>
      <c r="H42" s="7" t="str">
        <f>IF(Team_Matches!$Q532&lt;&gt;"",IF(Team_Matches!J532&gt;Team_Matches!J534,MIN(Team_Matches!J532,Team_Matches!J534),-MIN(Team_Matches!J532,Team_Matches!J534))*IF(Team_Matches!$Q532="W",1,-1),"")</f>
        <v/>
      </c>
      <c r="I42" s="7" t="str">
        <f>IF(Team_Matches!$Q532&lt;&gt;"",IF(Team_Matches!K532=Team_Matches!K534,"",IF(Team_Matches!K532&gt;Team_Matches!K534,MIN(Team_Matches!K532,Team_Matches!K534),-MIN(Team_Matches!K532,Team_Matches!K534))*IF(Team_Matches!$Q532="W",1,-1)),"")</f>
        <v/>
      </c>
      <c r="J42" s="7" t="str">
        <f>IF(Team_Matches!$Q532&lt;&gt;"",IF(Team_Matches!L532=Team_Matches!L534,"",IF(Team_Matches!L532&gt;Team_Matches!L534,MIN(Team_Matches!L532,Team_Matches!L534),-MIN(Team_Matches!L532,Team_Matches!L534))*IF(Team_Matches!$Q532="W",1,-1)),"")</f>
        <v/>
      </c>
    </row>
    <row r="43" spans="1:10" x14ac:dyDescent="0.25">
      <c r="A43" s="55" t="e">
        <f>$B43&amp;";"&amp;VLOOKUP($B43,Players!$C$4:$G$132,5,FALSE)&amp;";"&amp;IF(ISERROR(VLOOKUP($B43,Players!$C$4:$G$132,2,FALSE)),0,VLOOKUP($B43,Players!$C$4:$G$132,2,FALSE))&amp;";"&amp;$C43&amp;";"&amp;VLOOKUP($C43,Players!$C$4:$G$132,5,FALSE)&amp;";"&amp;IF(ISERROR(VLOOKUP($C43,Players!$C$4:$G$132,2,FALSE)),0,VLOOKUP($C43,Players!$C$4:$G$132,2,FALSE))&amp;"|"</f>
        <v>#N/A</v>
      </c>
      <c r="B43" t="str">
        <f>IF(Team_Matches!$Q539="W",Team_Matches!$B539,IF(Team_Matches!$Q541="W",Team_Matches!$B541,""))</f>
        <v/>
      </c>
      <c r="C43" t="str">
        <f>IF(Team_Matches!$Q539="L",Team_Matches!$B539,IF(Team_Matches!$Q541="L",Team_Matches!$B541,""))</f>
        <v/>
      </c>
      <c r="D43" t="str">
        <f>CONCATENATE(Team_Matches!$B519," vs ",Team_Matches!$K519)</f>
        <v>D vs G</v>
      </c>
      <c r="E43" t="str">
        <f>Team_Matches!$A537</f>
        <v>3rd Singles</v>
      </c>
      <c r="F43" s="7" t="str">
        <f>IF(Team_Matches!$Q539&lt;&gt;"",IF(Team_Matches!H539&gt;Team_Matches!H541,MIN(Team_Matches!H539,Team_Matches!H541),-MIN(Team_Matches!H539,Team_Matches!H541))*IF(Team_Matches!$Q539="W",1,-1),"")</f>
        <v/>
      </c>
      <c r="G43" s="7" t="str">
        <f>IF(Team_Matches!$Q539&lt;&gt;"",IF(Team_Matches!I539&gt;Team_Matches!I541,MIN(Team_Matches!I539,Team_Matches!I541),-MIN(Team_Matches!I539,Team_Matches!I541))*IF(Team_Matches!$Q539="W",1,-1),"")</f>
        <v/>
      </c>
      <c r="H43" s="7" t="str">
        <f>IF(Team_Matches!$Q539&lt;&gt;"",IF(Team_Matches!J539&gt;Team_Matches!J541,MIN(Team_Matches!J539,Team_Matches!J541),-MIN(Team_Matches!J539,Team_Matches!J541))*IF(Team_Matches!$Q539="W",1,-1),"")</f>
        <v/>
      </c>
      <c r="I43" s="7" t="str">
        <f>IF(Team_Matches!$Q539&lt;&gt;"",IF(Team_Matches!K539=Team_Matches!K541,"",IF(Team_Matches!K539&gt;Team_Matches!K541,MIN(Team_Matches!K539,Team_Matches!K541),-MIN(Team_Matches!K539,Team_Matches!K541))*IF(Team_Matches!$Q539="W",1,-1)),"")</f>
        <v/>
      </c>
      <c r="J43" s="7" t="str">
        <f>IF(Team_Matches!$Q539&lt;&gt;"",IF(Team_Matches!L539=Team_Matches!L541,"",IF(Team_Matches!L539&gt;Team_Matches!L541,MIN(Team_Matches!L539,Team_Matches!L541),-MIN(Team_Matches!L539,Team_Matches!L541))*IF(Team_Matches!$Q539="W",1,-1)),"")</f>
        <v/>
      </c>
    </row>
    <row r="44" spans="1:10" x14ac:dyDescent="0.25">
      <c r="A44" s="55" t="e">
        <f ca="1">$B44&amp;";"&amp;VLOOKUP($B44,Players!$C$4:$G$132,5,FALSE)&amp;";"&amp;IF(ISERROR(VLOOKUP($B44,Players!$C$4:$G$132,2,FALSE)),0,VLOOKUP($B44,Players!$C$4:$G$132,2,FALSE))&amp;";"&amp;$C44&amp;";"&amp;VLOOKUP($C44,Players!$C$4:$G$132,5,FALSE)&amp;";"&amp;IF(ISERROR(VLOOKUP($C44,Players!$C$4:$G$132,2,FALSE)),0,VLOOKUP($C44,Players!$C$4:$G$132,2,FALSE))&amp;"|"</f>
        <v>#N/A</v>
      </c>
      <c r="B44" t="str">
        <f ca="1">IF(Team_Matches!$Q546="W",Team_Matches!$B546,IF(Team_Matches!$Q548="W",Team_Matches!$B548,""))</f>
        <v/>
      </c>
      <c r="C44" t="str">
        <f ca="1">IF(Team_Matches!$Q546="L",Team_Matches!$B546,IF(Team_Matches!$Q548="L",Team_Matches!$B548,""))</f>
        <v/>
      </c>
      <c r="D44" t="str">
        <f>CONCATENATE(Team_Matches!$B519," vs ",Team_Matches!$K519)</f>
        <v>D vs G</v>
      </c>
      <c r="E44" t="str">
        <f>Team_Matches!$A544</f>
        <v>4th Singles</v>
      </c>
      <c r="F44" s="7" t="str">
        <f ca="1">IF(Team_Matches!$Q546&lt;&gt;"",IF(Team_Matches!H546&gt;Team_Matches!H548,MIN(Team_Matches!H546,Team_Matches!H548),-MIN(Team_Matches!H546,Team_Matches!H548))*IF(Team_Matches!$Q546="W",1,-1),"")</f>
        <v/>
      </c>
      <c r="G44" s="7" t="str">
        <f ca="1">IF(Team_Matches!$Q546&lt;&gt;"",IF(Team_Matches!I546&gt;Team_Matches!I548,MIN(Team_Matches!I546,Team_Matches!I548),-MIN(Team_Matches!I546,Team_Matches!I548))*IF(Team_Matches!$Q546="W",1,-1),"")</f>
        <v/>
      </c>
      <c r="H44" s="7" t="str">
        <f ca="1">IF(Team_Matches!$Q546&lt;&gt;"",IF(Team_Matches!J546&gt;Team_Matches!J548,MIN(Team_Matches!J546,Team_Matches!J548),-MIN(Team_Matches!J546,Team_Matches!J548))*IF(Team_Matches!$Q546="W",1,-1),"")</f>
        <v/>
      </c>
      <c r="I44" s="7" t="str">
        <f ca="1">IF(Team_Matches!$Q546&lt;&gt;"",IF(Team_Matches!K546=Team_Matches!K548,"",IF(Team_Matches!K546&gt;Team_Matches!K548,MIN(Team_Matches!K546,Team_Matches!K548),-MIN(Team_Matches!K546,Team_Matches!K548))*IF(Team_Matches!$Q546="W",1,-1)),"")</f>
        <v/>
      </c>
      <c r="J44" s="7" t="str">
        <f ca="1">IF(Team_Matches!$Q546&lt;&gt;"",IF(Team_Matches!L546=Team_Matches!L548,"",IF(Team_Matches!L546&gt;Team_Matches!L548,MIN(Team_Matches!L546,Team_Matches!L548),-MIN(Team_Matches!L546,Team_Matches!L548))*IF(Team_Matches!$Q546="W",1,-1)),"")</f>
        <v/>
      </c>
    </row>
    <row r="45" spans="1:10" x14ac:dyDescent="0.25">
      <c r="A45" s="55" t="e">
        <f>$B45&amp;";"&amp;VLOOKUP($B45,Players!$C$4:$G$132,5,FALSE)&amp;";"&amp;IF(ISERROR(VLOOKUP($B45,Players!$C$4:$G$132,2,FALSE)),0,VLOOKUP($B45,Players!$C$4:$G$132,2,FALSE))&amp;";"&amp;$C45&amp;";"&amp;VLOOKUP($C45,Players!$C$4:$G$132,5,FALSE)&amp;";"&amp;IF(ISERROR(VLOOKUP($C45,Players!$C$4:$G$132,2,FALSE)),0,VLOOKUP($C45,Players!$C$4:$G$132,2,FALSE))&amp;"|"</f>
        <v>#N/A</v>
      </c>
      <c r="B45" t="str">
        <f>IF(Team_Matches!$Q576="W",Team_Matches!$B576,IF(Team_Matches!$Q578="W",Team_Matches!$B578,""))</f>
        <v/>
      </c>
      <c r="C45" t="str">
        <f>IF(Team_Matches!$Q576="L",Team_Matches!$B576,IF(Team_Matches!$Q578="L",Team_Matches!$B578,""))</f>
        <v/>
      </c>
      <c r="D45" t="str">
        <f>CONCATENATE(Team_Matches!$B570," vs ",Team_Matches!$K570)</f>
        <v>E vs F</v>
      </c>
      <c r="E45" t="str">
        <f>Team_Matches!A574</f>
        <v>1st Singles</v>
      </c>
      <c r="F45" s="7" t="str">
        <f>IF(Team_Matches!$Q576&lt;&gt;"",IF(Team_Matches!H576&gt;Team_Matches!H578,MIN(Team_Matches!H576,Team_Matches!H578),-MIN(Team_Matches!H576,Team_Matches!H578))*IF(Team_Matches!$Q576="W",1,-1),"")</f>
        <v/>
      </c>
      <c r="G45" s="7" t="str">
        <f>IF(Team_Matches!$Q576&lt;&gt;"",IF(Team_Matches!I576&gt;Team_Matches!I578,MIN(Team_Matches!I576,Team_Matches!I578),-MIN(Team_Matches!I576,Team_Matches!I578))*IF(Team_Matches!$Q576="W",1,-1),"")</f>
        <v/>
      </c>
      <c r="H45" s="7" t="str">
        <f>IF(Team_Matches!$Q576&lt;&gt;"",IF(Team_Matches!J576&gt;Team_Matches!J578,MIN(Team_Matches!J576,Team_Matches!J578),-MIN(Team_Matches!J576,Team_Matches!J578))*IF(Team_Matches!$Q576="W",1,-1),"")</f>
        <v/>
      </c>
      <c r="I45" s="7" t="str">
        <f>IF(Team_Matches!$Q576&lt;&gt;"",IF(Team_Matches!K576=Team_Matches!K578,"",IF(Team_Matches!K576&gt;Team_Matches!K578,MIN(Team_Matches!K576,Team_Matches!K578),-MIN(Team_Matches!K576,Team_Matches!K578))*IF(Team_Matches!$Q576="W",1,-1)),"")</f>
        <v/>
      </c>
      <c r="J45" s="7" t="str">
        <f>IF(Team_Matches!$Q576&lt;&gt;"",IF(Team_Matches!L576=Team_Matches!L578,"",IF(Team_Matches!L576&gt;Team_Matches!L578,MIN(Team_Matches!L576,Team_Matches!L578),-MIN(Team_Matches!L576,Team_Matches!L578))*IF(Team_Matches!$Q576="W",1,-1)),"")</f>
        <v/>
      </c>
    </row>
    <row r="46" spans="1:10" x14ac:dyDescent="0.25">
      <c r="A46" s="55" t="e">
        <f>$B46&amp;";"&amp;VLOOKUP($B46,Players!$C$4:$G$132,5,FALSE)&amp;";"&amp;IF(ISERROR(VLOOKUP($B46,Players!$C$4:$G$132,2,FALSE)),0,VLOOKUP($B46,Players!$C$4:$G$132,2,FALSE))&amp;";"&amp;$C46&amp;";"&amp;VLOOKUP($C46,Players!$C$4:$G$132,5,FALSE)&amp;";"&amp;IF(ISERROR(VLOOKUP($C46,Players!$C$4:$G$132,2,FALSE)),0,VLOOKUP($C46,Players!$C$4:$G$132,2,FALSE))&amp;"|"</f>
        <v>#N/A</v>
      </c>
      <c r="B46" t="str">
        <f>IF(Team_Matches!$Q583="W",Team_Matches!$B583,IF(Team_Matches!$Q585="W",Team_Matches!$B585,""))</f>
        <v/>
      </c>
      <c r="C46" t="str">
        <f>IF(Team_Matches!$Q583="L",Team_Matches!$B583,IF(Team_Matches!$Q585="L",Team_Matches!$B585,""))</f>
        <v/>
      </c>
      <c r="D46" t="str">
        <f>CONCATENATE(Team_Matches!$B570," vs ",Team_Matches!$K570)</f>
        <v>E vs F</v>
      </c>
      <c r="E46" t="str">
        <f>Team_Matches!$A581</f>
        <v>2nd Singles</v>
      </c>
      <c r="F46" s="7" t="str">
        <f>IF(Team_Matches!$Q583&lt;&gt;"",IF(Team_Matches!H583&gt;Team_Matches!H585,MIN(Team_Matches!H583,Team_Matches!H585),-MIN(Team_Matches!H583,Team_Matches!H585))*IF(Team_Matches!$Q583="W",1,-1),"")</f>
        <v/>
      </c>
      <c r="G46" s="7" t="str">
        <f>IF(Team_Matches!$Q583&lt;&gt;"",IF(Team_Matches!I583&gt;Team_Matches!I585,MIN(Team_Matches!I583,Team_Matches!I585),-MIN(Team_Matches!I583,Team_Matches!I585))*IF(Team_Matches!$Q583="W",1,-1),"")</f>
        <v/>
      </c>
      <c r="H46" s="7" t="str">
        <f>IF(Team_Matches!$Q583&lt;&gt;"",IF(Team_Matches!J583&gt;Team_Matches!J585,MIN(Team_Matches!J583,Team_Matches!J585),-MIN(Team_Matches!J583,Team_Matches!J585))*IF(Team_Matches!$Q583="W",1,-1),"")</f>
        <v/>
      </c>
      <c r="I46" s="7" t="str">
        <f>IF(Team_Matches!$Q583&lt;&gt;"",IF(Team_Matches!K583=Team_Matches!K585,"",IF(Team_Matches!K583&gt;Team_Matches!K585,MIN(Team_Matches!K583,Team_Matches!K585),-MIN(Team_Matches!K583,Team_Matches!K585))*IF(Team_Matches!$Q583="W",1,-1)),"")</f>
        <v/>
      </c>
      <c r="J46" s="7" t="str">
        <f>IF(Team_Matches!$Q583&lt;&gt;"",IF(Team_Matches!L583=Team_Matches!L585,"",IF(Team_Matches!L583&gt;Team_Matches!L585,MIN(Team_Matches!L583,Team_Matches!L585),-MIN(Team_Matches!L583,Team_Matches!L585))*IF(Team_Matches!$Q583="W",1,-1)),"")</f>
        <v/>
      </c>
    </row>
    <row r="47" spans="1:10" x14ac:dyDescent="0.25">
      <c r="A47" s="55" t="e">
        <f>$B47&amp;";"&amp;VLOOKUP($B47,Players!$C$4:$G$132,5,FALSE)&amp;";"&amp;IF(ISERROR(VLOOKUP($B47,Players!$C$4:$G$132,2,FALSE)),0,VLOOKUP($B47,Players!$C$4:$G$132,2,FALSE))&amp;";"&amp;$C47&amp;";"&amp;VLOOKUP($C47,Players!$C$4:$G$132,5,FALSE)&amp;";"&amp;IF(ISERROR(VLOOKUP($C47,Players!$C$4:$G$132,2,FALSE)),0,VLOOKUP($C47,Players!$C$4:$G$132,2,FALSE))&amp;"|"</f>
        <v>#N/A</v>
      </c>
      <c r="B47" t="str">
        <f>IF(Team_Matches!$Q590="W",Team_Matches!$B590,IF(Team_Matches!$Q592="W",Team_Matches!$B592,""))</f>
        <v/>
      </c>
      <c r="C47" t="str">
        <f>IF(Team_Matches!$Q590="L",Team_Matches!$B590,IF(Team_Matches!$Q592="L",Team_Matches!$B592,""))</f>
        <v/>
      </c>
      <c r="D47" t="str">
        <f>CONCATENATE(Team_Matches!$B570," vs ",Team_Matches!$K570)</f>
        <v>E vs F</v>
      </c>
      <c r="E47" t="str">
        <f>Team_Matches!$A588</f>
        <v>3rd Singles</v>
      </c>
      <c r="F47" s="7" t="str">
        <f>IF(Team_Matches!$Q590&lt;&gt;"",IF(Team_Matches!H590&gt;Team_Matches!H592,MIN(Team_Matches!H590,Team_Matches!H592),-MIN(Team_Matches!H590,Team_Matches!H592))*IF(Team_Matches!$Q590="W",1,-1),"")</f>
        <v/>
      </c>
      <c r="G47" s="7" t="str">
        <f>IF(Team_Matches!$Q590&lt;&gt;"",IF(Team_Matches!I590&gt;Team_Matches!I592,MIN(Team_Matches!I590,Team_Matches!I592),-MIN(Team_Matches!I590,Team_Matches!I592))*IF(Team_Matches!$Q590="W",1,-1),"")</f>
        <v/>
      </c>
      <c r="H47" s="7" t="str">
        <f>IF(Team_Matches!$Q590&lt;&gt;"",IF(Team_Matches!J590&gt;Team_Matches!J592,MIN(Team_Matches!J590,Team_Matches!J592),-MIN(Team_Matches!J590,Team_Matches!J592))*IF(Team_Matches!$Q590="W",1,-1),"")</f>
        <v/>
      </c>
      <c r="I47" s="7" t="str">
        <f>IF(Team_Matches!$Q590&lt;&gt;"",IF(Team_Matches!K590=Team_Matches!K592,"",IF(Team_Matches!K590&gt;Team_Matches!K592,MIN(Team_Matches!K590,Team_Matches!K592),-MIN(Team_Matches!K590,Team_Matches!K592))*IF(Team_Matches!$Q590="W",1,-1)),"")</f>
        <v/>
      </c>
      <c r="J47" s="7" t="str">
        <f>IF(Team_Matches!$Q590&lt;&gt;"",IF(Team_Matches!L590=Team_Matches!L592,"",IF(Team_Matches!L590&gt;Team_Matches!L592,MIN(Team_Matches!L590,Team_Matches!L592),-MIN(Team_Matches!L590,Team_Matches!L592))*IF(Team_Matches!$Q590="W",1,-1)),"")</f>
        <v/>
      </c>
    </row>
    <row r="48" spans="1:10" x14ac:dyDescent="0.25">
      <c r="A48" s="55" t="e">
        <f ca="1">$B48&amp;";"&amp;VLOOKUP($B48,Players!$C$4:$G$132,5,FALSE)&amp;";"&amp;IF(ISERROR(VLOOKUP($B48,Players!$C$4:$G$132,2,FALSE)),0,VLOOKUP($B48,Players!$C$4:$G$132,2,FALSE))&amp;";"&amp;$C48&amp;";"&amp;VLOOKUP($C48,Players!$C$4:$G$132,5,FALSE)&amp;";"&amp;IF(ISERROR(VLOOKUP($C48,Players!$C$4:$G$132,2,FALSE)),0,VLOOKUP($C48,Players!$C$4:$G$132,2,FALSE))&amp;"|"</f>
        <v>#N/A</v>
      </c>
      <c r="B48" t="str">
        <f ca="1">IF(Team_Matches!$Q597="W",Team_Matches!$B597,IF(Team_Matches!$Q599="W",Team_Matches!$B599,""))</f>
        <v/>
      </c>
      <c r="C48" t="str">
        <f ca="1">IF(Team_Matches!$Q597="L",Team_Matches!$B597,IF(Team_Matches!$Q599="L",Team_Matches!$B599,""))</f>
        <v/>
      </c>
      <c r="D48" t="str">
        <f>CONCATENATE(Team_Matches!$B570," vs ",Team_Matches!$K570)</f>
        <v>E vs F</v>
      </c>
      <c r="E48" t="str">
        <f>Team_Matches!$A595</f>
        <v>4th Singles</v>
      </c>
      <c r="F48" s="7" t="str">
        <f ca="1">IF(Team_Matches!$Q597&lt;&gt;"",IF(Team_Matches!H597&gt;Team_Matches!H599,MIN(Team_Matches!H597,Team_Matches!H599),-MIN(Team_Matches!H597,Team_Matches!H599))*IF(Team_Matches!$Q597="W",1,-1),"")</f>
        <v/>
      </c>
      <c r="G48" s="7" t="str">
        <f ca="1">IF(Team_Matches!$Q597&lt;&gt;"",IF(Team_Matches!I597&gt;Team_Matches!I599,MIN(Team_Matches!I597,Team_Matches!I599),-MIN(Team_Matches!I597,Team_Matches!I599))*IF(Team_Matches!$Q597="W",1,-1),"")</f>
        <v/>
      </c>
      <c r="H48" s="7" t="str">
        <f ca="1">IF(Team_Matches!$Q597&lt;&gt;"",IF(Team_Matches!J597&gt;Team_Matches!J599,MIN(Team_Matches!J597,Team_Matches!J599),-MIN(Team_Matches!J597,Team_Matches!J599))*IF(Team_Matches!$Q597="W",1,-1),"")</f>
        <v/>
      </c>
      <c r="I48" s="7" t="str">
        <f ca="1">IF(Team_Matches!$Q597&lt;&gt;"",IF(Team_Matches!K597=Team_Matches!K599,"",IF(Team_Matches!K597&gt;Team_Matches!K599,MIN(Team_Matches!K597,Team_Matches!K599),-MIN(Team_Matches!K597,Team_Matches!K599))*IF(Team_Matches!$Q597="W",1,-1)),"")</f>
        <v/>
      </c>
      <c r="J48" s="7" t="str">
        <f ca="1">IF(Team_Matches!$Q597&lt;&gt;"",IF(Team_Matches!L597=Team_Matches!L599,"",IF(Team_Matches!L597&gt;Team_Matches!L599,MIN(Team_Matches!L597,Team_Matches!L599),-MIN(Team_Matches!L597,Team_Matches!L599))*IF(Team_Matches!$Q597="W",1,-1)),"")</f>
        <v/>
      </c>
    </row>
    <row r="49" spans="1:10" x14ac:dyDescent="0.25">
      <c r="A49" s="55" t="e">
        <f>$B49&amp;";"&amp;VLOOKUP($B49,Players!$C$4:$G$132,5,FALSE)&amp;";"&amp;IF(ISERROR(VLOOKUP($B49,Players!$C$4:$G$132,2,FALSE)),0,VLOOKUP($B49,Players!$C$4:$G$132,2,FALSE))&amp;";"&amp;$C49&amp;";"&amp;VLOOKUP($C49,Players!$C$4:$G$132,5,FALSE)&amp;";"&amp;IF(ISERROR(VLOOKUP($C49,Players!$C$4:$G$132,2,FALSE)),0,VLOOKUP($C49,Players!$C$4:$G$132,2,FALSE))&amp;"|"</f>
        <v>#N/A</v>
      </c>
      <c r="B49" t="str">
        <f>IF(Team_Matches!$Q627="W",Team_Matches!$B627,IF(Team_Matches!$Q629="W",Team_Matches!$B629,""))</f>
        <v/>
      </c>
      <c r="C49" t="str">
        <f>IF(Team_Matches!$Q627="L",Team_Matches!$B627,IF(Team_Matches!$Q629="L",Team_Matches!$B629,""))</f>
        <v/>
      </c>
      <c r="D49" t="str">
        <f>CONCATENATE(Team_Matches!$B621," vs ",Team_Matches!$K621)</f>
        <v>A vs J</v>
      </c>
      <c r="E49" t="str">
        <f>Team_Matches!A625</f>
        <v>1st Singles</v>
      </c>
      <c r="F49" s="7" t="str">
        <f>IF(Team_Matches!$Q627&lt;&gt;"",IF(Team_Matches!H627&gt;Team_Matches!H629,MIN(Team_Matches!H627,Team_Matches!H629),-MIN(Team_Matches!H627,Team_Matches!H629))*IF(Team_Matches!$Q627="W",1,-1),"")</f>
        <v/>
      </c>
      <c r="G49" s="7" t="str">
        <f>IF(Team_Matches!$Q627&lt;&gt;"",IF(Team_Matches!I627&gt;Team_Matches!I629,MIN(Team_Matches!I627,Team_Matches!I629),-MIN(Team_Matches!I627,Team_Matches!I629))*IF(Team_Matches!$Q627="W",1,-1),"")</f>
        <v/>
      </c>
      <c r="H49" s="7" t="str">
        <f>IF(Team_Matches!$Q627&lt;&gt;"",IF(Team_Matches!J627&gt;Team_Matches!J629,MIN(Team_Matches!J627,Team_Matches!J629),-MIN(Team_Matches!J627,Team_Matches!J629))*IF(Team_Matches!$Q627="W",1,-1),"")</f>
        <v/>
      </c>
      <c r="I49" s="7" t="str">
        <f>IF(Team_Matches!$Q627&lt;&gt;"",IF(Team_Matches!K627=Team_Matches!K629,"",IF(Team_Matches!K627&gt;Team_Matches!K629,MIN(Team_Matches!K627,Team_Matches!K629),-MIN(Team_Matches!K627,Team_Matches!K629))*IF(Team_Matches!$Q627="W",1,-1)),"")</f>
        <v/>
      </c>
      <c r="J49" s="7" t="str">
        <f>IF(Team_Matches!$Q627&lt;&gt;"",IF(Team_Matches!L627=Team_Matches!L629,"",IF(Team_Matches!L627&gt;Team_Matches!L629,MIN(Team_Matches!L627,Team_Matches!L629),-MIN(Team_Matches!L627,Team_Matches!L629))*IF(Team_Matches!$Q627="W",1,-1)),"")</f>
        <v/>
      </c>
    </row>
    <row r="50" spans="1:10" x14ac:dyDescent="0.25">
      <c r="A50" s="55" t="e">
        <f>$B50&amp;";"&amp;VLOOKUP($B50,Players!$C$4:$G$132,5,FALSE)&amp;";"&amp;IF(ISERROR(VLOOKUP($B50,Players!$C$4:$G$132,2,FALSE)),0,VLOOKUP($B50,Players!$C$4:$G$132,2,FALSE))&amp;";"&amp;$C50&amp;";"&amp;VLOOKUP($C50,Players!$C$4:$G$132,5,FALSE)&amp;";"&amp;IF(ISERROR(VLOOKUP($C50,Players!$C$4:$G$132,2,FALSE)),0,VLOOKUP($C50,Players!$C$4:$G$132,2,FALSE))&amp;"|"</f>
        <v>#N/A</v>
      </c>
      <c r="B50" t="str">
        <f>IF(Team_Matches!$Q634="W",Team_Matches!$B634,IF(Team_Matches!$Q636="W",Team_Matches!$B636,""))</f>
        <v/>
      </c>
      <c r="C50" t="str">
        <f>IF(Team_Matches!$Q634="L",Team_Matches!$B634,IF(Team_Matches!$Q636="L",Team_Matches!$B636,""))</f>
        <v/>
      </c>
      <c r="D50" t="str">
        <f>CONCATENATE(Team_Matches!$B621," vs ",Team_Matches!$K621)</f>
        <v>A vs J</v>
      </c>
      <c r="E50" t="str">
        <f>Team_Matches!$A632</f>
        <v>2nd Singles</v>
      </c>
      <c r="F50" s="7" t="str">
        <f>IF(Team_Matches!$Q634&lt;&gt;"",IF(Team_Matches!H634&gt;Team_Matches!H636,MIN(Team_Matches!H634,Team_Matches!H636),-MIN(Team_Matches!H634,Team_Matches!H636))*IF(Team_Matches!$Q634="W",1,-1),"")</f>
        <v/>
      </c>
      <c r="G50" s="7" t="str">
        <f>IF(Team_Matches!$Q634&lt;&gt;"",IF(Team_Matches!I634&gt;Team_Matches!I636,MIN(Team_Matches!I634,Team_Matches!I636),-MIN(Team_Matches!I634,Team_Matches!I636))*IF(Team_Matches!$Q634="W",1,-1),"")</f>
        <v/>
      </c>
      <c r="H50" s="7" t="str">
        <f>IF(Team_Matches!$Q634&lt;&gt;"",IF(Team_Matches!J634&gt;Team_Matches!J636,MIN(Team_Matches!J634,Team_Matches!J636),-MIN(Team_Matches!J634,Team_Matches!J636))*IF(Team_Matches!$Q634="W",1,-1),"")</f>
        <v/>
      </c>
      <c r="I50" s="7" t="str">
        <f>IF(Team_Matches!$Q634&lt;&gt;"",IF(Team_Matches!K634=Team_Matches!K636,"",IF(Team_Matches!K634&gt;Team_Matches!K636,MIN(Team_Matches!K634,Team_Matches!K636),-MIN(Team_Matches!K634,Team_Matches!K636))*IF(Team_Matches!$Q634="W",1,-1)),"")</f>
        <v/>
      </c>
      <c r="J50" s="7" t="str">
        <f>IF(Team_Matches!$Q634&lt;&gt;"",IF(Team_Matches!L634=Team_Matches!L636,"",IF(Team_Matches!L634&gt;Team_Matches!L636,MIN(Team_Matches!L634,Team_Matches!L636),-MIN(Team_Matches!L634,Team_Matches!L636))*IF(Team_Matches!$Q634="W",1,-1)),"")</f>
        <v/>
      </c>
    </row>
    <row r="51" spans="1:10" x14ac:dyDescent="0.25">
      <c r="A51" s="55" t="e">
        <f>$B51&amp;";"&amp;VLOOKUP($B51,Players!$C$4:$G$132,5,FALSE)&amp;";"&amp;IF(ISERROR(VLOOKUP($B51,Players!$C$4:$G$132,2,FALSE)),0,VLOOKUP($B51,Players!$C$4:$G$132,2,FALSE))&amp;";"&amp;$C51&amp;";"&amp;VLOOKUP($C51,Players!$C$4:$G$132,5,FALSE)&amp;";"&amp;IF(ISERROR(VLOOKUP($C51,Players!$C$4:$G$132,2,FALSE)),0,VLOOKUP($C51,Players!$C$4:$G$132,2,FALSE))&amp;"|"</f>
        <v>#N/A</v>
      </c>
      <c r="B51" t="str">
        <f>IF(Team_Matches!$Q641="W",Team_Matches!$B641,IF(Team_Matches!$Q643="W",Team_Matches!$B643,""))</f>
        <v/>
      </c>
      <c r="C51" t="str">
        <f>IF(Team_Matches!$Q641="L",Team_Matches!$B641,IF(Team_Matches!$Q643="L",Team_Matches!$B643,""))</f>
        <v/>
      </c>
      <c r="D51" t="str">
        <f>CONCATENATE(Team_Matches!$B621," vs ",Team_Matches!$K621)</f>
        <v>A vs J</v>
      </c>
      <c r="E51" t="str">
        <f>Team_Matches!$A639</f>
        <v>3rd Singles</v>
      </c>
      <c r="F51" s="7" t="str">
        <f>IF(Team_Matches!$Q641&lt;&gt;"",IF(Team_Matches!H641&gt;Team_Matches!H643,MIN(Team_Matches!H641,Team_Matches!H643),-MIN(Team_Matches!H641,Team_Matches!H643))*IF(Team_Matches!$Q641="W",1,-1),"")</f>
        <v/>
      </c>
      <c r="G51" s="7" t="str">
        <f>IF(Team_Matches!$Q641&lt;&gt;"",IF(Team_Matches!I641&gt;Team_Matches!I643,MIN(Team_Matches!I641,Team_Matches!I643),-MIN(Team_Matches!I641,Team_Matches!I643))*IF(Team_Matches!$Q641="W",1,-1),"")</f>
        <v/>
      </c>
      <c r="H51" s="7" t="str">
        <f>IF(Team_Matches!$Q641&lt;&gt;"",IF(Team_Matches!J641&gt;Team_Matches!J643,MIN(Team_Matches!J641,Team_Matches!J643),-MIN(Team_Matches!J641,Team_Matches!J643))*IF(Team_Matches!$Q641="W",1,-1),"")</f>
        <v/>
      </c>
      <c r="I51" s="7" t="str">
        <f>IF(Team_Matches!$Q641&lt;&gt;"",IF(Team_Matches!K641=Team_Matches!K643,"",IF(Team_Matches!K641&gt;Team_Matches!K643,MIN(Team_Matches!K641,Team_Matches!K643),-MIN(Team_Matches!K641,Team_Matches!K643))*IF(Team_Matches!$Q641="W",1,-1)),"")</f>
        <v/>
      </c>
      <c r="J51" s="7" t="str">
        <f>IF(Team_Matches!$Q641&lt;&gt;"",IF(Team_Matches!L641=Team_Matches!L643,"",IF(Team_Matches!L641&gt;Team_Matches!L643,MIN(Team_Matches!L641,Team_Matches!L643),-MIN(Team_Matches!L641,Team_Matches!L643))*IF(Team_Matches!$Q641="W",1,-1)),"")</f>
        <v/>
      </c>
    </row>
    <row r="52" spans="1:10" x14ac:dyDescent="0.25">
      <c r="A52" s="55" t="e">
        <f ca="1">$B52&amp;";"&amp;VLOOKUP($B52,Players!$C$4:$G$132,5,FALSE)&amp;";"&amp;IF(ISERROR(VLOOKUP($B52,Players!$C$4:$G$132,2,FALSE)),0,VLOOKUP($B52,Players!$C$4:$G$132,2,FALSE))&amp;";"&amp;$C52&amp;";"&amp;VLOOKUP($C52,Players!$C$4:$G$132,5,FALSE)&amp;";"&amp;IF(ISERROR(VLOOKUP($C52,Players!$C$4:$G$132,2,FALSE)),0,VLOOKUP($C52,Players!$C$4:$G$132,2,FALSE))&amp;"|"</f>
        <v>#N/A</v>
      </c>
      <c r="B52" t="str">
        <f ca="1">IF(Team_Matches!$Q648="W",Team_Matches!$B648,IF(Team_Matches!$Q650="W",Team_Matches!$B650,""))</f>
        <v/>
      </c>
      <c r="C52" t="str">
        <f ca="1">IF(Team_Matches!$Q648="L",Team_Matches!$B648,IF(Team_Matches!$Q650="L",Team_Matches!$B650,""))</f>
        <v/>
      </c>
      <c r="D52" t="str">
        <f>CONCATENATE(Team_Matches!$B621," vs ",Team_Matches!$K621)</f>
        <v>A vs J</v>
      </c>
      <c r="E52" t="str">
        <f>Team_Matches!$A646</f>
        <v>4th Singles</v>
      </c>
      <c r="F52" s="7" t="str">
        <f ca="1">IF(Team_Matches!$Q648&lt;&gt;"",IF(Team_Matches!H648&gt;Team_Matches!H650,MIN(Team_Matches!H648,Team_Matches!H650),-MIN(Team_Matches!H648,Team_Matches!H650))*IF(Team_Matches!$Q648="W",1,-1),"")</f>
        <v/>
      </c>
      <c r="G52" s="7" t="str">
        <f ca="1">IF(Team_Matches!$Q648&lt;&gt;"",IF(Team_Matches!I648&gt;Team_Matches!I650,MIN(Team_Matches!I648,Team_Matches!I650),-MIN(Team_Matches!I648,Team_Matches!I650))*IF(Team_Matches!$Q648="W",1,-1),"")</f>
        <v/>
      </c>
      <c r="H52" s="7" t="str">
        <f ca="1">IF(Team_Matches!$Q648&lt;&gt;"",IF(Team_Matches!J648&gt;Team_Matches!J650,MIN(Team_Matches!J648,Team_Matches!J650),-MIN(Team_Matches!J648,Team_Matches!J650))*IF(Team_Matches!$Q648="W",1,-1),"")</f>
        <v/>
      </c>
      <c r="I52" s="7" t="str">
        <f ca="1">IF(Team_Matches!$Q648&lt;&gt;"",IF(Team_Matches!K648=Team_Matches!K650,"",IF(Team_Matches!K648&gt;Team_Matches!K650,MIN(Team_Matches!K648,Team_Matches!K650),-MIN(Team_Matches!K648,Team_Matches!K650))*IF(Team_Matches!$Q648="W",1,-1)),"")</f>
        <v/>
      </c>
      <c r="J52" s="7" t="str">
        <f ca="1">IF(Team_Matches!$Q648&lt;&gt;"",IF(Team_Matches!L648=Team_Matches!L650,"",IF(Team_Matches!L648&gt;Team_Matches!L650,MIN(Team_Matches!L648,Team_Matches!L650),-MIN(Team_Matches!L648,Team_Matches!L650))*IF(Team_Matches!$Q648="W",1,-1)),"")</f>
        <v/>
      </c>
    </row>
    <row r="53" spans="1:10" x14ac:dyDescent="0.25">
      <c r="A53" s="55" t="e">
        <f>$B53&amp;";"&amp;VLOOKUP($B53,Players!$C$4:$G$132,5,FALSE)&amp;";"&amp;IF(ISERROR(VLOOKUP($B53,Players!$C$4:$G$132,2,FALSE)),0,VLOOKUP($B53,Players!$C$4:$G$132,2,FALSE))&amp;";"&amp;$C53&amp;";"&amp;VLOOKUP($C53,Players!$C$4:$G$132,5,FALSE)&amp;";"&amp;IF(ISERROR(VLOOKUP($C53,Players!$C$4:$G$132,2,FALSE)),0,VLOOKUP($C53,Players!$C$4:$G$132,2,FALSE))&amp;"|"</f>
        <v>#N/A</v>
      </c>
      <c r="B53" t="str">
        <f>IF(Team_Matches!$Q678="W",Team_Matches!$B678,IF(Team_Matches!$Q680="W",Team_Matches!$B680,""))</f>
        <v/>
      </c>
      <c r="C53" t="str">
        <f>IF(Team_Matches!$Q678="L",Team_Matches!$B678,IF(Team_Matches!$Q680="L",Team_Matches!$B680,""))</f>
        <v/>
      </c>
      <c r="D53" t="str">
        <f>CONCATENATE(Team_Matches!$B672," vs ",Team_Matches!$K672)</f>
        <v>I vs K</v>
      </c>
      <c r="E53" t="str">
        <f>Team_Matches!A676</f>
        <v>1st Singles</v>
      </c>
      <c r="F53" s="7" t="str">
        <f>IF(Team_Matches!$Q678&lt;&gt;"",IF(Team_Matches!H678&gt;Team_Matches!H680,MIN(Team_Matches!H678,Team_Matches!H680),-MIN(Team_Matches!H678,Team_Matches!H680))*IF(Team_Matches!$Q678="W",1,-1),"")</f>
        <v/>
      </c>
      <c r="G53" s="7" t="str">
        <f>IF(Team_Matches!$Q678&lt;&gt;"",IF(Team_Matches!I678&gt;Team_Matches!I680,MIN(Team_Matches!I678,Team_Matches!I680),-MIN(Team_Matches!I678,Team_Matches!I680))*IF(Team_Matches!$Q678="W",1,-1),"")</f>
        <v/>
      </c>
      <c r="H53" s="7" t="str">
        <f>IF(Team_Matches!$Q678&lt;&gt;"",IF(Team_Matches!J678&gt;Team_Matches!J680,MIN(Team_Matches!J678,Team_Matches!J680),-MIN(Team_Matches!J678,Team_Matches!J680))*IF(Team_Matches!$Q678="W",1,-1),"")</f>
        <v/>
      </c>
      <c r="I53" s="7" t="str">
        <f>IF(Team_Matches!$Q678&lt;&gt;"",IF(Team_Matches!K678=Team_Matches!K680,"",IF(Team_Matches!K678&gt;Team_Matches!K680,MIN(Team_Matches!K678,Team_Matches!K680),-MIN(Team_Matches!K678,Team_Matches!K680))*IF(Team_Matches!$Q678="W",1,-1)),"")</f>
        <v/>
      </c>
      <c r="J53" s="7" t="str">
        <f>IF(Team_Matches!$Q678&lt;&gt;"",IF(Team_Matches!L678=Team_Matches!L680,"",IF(Team_Matches!L678&gt;Team_Matches!L680,MIN(Team_Matches!L678,Team_Matches!L680),-MIN(Team_Matches!L678,Team_Matches!L680))*IF(Team_Matches!$Q678="W",1,-1)),"")</f>
        <v/>
      </c>
    </row>
    <row r="54" spans="1:10" x14ac:dyDescent="0.25">
      <c r="A54" s="55" t="e">
        <f>$B54&amp;";"&amp;VLOOKUP($B54,Players!$C$4:$G$132,5,FALSE)&amp;";"&amp;IF(ISERROR(VLOOKUP($B54,Players!$C$4:$G$132,2,FALSE)),0,VLOOKUP($B54,Players!$C$4:$G$132,2,FALSE))&amp;";"&amp;$C54&amp;";"&amp;VLOOKUP($C54,Players!$C$4:$G$132,5,FALSE)&amp;";"&amp;IF(ISERROR(VLOOKUP($C54,Players!$C$4:$G$132,2,FALSE)),0,VLOOKUP($C54,Players!$C$4:$G$132,2,FALSE))&amp;"|"</f>
        <v>#N/A</v>
      </c>
      <c r="B54" t="str">
        <f>IF(Team_Matches!$Q685="W",Team_Matches!$B685,IF(Team_Matches!$Q687="W",Team_Matches!$B687,""))</f>
        <v/>
      </c>
      <c r="C54" t="str">
        <f>IF(Team_Matches!$Q685="L",Team_Matches!$B685,IF(Team_Matches!$Q687="L",Team_Matches!$B687,""))</f>
        <v/>
      </c>
      <c r="D54" t="str">
        <f>CONCATENATE(Team_Matches!$B672," vs ",Team_Matches!$K672)</f>
        <v>I vs K</v>
      </c>
      <c r="E54" t="str">
        <f>Team_Matches!$A683</f>
        <v>2nd Singles</v>
      </c>
      <c r="F54" s="7" t="str">
        <f>IF(Team_Matches!$Q685&lt;&gt;"",IF(Team_Matches!H685&gt;Team_Matches!H687,MIN(Team_Matches!H685,Team_Matches!H687),-MIN(Team_Matches!H685,Team_Matches!H687))*IF(Team_Matches!$Q685="W",1,-1),"")</f>
        <v/>
      </c>
      <c r="G54" s="7" t="str">
        <f>IF(Team_Matches!$Q685&lt;&gt;"",IF(Team_Matches!I685&gt;Team_Matches!I687,MIN(Team_Matches!I685,Team_Matches!I687),-MIN(Team_Matches!I685,Team_Matches!I687))*IF(Team_Matches!$Q685="W",1,-1),"")</f>
        <v/>
      </c>
      <c r="H54" s="7" t="str">
        <f>IF(Team_Matches!$Q685&lt;&gt;"",IF(Team_Matches!J685&gt;Team_Matches!J687,MIN(Team_Matches!J685,Team_Matches!J687),-MIN(Team_Matches!J685,Team_Matches!J687))*IF(Team_Matches!$Q685="W",1,-1),"")</f>
        <v/>
      </c>
      <c r="I54" s="7" t="str">
        <f>IF(Team_Matches!$Q685&lt;&gt;"",IF(Team_Matches!K685=Team_Matches!K687,"",IF(Team_Matches!K685&gt;Team_Matches!K687,MIN(Team_Matches!K685,Team_Matches!K687),-MIN(Team_Matches!K685,Team_Matches!K687))*IF(Team_Matches!$Q685="W",1,-1)),"")</f>
        <v/>
      </c>
      <c r="J54" s="7" t="str">
        <f>IF(Team_Matches!$Q685&lt;&gt;"",IF(Team_Matches!L685=Team_Matches!L687,"",IF(Team_Matches!L685&gt;Team_Matches!L687,MIN(Team_Matches!L685,Team_Matches!L687),-MIN(Team_Matches!L685,Team_Matches!L687))*IF(Team_Matches!$Q685="W",1,-1)),"")</f>
        <v/>
      </c>
    </row>
    <row r="55" spans="1:10" x14ac:dyDescent="0.25">
      <c r="A55" s="55" t="e">
        <f>$B55&amp;";"&amp;VLOOKUP($B55,Players!$C$4:$G$132,5,FALSE)&amp;";"&amp;IF(ISERROR(VLOOKUP($B55,Players!$C$4:$G$132,2,FALSE)),0,VLOOKUP($B55,Players!$C$4:$G$132,2,FALSE))&amp;";"&amp;$C55&amp;";"&amp;VLOOKUP($C55,Players!$C$4:$G$132,5,FALSE)&amp;";"&amp;IF(ISERROR(VLOOKUP($C55,Players!$C$4:$G$132,2,FALSE)),0,VLOOKUP($C55,Players!$C$4:$G$132,2,FALSE))&amp;"|"</f>
        <v>#N/A</v>
      </c>
      <c r="B55" t="str">
        <f>IF(Team_Matches!$Q692="W",Team_Matches!$B692,IF(Team_Matches!$Q694="W",Team_Matches!$B694,""))</f>
        <v/>
      </c>
      <c r="C55" t="str">
        <f>IF(Team_Matches!$Q692="L",Team_Matches!$B692,IF(Team_Matches!$Q694="L",Team_Matches!$B694,""))</f>
        <v/>
      </c>
      <c r="D55" t="str">
        <f>CONCATENATE(Team_Matches!$B672," vs ",Team_Matches!$K672)</f>
        <v>I vs K</v>
      </c>
      <c r="E55" t="str">
        <f>Team_Matches!$A690</f>
        <v>3rd Singles</v>
      </c>
      <c r="F55" s="7" t="str">
        <f>IF(Team_Matches!$Q692&lt;&gt;"",IF(Team_Matches!H692&gt;Team_Matches!H694,MIN(Team_Matches!H692,Team_Matches!H694),-MIN(Team_Matches!H692,Team_Matches!H694))*IF(Team_Matches!$Q692="W",1,-1),"")</f>
        <v/>
      </c>
      <c r="G55" s="7" t="str">
        <f>IF(Team_Matches!$Q692&lt;&gt;"",IF(Team_Matches!I692&gt;Team_Matches!I694,MIN(Team_Matches!I692,Team_Matches!I694),-MIN(Team_Matches!I692,Team_Matches!I694))*IF(Team_Matches!$Q692="W",1,-1),"")</f>
        <v/>
      </c>
      <c r="H55" s="7" t="str">
        <f>IF(Team_Matches!$Q692&lt;&gt;"",IF(Team_Matches!J692&gt;Team_Matches!J694,MIN(Team_Matches!J692,Team_Matches!J694),-MIN(Team_Matches!J692,Team_Matches!J694))*IF(Team_Matches!$Q692="W",1,-1),"")</f>
        <v/>
      </c>
      <c r="I55" s="7" t="str">
        <f>IF(Team_Matches!$Q692&lt;&gt;"",IF(Team_Matches!K692=Team_Matches!K694,"",IF(Team_Matches!K692&gt;Team_Matches!K694,MIN(Team_Matches!K692,Team_Matches!K694),-MIN(Team_Matches!K692,Team_Matches!K694))*IF(Team_Matches!$Q692="W",1,-1)),"")</f>
        <v/>
      </c>
      <c r="J55" s="7" t="str">
        <f>IF(Team_Matches!$Q692&lt;&gt;"",IF(Team_Matches!L692=Team_Matches!L694,"",IF(Team_Matches!L692&gt;Team_Matches!L694,MIN(Team_Matches!L692,Team_Matches!L694),-MIN(Team_Matches!L692,Team_Matches!L694))*IF(Team_Matches!$Q692="W",1,-1)),"")</f>
        <v/>
      </c>
    </row>
    <row r="56" spans="1:10" x14ac:dyDescent="0.25">
      <c r="A56" s="55" t="e">
        <f ca="1">$B56&amp;";"&amp;VLOOKUP($B56,Players!$C$4:$G$132,5,FALSE)&amp;";"&amp;IF(ISERROR(VLOOKUP($B56,Players!$C$4:$G$132,2,FALSE)),0,VLOOKUP($B56,Players!$C$4:$G$132,2,FALSE))&amp;";"&amp;$C56&amp;";"&amp;VLOOKUP($C56,Players!$C$4:$G$132,5,FALSE)&amp;";"&amp;IF(ISERROR(VLOOKUP($C56,Players!$C$4:$G$132,2,FALSE)),0,VLOOKUP($C56,Players!$C$4:$G$132,2,FALSE))&amp;"|"</f>
        <v>#N/A</v>
      </c>
      <c r="B56" t="str">
        <f ca="1">IF(Team_Matches!$Q699="W",Team_Matches!$B699,IF(Team_Matches!$Q701="W",Team_Matches!$B701,""))</f>
        <v/>
      </c>
      <c r="C56" t="str">
        <f ca="1">IF(Team_Matches!$Q699="L",Team_Matches!$B699,IF(Team_Matches!$Q701="L",Team_Matches!$B701,""))</f>
        <v/>
      </c>
      <c r="D56" t="str">
        <f>CONCATENATE(Team_Matches!$B672," vs ",Team_Matches!$K672)</f>
        <v>I vs K</v>
      </c>
      <c r="E56" t="str">
        <f>Team_Matches!$A697</f>
        <v>4th Singles</v>
      </c>
      <c r="F56" s="7" t="str">
        <f ca="1">IF(Team_Matches!$Q699&lt;&gt;"",IF(Team_Matches!H699&gt;Team_Matches!H701,MIN(Team_Matches!H699,Team_Matches!H701),-MIN(Team_Matches!H699,Team_Matches!H701))*IF(Team_Matches!$Q699="W",1,-1),"")</f>
        <v/>
      </c>
      <c r="G56" s="7" t="str">
        <f ca="1">IF(Team_Matches!$Q699&lt;&gt;"",IF(Team_Matches!I699&gt;Team_Matches!I701,MIN(Team_Matches!I699,Team_Matches!I701),-MIN(Team_Matches!I699,Team_Matches!I701))*IF(Team_Matches!$Q699="W",1,-1),"")</f>
        <v/>
      </c>
      <c r="H56" s="7" t="str">
        <f ca="1">IF(Team_Matches!$Q699&lt;&gt;"",IF(Team_Matches!J699&gt;Team_Matches!J701,MIN(Team_Matches!J699,Team_Matches!J701),-MIN(Team_Matches!J699,Team_Matches!J701))*IF(Team_Matches!$Q699="W",1,-1),"")</f>
        <v/>
      </c>
      <c r="I56" s="7" t="str">
        <f ca="1">IF(Team_Matches!$Q699&lt;&gt;"",IF(Team_Matches!K699=Team_Matches!K701,"",IF(Team_Matches!K699&gt;Team_Matches!K701,MIN(Team_Matches!K699,Team_Matches!K701),-MIN(Team_Matches!K699,Team_Matches!K701))*IF(Team_Matches!$Q699="W",1,-1)),"")</f>
        <v/>
      </c>
      <c r="J56" s="7" t="str">
        <f ca="1">IF(Team_Matches!$Q699&lt;&gt;"",IF(Team_Matches!L699=Team_Matches!L701,"",IF(Team_Matches!L699&gt;Team_Matches!L701,MIN(Team_Matches!L699,Team_Matches!L701),-MIN(Team_Matches!L699,Team_Matches!L701))*IF(Team_Matches!$Q699="W",1,-1)),"")</f>
        <v/>
      </c>
    </row>
    <row r="57" spans="1:10" x14ac:dyDescent="0.25">
      <c r="A57" s="55" t="e">
        <f>$B57&amp;";"&amp;VLOOKUP($B57,Players!$C$4:$G$132,5,FALSE)&amp;";"&amp;IF(ISERROR(VLOOKUP($B57,Players!$C$4:$G$132,2,FALSE)),0,VLOOKUP($B57,Players!$C$4:$G$132,2,FALSE))&amp;";"&amp;$C57&amp;";"&amp;VLOOKUP($C57,Players!$C$4:$G$132,5,FALSE)&amp;";"&amp;IF(ISERROR(VLOOKUP($C57,Players!$C$4:$G$132,2,FALSE)),0,VLOOKUP($C57,Players!$C$4:$G$132,2,FALSE))&amp;"|"</f>
        <v>#N/A</v>
      </c>
      <c r="B57" t="str">
        <f>IF(Team_Matches!$Q729="W",Team_Matches!$B729,IF(Team_Matches!$Q731="W",Team_Matches!$B731,""))</f>
        <v/>
      </c>
      <c r="C57" t="str">
        <f>IF(Team_Matches!$Q729="L",Team_Matches!$B729,IF(Team_Matches!$Q731="L",Team_Matches!$B731,""))</f>
        <v/>
      </c>
      <c r="D57" t="str">
        <f>CONCATENATE(Team_Matches!$B723," vs ",Team_Matches!$K723)</f>
        <v>H vs L</v>
      </c>
      <c r="E57" t="str">
        <f>Team_Matches!A727</f>
        <v>1st Singles</v>
      </c>
      <c r="F57" s="7" t="str">
        <f>IF(Team_Matches!$Q729&lt;&gt;"",IF(Team_Matches!H729&gt;Team_Matches!H731,MIN(Team_Matches!H729,Team_Matches!H731),-MIN(Team_Matches!H729,Team_Matches!H731))*IF(Team_Matches!$Q729="W",1,-1),"")</f>
        <v/>
      </c>
      <c r="G57" s="7" t="str">
        <f>IF(Team_Matches!$Q729&lt;&gt;"",IF(Team_Matches!I729&gt;Team_Matches!I731,MIN(Team_Matches!I729,Team_Matches!I731),-MIN(Team_Matches!I729,Team_Matches!I731))*IF(Team_Matches!$Q729="W",1,-1),"")</f>
        <v/>
      </c>
      <c r="H57" s="7" t="str">
        <f>IF(Team_Matches!$Q729&lt;&gt;"",IF(Team_Matches!J729&gt;Team_Matches!J731,MIN(Team_Matches!J729,Team_Matches!J731),-MIN(Team_Matches!J729,Team_Matches!J731))*IF(Team_Matches!$Q729="W",1,-1),"")</f>
        <v/>
      </c>
      <c r="I57" s="7" t="str">
        <f>IF(Team_Matches!$Q729&lt;&gt;"",IF(Team_Matches!K729=Team_Matches!K731,"",IF(Team_Matches!K729&gt;Team_Matches!K731,MIN(Team_Matches!K729,Team_Matches!K731),-MIN(Team_Matches!K729,Team_Matches!K731))*IF(Team_Matches!$Q729="W",1,-1)),"")</f>
        <v/>
      </c>
      <c r="J57" s="7" t="str">
        <f>IF(Team_Matches!$Q729&lt;&gt;"",IF(Team_Matches!L729=Team_Matches!L731,"",IF(Team_Matches!L729&gt;Team_Matches!L731,MIN(Team_Matches!L729,Team_Matches!L731),-MIN(Team_Matches!L729,Team_Matches!L731))*IF(Team_Matches!$Q729="W",1,-1)),"")</f>
        <v/>
      </c>
    </row>
    <row r="58" spans="1:10" x14ac:dyDescent="0.25">
      <c r="A58" s="55" t="e">
        <f>$B58&amp;";"&amp;VLOOKUP($B58,Players!$C$4:$G$132,5,FALSE)&amp;";"&amp;IF(ISERROR(VLOOKUP($B58,Players!$C$4:$G$132,2,FALSE)),0,VLOOKUP($B58,Players!$C$4:$G$132,2,FALSE))&amp;";"&amp;$C58&amp;";"&amp;VLOOKUP($C58,Players!$C$4:$G$132,5,FALSE)&amp;";"&amp;IF(ISERROR(VLOOKUP($C58,Players!$C$4:$G$132,2,FALSE)),0,VLOOKUP($C58,Players!$C$4:$G$132,2,FALSE))&amp;"|"</f>
        <v>#N/A</v>
      </c>
      <c r="B58" t="str">
        <f>IF(Team_Matches!$Q736="W",Team_Matches!$B736,IF(Team_Matches!$Q738="W",Team_Matches!$B738,""))</f>
        <v/>
      </c>
      <c r="C58" t="str">
        <f>IF(Team_Matches!$Q736="L",Team_Matches!$B736,IF(Team_Matches!$Q738="L",Team_Matches!$B738,""))</f>
        <v/>
      </c>
      <c r="D58" t="str">
        <f>CONCATENATE(Team_Matches!$B723," vs ",Team_Matches!$K723)</f>
        <v>H vs L</v>
      </c>
      <c r="E58" t="str">
        <f>Team_Matches!$A734</f>
        <v>2nd Singles</v>
      </c>
      <c r="F58" s="7" t="str">
        <f>IF(Team_Matches!$Q736&lt;&gt;"",IF(Team_Matches!H736&gt;Team_Matches!H738,MIN(Team_Matches!H736,Team_Matches!H738),-MIN(Team_Matches!H736,Team_Matches!H738))*IF(Team_Matches!$Q736="W",1,-1),"")</f>
        <v/>
      </c>
      <c r="G58" s="7" t="str">
        <f>IF(Team_Matches!$Q736&lt;&gt;"",IF(Team_Matches!I736&gt;Team_Matches!I738,MIN(Team_Matches!I736,Team_Matches!I738),-MIN(Team_Matches!I736,Team_Matches!I738))*IF(Team_Matches!$Q736="W",1,-1),"")</f>
        <v/>
      </c>
      <c r="H58" s="7" t="str">
        <f>IF(Team_Matches!$Q736&lt;&gt;"",IF(Team_Matches!J736&gt;Team_Matches!J738,MIN(Team_Matches!J736,Team_Matches!J738),-MIN(Team_Matches!J736,Team_Matches!J738))*IF(Team_Matches!$Q736="W",1,-1),"")</f>
        <v/>
      </c>
      <c r="I58" s="7" t="str">
        <f>IF(Team_Matches!$Q736&lt;&gt;"",IF(Team_Matches!K736=Team_Matches!K738,"",IF(Team_Matches!K736&gt;Team_Matches!K738,MIN(Team_Matches!K736,Team_Matches!K738),-MIN(Team_Matches!K736,Team_Matches!K738))*IF(Team_Matches!$Q736="W",1,-1)),"")</f>
        <v/>
      </c>
      <c r="J58" s="7" t="str">
        <f>IF(Team_Matches!$Q736&lt;&gt;"",IF(Team_Matches!L736=Team_Matches!L738,"",IF(Team_Matches!L736&gt;Team_Matches!L738,MIN(Team_Matches!L736,Team_Matches!L738),-MIN(Team_Matches!L736,Team_Matches!L738))*IF(Team_Matches!$Q736="W",1,-1)),"")</f>
        <v/>
      </c>
    </row>
    <row r="59" spans="1:10" x14ac:dyDescent="0.25">
      <c r="A59" s="55" t="e">
        <f>$B59&amp;";"&amp;VLOOKUP($B59,Players!$C$4:$G$132,5,FALSE)&amp;";"&amp;IF(ISERROR(VLOOKUP($B59,Players!$C$4:$G$132,2,FALSE)),0,VLOOKUP($B59,Players!$C$4:$G$132,2,FALSE))&amp;";"&amp;$C59&amp;";"&amp;VLOOKUP($C59,Players!$C$4:$G$132,5,FALSE)&amp;";"&amp;IF(ISERROR(VLOOKUP($C59,Players!$C$4:$G$132,2,FALSE)),0,VLOOKUP($C59,Players!$C$4:$G$132,2,FALSE))&amp;"|"</f>
        <v>#N/A</v>
      </c>
      <c r="B59" t="str">
        <f>IF(Team_Matches!$Q743="W",Team_Matches!$B743,IF(Team_Matches!$Q745="W",Team_Matches!$B745,""))</f>
        <v/>
      </c>
      <c r="C59" t="str">
        <f>IF(Team_Matches!$Q743="L",Team_Matches!$B743,IF(Team_Matches!$Q745="L",Team_Matches!$B745,""))</f>
        <v/>
      </c>
      <c r="D59" t="str">
        <f>CONCATENATE(Team_Matches!$B723," vs ",Team_Matches!$K723)</f>
        <v>H vs L</v>
      </c>
      <c r="E59" t="str">
        <f>Team_Matches!$A741</f>
        <v>3rd Singles</v>
      </c>
      <c r="F59" s="7" t="str">
        <f>IF(Team_Matches!$Q743&lt;&gt;"",IF(Team_Matches!H743&gt;Team_Matches!H745,MIN(Team_Matches!H743,Team_Matches!H745),-MIN(Team_Matches!H743,Team_Matches!H745))*IF(Team_Matches!$Q743="W",1,-1),"")</f>
        <v/>
      </c>
      <c r="G59" s="7" t="str">
        <f>IF(Team_Matches!$Q743&lt;&gt;"",IF(Team_Matches!I743&gt;Team_Matches!I745,MIN(Team_Matches!I743,Team_Matches!I745),-MIN(Team_Matches!I743,Team_Matches!I745))*IF(Team_Matches!$Q743="W",1,-1),"")</f>
        <v/>
      </c>
      <c r="H59" s="7" t="str">
        <f>IF(Team_Matches!$Q743&lt;&gt;"",IF(Team_Matches!J743&gt;Team_Matches!J745,MIN(Team_Matches!J743,Team_Matches!J745),-MIN(Team_Matches!J743,Team_Matches!J745))*IF(Team_Matches!$Q743="W",1,-1),"")</f>
        <v/>
      </c>
      <c r="I59" s="7" t="str">
        <f>IF(Team_Matches!$Q743&lt;&gt;"",IF(Team_Matches!K743=Team_Matches!K745,"",IF(Team_Matches!K743&gt;Team_Matches!K745,MIN(Team_Matches!K743,Team_Matches!K745),-MIN(Team_Matches!K743,Team_Matches!K745))*IF(Team_Matches!$Q743="W",1,-1)),"")</f>
        <v/>
      </c>
      <c r="J59" s="7" t="str">
        <f>IF(Team_Matches!$Q743&lt;&gt;"",IF(Team_Matches!L743=Team_Matches!L745,"",IF(Team_Matches!L743&gt;Team_Matches!L745,MIN(Team_Matches!L743,Team_Matches!L745),-MIN(Team_Matches!L743,Team_Matches!L745))*IF(Team_Matches!$Q743="W",1,-1)),"")</f>
        <v/>
      </c>
    </row>
    <row r="60" spans="1:10" x14ac:dyDescent="0.25">
      <c r="A60" s="55" t="e">
        <f ca="1">$B60&amp;";"&amp;VLOOKUP($B60,Players!$C$4:$G$132,5,FALSE)&amp;";"&amp;IF(ISERROR(VLOOKUP($B60,Players!$C$4:$G$132,2,FALSE)),0,VLOOKUP($B60,Players!$C$4:$G$132,2,FALSE))&amp;";"&amp;$C60&amp;";"&amp;VLOOKUP($C60,Players!$C$4:$G$132,5,FALSE)&amp;";"&amp;IF(ISERROR(VLOOKUP($C60,Players!$C$4:$G$132,2,FALSE)),0,VLOOKUP($C60,Players!$C$4:$G$132,2,FALSE))&amp;"|"</f>
        <v>#N/A</v>
      </c>
      <c r="B60" t="str">
        <f ca="1">IF(Team_Matches!$Q750="W",Team_Matches!$B750,IF(Team_Matches!$Q752="W",Team_Matches!$B752,""))</f>
        <v/>
      </c>
      <c r="C60" t="str">
        <f ca="1">IF(Team_Matches!$Q750="L",Team_Matches!$B750,IF(Team_Matches!$Q752="L",Team_Matches!$B752,""))</f>
        <v/>
      </c>
      <c r="D60" t="str">
        <f>CONCATENATE(Team_Matches!$B723," vs ",Team_Matches!$K723)</f>
        <v>H vs L</v>
      </c>
      <c r="E60" t="str">
        <f>Team_Matches!$A748</f>
        <v>4th Singles</v>
      </c>
      <c r="F60" s="7" t="str">
        <f ca="1">IF(Team_Matches!$Q750&lt;&gt;"",IF(Team_Matches!H750&gt;Team_Matches!H752,MIN(Team_Matches!H750,Team_Matches!H752),-MIN(Team_Matches!H750,Team_Matches!H752))*IF(Team_Matches!$Q750="W",1,-1),"")</f>
        <v/>
      </c>
      <c r="G60" s="7" t="str">
        <f ca="1">IF(Team_Matches!$Q750&lt;&gt;"",IF(Team_Matches!I750&gt;Team_Matches!I752,MIN(Team_Matches!I750,Team_Matches!I752),-MIN(Team_Matches!I750,Team_Matches!I752))*IF(Team_Matches!$Q750="W",1,-1),"")</f>
        <v/>
      </c>
      <c r="H60" s="7" t="str">
        <f ca="1">IF(Team_Matches!$Q750&lt;&gt;"",IF(Team_Matches!J750&gt;Team_Matches!J752,MIN(Team_Matches!J750,Team_Matches!J752),-MIN(Team_Matches!J750,Team_Matches!J752))*IF(Team_Matches!$Q750="W",1,-1),"")</f>
        <v/>
      </c>
      <c r="I60" s="7" t="str">
        <f ca="1">IF(Team_Matches!$Q750&lt;&gt;"",IF(Team_Matches!K750=Team_Matches!K752,"",IF(Team_Matches!K750&gt;Team_Matches!K752,MIN(Team_Matches!K750,Team_Matches!K752),-MIN(Team_Matches!K750,Team_Matches!K752))*IF(Team_Matches!$Q750="W",1,-1)),"")</f>
        <v/>
      </c>
      <c r="J60" s="7" t="str">
        <f ca="1">IF(Team_Matches!$Q750&lt;&gt;"",IF(Team_Matches!L750=Team_Matches!L752,"",IF(Team_Matches!L750&gt;Team_Matches!L752,MIN(Team_Matches!L750,Team_Matches!L752),-MIN(Team_Matches!L750,Team_Matches!L752))*IF(Team_Matches!$Q750="W",1,-1)),"")</f>
        <v/>
      </c>
    </row>
    <row r="61" spans="1:10" x14ac:dyDescent="0.25">
      <c r="A61" s="55" t="e">
        <f>$B61&amp;";"&amp;VLOOKUP($B61,Players!$C$4:$G$132,5,FALSE)&amp;";"&amp;IF(ISERROR(VLOOKUP($B61,Players!$C$4:$G$132,2,FALSE)),0,VLOOKUP($B61,Players!$C$4:$G$132,2,FALSE))&amp;";"&amp;$C61&amp;";"&amp;VLOOKUP($C61,Players!$C$4:$G$132,5,FALSE)&amp;";"&amp;IF(ISERROR(VLOOKUP($C61,Players!$C$4:$G$132,2,FALSE)),0,VLOOKUP($C61,Players!$C$4:$G$132,2,FALSE))&amp;"|"</f>
        <v>#N/A</v>
      </c>
      <c r="B61" t="str">
        <f>IF(Team_Matches!$Q780="W",Team_Matches!$B780,IF(Team_Matches!$Q782="W",Team_Matches!$B782,""))</f>
        <v/>
      </c>
      <c r="C61" t="str">
        <f>IF(Team_Matches!$Q780="L",Team_Matches!$B780,IF(Team_Matches!$Q782="L",Team_Matches!$B782,""))</f>
        <v/>
      </c>
      <c r="D61" t="str">
        <f>CONCATENATE(Team_Matches!$B774," vs ",Team_Matches!$K774)</f>
        <v>B vs G</v>
      </c>
      <c r="E61" t="str">
        <f>Team_Matches!A778</f>
        <v>1st Singles</v>
      </c>
      <c r="F61" s="7" t="str">
        <f>IF(Team_Matches!$Q780&lt;&gt;"",IF(Team_Matches!H780&gt;Team_Matches!H782,MIN(Team_Matches!H780,Team_Matches!H782),-MIN(Team_Matches!H780,Team_Matches!H782))*IF(Team_Matches!$Q780="W",1,-1),"")</f>
        <v/>
      </c>
      <c r="G61" s="7" t="str">
        <f>IF(Team_Matches!$Q780&lt;&gt;"",IF(Team_Matches!I780&gt;Team_Matches!I782,MIN(Team_Matches!I780,Team_Matches!I782),-MIN(Team_Matches!I780,Team_Matches!I782))*IF(Team_Matches!$Q780="W",1,-1),"")</f>
        <v/>
      </c>
      <c r="H61" s="7" t="str">
        <f>IF(Team_Matches!$Q780&lt;&gt;"",IF(Team_Matches!J780&gt;Team_Matches!J782,MIN(Team_Matches!J780,Team_Matches!J782),-MIN(Team_Matches!J780,Team_Matches!J782))*IF(Team_Matches!$Q780="W",1,-1),"")</f>
        <v/>
      </c>
      <c r="I61" s="7" t="str">
        <f>IF(Team_Matches!$Q780&lt;&gt;"",IF(Team_Matches!K780=Team_Matches!K782,"",IF(Team_Matches!K780&gt;Team_Matches!K782,MIN(Team_Matches!K780,Team_Matches!K782),-MIN(Team_Matches!K780,Team_Matches!K782))*IF(Team_Matches!$Q780="W",1,-1)),"")</f>
        <v/>
      </c>
      <c r="J61" s="7" t="str">
        <f>IF(Team_Matches!$Q780&lt;&gt;"",IF(Team_Matches!L780=Team_Matches!L782,"",IF(Team_Matches!L780&gt;Team_Matches!L782,MIN(Team_Matches!L780,Team_Matches!L782),-MIN(Team_Matches!L780,Team_Matches!L782))*IF(Team_Matches!$Q780="W",1,-1)),"")</f>
        <v/>
      </c>
    </row>
    <row r="62" spans="1:10" x14ac:dyDescent="0.25">
      <c r="A62" s="55" t="e">
        <f>$B62&amp;";"&amp;VLOOKUP($B62,Players!$C$4:$G$132,5,FALSE)&amp;";"&amp;IF(ISERROR(VLOOKUP($B62,Players!$C$4:$G$132,2,FALSE)),0,VLOOKUP($B62,Players!$C$4:$G$132,2,FALSE))&amp;";"&amp;$C62&amp;";"&amp;VLOOKUP($C62,Players!$C$4:$G$132,5,FALSE)&amp;";"&amp;IF(ISERROR(VLOOKUP($C62,Players!$C$4:$G$132,2,FALSE)),0,VLOOKUP($C62,Players!$C$4:$G$132,2,FALSE))&amp;"|"</f>
        <v>#N/A</v>
      </c>
      <c r="B62" t="str">
        <f>IF(Team_Matches!$Q787="W",Team_Matches!$B787,IF(Team_Matches!$Q789="W",Team_Matches!$B789,""))</f>
        <v/>
      </c>
      <c r="C62" t="str">
        <f>IF(Team_Matches!$Q787="L",Team_Matches!$B787,IF(Team_Matches!$Q789="L",Team_Matches!$B789,""))</f>
        <v/>
      </c>
      <c r="D62" t="str">
        <f>CONCATENATE(Team_Matches!$B774," vs ",Team_Matches!$K774)</f>
        <v>B vs G</v>
      </c>
      <c r="E62" t="str">
        <f>Team_Matches!$A785</f>
        <v>2nd Singles</v>
      </c>
      <c r="F62" s="7" t="str">
        <f>IF(Team_Matches!$Q787&lt;&gt;"",IF(Team_Matches!H787&gt;Team_Matches!H789,MIN(Team_Matches!H787,Team_Matches!H789),-MIN(Team_Matches!H787,Team_Matches!H789))*IF(Team_Matches!$Q787="W",1,-1),"")</f>
        <v/>
      </c>
      <c r="G62" s="7" t="str">
        <f>IF(Team_Matches!$Q787&lt;&gt;"",IF(Team_Matches!I787&gt;Team_Matches!I789,MIN(Team_Matches!I787,Team_Matches!I789),-MIN(Team_Matches!I787,Team_Matches!I789))*IF(Team_Matches!$Q787="W",1,-1),"")</f>
        <v/>
      </c>
      <c r="H62" s="7" t="str">
        <f>IF(Team_Matches!$Q787&lt;&gt;"",IF(Team_Matches!J787&gt;Team_Matches!J789,MIN(Team_Matches!J787,Team_Matches!J789),-MIN(Team_Matches!J787,Team_Matches!J789))*IF(Team_Matches!$Q787="W",1,-1),"")</f>
        <v/>
      </c>
      <c r="I62" s="7" t="str">
        <f>IF(Team_Matches!$Q787&lt;&gt;"",IF(Team_Matches!K787=Team_Matches!K789,"",IF(Team_Matches!K787&gt;Team_Matches!K789,MIN(Team_Matches!K787,Team_Matches!K789),-MIN(Team_Matches!K787,Team_Matches!K789))*IF(Team_Matches!$Q787="W",1,-1)),"")</f>
        <v/>
      </c>
      <c r="J62" s="7" t="str">
        <f>IF(Team_Matches!$Q787&lt;&gt;"",IF(Team_Matches!L787=Team_Matches!L789,"",IF(Team_Matches!L787&gt;Team_Matches!L789,MIN(Team_Matches!L787,Team_Matches!L789),-MIN(Team_Matches!L787,Team_Matches!L789))*IF(Team_Matches!$Q787="W",1,-1)),"")</f>
        <v/>
      </c>
    </row>
    <row r="63" spans="1:10" x14ac:dyDescent="0.25">
      <c r="A63" s="55" t="e">
        <f>$B63&amp;";"&amp;VLOOKUP($B63,Players!$C$4:$G$132,5,FALSE)&amp;";"&amp;IF(ISERROR(VLOOKUP($B63,Players!$C$4:$G$132,2,FALSE)),0,VLOOKUP($B63,Players!$C$4:$G$132,2,FALSE))&amp;";"&amp;$C63&amp;";"&amp;VLOOKUP($C63,Players!$C$4:$G$132,5,FALSE)&amp;";"&amp;IF(ISERROR(VLOOKUP($C63,Players!$C$4:$G$132,2,FALSE)),0,VLOOKUP($C63,Players!$C$4:$G$132,2,FALSE))&amp;"|"</f>
        <v>#N/A</v>
      </c>
      <c r="B63" t="str">
        <f>IF(Team_Matches!$Q794="W",Team_Matches!$B794,IF(Team_Matches!$Q796="W",Team_Matches!$B796,""))</f>
        <v/>
      </c>
      <c r="C63" t="str">
        <f>IF(Team_Matches!$Q794="L",Team_Matches!$B794,IF(Team_Matches!$Q796="L",Team_Matches!$B796,""))</f>
        <v/>
      </c>
      <c r="D63" t="str">
        <f>CONCATENATE(Team_Matches!$B774," vs ",Team_Matches!$K774)</f>
        <v>B vs G</v>
      </c>
      <c r="E63" t="str">
        <f>Team_Matches!$A792</f>
        <v>3rd Singles</v>
      </c>
      <c r="F63" s="7" t="str">
        <f>IF(Team_Matches!$Q794&lt;&gt;"",IF(Team_Matches!H794&gt;Team_Matches!H796,MIN(Team_Matches!H794,Team_Matches!H796),-MIN(Team_Matches!H794,Team_Matches!H796))*IF(Team_Matches!$Q794="W",1,-1),"")</f>
        <v/>
      </c>
      <c r="G63" s="7" t="str">
        <f>IF(Team_Matches!$Q794&lt;&gt;"",IF(Team_Matches!I794&gt;Team_Matches!I796,MIN(Team_Matches!I794,Team_Matches!I796),-MIN(Team_Matches!I794,Team_Matches!I796))*IF(Team_Matches!$Q794="W",1,-1),"")</f>
        <v/>
      </c>
      <c r="H63" s="7" t="str">
        <f>IF(Team_Matches!$Q794&lt;&gt;"",IF(Team_Matches!J794&gt;Team_Matches!J796,MIN(Team_Matches!J794,Team_Matches!J796),-MIN(Team_Matches!J794,Team_Matches!J796))*IF(Team_Matches!$Q794="W",1,-1),"")</f>
        <v/>
      </c>
      <c r="I63" s="7" t="str">
        <f>IF(Team_Matches!$Q794&lt;&gt;"",IF(Team_Matches!K794=Team_Matches!K796,"",IF(Team_Matches!K794&gt;Team_Matches!K796,MIN(Team_Matches!K794,Team_Matches!K796),-MIN(Team_Matches!K794,Team_Matches!K796))*IF(Team_Matches!$Q794="W",1,-1)),"")</f>
        <v/>
      </c>
      <c r="J63" s="7" t="str">
        <f>IF(Team_Matches!$Q794&lt;&gt;"",IF(Team_Matches!L794=Team_Matches!L796,"",IF(Team_Matches!L794&gt;Team_Matches!L796,MIN(Team_Matches!L794,Team_Matches!L796),-MIN(Team_Matches!L794,Team_Matches!L796))*IF(Team_Matches!$Q794="W",1,-1)),"")</f>
        <v/>
      </c>
    </row>
    <row r="64" spans="1:10" x14ac:dyDescent="0.25">
      <c r="A64" s="55" t="e">
        <f ca="1">$B64&amp;";"&amp;VLOOKUP($B64,Players!$C$4:$G$132,5,FALSE)&amp;";"&amp;IF(ISERROR(VLOOKUP($B64,Players!$C$4:$G$132,2,FALSE)),0,VLOOKUP($B64,Players!$C$4:$G$132,2,FALSE))&amp;";"&amp;$C64&amp;";"&amp;VLOOKUP($C64,Players!$C$4:$G$132,5,FALSE)&amp;";"&amp;IF(ISERROR(VLOOKUP($C64,Players!$C$4:$G$132,2,FALSE)),0,VLOOKUP($C64,Players!$C$4:$G$132,2,FALSE))&amp;"|"</f>
        <v>#N/A</v>
      </c>
      <c r="B64" t="str">
        <f ca="1">IF(Team_Matches!$Q801="W",Team_Matches!$B801,IF(Team_Matches!$Q803="W",Team_Matches!$B803,""))</f>
        <v/>
      </c>
      <c r="C64" t="str">
        <f ca="1">IF(Team_Matches!$Q801="L",Team_Matches!$B801,IF(Team_Matches!$Q803="L",Team_Matches!$B803,""))</f>
        <v/>
      </c>
      <c r="D64" t="str">
        <f>CONCATENATE(Team_Matches!$B774," vs ",Team_Matches!$K774)</f>
        <v>B vs G</v>
      </c>
      <c r="E64" t="str">
        <f>Team_Matches!$A799</f>
        <v>4th Singles</v>
      </c>
      <c r="F64" s="7" t="str">
        <f ca="1">IF(Team_Matches!$Q801&lt;&gt;"",IF(Team_Matches!H801&gt;Team_Matches!H803,MIN(Team_Matches!H801,Team_Matches!H803),-MIN(Team_Matches!H801,Team_Matches!H803))*IF(Team_Matches!$Q801="W",1,-1),"")</f>
        <v/>
      </c>
      <c r="G64" s="7" t="str">
        <f ca="1">IF(Team_Matches!$Q801&lt;&gt;"",IF(Team_Matches!I801&gt;Team_Matches!I803,MIN(Team_Matches!I801,Team_Matches!I803),-MIN(Team_Matches!I801,Team_Matches!I803))*IF(Team_Matches!$Q801="W",1,-1),"")</f>
        <v/>
      </c>
      <c r="H64" s="7" t="str">
        <f ca="1">IF(Team_Matches!$Q801&lt;&gt;"",IF(Team_Matches!J801&gt;Team_Matches!J803,MIN(Team_Matches!J801,Team_Matches!J803),-MIN(Team_Matches!J801,Team_Matches!J803))*IF(Team_Matches!$Q801="W",1,-1),"")</f>
        <v/>
      </c>
      <c r="I64" s="7" t="str">
        <f ca="1">IF(Team_Matches!$Q801&lt;&gt;"",IF(Team_Matches!K801=Team_Matches!K803,"",IF(Team_Matches!K801&gt;Team_Matches!K803,MIN(Team_Matches!K801,Team_Matches!K803),-MIN(Team_Matches!K801,Team_Matches!K803))*IF(Team_Matches!$Q801="W",1,-1)),"")</f>
        <v/>
      </c>
      <c r="J64" s="7" t="str">
        <f ca="1">IF(Team_Matches!$Q801&lt;&gt;"",IF(Team_Matches!L801=Team_Matches!L803,"",IF(Team_Matches!L801&gt;Team_Matches!L803,MIN(Team_Matches!L801,Team_Matches!L803),-MIN(Team_Matches!L801,Team_Matches!L803))*IF(Team_Matches!$Q801="W",1,-1)),"")</f>
        <v/>
      </c>
    </row>
    <row r="65" spans="1:10" x14ac:dyDescent="0.25">
      <c r="A65" s="55" t="e">
        <f>$B65&amp;";"&amp;VLOOKUP($B65,Players!$C$4:$G$132,5,FALSE)&amp;";"&amp;IF(ISERROR(VLOOKUP($B65,Players!$C$4:$G$132,2,FALSE)),0,VLOOKUP($B65,Players!$C$4:$G$132,2,FALSE))&amp;";"&amp;$C65&amp;";"&amp;VLOOKUP($C65,Players!$C$4:$G$132,5,FALSE)&amp;";"&amp;IF(ISERROR(VLOOKUP($C65,Players!$C$4:$G$132,2,FALSE)),0,VLOOKUP($C65,Players!$C$4:$G$132,2,FALSE))&amp;"|"</f>
        <v>#N/A</v>
      </c>
      <c r="B65" t="str">
        <f>IF(Team_Matches!$Q831="W",Team_Matches!$B831,IF(Team_Matches!$Q833="W",Team_Matches!$B833,""))</f>
        <v/>
      </c>
      <c r="C65" t="str">
        <f>IF(Team_Matches!$Q831="L",Team_Matches!$B831,IF(Team_Matches!$Q833="L",Team_Matches!$B833,""))</f>
        <v/>
      </c>
      <c r="D65" t="str">
        <f>CONCATENATE(Team_Matches!$B825," vs ",Team_Matches!$K825)</f>
        <v>C vs F</v>
      </c>
      <c r="E65" t="str">
        <f>Team_Matches!A829</f>
        <v>1st Singles</v>
      </c>
      <c r="F65" s="7" t="str">
        <f>IF(Team_Matches!$Q831&lt;&gt;"",IF(Team_Matches!H831&gt;Team_Matches!H833,MIN(Team_Matches!H831,Team_Matches!H833),-MIN(Team_Matches!H831,Team_Matches!H833))*IF(Team_Matches!$Q831="W",1,-1),"")</f>
        <v/>
      </c>
      <c r="G65" s="7" t="str">
        <f>IF(Team_Matches!$Q831&lt;&gt;"",IF(Team_Matches!I831&gt;Team_Matches!I833,MIN(Team_Matches!I831,Team_Matches!I833),-MIN(Team_Matches!I831,Team_Matches!I833))*IF(Team_Matches!$Q831="W",1,-1),"")</f>
        <v/>
      </c>
      <c r="H65" s="7" t="str">
        <f>IF(Team_Matches!$Q831&lt;&gt;"",IF(Team_Matches!J831&gt;Team_Matches!J833,MIN(Team_Matches!J831,Team_Matches!J833),-MIN(Team_Matches!J831,Team_Matches!J833))*IF(Team_Matches!$Q831="W",1,-1),"")</f>
        <v/>
      </c>
      <c r="I65" s="7" t="str">
        <f>IF(Team_Matches!$Q831&lt;&gt;"",IF(Team_Matches!K831=Team_Matches!K833,"",IF(Team_Matches!K831&gt;Team_Matches!K833,MIN(Team_Matches!K831,Team_Matches!K833),-MIN(Team_Matches!K831,Team_Matches!K833))*IF(Team_Matches!$Q831="W",1,-1)),"")</f>
        <v/>
      </c>
      <c r="J65" s="7" t="str">
        <f>IF(Team_Matches!$Q831&lt;&gt;"",IF(Team_Matches!L831=Team_Matches!L833,"",IF(Team_Matches!L831&gt;Team_Matches!L833,MIN(Team_Matches!L831,Team_Matches!L833),-MIN(Team_Matches!L831,Team_Matches!L833))*IF(Team_Matches!$Q831="W",1,-1)),"")</f>
        <v/>
      </c>
    </row>
    <row r="66" spans="1:10" x14ac:dyDescent="0.25">
      <c r="A66" s="55" t="e">
        <f>$B66&amp;";"&amp;VLOOKUP($B66,Players!$C$4:$G$132,5,FALSE)&amp;";"&amp;IF(ISERROR(VLOOKUP($B66,Players!$C$4:$G$132,2,FALSE)),0,VLOOKUP($B66,Players!$C$4:$G$132,2,FALSE))&amp;";"&amp;$C66&amp;";"&amp;VLOOKUP($C66,Players!$C$4:$G$132,5,FALSE)&amp;";"&amp;IF(ISERROR(VLOOKUP($C66,Players!$C$4:$G$132,2,FALSE)),0,VLOOKUP($C66,Players!$C$4:$G$132,2,FALSE))&amp;"|"</f>
        <v>#N/A</v>
      </c>
      <c r="B66" t="str">
        <f>IF(Team_Matches!$Q838="W",Team_Matches!$B838,IF(Team_Matches!$Q840="W",Team_Matches!$B840,""))</f>
        <v/>
      </c>
      <c r="C66" t="str">
        <f>IF(Team_Matches!$Q838="L",Team_Matches!$B838,IF(Team_Matches!$Q840="L",Team_Matches!$B840,""))</f>
        <v/>
      </c>
      <c r="D66" t="str">
        <f>CONCATENATE(Team_Matches!$B825," vs ",Team_Matches!$K825)</f>
        <v>C vs F</v>
      </c>
      <c r="E66" t="str">
        <f>Team_Matches!$A836</f>
        <v>2nd Singles</v>
      </c>
      <c r="F66" s="7" t="str">
        <f>IF(Team_Matches!$Q838&lt;&gt;"",IF(Team_Matches!H838&gt;Team_Matches!H840,MIN(Team_Matches!H838,Team_Matches!H840),-MIN(Team_Matches!H838,Team_Matches!H840))*IF(Team_Matches!$Q838="W",1,-1),"")</f>
        <v/>
      </c>
      <c r="G66" s="7" t="str">
        <f>IF(Team_Matches!$Q838&lt;&gt;"",IF(Team_Matches!I838&gt;Team_Matches!I840,MIN(Team_Matches!I838,Team_Matches!I840),-MIN(Team_Matches!I838,Team_Matches!I840))*IF(Team_Matches!$Q838="W",1,-1),"")</f>
        <v/>
      </c>
      <c r="H66" s="7" t="str">
        <f>IF(Team_Matches!$Q838&lt;&gt;"",IF(Team_Matches!J838&gt;Team_Matches!J840,MIN(Team_Matches!J838,Team_Matches!J840),-MIN(Team_Matches!J838,Team_Matches!J840))*IF(Team_Matches!$Q838="W",1,-1),"")</f>
        <v/>
      </c>
      <c r="I66" s="7" t="str">
        <f>IF(Team_Matches!$Q838&lt;&gt;"",IF(Team_Matches!K838=Team_Matches!K840,"",IF(Team_Matches!K838&gt;Team_Matches!K840,MIN(Team_Matches!K838,Team_Matches!K840),-MIN(Team_Matches!K838,Team_Matches!K840))*IF(Team_Matches!$Q838="W",1,-1)),"")</f>
        <v/>
      </c>
      <c r="J66" s="7" t="str">
        <f>IF(Team_Matches!$Q838&lt;&gt;"",IF(Team_Matches!L838=Team_Matches!L840,"",IF(Team_Matches!L838&gt;Team_Matches!L840,MIN(Team_Matches!L838,Team_Matches!L840),-MIN(Team_Matches!L838,Team_Matches!L840))*IF(Team_Matches!$Q838="W",1,-1)),"")</f>
        <v/>
      </c>
    </row>
    <row r="67" spans="1:10" x14ac:dyDescent="0.25">
      <c r="A67" s="55" t="e">
        <f>$B67&amp;";"&amp;VLOOKUP($B67,Players!$C$4:$G$132,5,FALSE)&amp;";"&amp;IF(ISERROR(VLOOKUP($B67,Players!$C$4:$G$132,2,FALSE)),0,VLOOKUP($B67,Players!$C$4:$G$132,2,FALSE))&amp;";"&amp;$C67&amp;";"&amp;VLOOKUP($C67,Players!$C$4:$G$132,5,FALSE)&amp;";"&amp;IF(ISERROR(VLOOKUP($C67,Players!$C$4:$G$132,2,FALSE)),0,VLOOKUP($C67,Players!$C$4:$G$132,2,FALSE))&amp;"|"</f>
        <v>#N/A</v>
      </c>
      <c r="B67" t="str">
        <f>IF(Team_Matches!$Q845="W",Team_Matches!$B845,IF(Team_Matches!$Q847="W",Team_Matches!$B847,""))</f>
        <v/>
      </c>
      <c r="C67" t="str">
        <f>IF(Team_Matches!$Q845="L",Team_Matches!$B845,IF(Team_Matches!$Q847="L",Team_Matches!$B847,""))</f>
        <v/>
      </c>
      <c r="D67" t="str">
        <f>CONCATENATE(Team_Matches!$B825," vs ",Team_Matches!$K825)</f>
        <v>C vs F</v>
      </c>
      <c r="E67" t="str">
        <f>Team_Matches!$A843</f>
        <v>3rd Singles</v>
      </c>
      <c r="F67" s="7" t="str">
        <f>IF(Team_Matches!$Q845&lt;&gt;"",IF(Team_Matches!H845&gt;Team_Matches!H847,MIN(Team_Matches!H845,Team_Matches!H847),-MIN(Team_Matches!H845,Team_Matches!H847))*IF(Team_Matches!$Q845="W",1,-1),"")</f>
        <v/>
      </c>
      <c r="G67" s="7" t="str">
        <f>IF(Team_Matches!$Q845&lt;&gt;"",IF(Team_Matches!I845&gt;Team_Matches!I847,MIN(Team_Matches!I845,Team_Matches!I847),-MIN(Team_Matches!I845,Team_Matches!I847))*IF(Team_Matches!$Q845="W",1,-1),"")</f>
        <v/>
      </c>
      <c r="H67" s="7" t="str">
        <f>IF(Team_Matches!$Q845&lt;&gt;"",IF(Team_Matches!J845&gt;Team_Matches!J847,MIN(Team_Matches!J845,Team_Matches!J847),-MIN(Team_Matches!J845,Team_Matches!J847))*IF(Team_Matches!$Q845="W",1,-1),"")</f>
        <v/>
      </c>
      <c r="I67" s="7" t="str">
        <f>IF(Team_Matches!$Q845&lt;&gt;"",IF(Team_Matches!K845=Team_Matches!K847,"",IF(Team_Matches!K845&gt;Team_Matches!K847,MIN(Team_Matches!K845,Team_Matches!K847),-MIN(Team_Matches!K845,Team_Matches!K847))*IF(Team_Matches!$Q845="W",1,-1)),"")</f>
        <v/>
      </c>
      <c r="J67" s="7" t="str">
        <f>IF(Team_Matches!$Q845&lt;&gt;"",IF(Team_Matches!L845=Team_Matches!L847,"",IF(Team_Matches!L845&gt;Team_Matches!L847,MIN(Team_Matches!L845,Team_Matches!L847),-MIN(Team_Matches!L845,Team_Matches!L847))*IF(Team_Matches!$Q845="W",1,-1)),"")</f>
        <v/>
      </c>
    </row>
    <row r="68" spans="1:10" x14ac:dyDescent="0.25">
      <c r="A68" s="55" t="e">
        <f ca="1">$B68&amp;";"&amp;VLOOKUP($B68,Players!$C$4:$G$132,5,FALSE)&amp;";"&amp;IF(ISERROR(VLOOKUP($B68,Players!$C$4:$G$132,2,FALSE)),0,VLOOKUP($B68,Players!$C$4:$G$132,2,FALSE))&amp;";"&amp;$C68&amp;";"&amp;VLOOKUP($C68,Players!$C$4:$G$132,5,FALSE)&amp;";"&amp;IF(ISERROR(VLOOKUP($C68,Players!$C$4:$G$132,2,FALSE)),0,VLOOKUP($C68,Players!$C$4:$G$132,2,FALSE))&amp;"|"</f>
        <v>#N/A</v>
      </c>
      <c r="B68" t="str">
        <f ca="1">IF(Team_Matches!$Q852="W",Team_Matches!$B852,IF(Team_Matches!$Q854="W",Team_Matches!$B854,""))</f>
        <v/>
      </c>
      <c r="C68" t="str">
        <f ca="1">IF(Team_Matches!$Q852="L",Team_Matches!$B852,IF(Team_Matches!$Q854="L",Team_Matches!$B854,""))</f>
        <v/>
      </c>
      <c r="D68" t="str">
        <f>CONCATENATE(Team_Matches!$B825," vs ",Team_Matches!$K825)</f>
        <v>C vs F</v>
      </c>
      <c r="E68" t="str">
        <f>Team_Matches!$A850</f>
        <v>4th Singles</v>
      </c>
      <c r="F68" s="7" t="str">
        <f ca="1">IF(Team_Matches!$Q852&lt;&gt;"",IF(Team_Matches!H852&gt;Team_Matches!H854,MIN(Team_Matches!H852,Team_Matches!H854),-MIN(Team_Matches!H852,Team_Matches!H854))*IF(Team_Matches!$Q852="W",1,-1),"")</f>
        <v/>
      </c>
      <c r="G68" s="7" t="str">
        <f ca="1">IF(Team_Matches!$Q852&lt;&gt;"",IF(Team_Matches!I852&gt;Team_Matches!I854,MIN(Team_Matches!I852,Team_Matches!I854),-MIN(Team_Matches!I852,Team_Matches!I854))*IF(Team_Matches!$Q852="W",1,-1),"")</f>
        <v/>
      </c>
      <c r="H68" s="7" t="str">
        <f ca="1">IF(Team_Matches!$Q852&lt;&gt;"",IF(Team_Matches!J852&gt;Team_Matches!J854,MIN(Team_Matches!J852,Team_Matches!J854),-MIN(Team_Matches!J852,Team_Matches!J854))*IF(Team_Matches!$Q852="W",1,-1),"")</f>
        <v/>
      </c>
      <c r="I68" s="7" t="str">
        <f ca="1">IF(Team_Matches!$Q852&lt;&gt;"",IF(Team_Matches!K852=Team_Matches!K854,"",IF(Team_Matches!K852&gt;Team_Matches!K854,MIN(Team_Matches!K852,Team_Matches!K854),-MIN(Team_Matches!K852,Team_Matches!K854))*IF(Team_Matches!$Q852="W",1,-1)),"")</f>
        <v/>
      </c>
      <c r="J68" s="7" t="str">
        <f ca="1">IF(Team_Matches!$Q852&lt;&gt;"",IF(Team_Matches!L852=Team_Matches!L854,"",IF(Team_Matches!L852&gt;Team_Matches!L854,MIN(Team_Matches!L852,Team_Matches!L854),-MIN(Team_Matches!L852,Team_Matches!L854))*IF(Team_Matches!$Q852="W",1,-1)),"")</f>
        <v/>
      </c>
    </row>
    <row r="69" spans="1:10" x14ac:dyDescent="0.25">
      <c r="A69" s="55" t="e">
        <f>$B69&amp;";"&amp;VLOOKUP($B69,Players!$C$4:$G$132,5,FALSE)&amp;";"&amp;IF(ISERROR(VLOOKUP($B69,Players!$C$4:$G$132,2,FALSE)),0,VLOOKUP($B69,Players!$C$4:$G$132,2,FALSE))&amp;";"&amp;$C69&amp;";"&amp;VLOOKUP($C69,Players!$C$4:$G$132,5,FALSE)&amp;";"&amp;IF(ISERROR(VLOOKUP($C69,Players!$C$4:$G$132,2,FALSE)),0,VLOOKUP($C69,Players!$C$4:$G$132,2,FALSE))&amp;"|"</f>
        <v>#N/A</v>
      </c>
      <c r="B69" t="str">
        <f>IF(Team_Matches!$Q882="W",Team_Matches!$B882,IF(Team_Matches!$Q884="W",Team_Matches!$B884,""))</f>
        <v/>
      </c>
      <c r="C69" t="str">
        <f>IF(Team_Matches!$Q882="L",Team_Matches!$B882,IF(Team_Matches!$Q884="L",Team_Matches!$B884,""))</f>
        <v/>
      </c>
      <c r="D69" t="str">
        <f>CONCATENATE(Team_Matches!$B876," vs ",Team_Matches!$K876)</f>
        <v>D vs E</v>
      </c>
      <c r="E69" t="str">
        <f>Team_Matches!A880</f>
        <v>1st Singles</v>
      </c>
      <c r="F69" s="7" t="str">
        <f>IF(Team_Matches!$Q882&lt;&gt;"",IF(Team_Matches!H882&gt;Team_Matches!H884,MIN(Team_Matches!H882,Team_Matches!H884),-MIN(Team_Matches!H882,Team_Matches!H884))*IF(Team_Matches!$Q882="W",1,-1),"")</f>
        <v/>
      </c>
      <c r="G69" s="7" t="str">
        <f>IF(Team_Matches!$Q882&lt;&gt;"",IF(Team_Matches!I882&gt;Team_Matches!I884,MIN(Team_Matches!I882,Team_Matches!I884),-MIN(Team_Matches!I882,Team_Matches!I884))*IF(Team_Matches!$Q882="W",1,-1),"")</f>
        <v/>
      </c>
      <c r="H69" s="7" t="str">
        <f>IF(Team_Matches!$Q882&lt;&gt;"",IF(Team_Matches!J882&gt;Team_Matches!J884,MIN(Team_Matches!J882,Team_Matches!J884),-MIN(Team_Matches!J882,Team_Matches!J884))*IF(Team_Matches!$Q882="W",1,-1),"")</f>
        <v/>
      </c>
      <c r="I69" s="7" t="str">
        <f>IF(Team_Matches!$Q882&lt;&gt;"",IF(Team_Matches!K882=Team_Matches!K884,"",IF(Team_Matches!K882&gt;Team_Matches!K884,MIN(Team_Matches!K882,Team_Matches!K884),-MIN(Team_Matches!K882,Team_Matches!K884))*IF(Team_Matches!$Q882="W",1,-1)),"")</f>
        <v/>
      </c>
      <c r="J69" s="7" t="str">
        <f>IF(Team_Matches!$Q882&lt;&gt;"",IF(Team_Matches!L882=Team_Matches!L884,"",IF(Team_Matches!L882&gt;Team_Matches!L884,MIN(Team_Matches!L882,Team_Matches!L884),-MIN(Team_Matches!L882,Team_Matches!L884))*IF(Team_Matches!$Q882="W",1,-1)),"")</f>
        <v/>
      </c>
    </row>
    <row r="70" spans="1:10" x14ac:dyDescent="0.25">
      <c r="A70" s="55" t="e">
        <f>$B70&amp;";"&amp;VLOOKUP($B70,Players!$C$4:$G$132,5,FALSE)&amp;";"&amp;IF(ISERROR(VLOOKUP($B70,Players!$C$4:$G$132,2,FALSE)),0,VLOOKUP($B70,Players!$C$4:$G$132,2,FALSE))&amp;";"&amp;$C70&amp;";"&amp;VLOOKUP($C70,Players!$C$4:$G$132,5,FALSE)&amp;";"&amp;IF(ISERROR(VLOOKUP($C70,Players!$C$4:$G$132,2,FALSE)),0,VLOOKUP($C70,Players!$C$4:$G$132,2,FALSE))&amp;"|"</f>
        <v>#N/A</v>
      </c>
      <c r="B70" t="str">
        <f>IF(Team_Matches!$Q889="W",Team_Matches!$B889,IF(Team_Matches!$Q891="W",Team_Matches!$B891,""))</f>
        <v/>
      </c>
      <c r="C70" t="str">
        <f>IF(Team_Matches!$Q889="L",Team_Matches!$B889,IF(Team_Matches!$Q891="L",Team_Matches!$B891,""))</f>
        <v/>
      </c>
      <c r="D70" t="str">
        <f>CONCATENATE(Team_Matches!$B876," vs ",Team_Matches!$K876)</f>
        <v>D vs E</v>
      </c>
      <c r="E70" t="str">
        <f>Team_Matches!$A887</f>
        <v>2nd Singles</v>
      </c>
      <c r="F70" s="7" t="str">
        <f>IF(Team_Matches!$Q889&lt;&gt;"",IF(Team_Matches!H889&gt;Team_Matches!H891,MIN(Team_Matches!H889,Team_Matches!H891),-MIN(Team_Matches!H889,Team_Matches!H891))*IF(Team_Matches!$Q889="W",1,-1),"")</f>
        <v/>
      </c>
      <c r="G70" s="7" t="str">
        <f>IF(Team_Matches!$Q889&lt;&gt;"",IF(Team_Matches!I889&gt;Team_Matches!I891,MIN(Team_Matches!I889,Team_Matches!I891),-MIN(Team_Matches!I889,Team_Matches!I891))*IF(Team_Matches!$Q889="W",1,-1),"")</f>
        <v/>
      </c>
      <c r="H70" s="7" t="str">
        <f>IF(Team_Matches!$Q889&lt;&gt;"",IF(Team_Matches!J889&gt;Team_Matches!J891,MIN(Team_Matches!J889,Team_Matches!J891),-MIN(Team_Matches!J889,Team_Matches!J891))*IF(Team_Matches!$Q889="W",1,-1),"")</f>
        <v/>
      </c>
      <c r="I70" s="7" t="str">
        <f>IF(Team_Matches!$Q889&lt;&gt;"",IF(Team_Matches!K889=Team_Matches!K891,"",IF(Team_Matches!K889&gt;Team_Matches!K891,MIN(Team_Matches!K889,Team_Matches!K891),-MIN(Team_Matches!K889,Team_Matches!K891))*IF(Team_Matches!$Q889="W",1,-1)),"")</f>
        <v/>
      </c>
      <c r="J70" s="7" t="str">
        <f>IF(Team_Matches!$Q889&lt;&gt;"",IF(Team_Matches!L889=Team_Matches!L891,"",IF(Team_Matches!L889&gt;Team_Matches!L891,MIN(Team_Matches!L889,Team_Matches!L891),-MIN(Team_Matches!L889,Team_Matches!L891))*IF(Team_Matches!$Q889="W",1,-1)),"")</f>
        <v/>
      </c>
    </row>
    <row r="71" spans="1:10" x14ac:dyDescent="0.25">
      <c r="A71" s="55" t="e">
        <f>$B71&amp;";"&amp;VLOOKUP($B71,Players!$C$4:$G$132,5,FALSE)&amp;";"&amp;IF(ISERROR(VLOOKUP($B71,Players!$C$4:$G$132,2,FALSE)),0,VLOOKUP($B71,Players!$C$4:$G$132,2,FALSE))&amp;";"&amp;$C71&amp;";"&amp;VLOOKUP($C71,Players!$C$4:$G$132,5,FALSE)&amp;";"&amp;IF(ISERROR(VLOOKUP($C71,Players!$C$4:$G$132,2,FALSE)),0,VLOOKUP($C71,Players!$C$4:$G$132,2,FALSE))&amp;"|"</f>
        <v>#N/A</v>
      </c>
      <c r="B71" t="str">
        <f>IF(Team_Matches!$Q896="W",Team_Matches!$B896,IF(Team_Matches!$Q898="W",Team_Matches!$B898,""))</f>
        <v/>
      </c>
      <c r="C71" t="str">
        <f>IF(Team_Matches!$Q896="L",Team_Matches!$B896,IF(Team_Matches!$Q898="L",Team_Matches!$B898,""))</f>
        <v/>
      </c>
      <c r="D71" t="str">
        <f>CONCATENATE(Team_Matches!$B876," vs ",Team_Matches!$K876)</f>
        <v>D vs E</v>
      </c>
      <c r="E71" t="str">
        <f>Team_Matches!$A894</f>
        <v>3rd Singles</v>
      </c>
      <c r="F71" s="7" t="str">
        <f>IF(Team_Matches!$Q896&lt;&gt;"",IF(Team_Matches!H896&gt;Team_Matches!H898,MIN(Team_Matches!H896,Team_Matches!H898),-MIN(Team_Matches!H896,Team_Matches!H898))*IF(Team_Matches!$Q896="W",1,-1),"")</f>
        <v/>
      </c>
      <c r="G71" s="7" t="str">
        <f>IF(Team_Matches!$Q896&lt;&gt;"",IF(Team_Matches!I896&gt;Team_Matches!I898,MIN(Team_Matches!I896,Team_Matches!I898),-MIN(Team_Matches!I896,Team_Matches!I898))*IF(Team_Matches!$Q896="W",1,-1),"")</f>
        <v/>
      </c>
      <c r="H71" s="7" t="str">
        <f>IF(Team_Matches!$Q896&lt;&gt;"",IF(Team_Matches!J896&gt;Team_Matches!J898,MIN(Team_Matches!J896,Team_Matches!J898),-MIN(Team_Matches!J896,Team_Matches!J898))*IF(Team_Matches!$Q896="W",1,-1),"")</f>
        <v/>
      </c>
      <c r="I71" s="7" t="str">
        <f>IF(Team_Matches!$Q896&lt;&gt;"",IF(Team_Matches!K896=Team_Matches!K898,"",IF(Team_Matches!K896&gt;Team_Matches!K898,MIN(Team_Matches!K896,Team_Matches!K898),-MIN(Team_Matches!K896,Team_Matches!K898))*IF(Team_Matches!$Q896="W",1,-1)),"")</f>
        <v/>
      </c>
      <c r="J71" s="7" t="str">
        <f>IF(Team_Matches!$Q896&lt;&gt;"",IF(Team_Matches!L896=Team_Matches!L898,"",IF(Team_Matches!L896&gt;Team_Matches!L898,MIN(Team_Matches!L896,Team_Matches!L898),-MIN(Team_Matches!L896,Team_Matches!L898))*IF(Team_Matches!$Q896="W",1,-1)),"")</f>
        <v/>
      </c>
    </row>
    <row r="72" spans="1:10" x14ac:dyDescent="0.25">
      <c r="A72" s="55" t="e">
        <f ca="1">$B72&amp;";"&amp;VLOOKUP($B72,Players!$C$4:$G$132,5,FALSE)&amp;";"&amp;IF(ISERROR(VLOOKUP($B72,Players!$C$4:$G$132,2,FALSE)),0,VLOOKUP($B72,Players!$C$4:$G$132,2,FALSE))&amp;";"&amp;$C72&amp;";"&amp;VLOOKUP($C72,Players!$C$4:$G$132,5,FALSE)&amp;";"&amp;IF(ISERROR(VLOOKUP($C72,Players!$C$4:$G$132,2,FALSE)),0,VLOOKUP($C72,Players!$C$4:$G$132,2,FALSE))&amp;"|"</f>
        <v>#N/A</v>
      </c>
      <c r="B72" t="str">
        <f ca="1">IF(Team_Matches!$Q903="W",Team_Matches!$B903,IF(Team_Matches!$Q905="W",Team_Matches!$B905,""))</f>
        <v/>
      </c>
      <c r="C72" t="str">
        <f ca="1">IF(Team_Matches!$Q903="L",Team_Matches!$B903,IF(Team_Matches!$Q905="L",Team_Matches!$B905,""))</f>
        <v/>
      </c>
      <c r="D72" t="str">
        <f>CONCATENATE(Team_Matches!$B876," vs ",Team_Matches!$K876)</f>
        <v>D vs E</v>
      </c>
      <c r="E72" t="str">
        <f>Team_Matches!$A901</f>
        <v>4th Singles</v>
      </c>
      <c r="F72" s="7" t="str">
        <f ca="1">IF(Team_Matches!$Q903&lt;&gt;"",IF(Team_Matches!H903&gt;Team_Matches!H905,MIN(Team_Matches!H903,Team_Matches!H905),-MIN(Team_Matches!H903,Team_Matches!H905))*IF(Team_Matches!$Q903="W",1,-1),"")</f>
        <v/>
      </c>
      <c r="G72" s="7" t="str">
        <f ca="1">IF(Team_Matches!$Q903&lt;&gt;"",IF(Team_Matches!I903&gt;Team_Matches!I905,MIN(Team_Matches!I903,Team_Matches!I905),-MIN(Team_Matches!I903,Team_Matches!I905))*IF(Team_Matches!$Q903="W",1,-1),"")</f>
        <v/>
      </c>
      <c r="H72" s="7" t="str">
        <f ca="1">IF(Team_Matches!$Q903&lt;&gt;"",IF(Team_Matches!J903&gt;Team_Matches!J905,MIN(Team_Matches!J903,Team_Matches!J905),-MIN(Team_Matches!J903,Team_Matches!J905))*IF(Team_Matches!$Q903="W",1,-1),"")</f>
        <v/>
      </c>
      <c r="I72" s="7" t="str">
        <f ca="1">IF(Team_Matches!$Q903&lt;&gt;"",IF(Team_Matches!K903=Team_Matches!K905,"",IF(Team_Matches!K903&gt;Team_Matches!K905,MIN(Team_Matches!K903,Team_Matches!K905),-MIN(Team_Matches!K903,Team_Matches!K905))*IF(Team_Matches!$Q903="W",1,-1)),"")</f>
        <v/>
      </c>
      <c r="J72" s="7" t="str">
        <f ca="1">IF(Team_Matches!$Q903&lt;&gt;"",IF(Team_Matches!L903=Team_Matches!L905,"",IF(Team_Matches!L903&gt;Team_Matches!L905,MIN(Team_Matches!L903,Team_Matches!L905),-MIN(Team_Matches!L903,Team_Matches!L905))*IF(Team_Matches!$Q903="W",1,-1)),"")</f>
        <v/>
      </c>
    </row>
    <row r="73" spans="1:10" x14ac:dyDescent="0.25">
      <c r="A73" s="55" t="e">
        <f>$B73&amp;";"&amp;VLOOKUP($B73,Players!$C$4:$G$132,5,FALSE)&amp;";"&amp;IF(ISERROR(VLOOKUP($B73,Players!$C$4:$G$132,2,FALSE)),0,VLOOKUP($B73,Players!$C$4:$G$132,2,FALSE))&amp;";"&amp;$C73&amp;";"&amp;VLOOKUP($C73,Players!$C$4:$G$132,5,FALSE)&amp;";"&amp;IF(ISERROR(VLOOKUP($C73,Players!$C$4:$G$132,2,FALSE)),0,VLOOKUP($C73,Players!$C$4:$G$132,2,FALSE))&amp;"|"</f>
        <v>#N/A</v>
      </c>
      <c r="B73" t="str">
        <f>IF(Team_Matches!$Q933="W",Team_Matches!$B933,IF(Team_Matches!$Q935="W",Team_Matches!$B935,""))</f>
        <v/>
      </c>
      <c r="C73" t="str">
        <f>IF(Team_Matches!$Q933="L",Team_Matches!$B933,IF(Team_Matches!$Q935="L",Team_Matches!$B935,""))</f>
        <v/>
      </c>
      <c r="D73" t="str">
        <f>CONCATENATE(Team_Matches!$B927," vs ",Team_Matches!$K927)</f>
        <v>A vs I</v>
      </c>
      <c r="E73" t="str">
        <f>Team_Matches!A931</f>
        <v>1st Singles</v>
      </c>
      <c r="F73" s="7" t="str">
        <f>IF(Team_Matches!$Q933&lt;&gt;"",IF(Team_Matches!H933&gt;Team_Matches!H935,MIN(Team_Matches!H933,Team_Matches!H935),-MIN(Team_Matches!H933,Team_Matches!H935))*IF(Team_Matches!$Q933="W",1,-1),"")</f>
        <v/>
      </c>
      <c r="G73" s="7" t="str">
        <f>IF(Team_Matches!$Q933&lt;&gt;"",IF(Team_Matches!I933&gt;Team_Matches!I935,MIN(Team_Matches!I933,Team_Matches!I935),-MIN(Team_Matches!I933,Team_Matches!I935))*IF(Team_Matches!$Q933="W",1,-1),"")</f>
        <v/>
      </c>
      <c r="H73" s="7" t="str">
        <f>IF(Team_Matches!$Q933&lt;&gt;"",IF(Team_Matches!J933&gt;Team_Matches!J935,MIN(Team_Matches!J933,Team_Matches!J935),-MIN(Team_Matches!J933,Team_Matches!J935))*IF(Team_Matches!$Q933="W",1,-1),"")</f>
        <v/>
      </c>
      <c r="I73" s="7" t="str">
        <f>IF(Team_Matches!$Q933&lt;&gt;"",IF(Team_Matches!K933=Team_Matches!K935,"",IF(Team_Matches!K933&gt;Team_Matches!K935,MIN(Team_Matches!K933,Team_Matches!K935),-MIN(Team_Matches!K933,Team_Matches!K935))*IF(Team_Matches!$Q933="W",1,-1)),"")</f>
        <v/>
      </c>
      <c r="J73" s="7" t="str">
        <f>IF(Team_Matches!$Q933&lt;&gt;"",IF(Team_Matches!L933=Team_Matches!L935,"",IF(Team_Matches!L933&gt;Team_Matches!L935,MIN(Team_Matches!L933,Team_Matches!L935),-MIN(Team_Matches!L933,Team_Matches!L935))*IF(Team_Matches!$Q933="W",1,-1)),"")</f>
        <v/>
      </c>
    </row>
    <row r="74" spans="1:10" x14ac:dyDescent="0.25">
      <c r="A74" s="55" t="e">
        <f>$B74&amp;";"&amp;VLOOKUP($B74,Players!$C$4:$G$132,5,FALSE)&amp;";"&amp;IF(ISERROR(VLOOKUP($B74,Players!$C$4:$G$132,2,FALSE)),0,VLOOKUP($B74,Players!$C$4:$G$132,2,FALSE))&amp;";"&amp;$C74&amp;";"&amp;VLOOKUP($C74,Players!$C$4:$G$132,5,FALSE)&amp;";"&amp;IF(ISERROR(VLOOKUP($C74,Players!$C$4:$G$132,2,FALSE)),0,VLOOKUP($C74,Players!$C$4:$G$132,2,FALSE))&amp;"|"</f>
        <v>#N/A</v>
      </c>
      <c r="B74" t="str">
        <f>IF(Team_Matches!$Q940="W",Team_Matches!$B940,IF(Team_Matches!$Q942="W",Team_Matches!$B942,""))</f>
        <v/>
      </c>
      <c r="C74" t="str">
        <f>IF(Team_Matches!$Q940="L",Team_Matches!$B940,IF(Team_Matches!$Q942="L",Team_Matches!$B942,""))</f>
        <v/>
      </c>
      <c r="D74" t="str">
        <f>CONCATENATE(Team_Matches!$B927," vs ",Team_Matches!$K927)</f>
        <v>A vs I</v>
      </c>
      <c r="E74" t="str">
        <f>Team_Matches!$A938</f>
        <v>2nd Singles</v>
      </c>
      <c r="F74" s="7" t="str">
        <f>IF(Team_Matches!$Q940&lt;&gt;"",IF(Team_Matches!H940&gt;Team_Matches!H942,MIN(Team_Matches!H940,Team_Matches!H942),-MIN(Team_Matches!H940,Team_Matches!H942))*IF(Team_Matches!$Q940="W",1,-1),"")</f>
        <v/>
      </c>
      <c r="G74" s="7" t="str">
        <f>IF(Team_Matches!$Q940&lt;&gt;"",IF(Team_Matches!I940&gt;Team_Matches!I942,MIN(Team_Matches!I940,Team_Matches!I942),-MIN(Team_Matches!I940,Team_Matches!I942))*IF(Team_Matches!$Q940="W",1,-1),"")</f>
        <v/>
      </c>
      <c r="H74" s="7" t="str">
        <f>IF(Team_Matches!$Q940&lt;&gt;"",IF(Team_Matches!J940&gt;Team_Matches!J942,MIN(Team_Matches!J940,Team_Matches!J942),-MIN(Team_Matches!J940,Team_Matches!J942))*IF(Team_Matches!$Q940="W",1,-1),"")</f>
        <v/>
      </c>
      <c r="I74" s="7" t="str">
        <f>IF(Team_Matches!$Q940&lt;&gt;"",IF(Team_Matches!K940=Team_Matches!K942,"",IF(Team_Matches!K940&gt;Team_Matches!K942,MIN(Team_Matches!K940,Team_Matches!K942),-MIN(Team_Matches!K940,Team_Matches!K942))*IF(Team_Matches!$Q940="W",1,-1)),"")</f>
        <v/>
      </c>
      <c r="J74" s="7" t="str">
        <f>IF(Team_Matches!$Q940&lt;&gt;"",IF(Team_Matches!L940=Team_Matches!L942,"",IF(Team_Matches!L940&gt;Team_Matches!L942,MIN(Team_Matches!L940,Team_Matches!L942),-MIN(Team_Matches!L940,Team_Matches!L942))*IF(Team_Matches!$Q940="W",1,-1)),"")</f>
        <v/>
      </c>
    </row>
    <row r="75" spans="1:10" x14ac:dyDescent="0.25">
      <c r="A75" s="55" t="e">
        <f>$B75&amp;";"&amp;VLOOKUP($B75,Players!$C$4:$G$132,5,FALSE)&amp;";"&amp;IF(ISERROR(VLOOKUP($B75,Players!$C$4:$G$132,2,FALSE)),0,VLOOKUP($B75,Players!$C$4:$G$132,2,FALSE))&amp;";"&amp;$C75&amp;";"&amp;VLOOKUP($C75,Players!$C$4:$G$132,5,FALSE)&amp;";"&amp;IF(ISERROR(VLOOKUP($C75,Players!$C$4:$G$132,2,FALSE)),0,VLOOKUP($C75,Players!$C$4:$G$132,2,FALSE))&amp;"|"</f>
        <v>#N/A</v>
      </c>
      <c r="B75" t="str">
        <f>IF(Team_Matches!$Q947="W",Team_Matches!$B947,IF(Team_Matches!$Q949="W",Team_Matches!$B949,""))</f>
        <v/>
      </c>
      <c r="C75" t="str">
        <f>IF(Team_Matches!$Q947="L",Team_Matches!$B947,IF(Team_Matches!$Q949="L",Team_Matches!$B949,""))</f>
        <v/>
      </c>
      <c r="D75" t="str">
        <f>CONCATENATE(Team_Matches!$B927," vs ",Team_Matches!$K927)</f>
        <v>A vs I</v>
      </c>
      <c r="E75" t="str">
        <f>Team_Matches!$A945</f>
        <v>3rd Singles</v>
      </c>
      <c r="F75" s="7" t="str">
        <f>IF(Team_Matches!$Q947&lt;&gt;"",IF(Team_Matches!H947&gt;Team_Matches!H949,MIN(Team_Matches!H947,Team_Matches!H949),-MIN(Team_Matches!H947,Team_Matches!H949))*IF(Team_Matches!$Q947="W",1,-1),"")</f>
        <v/>
      </c>
      <c r="G75" s="7" t="str">
        <f>IF(Team_Matches!$Q947&lt;&gt;"",IF(Team_Matches!I947&gt;Team_Matches!I949,MIN(Team_Matches!I947,Team_Matches!I949),-MIN(Team_Matches!I947,Team_Matches!I949))*IF(Team_Matches!$Q947="W",1,-1),"")</f>
        <v/>
      </c>
      <c r="H75" s="7" t="str">
        <f>IF(Team_Matches!$Q947&lt;&gt;"",IF(Team_Matches!J947&gt;Team_Matches!J949,MIN(Team_Matches!J947,Team_Matches!J949),-MIN(Team_Matches!J947,Team_Matches!J949))*IF(Team_Matches!$Q947="W",1,-1),"")</f>
        <v/>
      </c>
      <c r="I75" s="7" t="str">
        <f>IF(Team_Matches!$Q947&lt;&gt;"",IF(Team_Matches!K947=Team_Matches!K949,"",IF(Team_Matches!K947&gt;Team_Matches!K949,MIN(Team_Matches!K947,Team_Matches!K949),-MIN(Team_Matches!K947,Team_Matches!K949))*IF(Team_Matches!$Q947="W",1,-1)),"")</f>
        <v/>
      </c>
      <c r="J75" s="7" t="str">
        <f>IF(Team_Matches!$Q947&lt;&gt;"",IF(Team_Matches!L947=Team_Matches!L949,"",IF(Team_Matches!L947&gt;Team_Matches!L949,MIN(Team_Matches!L947,Team_Matches!L949),-MIN(Team_Matches!L947,Team_Matches!L949))*IF(Team_Matches!$Q947="W",1,-1)),"")</f>
        <v/>
      </c>
    </row>
    <row r="76" spans="1:10" x14ac:dyDescent="0.25">
      <c r="A76" s="55" t="e">
        <f ca="1">$B76&amp;";"&amp;VLOOKUP($B76,Players!$C$4:$G$132,5,FALSE)&amp;";"&amp;IF(ISERROR(VLOOKUP($B76,Players!$C$4:$G$132,2,FALSE)),0,VLOOKUP($B76,Players!$C$4:$G$132,2,FALSE))&amp;";"&amp;$C76&amp;";"&amp;VLOOKUP($C76,Players!$C$4:$G$132,5,FALSE)&amp;";"&amp;IF(ISERROR(VLOOKUP($C76,Players!$C$4:$G$132,2,FALSE)),0,VLOOKUP($C76,Players!$C$4:$G$132,2,FALSE))&amp;"|"</f>
        <v>#N/A</v>
      </c>
      <c r="B76" t="str">
        <f ca="1">IF(Team_Matches!$Q954="W",Team_Matches!$B954,IF(Team_Matches!$Q956="W",Team_Matches!$B956,""))</f>
        <v/>
      </c>
      <c r="C76" t="str">
        <f ca="1">IF(Team_Matches!$Q954="L",Team_Matches!$B954,IF(Team_Matches!$Q956="L",Team_Matches!$B956,""))</f>
        <v/>
      </c>
      <c r="D76" t="str">
        <f>CONCATENATE(Team_Matches!$B927," vs ",Team_Matches!$K927)</f>
        <v>A vs I</v>
      </c>
      <c r="E76" t="str">
        <f>Team_Matches!$A952</f>
        <v>4th Singles</v>
      </c>
      <c r="F76" s="7" t="str">
        <f ca="1">IF(Team_Matches!$Q954&lt;&gt;"",IF(Team_Matches!H954&gt;Team_Matches!H956,MIN(Team_Matches!H954,Team_Matches!H956),-MIN(Team_Matches!H954,Team_Matches!H956))*IF(Team_Matches!$Q954="W",1,-1),"")</f>
        <v/>
      </c>
      <c r="G76" s="7" t="str">
        <f ca="1">IF(Team_Matches!$Q954&lt;&gt;"",IF(Team_Matches!I954&gt;Team_Matches!I956,MIN(Team_Matches!I954,Team_Matches!I956),-MIN(Team_Matches!I954,Team_Matches!I956))*IF(Team_Matches!$Q954="W",1,-1),"")</f>
        <v/>
      </c>
      <c r="H76" s="7" t="str">
        <f ca="1">IF(Team_Matches!$Q954&lt;&gt;"",IF(Team_Matches!J954&gt;Team_Matches!J956,MIN(Team_Matches!J954,Team_Matches!J956),-MIN(Team_Matches!J954,Team_Matches!J956))*IF(Team_Matches!$Q954="W",1,-1),"")</f>
        <v/>
      </c>
      <c r="I76" s="7" t="str">
        <f ca="1">IF(Team_Matches!$Q954&lt;&gt;"",IF(Team_Matches!K954=Team_Matches!K956,"",IF(Team_Matches!K954&gt;Team_Matches!K956,MIN(Team_Matches!K954,Team_Matches!K956),-MIN(Team_Matches!K954,Team_Matches!K956))*IF(Team_Matches!$Q954="W",1,-1)),"")</f>
        <v/>
      </c>
      <c r="J76" s="7" t="str">
        <f ca="1">IF(Team_Matches!$Q954&lt;&gt;"",IF(Team_Matches!L954=Team_Matches!L956,"",IF(Team_Matches!L954&gt;Team_Matches!L956,MIN(Team_Matches!L954,Team_Matches!L956),-MIN(Team_Matches!L954,Team_Matches!L956))*IF(Team_Matches!$Q954="W",1,-1)),"")</f>
        <v/>
      </c>
    </row>
    <row r="77" spans="1:10" x14ac:dyDescent="0.25">
      <c r="A77" s="55" t="e">
        <f>$B77&amp;";"&amp;VLOOKUP($B77,Players!$C$4:$G$132,5,FALSE)&amp;";"&amp;IF(ISERROR(VLOOKUP($B77,Players!$C$4:$G$132,2,FALSE)),0,VLOOKUP($B77,Players!$C$4:$G$132,2,FALSE))&amp;";"&amp;$C77&amp;";"&amp;VLOOKUP($C77,Players!$C$4:$G$132,5,FALSE)&amp;";"&amp;IF(ISERROR(VLOOKUP($C77,Players!$C$4:$G$132,2,FALSE)),0,VLOOKUP($C77,Players!$C$4:$G$132,2,FALSE))&amp;"|"</f>
        <v>#N/A</v>
      </c>
      <c r="B77" t="str">
        <f>IF(Team_Matches!$Q984="W",Team_Matches!$B984,IF(Team_Matches!$Q986="W",Team_Matches!$B986,""))</f>
        <v/>
      </c>
      <c r="C77" t="str">
        <f>IF(Team_Matches!$Q984="L",Team_Matches!$B984,IF(Team_Matches!$Q986="L",Team_Matches!$B986,""))</f>
        <v/>
      </c>
      <c r="D77" t="str">
        <f>CONCATENATE(Team_Matches!$B978," vs ",Team_Matches!$K978)</f>
        <v>H vs J</v>
      </c>
      <c r="E77" t="str">
        <f>Team_Matches!A982</f>
        <v>1st Singles</v>
      </c>
      <c r="F77" s="7" t="str">
        <f>IF(Team_Matches!$Q984&lt;&gt;"",IF(Team_Matches!H984&gt;Team_Matches!H986,MIN(Team_Matches!H984,Team_Matches!H986),-MIN(Team_Matches!H984,Team_Matches!H986))*IF(Team_Matches!$Q984="W",1,-1),"")</f>
        <v/>
      </c>
      <c r="G77" s="7" t="str">
        <f>IF(Team_Matches!$Q984&lt;&gt;"",IF(Team_Matches!I984&gt;Team_Matches!I986,MIN(Team_Matches!I984,Team_Matches!I986),-MIN(Team_Matches!I984,Team_Matches!I986))*IF(Team_Matches!$Q984="W",1,-1),"")</f>
        <v/>
      </c>
      <c r="H77" s="7" t="str">
        <f>IF(Team_Matches!$Q984&lt;&gt;"",IF(Team_Matches!J984&gt;Team_Matches!J986,MIN(Team_Matches!J984,Team_Matches!J986),-MIN(Team_Matches!J984,Team_Matches!J986))*IF(Team_Matches!$Q984="W",1,-1),"")</f>
        <v/>
      </c>
      <c r="I77" s="7" t="str">
        <f>IF(Team_Matches!$Q984&lt;&gt;"",IF(Team_Matches!K984=Team_Matches!K986,"",IF(Team_Matches!K984&gt;Team_Matches!K986,MIN(Team_Matches!K984,Team_Matches!K986),-MIN(Team_Matches!K984,Team_Matches!K986))*IF(Team_Matches!$Q984="W",1,-1)),"")</f>
        <v/>
      </c>
      <c r="J77" s="7" t="str">
        <f>IF(Team_Matches!$Q984&lt;&gt;"",IF(Team_Matches!L984=Team_Matches!L986,"",IF(Team_Matches!L984&gt;Team_Matches!L986,MIN(Team_Matches!L984,Team_Matches!L986),-MIN(Team_Matches!L984,Team_Matches!L986))*IF(Team_Matches!$Q984="W",1,-1)),"")</f>
        <v/>
      </c>
    </row>
    <row r="78" spans="1:10" x14ac:dyDescent="0.25">
      <c r="A78" s="55" t="e">
        <f>$B78&amp;";"&amp;VLOOKUP($B78,Players!$C$4:$G$132,5,FALSE)&amp;";"&amp;IF(ISERROR(VLOOKUP($B78,Players!$C$4:$G$132,2,FALSE)),0,VLOOKUP($B78,Players!$C$4:$G$132,2,FALSE))&amp;";"&amp;$C78&amp;";"&amp;VLOOKUP($C78,Players!$C$4:$G$132,5,FALSE)&amp;";"&amp;IF(ISERROR(VLOOKUP($C78,Players!$C$4:$G$132,2,FALSE)),0,VLOOKUP($C78,Players!$C$4:$G$132,2,FALSE))&amp;"|"</f>
        <v>#N/A</v>
      </c>
      <c r="B78" t="str">
        <f>IF(Team_Matches!$Q991="W",Team_Matches!$B991,IF(Team_Matches!$Q993="W",Team_Matches!$B993,""))</f>
        <v/>
      </c>
      <c r="C78" t="str">
        <f>IF(Team_Matches!$Q991="L",Team_Matches!$B991,IF(Team_Matches!$Q993="L",Team_Matches!$B993,""))</f>
        <v/>
      </c>
      <c r="D78" t="str">
        <f>CONCATENATE(Team_Matches!$B978," vs ",Team_Matches!$K978)</f>
        <v>H vs J</v>
      </c>
      <c r="E78" t="str">
        <f>Team_Matches!$A989</f>
        <v>2nd Singles</v>
      </c>
      <c r="F78" s="7" t="str">
        <f>IF(Team_Matches!$Q991&lt;&gt;"",IF(Team_Matches!H991&gt;Team_Matches!H993,MIN(Team_Matches!H991,Team_Matches!H993),-MIN(Team_Matches!H991,Team_Matches!H993))*IF(Team_Matches!$Q991="W",1,-1),"")</f>
        <v/>
      </c>
      <c r="G78" s="7" t="str">
        <f>IF(Team_Matches!$Q991&lt;&gt;"",IF(Team_Matches!I991&gt;Team_Matches!I993,MIN(Team_Matches!I991,Team_Matches!I993),-MIN(Team_Matches!I991,Team_Matches!I993))*IF(Team_Matches!$Q991="W",1,-1),"")</f>
        <v/>
      </c>
      <c r="H78" s="7" t="str">
        <f>IF(Team_Matches!$Q991&lt;&gt;"",IF(Team_Matches!J991&gt;Team_Matches!J993,MIN(Team_Matches!J991,Team_Matches!J993),-MIN(Team_Matches!J991,Team_Matches!J993))*IF(Team_Matches!$Q991="W",1,-1),"")</f>
        <v/>
      </c>
      <c r="I78" s="7" t="str">
        <f>IF(Team_Matches!$Q991&lt;&gt;"",IF(Team_Matches!K991=Team_Matches!K993,"",IF(Team_Matches!K991&gt;Team_Matches!K993,MIN(Team_Matches!K991,Team_Matches!K993),-MIN(Team_Matches!K991,Team_Matches!K993))*IF(Team_Matches!$Q991="W",1,-1)),"")</f>
        <v/>
      </c>
      <c r="J78" s="7" t="str">
        <f>IF(Team_Matches!$Q991&lt;&gt;"",IF(Team_Matches!L991=Team_Matches!L993,"",IF(Team_Matches!L991&gt;Team_Matches!L993,MIN(Team_Matches!L991,Team_Matches!L993),-MIN(Team_Matches!L991,Team_Matches!L993))*IF(Team_Matches!$Q991="W",1,-1)),"")</f>
        <v/>
      </c>
    </row>
    <row r="79" spans="1:10" x14ac:dyDescent="0.25">
      <c r="A79" s="55" t="e">
        <f>$B79&amp;";"&amp;VLOOKUP($B79,Players!$C$4:$G$132,5,FALSE)&amp;";"&amp;IF(ISERROR(VLOOKUP($B79,Players!$C$4:$G$132,2,FALSE)),0,VLOOKUP($B79,Players!$C$4:$G$132,2,FALSE))&amp;";"&amp;$C79&amp;";"&amp;VLOOKUP($C79,Players!$C$4:$G$132,5,FALSE)&amp;";"&amp;IF(ISERROR(VLOOKUP($C79,Players!$C$4:$G$132,2,FALSE)),0,VLOOKUP($C79,Players!$C$4:$G$132,2,FALSE))&amp;"|"</f>
        <v>#N/A</v>
      </c>
      <c r="B79" t="str">
        <f>IF(Team_Matches!$Q998="W",Team_Matches!$B998,IF(Team_Matches!$Q1000="W",Team_Matches!$B1000,""))</f>
        <v/>
      </c>
      <c r="C79" t="str">
        <f>IF(Team_Matches!$Q998="L",Team_Matches!$B998,IF(Team_Matches!$Q1000="L",Team_Matches!$B1000,""))</f>
        <v/>
      </c>
      <c r="D79" t="str">
        <f>CONCATENATE(Team_Matches!$B978," vs ",Team_Matches!$K978)</f>
        <v>H vs J</v>
      </c>
      <c r="E79" t="str">
        <f>Team_Matches!$A996</f>
        <v>3rd Singles</v>
      </c>
      <c r="F79" s="7" t="str">
        <f>IF(Team_Matches!$Q998&lt;&gt;"",IF(Team_Matches!H998&gt;Team_Matches!H1000,MIN(Team_Matches!H998,Team_Matches!H1000),-MIN(Team_Matches!H998,Team_Matches!H1000))*IF(Team_Matches!$Q998="W",1,-1),"")</f>
        <v/>
      </c>
      <c r="G79" s="7" t="str">
        <f>IF(Team_Matches!$Q998&lt;&gt;"",IF(Team_Matches!I998&gt;Team_Matches!I1000,MIN(Team_Matches!I998,Team_Matches!I1000),-MIN(Team_Matches!I998,Team_Matches!I1000))*IF(Team_Matches!$Q998="W",1,-1),"")</f>
        <v/>
      </c>
      <c r="H79" s="7" t="str">
        <f>IF(Team_Matches!$Q998&lt;&gt;"",IF(Team_Matches!J998&gt;Team_Matches!J1000,MIN(Team_Matches!J998,Team_Matches!J1000),-MIN(Team_Matches!J998,Team_Matches!J1000))*IF(Team_Matches!$Q998="W",1,-1),"")</f>
        <v/>
      </c>
      <c r="I79" s="7" t="str">
        <f>IF(Team_Matches!$Q998&lt;&gt;"",IF(Team_Matches!K998=Team_Matches!K1000,"",IF(Team_Matches!K998&gt;Team_Matches!K1000,MIN(Team_Matches!K998,Team_Matches!K1000),-MIN(Team_Matches!K998,Team_Matches!K1000))*IF(Team_Matches!$Q998="W",1,-1)),"")</f>
        <v/>
      </c>
      <c r="J79" s="7" t="str">
        <f>IF(Team_Matches!$Q998&lt;&gt;"",IF(Team_Matches!L998=Team_Matches!L1000,"",IF(Team_Matches!L998&gt;Team_Matches!L1000,MIN(Team_Matches!L998,Team_Matches!L1000),-MIN(Team_Matches!L998,Team_Matches!L1000))*IF(Team_Matches!$Q998="W",1,-1)),"")</f>
        <v/>
      </c>
    </row>
    <row r="80" spans="1:10" x14ac:dyDescent="0.25">
      <c r="A80" s="55" t="e">
        <f ca="1">$B80&amp;";"&amp;VLOOKUP($B80,Players!$C$4:$G$132,5,FALSE)&amp;";"&amp;IF(ISERROR(VLOOKUP($B80,Players!$C$4:$G$132,2,FALSE)),0,VLOOKUP($B80,Players!$C$4:$G$132,2,FALSE))&amp;";"&amp;$C80&amp;";"&amp;VLOOKUP($C80,Players!$C$4:$G$132,5,FALSE)&amp;";"&amp;IF(ISERROR(VLOOKUP($C80,Players!$C$4:$G$132,2,FALSE)),0,VLOOKUP($C80,Players!$C$4:$G$132,2,FALSE))&amp;"|"</f>
        <v>#N/A</v>
      </c>
      <c r="B80" t="str">
        <f ca="1">IF(Team_Matches!$Q1005="W",Team_Matches!$B1005,IF(Team_Matches!$Q1007="W",Team_Matches!$B1007,""))</f>
        <v/>
      </c>
      <c r="C80" t="str">
        <f ca="1">IF(Team_Matches!$Q1005="L",Team_Matches!$B1005,IF(Team_Matches!$Q1007="L",Team_Matches!$B1007,""))</f>
        <v/>
      </c>
      <c r="D80" t="str">
        <f>CONCATENATE(Team_Matches!$B978," vs ",Team_Matches!$K978)</f>
        <v>H vs J</v>
      </c>
      <c r="E80" t="str">
        <f>Team_Matches!$A1003</f>
        <v>4th Singles</v>
      </c>
      <c r="F80" s="7" t="str">
        <f ca="1">IF(Team_Matches!$Q1005&lt;&gt;"",IF(Team_Matches!H1005&gt;Team_Matches!H1007,MIN(Team_Matches!H1005,Team_Matches!H1007),-MIN(Team_Matches!H1005,Team_Matches!H1007))*IF(Team_Matches!$Q1005="W",1,-1),"")</f>
        <v/>
      </c>
      <c r="G80" s="7" t="str">
        <f ca="1">IF(Team_Matches!$Q1005&lt;&gt;"",IF(Team_Matches!I1005&gt;Team_Matches!I1007,MIN(Team_Matches!I1005,Team_Matches!I1007),-MIN(Team_Matches!I1005,Team_Matches!I1007))*IF(Team_Matches!$Q1005="W",1,-1),"")</f>
        <v/>
      </c>
      <c r="H80" s="7" t="str">
        <f ca="1">IF(Team_Matches!$Q1005&lt;&gt;"",IF(Team_Matches!J1005&gt;Team_Matches!J1007,MIN(Team_Matches!J1005,Team_Matches!J1007),-MIN(Team_Matches!J1005,Team_Matches!J1007))*IF(Team_Matches!$Q1005="W",1,-1),"")</f>
        <v/>
      </c>
      <c r="I80" s="7" t="str">
        <f ca="1">IF(Team_Matches!$Q1005&lt;&gt;"",IF(Team_Matches!K1005=Team_Matches!K1007,"",IF(Team_Matches!K1005&gt;Team_Matches!K1007,MIN(Team_Matches!K1005,Team_Matches!K1007),-MIN(Team_Matches!K1005,Team_Matches!K1007))*IF(Team_Matches!$Q1005="W",1,-1)),"")</f>
        <v/>
      </c>
      <c r="J80" s="7" t="str">
        <f ca="1">IF(Team_Matches!$Q1005&lt;&gt;"",IF(Team_Matches!L1005=Team_Matches!L1007,"",IF(Team_Matches!L1005&gt;Team_Matches!L1007,MIN(Team_Matches!L1005,Team_Matches!L1007),-MIN(Team_Matches!L1005,Team_Matches!L1007))*IF(Team_Matches!$Q1005="W",1,-1)),"")</f>
        <v/>
      </c>
    </row>
    <row r="81" spans="1:10" x14ac:dyDescent="0.25">
      <c r="A81" s="55" t="e">
        <f>$B81&amp;";"&amp;VLOOKUP($B81,Players!$C$4:$G$132,5,FALSE)&amp;";"&amp;IF(ISERROR(VLOOKUP($B81,Players!$C$4:$G$132,2,FALSE)),0,VLOOKUP($B81,Players!$C$4:$G$132,2,FALSE))&amp;";"&amp;$C81&amp;";"&amp;VLOOKUP($C81,Players!$C$4:$G$132,5,FALSE)&amp;";"&amp;IF(ISERROR(VLOOKUP($C81,Players!$C$4:$G$132,2,FALSE)),0,VLOOKUP($C81,Players!$C$4:$G$132,2,FALSE))&amp;"|"</f>
        <v>#N/A</v>
      </c>
      <c r="B81" t="str">
        <f>IF(Team_Matches!$Q1035="W",Team_Matches!$B1035,IF(Team_Matches!$Q1037="W",Team_Matches!$B1037,""))</f>
        <v/>
      </c>
      <c r="C81" t="str">
        <f>IF(Team_Matches!$Q1035="L",Team_Matches!$B1035,IF(Team_Matches!$Q1037="L",Team_Matches!$B1037,""))</f>
        <v/>
      </c>
      <c r="D81" t="str">
        <f>CONCATENATE(Team_Matches!$B1029," vs ",Team_Matches!$K1029)</f>
        <v>G vs K</v>
      </c>
      <c r="E81" t="str">
        <f>Team_Matches!A1033</f>
        <v>1st Singles</v>
      </c>
      <c r="F81" s="7" t="str">
        <f>IF(Team_Matches!$Q1035&lt;&gt;"",IF(Team_Matches!H1035&gt;Team_Matches!H1037,MIN(Team_Matches!H1035,Team_Matches!H1037),-MIN(Team_Matches!H1035,Team_Matches!H1037))*IF(Team_Matches!$Q1035="W",1,-1),"")</f>
        <v/>
      </c>
      <c r="G81" s="7" t="str">
        <f>IF(Team_Matches!$Q1035&lt;&gt;"",IF(Team_Matches!I1035&gt;Team_Matches!I1037,MIN(Team_Matches!I1035,Team_Matches!I1037),-MIN(Team_Matches!I1035,Team_Matches!I1037))*IF(Team_Matches!$Q1035="W",1,-1),"")</f>
        <v/>
      </c>
      <c r="H81" s="7" t="str">
        <f>IF(Team_Matches!$Q1035&lt;&gt;"",IF(Team_Matches!J1035&gt;Team_Matches!J1037,MIN(Team_Matches!J1035,Team_Matches!J1037),-MIN(Team_Matches!J1035,Team_Matches!J1037))*IF(Team_Matches!$Q1035="W",1,-1),"")</f>
        <v/>
      </c>
      <c r="I81" s="7" t="str">
        <f>IF(Team_Matches!$Q1035&lt;&gt;"",IF(Team_Matches!K1035=Team_Matches!K1037,"",IF(Team_Matches!K1035&gt;Team_Matches!K1037,MIN(Team_Matches!K1035,Team_Matches!K1037),-MIN(Team_Matches!K1035,Team_Matches!K1037))*IF(Team_Matches!$Q1035="W",1,-1)),"")</f>
        <v/>
      </c>
      <c r="J81" s="7" t="str">
        <f>IF(Team_Matches!$Q1035&lt;&gt;"",IF(Team_Matches!L1035=Team_Matches!L1037,"",IF(Team_Matches!L1035&gt;Team_Matches!L1037,MIN(Team_Matches!L1035,Team_Matches!L1037),-MIN(Team_Matches!L1035,Team_Matches!L1037))*IF(Team_Matches!$Q1035="W",1,-1)),"")</f>
        <v/>
      </c>
    </row>
    <row r="82" spans="1:10" x14ac:dyDescent="0.25">
      <c r="A82" s="55" t="e">
        <f>$B82&amp;";"&amp;VLOOKUP($B82,Players!$C$4:$G$132,5,FALSE)&amp;";"&amp;IF(ISERROR(VLOOKUP($B82,Players!$C$4:$G$132,2,FALSE)),0,VLOOKUP($B82,Players!$C$4:$G$132,2,FALSE))&amp;";"&amp;$C82&amp;";"&amp;VLOOKUP($C82,Players!$C$4:$G$132,5,FALSE)&amp;";"&amp;IF(ISERROR(VLOOKUP($C82,Players!$C$4:$G$132,2,FALSE)),0,VLOOKUP($C82,Players!$C$4:$G$132,2,FALSE))&amp;"|"</f>
        <v>#N/A</v>
      </c>
      <c r="B82" t="str">
        <f>IF(Team_Matches!$Q1042="W",Team_Matches!$B1042,IF(Team_Matches!$Q1044="W",Team_Matches!$B1044,""))</f>
        <v/>
      </c>
      <c r="C82" t="str">
        <f>IF(Team_Matches!$Q1042="L",Team_Matches!$B1042,IF(Team_Matches!$Q1044="L",Team_Matches!$B1044,""))</f>
        <v/>
      </c>
      <c r="D82" t="str">
        <f>CONCATENATE(Team_Matches!$B1029," vs ",Team_Matches!$K1029)</f>
        <v>G vs K</v>
      </c>
      <c r="E82" t="str">
        <f>Team_Matches!$A1040</f>
        <v>2nd Singles</v>
      </c>
      <c r="F82" s="7" t="str">
        <f>IF(Team_Matches!$Q1042&lt;&gt;"",IF(Team_Matches!H1042&gt;Team_Matches!H1044,MIN(Team_Matches!H1042,Team_Matches!H1044),-MIN(Team_Matches!H1042,Team_Matches!H1044))*IF(Team_Matches!$Q1042="W",1,-1),"")</f>
        <v/>
      </c>
      <c r="G82" s="7" t="str">
        <f>IF(Team_Matches!$Q1042&lt;&gt;"",IF(Team_Matches!I1042&gt;Team_Matches!I1044,MIN(Team_Matches!I1042,Team_Matches!I1044),-MIN(Team_Matches!I1042,Team_Matches!I1044))*IF(Team_Matches!$Q1042="W",1,-1),"")</f>
        <v/>
      </c>
      <c r="H82" s="7" t="str">
        <f>IF(Team_Matches!$Q1042&lt;&gt;"",IF(Team_Matches!J1042&gt;Team_Matches!J1044,MIN(Team_Matches!J1042,Team_Matches!J1044),-MIN(Team_Matches!J1042,Team_Matches!J1044))*IF(Team_Matches!$Q1042="W",1,-1),"")</f>
        <v/>
      </c>
      <c r="I82" s="7" t="str">
        <f>IF(Team_Matches!$Q1042&lt;&gt;"",IF(Team_Matches!K1042=Team_Matches!K1044,"",IF(Team_Matches!K1042&gt;Team_Matches!K1044,MIN(Team_Matches!K1042,Team_Matches!K1044),-MIN(Team_Matches!K1042,Team_Matches!K1044))*IF(Team_Matches!$Q1042="W",1,-1)),"")</f>
        <v/>
      </c>
      <c r="J82" s="7" t="str">
        <f>IF(Team_Matches!$Q1042&lt;&gt;"",IF(Team_Matches!L1042=Team_Matches!L1044,"",IF(Team_Matches!L1042&gt;Team_Matches!L1044,MIN(Team_Matches!L1042,Team_Matches!L1044),-MIN(Team_Matches!L1042,Team_Matches!L1044))*IF(Team_Matches!$Q1042="W",1,-1)),"")</f>
        <v/>
      </c>
    </row>
    <row r="83" spans="1:10" x14ac:dyDescent="0.25">
      <c r="A83" s="55" t="e">
        <f>$B83&amp;";"&amp;VLOOKUP($B83,Players!$C$4:$G$132,5,FALSE)&amp;";"&amp;IF(ISERROR(VLOOKUP($B83,Players!$C$4:$G$132,2,FALSE)),0,VLOOKUP($B83,Players!$C$4:$G$132,2,FALSE))&amp;";"&amp;$C83&amp;";"&amp;VLOOKUP($C83,Players!$C$4:$G$132,5,FALSE)&amp;";"&amp;IF(ISERROR(VLOOKUP($C83,Players!$C$4:$G$132,2,FALSE)),0,VLOOKUP($C83,Players!$C$4:$G$132,2,FALSE))&amp;"|"</f>
        <v>#N/A</v>
      </c>
      <c r="B83" t="str">
        <f>IF(Team_Matches!$Q1049="W",Team_Matches!$B1049,IF(Team_Matches!$Q1051="W",Team_Matches!$B1051,""))</f>
        <v/>
      </c>
      <c r="C83" t="str">
        <f>IF(Team_Matches!$Q1049="L",Team_Matches!$B1049,IF(Team_Matches!$Q1051="L",Team_Matches!$B1051,""))</f>
        <v/>
      </c>
      <c r="D83" t="str">
        <f>CONCATENATE(Team_Matches!$B1029," vs ",Team_Matches!$K1029)</f>
        <v>G vs K</v>
      </c>
      <c r="E83" t="str">
        <f>Team_Matches!$A1047</f>
        <v>3rd Singles</v>
      </c>
      <c r="F83" s="7" t="str">
        <f>IF(Team_Matches!$Q1049&lt;&gt;"",IF(Team_Matches!H1049&gt;Team_Matches!H1051,MIN(Team_Matches!H1049,Team_Matches!H1051),-MIN(Team_Matches!H1049,Team_Matches!H1051))*IF(Team_Matches!$Q1049="W",1,-1),"")</f>
        <v/>
      </c>
      <c r="G83" s="7" t="str">
        <f>IF(Team_Matches!$Q1049&lt;&gt;"",IF(Team_Matches!I1049&gt;Team_Matches!I1051,MIN(Team_Matches!I1049,Team_Matches!I1051),-MIN(Team_Matches!I1049,Team_Matches!I1051))*IF(Team_Matches!$Q1049="W",1,-1),"")</f>
        <v/>
      </c>
      <c r="H83" s="7" t="str">
        <f>IF(Team_Matches!$Q1049&lt;&gt;"",IF(Team_Matches!J1049&gt;Team_Matches!J1051,MIN(Team_Matches!J1049,Team_Matches!J1051),-MIN(Team_Matches!J1049,Team_Matches!J1051))*IF(Team_Matches!$Q1049="W",1,-1),"")</f>
        <v/>
      </c>
      <c r="I83" s="7" t="str">
        <f>IF(Team_Matches!$Q1049&lt;&gt;"",IF(Team_Matches!K1049=Team_Matches!K1051,"",IF(Team_Matches!K1049&gt;Team_Matches!K1051,MIN(Team_Matches!K1049,Team_Matches!K1051),-MIN(Team_Matches!K1049,Team_Matches!K1051))*IF(Team_Matches!$Q1049="W",1,-1)),"")</f>
        <v/>
      </c>
      <c r="J83" s="7" t="str">
        <f>IF(Team_Matches!$Q1049&lt;&gt;"",IF(Team_Matches!L1049=Team_Matches!L1051,"",IF(Team_Matches!L1049&gt;Team_Matches!L1051,MIN(Team_Matches!L1049,Team_Matches!L1051),-MIN(Team_Matches!L1049,Team_Matches!L1051))*IF(Team_Matches!$Q1049="W",1,-1)),"")</f>
        <v/>
      </c>
    </row>
    <row r="84" spans="1:10" x14ac:dyDescent="0.25">
      <c r="A84" s="55" t="e">
        <f ca="1">$B84&amp;";"&amp;VLOOKUP($B84,Players!$C$4:$G$132,5,FALSE)&amp;";"&amp;IF(ISERROR(VLOOKUP($B84,Players!$C$4:$G$132,2,FALSE)),0,VLOOKUP($B84,Players!$C$4:$G$132,2,FALSE))&amp;";"&amp;$C84&amp;";"&amp;VLOOKUP($C84,Players!$C$4:$G$132,5,FALSE)&amp;";"&amp;IF(ISERROR(VLOOKUP($C84,Players!$C$4:$G$132,2,FALSE)),0,VLOOKUP($C84,Players!$C$4:$G$132,2,FALSE))&amp;"|"</f>
        <v>#N/A</v>
      </c>
      <c r="B84" t="str">
        <f ca="1">IF(Team_Matches!$Q1056="W",Team_Matches!$B1056,IF(Team_Matches!$Q1058="W",Team_Matches!$B1058,""))</f>
        <v/>
      </c>
      <c r="C84" t="str">
        <f ca="1">IF(Team_Matches!$Q1056="L",Team_Matches!$B1056,IF(Team_Matches!$Q1058="L",Team_Matches!$B1058,""))</f>
        <v/>
      </c>
      <c r="D84" t="str">
        <f>CONCATENATE(Team_Matches!$B1029," vs ",Team_Matches!$K1029)</f>
        <v>G vs K</v>
      </c>
      <c r="E84" t="str">
        <f>Team_Matches!$A1054</f>
        <v>4th Singles</v>
      </c>
      <c r="F84" s="7" t="str">
        <f ca="1">IF(Team_Matches!$Q1056&lt;&gt;"",IF(Team_Matches!H1056&gt;Team_Matches!H1058,MIN(Team_Matches!H1056,Team_Matches!H1058),-MIN(Team_Matches!H1056,Team_Matches!H1058))*IF(Team_Matches!$Q1056="W",1,-1),"")</f>
        <v/>
      </c>
      <c r="G84" s="7" t="str">
        <f ca="1">IF(Team_Matches!$Q1056&lt;&gt;"",IF(Team_Matches!I1056&gt;Team_Matches!I1058,MIN(Team_Matches!I1056,Team_Matches!I1058),-MIN(Team_Matches!I1056,Team_Matches!I1058))*IF(Team_Matches!$Q1056="W",1,-1),"")</f>
        <v/>
      </c>
      <c r="H84" s="7" t="str">
        <f ca="1">IF(Team_Matches!$Q1056&lt;&gt;"",IF(Team_Matches!J1056&gt;Team_Matches!J1058,MIN(Team_Matches!J1056,Team_Matches!J1058),-MIN(Team_Matches!J1056,Team_Matches!J1058))*IF(Team_Matches!$Q1056="W",1,-1),"")</f>
        <v/>
      </c>
      <c r="I84" s="7" t="str">
        <f ca="1">IF(Team_Matches!$Q1056&lt;&gt;"",IF(Team_Matches!K1056=Team_Matches!K1058,"",IF(Team_Matches!K1056&gt;Team_Matches!K1058,MIN(Team_Matches!K1056,Team_Matches!K1058),-MIN(Team_Matches!K1056,Team_Matches!K1058))*IF(Team_Matches!$Q1056="W",1,-1)),"")</f>
        <v/>
      </c>
      <c r="J84" s="7" t="str">
        <f ca="1">IF(Team_Matches!$Q1056&lt;&gt;"",IF(Team_Matches!L1056=Team_Matches!L1058,"",IF(Team_Matches!L1056&gt;Team_Matches!L1058,MIN(Team_Matches!L1056,Team_Matches!L1058),-MIN(Team_Matches!L1056,Team_Matches!L1058))*IF(Team_Matches!$Q1056="W",1,-1)),"")</f>
        <v/>
      </c>
    </row>
    <row r="85" spans="1:10" x14ac:dyDescent="0.25">
      <c r="A85" s="55" t="e">
        <f>$B85&amp;";"&amp;VLOOKUP($B85,Players!$C$4:$G$132,5,FALSE)&amp;";"&amp;IF(ISERROR(VLOOKUP($B85,Players!$C$4:$G$132,2,FALSE)),0,VLOOKUP($B85,Players!$C$4:$G$132,2,FALSE))&amp;";"&amp;$C85&amp;";"&amp;VLOOKUP($C85,Players!$C$4:$G$132,5,FALSE)&amp;";"&amp;IF(ISERROR(VLOOKUP($C85,Players!$C$4:$G$132,2,FALSE)),0,VLOOKUP($C85,Players!$C$4:$G$132,2,FALSE))&amp;"|"</f>
        <v>#N/A</v>
      </c>
      <c r="B85" t="str">
        <f>IF(Team_Matches!$Q1086="W",Team_Matches!$B1086,IF(Team_Matches!$Q1088="W",Team_Matches!$B1088,""))</f>
        <v/>
      </c>
      <c r="C85" t="str">
        <f>IF(Team_Matches!$Q1086="L",Team_Matches!$B1086,IF(Team_Matches!$Q1088="L",Team_Matches!$B1088,""))</f>
        <v/>
      </c>
      <c r="D85" t="str">
        <f>CONCATENATE(Team_Matches!$B1080," vs ",Team_Matches!$K1080)</f>
        <v>F vs L</v>
      </c>
      <c r="E85" t="str">
        <f>Team_Matches!A1084</f>
        <v>1st Singles</v>
      </c>
      <c r="F85" s="7" t="str">
        <f>IF(Team_Matches!$Q1086&lt;&gt;"",IF(Team_Matches!H1086&gt;Team_Matches!H1088,MIN(Team_Matches!H1086,Team_Matches!H1088),-MIN(Team_Matches!H1086,Team_Matches!H1088))*IF(Team_Matches!$Q1086="W",1,-1),"")</f>
        <v/>
      </c>
      <c r="G85" s="7" t="str">
        <f>IF(Team_Matches!$Q1086&lt;&gt;"",IF(Team_Matches!I1086&gt;Team_Matches!I1088,MIN(Team_Matches!I1086,Team_Matches!I1088),-MIN(Team_Matches!I1086,Team_Matches!I1088))*IF(Team_Matches!$Q1086="W",1,-1),"")</f>
        <v/>
      </c>
      <c r="H85" s="7" t="str">
        <f>IF(Team_Matches!$Q1086&lt;&gt;"",IF(Team_Matches!J1086&gt;Team_Matches!J1088,MIN(Team_Matches!J1086,Team_Matches!J1088),-MIN(Team_Matches!J1086,Team_Matches!J1088))*IF(Team_Matches!$Q1086="W",1,-1),"")</f>
        <v/>
      </c>
      <c r="I85" s="7" t="str">
        <f>IF(Team_Matches!$Q1086&lt;&gt;"",IF(Team_Matches!K1086=Team_Matches!K1088,"",IF(Team_Matches!K1086&gt;Team_Matches!K1088,MIN(Team_Matches!K1086,Team_Matches!K1088),-MIN(Team_Matches!K1086,Team_Matches!K1088))*IF(Team_Matches!$Q1086="W",1,-1)),"")</f>
        <v/>
      </c>
      <c r="J85" s="7" t="str">
        <f>IF(Team_Matches!$Q1086&lt;&gt;"",IF(Team_Matches!L1086=Team_Matches!L1088,"",IF(Team_Matches!L1086&gt;Team_Matches!L1088,MIN(Team_Matches!L1086,Team_Matches!L1088),-MIN(Team_Matches!L1086,Team_Matches!L1088))*IF(Team_Matches!$Q1086="W",1,-1)),"")</f>
        <v/>
      </c>
    </row>
    <row r="86" spans="1:10" x14ac:dyDescent="0.25">
      <c r="A86" s="55" t="e">
        <f>$B86&amp;";"&amp;VLOOKUP($B86,Players!$C$4:$G$132,5,FALSE)&amp;";"&amp;IF(ISERROR(VLOOKUP($B86,Players!$C$4:$G$132,2,FALSE)),0,VLOOKUP($B86,Players!$C$4:$G$132,2,FALSE))&amp;";"&amp;$C86&amp;";"&amp;VLOOKUP($C86,Players!$C$4:$G$132,5,FALSE)&amp;";"&amp;IF(ISERROR(VLOOKUP($C86,Players!$C$4:$G$132,2,FALSE)),0,VLOOKUP($C86,Players!$C$4:$G$132,2,FALSE))&amp;"|"</f>
        <v>#N/A</v>
      </c>
      <c r="B86" t="str">
        <f>IF(Team_Matches!$Q1093="W",Team_Matches!$B1093,IF(Team_Matches!$Q1095="W",Team_Matches!$B1095,""))</f>
        <v/>
      </c>
      <c r="C86" t="str">
        <f>IF(Team_Matches!$Q1093="L",Team_Matches!$B1093,IF(Team_Matches!$Q1095="L",Team_Matches!$B1095,""))</f>
        <v/>
      </c>
      <c r="D86" t="str">
        <f>CONCATENATE(Team_Matches!$B1080," vs ",Team_Matches!$K1080)</f>
        <v>F vs L</v>
      </c>
      <c r="E86" t="str">
        <f>Team_Matches!$A1091</f>
        <v>2nd Singles</v>
      </c>
      <c r="F86" s="7" t="str">
        <f>IF(Team_Matches!$Q1093&lt;&gt;"",IF(Team_Matches!H1093&gt;Team_Matches!H1095,MIN(Team_Matches!H1093,Team_Matches!H1095),-MIN(Team_Matches!H1093,Team_Matches!H1095))*IF(Team_Matches!$Q1093="W",1,-1),"")</f>
        <v/>
      </c>
      <c r="G86" s="7" t="str">
        <f>IF(Team_Matches!$Q1093&lt;&gt;"",IF(Team_Matches!I1093&gt;Team_Matches!I1095,MIN(Team_Matches!I1093,Team_Matches!I1095),-MIN(Team_Matches!I1093,Team_Matches!I1095))*IF(Team_Matches!$Q1093="W",1,-1),"")</f>
        <v/>
      </c>
      <c r="H86" s="7" t="str">
        <f>IF(Team_Matches!$Q1093&lt;&gt;"",IF(Team_Matches!J1093&gt;Team_Matches!J1095,MIN(Team_Matches!J1093,Team_Matches!J1095),-MIN(Team_Matches!J1093,Team_Matches!J1095))*IF(Team_Matches!$Q1093="W",1,-1),"")</f>
        <v/>
      </c>
      <c r="I86" s="7" t="str">
        <f>IF(Team_Matches!$Q1093&lt;&gt;"",IF(Team_Matches!K1093=Team_Matches!K1095,"",IF(Team_Matches!K1093&gt;Team_Matches!K1095,MIN(Team_Matches!K1093,Team_Matches!K1095),-MIN(Team_Matches!K1093,Team_Matches!K1095))*IF(Team_Matches!$Q1093="W",1,-1)),"")</f>
        <v/>
      </c>
      <c r="J86" s="7" t="str">
        <f>IF(Team_Matches!$Q1093&lt;&gt;"",IF(Team_Matches!L1093=Team_Matches!L1095,"",IF(Team_Matches!L1093&gt;Team_Matches!L1095,MIN(Team_Matches!L1093,Team_Matches!L1095),-MIN(Team_Matches!L1093,Team_Matches!L1095))*IF(Team_Matches!$Q1093="W",1,-1)),"")</f>
        <v/>
      </c>
    </row>
    <row r="87" spans="1:10" x14ac:dyDescent="0.25">
      <c r="A87" s="55" t="e">
        <f>$B87&amp;";"&amp;VLOOKUP($B87,Players!$C$4:$G$132,5,FALSE)&amp;";"&amp;IF(ISERROR(VLOOKUP($B87,Players!$C$4:$G$132,2,FALSE)),0,VLOOKUP($B87,Players!$C$4:$G$132,2,FALSE))&amp;";"&amp;$C87&amp;";"&amp;VLOOKUP($C87,Players!$C$4:$G$132,5,FALSE)&amp;";"&amp;IF(ISERROR(VLOOKUP($C87,Players!$C$4:$G$132,2,FALSE)),0,VLOOKUP($C87,Players!$C$4:$G$132,2,FALSE))&amp;"|"</f>
        <v>#N/A</v>
      </c>
      <c r="B87" t="str">
        <f>IF(Team_Matches!$Q1100="W",Team_Matches!$B1100,IF(Team_Matches!$Q1102="W",Team_Matches!$B1102,""))</f>
        <v/>
      </c>
      <c r="C87" t="str">
        <f>IF(Team_Matches!$Q1100="L",Team_Matches!$B1100,IF(Team_Matches!$Q1102="L",Team_Matches!$B1102,""))</f>
        <v/>
      </c>
      <c r="D87" t="str">
        <f>CONCATENATE(Team_Matches!$B1080," vs ",Team_Matches!$K1080)</f>
        <v>F vs L</v>
      </c>
      <c r="E87" t="str">
        <f>Team_Matches!$A1098</f>
        <v>3rd Singles</v>
      </c>
      <c r="F87" s="7" t="str">
        <f>IF(Team_Matches!$Q1100&lt;&gt;"",IF(Team_Matches!H1100&gt;Team_Matches!H1102,MIN(Team_Matches!H1100,Team_Matches!H1102),-MIN(Team_Matches!H1100,Team_Matches!H1102))*IF(Team_Matches!$Q1100="W",1,-1),"")</f>
        <v/>
      </c>
      <c r="G87" s="7" t="str">
        <f>IF(Team_Matches!$Q1100&lt;&gt;"",IF(Team_Matches!I1100&gt;Team_Matches!I1102,MIN(Team_Matches!I1100,Team_Matches!I1102),-MIN(Team_Matches!I1100,Team_Matches!I1102))*IF(Team_Matches!$Q1100="W",1,-1),"")</f>
        <v/>
      </c>
      <c r="H87" s="7" t="str">
        <f>IF(Team_Matches!$Q1100&lt;&gt;"",IF(Team_Matches!J1100&gt;Team_Matches!J1102,MIN(Team_Matches!J1100,Team_Matches!J1102),-MIN(Team_Matches!J1100,Team_Matches!J1102))*IF(Team_Matches!$Q1100="W",1,-1),"")</f>
        <v/>
      </c>
      <c r="I87" s="7" t="str">
        <f>IF(Team_Matches!$Q1100&lt;&gt;"",IF(Team_Matches!K1100=Team_Matches!K1102,"",IF(Team_Matches!K1100&gt;Team_Matches!K1102,MIN(Team_Matches!K1100,Team_Matches!K1102),-MIN(Team_Matches!K1100,Team_Matches!K1102))*IF(Team_Matches!$Q1100="W",1,-1)),"")</f>
        <v/>
      </c>
      <c r="J87" s="7" t="str">
        <f>IF(Team_Matches!$Q1100&lt;&gt;"",IF(Team_Matches!L1100=Team_Matches!L1102,"",IF(Team_Matches!L1100&gt;Team_Matches!L1102,MIN(Team_Matches!L1100,Team_Matches!L1102),-MIN(Team_Matches!L1100,Team_Matches!L1102))*IF(Team_Matches!$Q1100="W",1,-1)),"")</f>
        <v/>
      </c>
    </row>
    <row r="88" spans="1:10" x14ac:dyDescent="0.25">
      <c r="A88" s="55" t="e">
        <f ca="1">$B88&amp;";"&amp;VLOOKUP($B88,Players!$C$4:$G$132,5,FALSE)&amp;";"&amp;IF(ISERROR(VLOOKUP($B88,Players!$C$4:$G$132,2,FALSE)),0,VLOOKUP($B88,Players!$C$4:$G$132,2,FALSE))&amp;";"&amp;$C88&amp;";"&amp;VLOOKUP($C88,Players!$C$4:$G$132,5,FALSE)&amp;";"&amp;IF(ISERROR(VLOOKUP($C88,Players!$C$4:$G$132,2,FALSE)),0,VLOOKUP($C88,Players!$C$4:$G$132,2,FALSE))&amp;"|"</f>
        <v>#N/A</v>
      </c>
      <c r="B88" t="str">
        <f ca="1">IF(Team_Matches!$Q1107="W",Team_Matches!$B1107,IF(Team_Matches!$Q1109="W",Team_Matches!$B1109,""))</f>
        <v/>
      </c>
      <c r="C88" t="str">
        <f ca="1">IF(Team_Matches!$Q1107="L",Team_Matches!$B1107,IF(Team_Matches!$Q1109="L",Team_Matches!$B1109,""))</f>
        <v/>
      </c>
      <c r="D88" t="str">
        <f>CONCATENATE(Team_Matches!$B1080," vs ",Team_Matches!$K1080)</f>
        <v>F vs L</v>
      </c>
      <c r="E88" t="str">
        <f>Team_Matches!$A1105</f>
        <v>4th Singles</v>
      </c>
      <c r="F88" s="7" t="str">
        <f ca="1">IF(Team_Matches!$Q1107&lt;&gt;"",IF(Team_Matches!H1107&gt;Team_Matches!H1109,MIN(Team_Matches!H1107,Team_Matches!H1109),-MIN(Team_Matches!H1107,Team_Matches!H1109))*IF(Team_Matches!$Q1107="W",1,-1),"")</f>
        <v/>
      </c>
      <c r="G88" s="7" t="str">
        <f ca="1">IF(Team_Matches!$Q1107&lt;&gt;"",IF(Team_Matches!I1107&gt;Team_Matches!I1109,MIN(Team_Matches!I1107,Team_Matches!I1109),-MIN(Team_Matches!I1107,Team_Matches!I1109))*IF(Team_Matches!$Q1107="W",1,-1),"")</f>
        <v/>
      </c>
      <c r="H88" s="7" t="str">
        <f ca="1">IF(Team_Matches!$Q1107&lt;&gt;"",IF(Team_Matches!J1107&gt;Team_Matches!J1109,MIN(Team_Matches!J1107,Team_Matches!J1109),-MIN(Team_Matches!J1107,Team_Matches!J1109))*IF(Team_Matches!$Q1107="W",1,-1),"")</f>
        <v/>
      </c>
      <c r="I88" s="7" t="str">
        <f ca="1">IF(Team_Matches!$Q1107&lt;&gt;"",IF(Team_Matches!K1107=Team_Matches!K1109,"",IF(Team_Matches!K1107&gt;Team_Matches!K1109,MIN(Team_Matches!K1107,Team_Matches!K1109),-MIN(Team_Matches!K1107,Team_Matches!K1109))*IF(Team_Matches!$Q1107="W",1,-1)),"")</f>
        <v/>
      </c>
      <c r="J88" s="7" t="str">
        <f ca="1">IF(Team_Matches!$Q1107&lt;&gt;"",IF(Team_Matches!L1107=Team_Matches!L1109,"",IF(Team_Matches!L1107&gt;Team_Matches!L1109,MIN(Team_Matches!L1107,Team_Matches!L1109),-MIN(Team_Matches!L1107,Team_Matches!L1109))*IF(Team_Matches!$Q1107="W",1,-1)),"")</f>
        <v/>
      </c>
    </row>
    <row r="89" spans="1:10" x14ac:dyDescent="0.25">
      <c r="A89" s="55" t="e">
        <f>$B89&amp;";"&amp;VLOOKUP($B89,Players!$C$4:$G$132,5,FALSE)&amp;";"&amp;IF(ISERROR(VLOOKUP($B89,Players!$C$4:$G$132,2,FALSE)),0,VLOOKUP($B89,Players!$C$4:$G$132,2,FALSE))&amp;";"&amp;$C89&amp;";"&amp;VLOOKUP($C89,Players!$C$4:$G$132,5,FALSE)&amp;";"&amp;IF(ISERROR(VLOOKUP($C89,Players!$C$4:$G$132,2,FALSE)),0,VLOOKUP($C89,Players!$C$4:$G$132,2,FALSE))&amp;"|"</f>
        <v>#N/A</v>
      </c>
      <c r="B89" t="str">
        <f>IF(Team_Matches!$Q1137="W",Team_Matches!$B1137,IF(Team_Matches!$Q1139="W",Team_Matches!$B1139,""))</f>
        <v/>
      </c>
      <c r="C89" t="str">
        <f>IF(Team_Matches!$Q1137="L",Team_Matches!$B1137,IF(Team_Matches!$Q1139="L",Team_Matches!$B1139,""))</f>
        <v/>
      </c>
      <c r="D89" t="str">
        <f>CONCATENATE(Team_Matches!$B1131," vs ",Team_Matches!$K1131)</f>
        <v>B vs E</v>
      </c>
      <c r="E89" t="str">
        <f>Team_Matches!A1135</f>
        <v>1st Singles</v>
      </c>
      <c r="F89" s="7" t="str">
        <f>IF(Team_Matches!$Q1137&lt;&gt;"",IF(Team_Matches!H1137&gt;Team_Matches!H1139,MIN(Team_Matches!H1137,Team_Matches!H1139),-MIN(Team_Matches!H1137,Team_Matches!H1139))*IF(Team_Matches!$Q1137="W",1,-1),"")</f>
        <v/>
      </c>
      <c r="G89" s="7" t="str">
        <f>IF(Team_Matches!$Q1137&lt;&gt;"",IF(Team_Matches!I1137&gt;Team_Matches!I1139,MIN(Team_Matches!I1137,Team_Matches!I1139),-MIN(Team_Matches!I1137,Team_Matches!I1139))*IF(Team_Matches!$Q1137="W",1,-1),"")</f>
        <v/>
      </c>
      <c r="H89" s="7" t="str">
        <f>IF(Team_Matches!$Q1137&lt;&gt;"",IF(Team_Matches!J1137&gt;Team_Matches!J1139,MIN(Team_Matches!J1137,Team_Matches!J1139),-MIN(Team_Matches!J1137,Team_Matches!J1139))*IF(Team_Matches!$Q1137="W",1,-1),"")</f>
        <v/>
      </c>
      <c r="I89" s="7" t="str">
        <f>IF(Team_Matches!$Q1137&lt;&gt;"",IF(Team_Matches!K1137=Team_Matches!K1139,"",IF(Team_Matches!K1137&gt;Team_Matches!K1139,MIN(Team_Matches!K1137,Team_Matches!K1139),-MIN(Team_Matches!K1137,Team_Matches!K1139))*IF(Team_Matches!$Q1137="W",1,-1)),"")</f>
        <v/>
      </c>
      <c r="J89" s="7" t="str">
        <f>IF(Team_Matches!$Q1137&lt;&gt;"",IF(Team_Matches!L1137=Team_Matches!L1139,"",IF(Team_Matches!L1137&gt;Team_Matches!L1139,MIN(Team_Matches!L1137,Team_Matches!L1139),-MIN(Team_Matches!L1137,Team_Matches!L1139))*IF(Team_Matches!$Q1137="W",1,-1)),"")</f>
        <v/>
      </c>
    </row>
    <row r="90" spans="1:10" x14ac:dyDescent="0.25">
      <c r="A90" s="55" t="e">
        <f>$B90&amp;";"&amp;VLOOKUP($B90,Players!$C$4:$G$132,5,FALSE)&amp;";"&amp;IF(ISERROR(VLOOKUP($B90,Players!$C$4:$G$132,2,FALSE)),0,VLOOKUP($B90,Players!$C$4:$G$132,2,FALSE))&amp;";"&amp;$C90&amp;";"&amp;VLOOKUP($C90,Players!$C$4:$G$132,5,FALSE)&amp;";"&amp;IF(ISERROR(VLOOKUP($C90,Players!$C$4:$G$132,2,FALSE)),0,VLOOKUP($C90,Players!$C$4:$G$132,2,FALSE))&amp;"|"</f>
        <v>#N/A</v>
      </c>
      <c r="B90" t="str">
        <f>IF(Team_Matches!$Q1144="W",Team_Matches!$B1144,IF(Team_Matches!$Q1146="W",Team_Matches!$B1146,""))</f>
        <v/>
      </c>
      <c r="C90" t="str">
        <f>IF(Team_Matches!$Q1144="L",Team_Matches!$B1144,IF(Team_Matches!$Q1146="L",Team_Matches!$B1146,""))</f>
        <v/>
      </c>
      <c r="D90" t="str">
        <f>CONCATENATE(Team_Matches!$B1131," vs ",Team_Matches!$K1131)</f>
        <v>B vs E</v>
      </c>
      <c r="E90" t="str">
        <f>Team_Matches!$A1142</f>
        <v>2nd Singles</v>
      </c>
      <c r="F90" s="7" t="str">
        <f>IF(Team_Matches!$Q1144&lt;&gt;"",IF(Team_Matches!H1144&gt;Team_Matches!H1146,MIN(Team_Matches!H1144,Team_Matches!H1146),-MIN(Team_Matches!H1144,Team_Matches!H1146))*IF(Team_Matches!$Q1144="W",1,-1),"")</f>
        <v/>
      </c>
      <c r="G90" s="7" t="str">
        <f>IF(Team_Matches!$Q1144&lt;&gt;"",IF(Team_Matches!I1144&gt;Team_Matches!I1146,MIN(Team_Matches!I1144,Team_Matches!I1146),-MIN(Team_Matches!I1144,Team_Matches!I1146))*IF(Team_Matches!$Q1144="W",1,-1),"")</f>
        <v/>
      </c>
      <c r="H90" s="7" t="str">
        <f>IF(Team_Matches!$Q1144&lt;&gt;"",IF(Team_Matches!J1144&gt;Team_Matches!J1146,MIN(Team_Matches!J1144,Team_Matches!J1146),-MIN(Team_Matches!J1144,Team_Matches!J1146))*IF(Team_Matches!$Q1144="W",1,-1),"")</f>
        <v/>
      </c>
      <c r="I90" s="7" t="str">
        <f>IF(Team_Matches!$Q1144&lt;&gt;"",IF(Team_Matches!K1144=Team_Matches!K1146,"",IF(Team_Matches!K1144&gt;Team_Matches!K1146,MIN(Team_Matches!K1144,Team_Matches!K1146),-MIN(Team_Matches!K1144,Team_Matches!K1146))*IF(Team_Matches!$Q1144="W",1,-1)),"")</f>
        <v/>
      </c>
      <c r="J90" s="7" t="str">
        <f>IF(Team_Matches!$Q1144&lt;&gt;"",IF(Team_Matches!L1144=Team_Matches!L1146,"",IF(Team_Matches!L1144&gt;Team_Matches!L1146,MIN(Team_Matches!L1144,Team_Matches!L1146),-MIN(Team_Matches!L1144,Team_Matches!L1146))*IF(Team_Matches!$Q1144="W",1,-1)),"")</f>
        <v/>
      </c>
    </row>
    <row r="91" spans="1:10" x14ac:dyDescent="0.25">
      <c r="A91" s="55" t="e">
        <f>$B91&amp;";"&amp;VLOOKUP($B91,Players!$C$4:$G$132,5,FALSE)&amp;";"&amp;IF(ISERROR(VLOOKUP($B91,Players!$C$4:$G$132,2,FALSE)),0,VLOOKUP($B91,Players!$C$4:$G$132,2,FALSE))&amp;";"&amp;$C91&amp;";"&amp;VLOOKUP($C91,Players!$C$4:$G$132,5,FALSE)&amp;";"&amp;IF(ISERROR(VLOOKUP($C91,Players!$C$4:$G$132,2,FALSE)),0,VLOOKUP($C91,Players!$C$4:$G$132,2,FALSE))&amp;"|"</f>
        <v>#N/A</v>
      </c>
      <c r="B91" t="str">
        <f>IF(Team_Matches!$Q1151="W",Team_Matches!$B1151,IF(Team_Matches!$Q1153="W",Team_Matches!$B1153,""))</f>
        <v/>
      </c>
      <c r="C91" t="str">
        <f>IF(Team_Matches!$Q1151="L",Team_Matches!$B1151,IF(Team_Matches!$Q1153="L",Team_Matches!$B1153,""))</f>
        <v/>
      </c>
      <c r="D91" t="str">
        <f>CONCATENATE(Team_Matches!$B1131," vs ",Team_Matches!$K1131)</f>
        <v>B vs E</v>
      </c>
      <c r="E91" t="str">
        <f>Team_Matches!$A1149</f>
        <v>3rd Singles</v>
      </c>
      <c r="F91" s="7" t="str">
        <f>IF(Team_Matches!$Q1151&lt;&gt;"",IF(Team_Matches!H1151&gt;Team_Matches!H1153,MIN(Team_Matches!H1151,Team_Matches!H1153),-MIN(Team_Matches!H1151,Team_Matches!H1153))*IF(Team_Matches!$Q1151="W",1,-1),"")</f>
        <v/>
      </c>
      <c r="G91" s="7" t="str">
        <f>IF(Team_Matches!$Q1151&lt;&gt;"",IF(Team_Matches!I1151&gt;Team_Matches!I1153,MIN(Team_Matches!I1151,Team_Matches!I1153),-MIN(Team_Matches!I1151,Team_Matches!I1153))*IF(Team_Matches!$Q1151="W",1,-1),"")</f>
        <v/>
      </c>
      <c r="H91" s="7" t="str">
        <f>IF(Team_Matches!$Q1151&lt;&gt;"",IF(Team_Matches!J1151&gt;Team_Matches!J1153,MIN(Team_Matches!J1151,Team_Matches!J1153),-MIN(Team_Matches!J1151,Team_Matches!J1153))*IF(Team_Matches!$Q1151="W",1,-1),"")</f>
        <v/>
      </c>
      <c r="I91" s="7" t="str">
        <f>IF(Team_Matches!$Q1151&lt;&gt;"",IF(Team_Matches!K1151=Team_Matches!K1153,"",IF(Team_Matches!K1151&gt;Team_Matches!K1153,MIN(Team_Matches!K1151,Team_Matches!K1153),-MIN(Team_Matches!K1151,Team_Matches!K1153))*IF(Team_Matches!$Q1151="W",1,-1)),"")</f>
        <v/>
      </c>
      <c r="J91" s="7" t="str">
        <f>IF(Team_Matches!$Q1151&lt;&gt;"",IF(Team_Matches!L1151=Team_Matches!L1153,"",IF(Team_Matches!L1151&gt;Team_Matches!L1153,MIN(Team_Matches!L1151,Team_Matches!L1153),-MIN(Team_Matches!L1151,Team_Matches!L1153))*IF(Team_Matches!$Q1151="W",1,-1)),"")</f>
        <v/>
      </c>
    </row>
    <row r="92" spans="1:10" x14ac:dyDescent="0.25">
      <c r="A92" s="55" t="e">
        <f ca="1">$B92&amp;";"&amp;VLOOKUP($B92,Players!$C$4:$G$132,5,FALSE)&amp;";"&amp;IF(ISERROR(VLOOKUP($B92,Players!$C$4:$G$132,2,FALSE)),0,VLOOKUP($B92,Players!$C$4:$G$132,2,FALSE))&amp;";"&amp;$C92&amp;";"&amp;VLOOKUP($C92,Players!$C$4:$G$132,5,FALSE)&amp;";"&amp;IF(ISERROR(VLOOKUP($C92,Players!$C$4:$G$132,2,FALSE)),0,VLOOKUP($C92,Players!$C$4:$G$132,2,FALSE))&amp;"|"</f>
        <v>#N/A</v>
      </c>
      <c r="B92" t="str">
        <f ca="1">IF(Team_Matches!$Q1158="W",Team_Matches!$B1158,IF(Team_Matches!$Q1160="W",Team_Matches!$B1160,""))</f>
        <v/>
      </c>
      <c r="C92" t="str">
        <f ca="1">IF(Team_Matches!$Q1158="L",Team_Matches!$B1158,IF(Team_Matches!$Q1160="L",Team_Matches!$B1160,""))</f>
        <v/>
      </c>
      <c r="D92" t="str">
        <f>CONCATENATE(Team_Matches!$B1131," vs ",Team_Matches!$K1131)</f>
        <v>B vs E</v>
      </c>
      <c r="E92" t="str">
        <f>Team_Matches!$A1156</f>
        <v>4th Singles</v>
      </c>
      <c r="F92" s="7" t="str">
        <f ca="1">IF(Team_Matches!$Q1158&lt;&gt;"",IF(Team_Matches!H1158&gt;Team_Matches!H1160,MIN(Team_Matches!H1158,Team_Matches!H1160),-MIN(Team_Matches!H1158,Team_Matches!H1160))*IF(Team_Matches!$Q1158="W",1,-1),"")</f>
        <v/>
      </c>
      <c r="G92" s="7" t="str">
        <f ca="1">IF(Team_Matches!$Q1158&lt;&gt;"",IF(Team_Matches!I1158&gt;Team_Matches!I1160,MIN(Team_Matches!I1158,Team_Matches!I1160),-MIN(Team_Matches!I1158,Team_Matches!I1160))*IF(Team_Matches!$Q1158="W",1,-1),"")</f>
        <v/>
      </c>
      <c r="H92" s="7" t="str">
        <f ca="1">IF(Team_Matches!$Q1158&lt;&gt;"",IF(Team_Matches!J1158&gt;Team_Matches!J1160,MIN(Team_Matches!J1158,Team_Matches!J1160),-MIN(Team_Matches!J1158,Team_Matches!J1160))*IF(Team_Matches!$Q1158="W",1,-1),"")</f>
        <v/>
      </c>
      <c r="I92" s="7" t="str">
        <f ca="1">IF(Team_Matches!$Q1158&lt;&gt;"",IF(Team_Matches!K1158=Team_Matches!K1160,"",IF(Team_Matches!K1158&gt;Team_Matches!K1160,MIN(Team_Matches!K1158,Team_Matches!K1160),-MIN(Team_Matches!K1158,Team_Matches!K1160))*IF(Team_Matches!$Q1158="W",1,-1)),"")</f>
        <v/>
      </c>
      <c r="J92" s="7" t="str">
        <f ca="1">IF(Team_Matches!$Q1158&lt;&gt;"",IF(Team_Matches!L1158=Team_Matches!L1160,"",IF(Team_Matches!L1158&gt;Team_Matches!L1160,MIN(Team_Matches!L1158,Team_Matches!L1160),-MIN(Team_Matches!L1158,Team_Matches!L1160))*IF(Team_Matches!$Q1158="W",1,-1)),"")</f>
        <v/>
      </c>
    </row>
    <row r="93" spans="1:10" x14ac:dyDescent="0.25">
      <c r="A93" s="55" t="e">
        <f>$B93&amp;";"&amp;VLOOKUP($B93,Players!$C$4:$G$132,5,FALSE)&amp;";"&amp;IF(ISERROR(VLOOKUP($B93,Players!$C$4:$G$132,2,FALSE)),0,VLOOKUP($B93,Players!$C$4:$G$132,2,FALSE))&amp;";"&amp;$C93&amp;";"&amp;VLOOKUP($C93,Players!$C$4:$G$132,5,FALSE)&amp;";"&amp;IF(ISERROR(VLOOKUP($C93,Players!$C$4:$G$132,2,FALSE)),0,VLOOKUP($C93,Players!$C$4:$G$132,2,FALSE))&amp;"|"</f>
        <v>#N/A</v>
      </c>
      <c r="B93" t="str">
        <f>IF(Team_Matches!$Q1188="W",Team_Matches!$B1188,IF(Team_Matches!$Q1190="W",Team_Matches!$B1190,""))</f>
        <v/>
      </c>
      <c r="C93" t="str">
        <f>IF(Team_Matches!$Q1188="L",Team_Matches!$B1188,IF(Team_Matches!$Q1190="L",Team_Matches!$B1190,""))</f>
        <v/>
      </c>
      <c r="D93" t="str">
        <f>CONCATENATE(Team_Matches!$B1182," vs ",Team_Matches!$K1182)</f>
        <v>C vs D</v>
      </c>
      <c r="E93" t="str">
        <f>Team_Matches!A1186</f>
        <v>1st Singles</v>
      </c>
      <c r="F93" s="7" t="str">
        <f>IF(Team_Matches!$Q1188&lt;&gt;"",IF(Team_Matches!H1188&gt;Team_Matches!H1190,MIN(Team_Matches!H1188,Team_Matches!H1190),-MIN(Team_Matches!H1188,Team_Matches!H1190))*IF(Team_Matches!$Q1188="W",1,-1),"")</f>
        <v/>
      </c>
      <c r="G93" s="7" t="str">
        <f>IF(Team_Matches!$Q1188&lt;&gt;"",IF(Team_Matches!I1188&gt;Team_Matches!I1190,MIN(Team_Matches!I1188,Team_Matches!I1190),-MIN(Team_Matches!I1188,Team_Matches!I1190))*IF(Team_Matches!$Q1188="W",1,-1),"")</f>
        <v/>
      </c>
      <c r="H93" s="7" t="str">
        <f>IF(Team_Matches!$Q1188&lt;&gt;"",IF(Team_Matches!J1188&gt;Team_Matches!J1190,MIN(Team_Matches!J1188,Team_Matches!J1190),-MIN(Team_Matches!J1188,Team_Matches!J1190))*IF(Team_Matches!$Q1188="W",1,-1),"")</f>
        <v/>
      </c>
      <c r="I93" s="7" t="str">
        <f>IF(Team_Matches!$Q1188&lt;&gt;"",IF(Team_Matches!K1188=Team_Matches!K1190,"",IF(Team_Matches!K1188&gt;Team_Matches!K1190,MIN(Team_Matches!K1188,Team_Matches!K1190),-MIN(Team_Matches!K1188,Team_Matches!K1190))*IF(Team_Matches!$Q1188="W",1,-1)),"")</f>
        <v/>
      </c>
      <c r="J93" s="7" t="str">
        <f>IF(Team_Matches!$Q1188&lt;&gt;"",IF(Team_Matches!L1188=Team_Matches!L1190,"",IF(Team_Matches!L1188&gt;Team_Matches!L1190,MIN(Team_Matches!L1188,Team_Matches!L1190),-MIN(Team_Matches!L1188,Team_Matches!L1190))*IF(Team_Matches!$Q1188="W",1,-1)),"")</f>
        <v/>
      </c>
    </row>
    <row r="94" spans="1:10" x14ac:dyDescent="0.25">
      <c r="A94" s="55" t="e">
        <f>$B94&amp;";"&amp;VLOOKUP($B94,Players!$C$4:$G$132,5,FALSE)&amp;";"&amp;IF(ISERROR(VLOOKUP($B94,Players!$C$4:$G$132,2,FALSE)),0,VLOOKUP($B94,Players!$C$4:$G$132,2,FALSE))&amp;";"&amp;$C94&amp;";"&amp;VLOOKUP($C94,Players!$C$4:$G$132,5,FALSE)&amp;";"&amp;IF(ISERROR(VLOOKUP($C94,Players!$C$4:$G$132,2,FALSE)),0,VLOOKUP($C94,Players!$C$4:$G$132,2,FALSE))&amp;"|"</f>
        <v>#N/A</v>
      </c>
      <c r="B94" t="str">
        <f>IF(Team_Matches!$Q1195="W",Team_Matches!$B1195,IF(Team_Matches!$Q1197="W",Team_Matches!$B1197,""))</f>
        <v/>
      </c>
      <c r="C94" t="str">
        <f>IF(Team_Matches!$Q1195="L",Team_Matches!$B1195,IF(Team_Matches!$Q1197="L",Team_Matches!$B1197,""))</f>
        <v/>
      </c>
      <c r="D94" t="str">
        <f>CONCATENATE(Team_Matches!$B1182," vs ",Team_Matches!$K1182)</f>
        <v>C vs D</v>
      </c>
      <c r="E94" t="str">
        <f>Team_Matches!$A1193</f>
        <v>2nd Singles</v>
      </c>
      <c r="F94" s="7" t="str">
        <f>IF(Team_Matches!$Q1195&lt;&gt;"",IF(Team_Matches!H1195&gt;Team_Matches!H1197,MIN(Team_Matches!H1195,Team_Matches!H1197),-MIN(Team_Matches!H1195,Team_Matches!H1197))*IF(Team_Matches!$Q1195="W",1,-1),"")</f>
        <v/>
      </c>
      <c r="G94" s="7" t="str">
        <f>IF(Team_Matches!$Q1195&lt;&gt;"",IF(Team_Matches!I1195&gt;Team_Matches!I1197,MIN(Team_Matches!I1195,Team_Matches!I1197),-MIN(Team_Matches!I1195,Team_Matches!I1197))*IF(Team_Matches!$Q1195="W",1,-1),"")</f>
        <v/>
      </c>
      <c r="H94" s="7" t="str">
        <f>IF(Team_Matches!$Q1195&lt;&gt;"",IF(Team_Matches!J1195&gt;Team_Matches!J1197,MIN(Team_Matches!J1195,Team_Matches!J1197),-MIN(Team_Matches!J1195,Team_Matches!J1197))*IF(Team_Matches!$Q1195="W",1,-1),"")</f>
        <v/>
      </c>
      <c r="I94" s="7" t="str">
        <f>IF(Team_Matches!$Q1195&lt;&gt;"",IF(Team_Matches!K1195=Team_Matches!K1197,"",IF(Team_Matches!K1195&gt;Team_Matches!K1197,MIN(Team_Matches!K1195,Team_Matches!K1197),-MIN(Team_Matches!K1195,Team_Matches!K1197))*IF(Team_Matches!$Q1195="W",1,-1)),"")</f>
        <v/>
      </c>
      <c r="J94" s="7" t="str">
        <f>IF(Team_Matches!$Q1195&lt;&gt;"",IF(Team_Matches!L1195=Team_Matches!L1197,"",IF(Team_Matches!L1195&gt;Team_Matches!L1197,MIN(Team_Matches!L1195,Team_Matches!L1197),-MIN(Team_Matches!L1195,Team_Matches!L1197))*IF(Team_Matches!$Q1195="W",1,-1)),"")</f>
        <v/>
      </c>
    </row>
    <row r="95" spans="1:10" x14ac:dyDescent="0.25">
      <c r="A95" s="55" t="e">
        <f>$B95&amp;";"&amp;VLOOKUP($B95,Players!$C$4:$G$132,5,FALSE)&amp;";"&amp;IF(ISERROR(VLOOKUP($B95,Players!$C$4:$G$132,2,FALSE)),0,VLOOKUP($B95,Players!$C$4:$G$132,2,FALSE))&amp;";"&amp;$C95&amp;";"&amp;VLOOKUP($C95,Players!$C$4:$G$132,5,FALSE)&amp;";"&amp;IF(ISERROR(VLOOKUP($C95,Players!$C$4:$G$132,2,FALSE)),0,VLOOKUP($C95,Players!$C$4:$G$132,2,FALSE))&amp;"|"</f>
        <v>#N/A</v>
      </c>
      <c r="B95" t="str">
        <f>IF(Team_Matches!$Q1202="W",Team_Matches!$B1202,IF(Team_Matches!$Q1204="W",Team_Matches!$B1204,""))</f>
        <v/>
      </c>
      <c r="C95" t="str">
        <f>IF(Team_Matches!$Q1202="L",Team_Matches!$B1202,IF(Team_Matches!$Q1204="L",Team_Matches!$B1204,""))</f>
        <v/>
      </c>
      <c r="D95" t="str">
        <f>CONCATENATE(Team_Matches!$B1182," vs ",Team_Matches!$K1182)</f>
        <v>C vs D</v>
      </c>
      <c r="E95" t="str">
        <f>Team_Matches!$A1200</f>
        <v>3rd Singles</v>
      </c>
      <c r="F95" s="7" t="str">
        <f>IF(Team_Matches!$Q1202&lt;&gt;"",IF(Team_Matches!H1202&gt;Team_Matches!H1204,MIN(Team_Matches!H1202,Team_Matches!H1204),-MIN(Team_Matches!H1202,Team_Matches!H1204))*IF(Team_Matches!$Q1202="W",1,-1),"")</f>
        <v/>
      </c>
      <c r="G95" s="7" t="str">
        <f>IF(Team_Matches!$Q1202&lt;&gt;"",IF(Team_Matches!I1202&gt;Team_Matches!I1204,MIN(Team_Matches!I1202,Team_Matches!I1204),-MIN(Team_Matches!I1202,Team_Matches!I1204))*IF(Team_Matches!$Q1202="W",1,-1),"")</f>
        <v/>
      </c>
      <c r="H95" s="7" t="str">
        <f>IF(Team_Matches!$Q1202&lt;&gt;"",IF(Team_Matches!J1202&gt;Team_Matches!J1204,MIN(Team_Matches!J1202,Team_Matches!J1204),-MIN(Team_Matches!J1202,Team_Matches!J1204))*IF(Team_Matches!$Q1202="W",1,-1),"")</f>
        <v/>
      </c>
      <c r="I95" s="7" t="str">
        <f>IF(Team_Matches!$Q1202&lt;&gt;"",IF(Team_Matches!K1202=Team_Matches!K1204,"",IF(Team_Matches!K1202&gt;Team_Matches!K1204,MIN(Team_Matches!K1202,Team_Matches!K1204),-MIN(Team_Matches!K1202,Team_Matches!K1204))*IF(Team_Matches!$Q1202="W",1,-1)),"")</f>
        <v/>
      </c>
      <c r="J95" s="7" t="str">
        <f>IF(Team_Matches!$Q1202&lt;&gt;"",IF(Team_Matches!L1202=Team_Matches!L1204,"",IF(Team_Matches!L1202&gt;Team_Matches!L1204,MIN(Team_Matches!L1202,Team_Matches!L1204),-MIN(Team_Matches!L1202,Team_Matches!L1204))*IF(Team_Matches!$Q1202="W",1,-1)),"")</f>
        <v/>
      </c>
    </row>
    <row r="96" spans="1:10" x14ac:dyDescent="0.25">
      <c r="A96" s="55" t="e">
        <f ca="1">$B96&amp;";"&amp;VLOOKUP($B96,Players!$C$4:$G$132,5,FALSE)&amp;";"&amp;IF(ISERROR(VLOOKUP($B96,Players!$C$4:$G$132,2,FALSE)),0,VLOOKUP($B96,Players!$C$4:$G$132,2,FALSE))&amp;";"&amp;$C96&amp;";"&amp;VLOOKUP($C96,Players!$C$4:$G$132,5,FALSE)&amp;";"&amp;IF(ISERROR(VLOOKUP($C96,Players!$C$4:$G$132,2,FALSE)),0,VLOOKUP($C96,Players!$C$4:$G$132,2,FALSE))&amp;"|"</f>
        <v>#N/A</v>
      </c>
      <c r="B96" t="str">
        <f ca="1">IF(Team_Matches!$Q1209="W",Team_Matches!$B1209,IF(Team_Matches!$Q1211="W",Team_Matches!$B1211,""))</f>
        <v/>
      </c>
      <c r="C96" t="str">
        <f ca="1">IF(Team_Matches!$Q1209="L",Team_Matches!$B1209,IF(Team_Matches!$Q1211="L",Team_Matches!$B1211,""))</f>
        <v/>
      </c>
      <c r="D96" t="str">
        <f>CONCATENATE(Team_Matches!$B1182," vs ",Team_Matches!$K1182)</f>
        <v>C vs D</v>
      </c>
      <c r="E96" t="str">
        <f>Team_Matches!$A1207</f>
        <v>4th Singles</v>
      </c>
      <c r="F96" s="7" t="str">
        <f ca="1">IF(Team_Matches!$Q1209&lt;&gt;"",IF(Team_Matches!H1209&gt;Team_Matches!H1211,MIN(Team_Matches!H1209,Team_Matches!H1211),-MIN(Team_Matches!H1209,Team_Matches!H1211))*IF(Team_Matches!$Q1209="W",1,-1),"")</f>
        <v/>
      </c>
      <c r="G96" s="7" t="str">
        <f ca="1">IF(Team_Matches!$Q1209&lt;&gt;"",IF(Team_Matches!I1209&gt;Team_Matches!I1211,MIN(Team_Matches!I1209,Team_Matches!I1211),-MIN(Team_Matches!I1209,Team_Matches!I1211))*IF(Team_Matches!$Q1209="W",1,-1),"")</f>
        <v/>
      </c>
      <c r="H96" s="7" t="str">
        <f ca="1">IF(Team_Matches!$Q1209&lt;&gt;"",IF(Team_Matches!J1209&gt;Team_Matches!J1211,MIN(Team_Matches!J1209,Team_Matches!J1211),-MIN(Team_Matches!J1209,Team_Matches!J1211))*IF(Team_Matches!$Q1209="W",1,-1),"")</f>
        <v/>
      </c>
      <c r="I96" s="7" t="str">
        <f ca="1">IF(Team_Matches!$Q1209&lt;&gt;"",IF(Team_Matches!K1209=Team_Matches!K1211,"",IF(Team_Matches!K1209&gt;Team_Matches!K1211,MIN(Team_Matches!K1209,Team_Matches!K1211),-MIN(Team_Matches!K1209,Team_Matches!K1211))*IF(Team_Matches!$Q1209="W",1,-1)),"")</f>
        <v/>
      </c>
      <c r="J96" s="7" t="str">
        <f ca="1">IF(Team_Matches!$Q1209&lt;&gt;"",IF(Team_Matches!L1209=Team_Matches!L1211,"",IF(Team_Matches!L1209&gt;Team_Matches!L1211,MIN(Team_Matches!L1209,Team_Matches!L1211),-MIN(Team_Matches!L1209,Team_Matches!L1211))*IF(Team_Matches!$Q1209="W",1,-1)),"")</f>
        <v/>
      </c>
    </row>
    <row r="97" spans="1:10" x14ac:dyDescent="0.25">
      <c r="A97" s="55" t="e">
        <f>$B97&amp;";"&amp;VLOOKUP($B97,Players!$C$4:$G$132,5,FALSE)&amp;";"&amp;IF(ISERROR(VLOOKUP($B97,Players!$C$4:$G$132,2,FALSE)),0,VLOOKUP($B97,Players!$C$4:$G$132,2,FALSE))&amp;";"&amp;$C97&amp;";"&amp;VLOOKUP($C97,Players!$C$4:$G$132,5,FALSE)&amp;";"&amp;IF(ISERROR(VLOOKUP($C97,Players!$C$4:$G$132,2,FALSE)),0,VLOOKUP($C97,Players!$C$4:$G$132,2,FALSE))&amp;"|"</f>
        <v>#N/A</v>
      </c>
      <c r="B97" t="str">
        <f>IF(Team_Matches!$Q1239="W",Team_Matches!$B1239,IF(Team_Matches!$Q1241="W",Team_Matches!$B1241,""))</f>
        <v/>
      </c>
      <c r="C97" t="str">
        <f>IF(Team_Matches!$Q1239="L",Team_Matches!$B1239,IF(Team_Matches!$Q1241="L",Team_Matches!$B1241,""))</f>
        <v/>
      </c>
      <c r="D97" t="str">
        <f>CONCATENATE(Team_Matches!$B1233," vs ",Team_Matches!$K1233)</f>
        <v>A vs B</v>
      </c>
      <c r="E97" t="str">
        <f>Team_Matches!A1237</f>
        <v>1st Singles</v>
      </c>
      <c r="F97" s="7" t="str">
        <f>IF(Team_Matches!$Q1239&lt;&gt;"",IF(Team_Matches!H1239&gt;Team_Matches!H1241,MIN(Team_Matches!H1239,Team_Matches!H1241),-MIN(Team_Matches!H1239,Team_Matches!H1241))*IF(Team_Matches!$Q1239="W",1,-1),"")</f>
        <v/>
      </c>
      <c r="G97" s="7" t="str">
        <f>IF(Team_Matches!$Q1239&lt;&gt;"",IF(Team_Matches!I1239&gt;Team_Matches!I1241,MIN(Team_Matches!I1239,Team_Matches!I1241),-MIN(Team_Matches!I1239,Team_Matches!I1241))*IF(Team_Matches!$Q1239="W",1,-1),"")</f>
        <v/>
      </c>
      <c r="H97" s="7" t="str">
        <f>IF(Team_Matches!$Q1239&lt;&gt;"",IF(Team_Matches!J1239&gt;Team_Matches!J1241,MIN(Team_Matches!J1239,Team_Matches!J1241),-MIN(Team_Matches!J1239,Team_Matches!J1241))*IF(Team_Matches!$Q1239="W",1,-1),"")</f>
        <v/>
      </c>
      <c r="I97" s="7" t="str">
        <f>IF(Team_Matches!$Q1239&lt;&gt;"",IF(Team_Matches!K1239=Team_Matches!K1241,"",IF(Team_Matches!K1239&gt;Team_Matches!K1241,MIN(Team_Matches!K1239,Team_Matches!K1241),-MIN(Team_Matches!K1239,Team_Matches!K1241))*IF(Team_Matches!$Q1239="W",1,-1)),"")</f>
        <v/>
      </c>
      <c r="J97" s="7" t="str">
        <f>IF(Team_Matches!$Q1239&lt;&gt;"",IF(Team_Matches!L1239=Team_Matches!L1241,"",IF(Team_Matches!L1239&gt;Team_Matches!L1241,MIN(Team_Matches!L1239,Team_Matches!L1241),-MIN(Team_Matches!L1239,Team_Matches!L1241))*IF(Team_Matches!$Q1239="W",1,-1)),"")</f>
        <v/>
      </c>
    </row>
    <row r="98" spans="1:10" x14ac:dyDescent="0.25">
      <c r="A98" s="55" t="e">
        <f>$B98&amp;";"&amp;VLOOKUP($B98,Players!$C$4:$G$132,5,FALSE)&amp;";"&amp;IF(ISERROR(VLOOKUP($B98,Players!$C$4:$G$132,2,FALSE)),0,VLOOKUP($B98,Players!$C$4:$G$132,2,FALSE))&amp;";"&amp;$C98&amp;";"&amp;VLOOKUP($C98,Players!$C$4:$G$132,5,FALSE)&amp;";"&amp;IF(ISERROR(VLOOKUP($C98,Players!$C$4:$G$132,2,FALSE)),0,VLOOKUP($C98,Players!$C$4:$G$132,2,FALSE))&amp;"|"</f>
        <v>#N/A</v>
      </c>
      <c r="B98" t="str">
        <f>IF(Team_Matches!$Q1246="W",Team_Matches!$B1246,IF(Team_Matches!$Q1248="W",Team_Matches!$B1248,""))</f>
        <v/>
      </c>
      <c r="C98" t="str">
        <f>IF(Team_Matches!$Q1246="L",Team_Matches!$B1246,IF(Team_Matches!$Q1248="L",Team_Matches!$B1248,""))</f>
        <v/>
      </c>
      <c r="D98" t="str">
        <f>CONCATENATE(Team_Matches!$B1233," vs ",Team_Matches!$K1233)</f>
        <v>A vs B</v>
      </c>
      <c r="E98" t="str">
        <f>Team_Matches!$A1244</f>
        <v>2nd Singles</v>
      </c>
      <c r="F98" s="7" t="str">
        <f>IF(Team_Matches!$Q1246&lt;&gt;"",IF(Team_Matches!H1246&gt;Team_Matches!H1248,MIN(Team_Matches!H1246,Team_Matches!H1248),-MIN(Team_Matches!H1246,Team_Matches!H1248))*IF(Team_Matches!$Q1246="W",1,-1),"")</f>
        <v/>
      </c>
      <c r="G98" s="7" t="str">
        <f>IF(Team_Matches!$Q1246&lt;&gt;"",IF(Team_Matches!I1246&gt;Team_Matches!I1248,MIN(Team_Matches!I1246,Team_Matches!I1248),-MIN(Team_Matches!I1246,Team_Matches!I1248))*IF(Team_Matches!$Q1246="W",1,-1),"")</f>
        <v/>
      </c>
      <c r="H98" s="7" t="str">
        <f>IF(Team_Matches!$Q1246&lt;&gt;"",IF(Team_Matches!J1246&gt;Team_Matches!J1248,MIN(Team_Matches!J1246,Team_Matches!J1248),-MIN(Team_Matches!J1246,Team_Matches!J1248))*IF(Team_Matches!$Q1246="W",1,-1),"")</f>
        <v/>
      </c>
      <c r="I98" s="7" t="str">
        <f>IF(Team_Matches!$Q1246&lt;&gt;"",IF(Team_Matches!K1246=Team_Matches!K1248,"",IF(Team_Matches!K1246&gt;Team_Matches!K1248,MIN(Team_Matches!K1246,Team_Matches!K1248),-MIN(Team_Matches!K1246,Team_Matches!K1248))*IF(Team_Matches!$Q1246="W",1,-1)),"")</f>
        <v/>
      </c>
      <c r="J98" s="7" t="str">
        <f>IF(Team_Matches!$Q1246&lt;&gt;"",IF(Team_Matches!L1246=Team_Matches!L1248,"",IF(Team_Matches!L1246&gt;Team_Matches!L1248,MIN(Team_Matches!L1246,Team_Matches!L1248),-MIN(Team_Matches!L1246,Team_Matches!L1248))*IF(Team_Matches!$Q1246="W",1,-1)),"")</f>
        <v/>
      </c>
    </row>
    <row r="99" spans="1:10" x14ac:dyDescent="0.25">
      <c r="A99" s="55" t="e">
        <f>$B99&amp;";"&amp;VLOOKUP($B99,Players!$C$4:$G$132,5,FALSE)&amp;";"&amp;IF(ISERROR(VLOOKUP($B99,Players!$C$4:$G$132,2,FALSE)),0,VLOOKUP($B99,Players!$C$4:$G$132,2,FALSE))&amp;";"&amp;$C99&amp;";"&amp;VLOOKUP($C99,Players!$C$4:$G$132,5,FALSE)&amp;";"&amp;IF(ISERROR(VLOOKUP($C99,Players!$C$4:$G$132,2,FALSE)),0,VLOOKUP($C99,Players!$C$4:$G$132,2,FALSE))&amp;"|"</f>
        <v>#N/A</v>
      </c>
      <c r="B99" t="str">
        <f>IF(Team_Matches!$Q1253="W",Team_Matches!$B1253,IF(Team_Matches!$Q1255="W",Team_Matches!$B1255,""))</f>
        <v/>
      </c>
      <c r="C99" t="str">
        <f>IF(Team_Matches!$Q1253="L",Team_Matches!$B1253,IF(Team_Matches!$Q1255="L",Team_Matches!$B1255,""))</f>
        <v/>
      </c>
      <c r="D99" t="str">
        <f>CONCATENATE(Team_Matches!$B1233," vs ",Team_Matches!$K1233)</f>
        <v>A vs B</v>
      </c>
      <c r="E99" t="str">
        <f>Team_Matches!$A1251</f>
        <v>3rd Singles</v>
      </c>
      <c r="F99" s="7" t="str">
        <f>IF(Team_Matches!$Q1253&lt;&gt;"",IF(Team_Matches!H1253&gt;Team_Matches!H1255,MIN(Team_Matches!H1253,Team_Matches!H1255),-MIN(Team_Matches!H1253,Team_Matches!H1255))*IF(Team_Matches!$Q1253="W",1,-1),"")</f>
        <v/>
      </c>
      <c r="G99" s="7" t="str">
        <f>IF(Team_Matches!$Q1253&lt;&gt;"",IF(Team_Matches!I1253&gt;Team_Matches!I1255,MIN(Team_Matches!I1253,Team_Matches!I1255),-MIN(Team_Matches!I1253,Team_Matches!I1255))*IF(Team_Matches!$Q1253="W",1,-1),"")</f>
        <v/>
      </c>
      <c r="H99" s="7" t="str">
        <f>IF(Team_Matches!$Q1253&lt;&gt;"",IF(Team_Matches!J1253&gt;Team_Matches!J1255,MIN(Team_Matches!J1253,Team_Matches!J1255),-MIN(Team_Matches!J1253,Team_Matches!J1255))*IF(Team_Matches!$Q1253="W",1,-1),"")</f>
        <v/>
      </c>
      <c r="I99" s="7" t="str">
        <f>IF(Team_Matches!$Q1253&lt;&gt;"",IF(Team_Matches!K1253=Team_Matches!K1255,"",IF(Team_Matches!K1253&gt;Team_Matches!K1255,MIN(Team_Matches!K1253,Team_Matches!K1255),-MIN(Team_Matches!K1253,Team_Matches!K1255))*IF(Team_Matches!$Q1253="W",1,-1)),"")</f>
        <v/>
      </c>
      <c r="J99" s="7" t="str">
        <f>IF(Team_Matches!$Q1253&lt;&gt;"",IF(Team_Matches!L1253=Team_Matches!L1255,"",IF(Team_Matches!L1253&gt;Team_Matches!L1255,MIN(Team_Matches!L1253,Team_Matches!L1255),-MIN(Team_Matches!L1253,Team_Matches!L1255))*IF(Team_Matches!$Q1253="W",1,-1)),"")</f>
        <v/>
      </c>
    </row>
    <row r="100" spans="1:10" x14ac:dyDescent="0.25">
      <c r="A100" s="55" t="e">
        <f ca="1">$B100&amp;";"&amp;VLOOKUP($B100,Players!$C$4:$G$132,5,FALSE)&amp;";"&amp;IF(ISERROR(VLOOKUP($B100,Players!$C$4:$G$132,2,FALSE)),0,VLOOKUP($B100,Players!$C$4:$G$132,2,FALSE))&amp;";"&amp;$C100&amp;";"&amp;VLOOKUP($C100,Players!$C$4:$G$132,5,FALSE)&amp;";"&amp;IF(ISERROR(VLOOKUP($C100,Players!$C$4:$G$132,2,FALSE)),0,VLOOKUP($C100,Players!$C$4:$G$132,2,FALSE))&amp;"|"</f>
        <v>#N/A</v>
      </c>
      <c r="B100" t="str">
        <f ca="1">IF(Team_Matches!$Q1260="W",Team_Matches!$B1260,IF(Team_Matches!$Q1262="W",Team_Matches!$B1262,""))</f>
        <v/>
      </c>
      <c r="C100" t="str">
        <f ca="1">IF(Team_Matches!$Q1260="L",Team_Matches!$B1260,IF(Team_Matches!$Q1262="L",Team_Matches!$B1262,""))</f>
        <v/>
      </c>
      <c r="D100" t="str">
        <f>CONCATENATE(Team_Matches!$B1233," vs ",Team_Matches!$K1233)</f>
        <v>A vs B</v>
      </c>
      <c r="E100" t="str">
        <f>Team_Matches!$A1258</f>
        <v>4th Singles</v>
      </c>
      <c r="F100" s="7" t="str">
        <f ca="1">IF(Team_Matches!$Q1260&lt;&gt;"",IF(Team_Matches!H1260&gt;Team_Matches!H1262,MIN(Team_Matches!H1260,Team_Matches!H1262),-MIN(Team_Matches!H1260,Team_Matches!H1262))*IF(Team_Matches!$Q1260="W",1,-1),"")</f>
        <v/>
      </c>
      <c r="G100" s="7" t="str">
        <f ca="1">IF(Team_Matches!$Q1260&lt;&gt;"",IF(Team_Matches!I1260&gt;Team_Matches!I1262,MIN(Team_Matches!I1260,Team_Matches!I1262),-MIN(Team_Matches!I1260,Team_Matches!I1262))*IF(Team_Matches!$Q1260="W",1,-1),"")</f>
        <v/>
      </c>
      <c r="H100" s="7" t="str">
        <f ca="1">IF(Team_Matches!$Q1260&lt;&gt;"",IF(Team_Matches!J1260&gt;Team_Matches!J1262,MIN(Team_Matches!J1260,Team_Matches!J1262),-MIN(Team_Matches!J1260,Team_Matches!J1262))*IF(Team_Matches!$Q1260="W",1,-1),"")</f>
        <v/>
      </c>
      <c r="I100" s="7" t="str">
        <f ca="1">IF(Team_Matches!$Q1260&lt;&gt;"",IF(Team_Matches!K1260=Team_Matches!K1262,"",IF(Team_Matches!K1260&gt;Team_Matches!K1262,MIN(Team_Matches!K1260,Team_Matches!K1262),-MIN(Team_Matches!K1260,Team_Matches!K1262))*IF(Team_Matches!$Q1260="W",1,-1)),"")</f>
        <v/>
      </c>
      <c r="J100" s="7" t="str">
        <f ca="1">IF(Team_Matches!$Q1260&lt;&gt;"",IF(Team_Matches!L1260=Team_Matches!L1262,"",IF(Team_Matches!L1260&gt;Team_Matches!L1262,MIN(Team_Matches!L1260,Team_Matches!L1262),-MIN(Team_Matches!L1260,Team_Matches!L1262))*IF(Team_Matches!$Q1260="W",1,-1)),"")</f>
        <v/>
      </c>
    </row>
    <row r="101" spans="1:10" x14ac:dyDescent="0.25">
      <c r="A101" s="55" t="e">
        <f>$B101&amp;";"&amp;VLOOKUP($B101,Players!$C$4:$G$132,5,FALSE)&amp;";"&amp;IF(ISERROR(VLOOKUP($B101,Players!$C$4:$G$132,2,FALSE)),0,VLOOKUP($B101,Players!$C$4:$G$132,2,FALSE))&amp;";"&amp;$C101&amp;";"&amp;VLOOKUP($C101,Players!$C$4:$G$132,5,FALSE)&amp;";"&amp;IF(ISERROR(VLOOKUP($C101,Players!$C$4:$G$132,2,FALSE)),0,VLOOKUP($C101,Players!$C$4:$G$132,2,FALSE))&amp;"|"</f>
        <v>#N/A</v>
      </c>
      <c r="B101" t="str">
        <f>IF(Team_Matches!$Q1290="W",Team_Matches!$B1290,IF(Team_Matches!$Q1292="W",Team_Matches!$B1292,""))</f>
        <v/>
      </c>
      <c r="C101" t="str">
        <f>IF(Team_Matches!$Q1290="L",Team_Matches!$B1290,IF(Team_Matches!$Q1292="L",Team_Matches!$B1292,""))</f>
        <v/>
      </c>
      <c r="D101" t="str">
        <f>CONCATENATE(Team_Matches!$B1284," vs ",Team_Matches!$K1284)</f>
        <v>C vs L</v>
      </c>
      <c r="E101" t="str">
        <f>Team_Matches!A1288</f>
        <v>1st Singles</v>
      </c>
      <c r="F101" s="7" t="str">
        <f>IF(Team_Matches!$Q1290&lt;&gt;"",IF(Team_Matches!H1290&gt;Team_Matches!H1292,MIN(Team_Matches!H1290,Team_Matches!H1292),-MIN(Team_Matches!H1290,Team_Matches!H1292))*IF(Team_Matches!$Q1290="W",1,-1),"")</f>
        <v/>
      </c>
      <c r="G101" s="7" t="str">
        <f>IF(Team_Matches!$Q1290&lt;&gt;"",IF(Team_Matches!I1290&gt;Team_Matches!I1292,MIN(Team_Matches!I1290,Team_Matches!I1292),-MIN(Team_Matches!I1290,Team_Matches!I1292))*IF(Team_Matches!$Q1290="W",1,-1),"")</f>
        <v/>
      </c>
      <c r="H101" s="7" t="str">
        <f>IF(Team_Matches!$Q1290&lt;&gt;"",IF(Team_Matches!J1290&gt;Team_Matches!J1292,MIN(Team_Matches!J1290,Team_Matches!J1292),-MIN(Team_Matches!J1290,Team_Matches!J1292))*IF(Team_Matches!$Q1290="W",1,-1),"")</f>
        <v/>
      </c>
      <c r="I101" s="7" t="str">
        <f>IF(Team_Matches!$Q1290&lt;&gt;"",IF(Team_Matches!K1290=Team_Matches!K1292,"",IF(Team_Matches!K1290&gt;Team_Matches!K1292,MIN(Team_Matches!K1290,Team_Matches!K1292),-MIN(Team_Matches!K1290,Team_Matches!K1292))*IF(Team_Matches!$Q1290="W",1,-1)),"")</f>
        <v/>
      </c>
      <c r="J101" s="7" t="str">
        <f>IF(Team_Matches!$Q1290&lt;&gt;"",IF(Team_Matches!L1290=Team_Matches!L1292,"",IF(Team_Matches!L1290&gt;Team_Matches!L1292,MIN(Team_Matches!L1290,Team_Matches!L1292),-MIN(Team_Matches!L1290,Team_Matches!L1292))*IF(Team_Matches!$Q1290="W",1,-1)),"")</f>
        <v/>
      </c>
    </row>
    <row r="102" spans="1:10" x14ac:dyDescent="0.25">
      <c r="A102" s="55" t="e">
        <f>$B102&amp;";"&amp;VLOOKUP($B102,Players!$C$4:$G$132,5,FALSE)&amp;";"&amp;IF(ISERROR(VLOOKUP($B102,Players!$C$4:$G$132,2,FALSE)),0,VLOOKUP($B102,Players!$C$4:$G$132,2,FALSE))&amp;";"&amp;$C102&amp;";"&amp;VLOOKUP($C102,Players!$C$4:$G$132,5,FALSE)&amp;";"&amp;IF(ISERROR(VLOOKUP($C102,Players!$C$4:$G$132,2,FALSE)),0,VLOOKUP($C102,Players!$C$4:$G$132,2,FALSE))&amp;"|"</f>
        <v>#N/A</v>
      </c>
      <c r="B102" t="str">
        <f>IF(Team_Matches!$Q1297="W",Team_Matches!$B1297,IF(Team_Matches!$Q1299="W",Team_Matches!$B1299,""))</f>
        <v/>
      </c>
      <c r="C102" t="str">
        <f>IF(Team_Matches!$Q1297="L",Team_Matches!$B1297,IF(Team_Matches!$Q1299="L",Team_Matches!$B1299,""))</f>
        <v/>
      </c>
      <c r="D102" t="str">
        <f>CONCATENATE(Team_Matches!$B1284," vs ",Team_Matches!$K1284)</f>
        <v>C vs L</v>
      </c>
      <c r="E102" t="str">
        <f>Team_Matches!$A1295</f>
        <v>2nd Singles</v>
      </c>
      <c r="F102" s="7" t="str">
        <f>IF(Team_Matches!$Q1297&lt;&gt;"",IF(Team_Matches!H1297&gt;Team_Matches!H1299,MIN(Team_Matches!H1297,Team_Matches!H1299),-MIN(Team_Matches!H1297,Team_Matches!H1299))*IF(Team_Matches!$Q1297="W",1,-1),"")</f>
        <v/>
      </c>
      <c r="G102" s="7" t="str">
        <f>IF(Team_Matches!$Q1297&lt;&gt;"",IF(Team_Matches!I1297&gt;Team_Matches!I1299,MIN(Team_Matches!I1297,Team_Matches!I1299),-MIN(Team_Matches!I1297,Team_Matches!I1299))*IF(Team_Matches!$Q1297="W",1,-1),"")</f>
        <v/>
      </c>
      <c r="H102" s="7" t="str">
        <f>IF(Team_Matches!$Q1297&lt;&gt;"",IF(Team_Matches!J1297&gt;Team_Matches!J1299,MIN(Team_Matches!J1297,Team_Matches!J1299),-MIN(Team_Matches!J1297,Team_Matches!J1299))*IF(Team_Matches!$Q1297="W",1,-1),"")</f>
        <v/>
      </c>
      <c r="I102" s="7" t="str">
        <f>IF(Team_Matches!$Q1297&lt;&gt;"",IF(Team_Matches!K1297=Team_Matches!K1299,"",IF(Team_Matches!K1297&gt;Team_Matches!K1299,MIN(Team_Matches!K1297,Team_Matches!K1299),-MIN(Team_Matches!K1297,Team_Matches!K1299))*IF(Team_Matches!$Q1297="W",1,-1)),"")</f>
        <v/>
      </c>
      <c r="J102" s="7" t="str">
        <f>IF(Team_Matches!$Q1297&lt;&gt;"",IF(Team_Matches!L1297=Team_Matches!L1299,"",IF(Team_Matches!L1297&gt;Team_Matches!L1299,MIN(Team_Matches!L1297,Team_Matches!L1299),-MIN(Team_Matches!L1297,Team_Matches!L1299))*IF(Team_Matches!$Q1297="W",1,-1)),"")</f>
        <v/>
      </c>
    </row>
    <row r="103" spans="1:10" x14ac:dyDescent="0.25">
      <c r="A103" s="55" t="e">
        <f>$B103&amp;";"&amp;VLOOKUP($B103,Players!$C$4:$G$132,5,FALSE)&amp;";"&amp;IF(ISERROR(VLOOKUP($B103,Players!$C$4:$G$132,2,FALSE)),0,VLOOKUP($B103,Players!$C$4:$G$132,2,FALSE))&amp;";"&amp;$C103&amp;";"&amp;VLOOKUP($C103,Players!$C$4:$G$132,5,FALSE)&amp;";"&amp;IF(ISERROR(VLOOKUP($C103,Players!$C$4:$G$132,2,FALSE)),0,VLOOKUP($C103,Players!$C$4:$G$132,2,FALSE))&amp;"|"</f>
        <v>#N/A</v>
      </c>
      <c r="B103" t="str">
        <f>IF(Team_Matches!$Q1304="W",Team_Matches!$B1304,IF(Team_Matches!$Q1306="W",Team_Matches!$B1306,""))</f>
        <v/>
      </c>
      <c r="C103" t="str">
        <f>IF(Team_Matches!$Q1304="L",Team_Matches!$B1304,IF(Team_Matches!$Q1306="L",Team_Matches!$B1306,""))</f>
        <v/>
      </c>
      <c r="D103" t="str">
        <f>CONCATENATE(Team_Matches!$B1284," vs ",Team_Matches!$K1284)</f>
        <v>C vs L</v>
      </c>
      <c r="E103" t="str">
        <f>Team_Matches!$A1302</f>
        <v>3rd Singles</v>
      </c>
      <c r="F103" s="7" t="str">
        <f>IF(Team_Matches!$Q1304&lt;&gt;"",IF(Team_Matches!H1304&gt;Team_Matches!H1306,MIN(Team_Matches!H1304,Team_Matches!H1306),-MIN(Team_Matches!H1304,Team_Matches!H1306))*IF(Team_Matches!$Q1304="W",1,-1),"")</f>
        <v/>
      </c>
      <c r="G103" s="7" t="str">
        <f>IF(Team_Matches!$Q1304&lt;&gt;"",IF(Team_Matches!I1304&gt;Team_Matches!I1306,MIN(Team_Matches!I1304,Team_Matches!I1306),-MIN(Team_Matches!I1304,Team_Matches!I1306))*IF(Team_Matches!$Q1304="W",1,-1),"")</f>
        <v/>
      </c>
      <c r="H103" s="7" t="str">
        <f>IF(Team_Matches!$Q1304&lt;&gt;"",IF(Team_Matches!J1304&gt;Team_Matches!J1306,MIN(Team_Matches!J1304,Team_Matches!J1306),-MIN(Team_Matches!J1304,Team_Matches!J1306))*IF(Team_Matches!$Q1304="W",1,-1),"")</f>
        <v/>
      </c>
      <c r="I103" s="7" t="str">
        <f>IF(Team_Matches!$Q1304&lt;&gt;"",IF(Team_Matches!K1304=Team_Matches!K1306,"",IF(Team_Matches!K1304&gt;Team_Matches!K1306,MIN(Team_Matches!K1304,Team_Matches!K1306),-MIN(Team_Matches!K1304,Team_Matches!K1306))*IF(Team_Matches!$Q1304="W",1,-1)),"")</f>
        <v/>
      </c>
      <c r="J103" s="7" t="str">
        <f>IF(Team_Matches!$Q1304&lt;&gt;"",IF(Team_Matches!L1304=Team_Matches!L1306,"",IF(Team_Matches!L1304&gt;Team_Matches!L1306,MIN(Team_Matches!L1304,Team_Matches!L1306),-MIN(Team_Matches!L1304,Team_Matches!L1306))*IF(Team_Matches!$Q1304="W",1,-1)),"")</f>
        <v/>
      </c>
    </row>
    <row r="104" spans="1:10" x14ac:dyDescent="0.25">
      <c r="A104" s="55" t="e">
        <f ca="1">$B104&amp;";"&amp;VLOOKUP($B104,Players!$C$4:$G$132,5,FALSE)&amp;";"&amp;IF(ISERROR(VLOOKUP($B104,Players!$C$4:$G$132,2,FALSE)),0,VLOOKUP($B104,Players!$C$4:$G$132,2,FALSE))&amp;";"&amp;$C104&amp;";"&amp;VLOOKUP($C104,Players!$C$4:$G$132,5,FALSE)&amp;";"&amp;IF(ISERROR(VLOOKUP($C104,Players!$C$4:$G$132,2,FALSE)),0,VLOOKUP($C104,Players!$C$4:$G$132,2,FALSE))&amp;"|"</f>
        <v>#N/A</v>
      </c>
      <c r="B104" t="str">
        <f ca="1">IF(Team_Matches!$Q1311="W",Team_Matches!$B1311,IF(Team_Matches!$Q1313="W",Team_Matches!$B1313,""))</f>
        <v/>
      </c>
      <c r="C104" t="str">
        <f ca="1">IF(Team_Matches!$Q1311="L",Team_Matches!$B1311,IF(Team_Matches!$Q1313="L",Team_Matches!$B1313,""))</f>
        <v/>
      </c>
      <c r="D104" t="str">
        <f>CONCATENATE(Team_Matches!$B1284," vs ",Team_Matches!$K1284)</f>
        <v>C vs L</v>
      </c>
      <c r="E104" t="str">
        <f>Team_Matches!$A1309</f>
        <v>4th Singles</v>
      </c>
      <c r="F104" s="7" t="str">
        <f ca="1">IF(Team_Matches!$Q1311&lt;&gt;"",IF(Team_Matches!H1311&gt;Team_Matches!H1313,MIN(Team_Matches!H1311,Team_Matches!H1313),-MIN(Team_Matches!H1311,Team_Matches!H1313))*IF(Team_Matches!$Q1311="W",1,-1),"")</f>
        <v/>
      </c>
      <c r="G104" s="7" t="str">
        <f ca="1">IF(Team_Matches!$Q1311&lt;&gt;"",IF(Team_Matches!I1311&gt;Team_Matches!I1313,MIN(Team_Matches!I1311,Team_Matches!I1313),-MIN(Team_Matches!I1311,Team_Matches!I1313))*IF(Team_Matches!$Q1311="W",1,-1),"")</f>
        <v/>
      </c>
      <c r="H104" s="7" t="str">
        <f ca="1">IF(Team_Matches!$Q1311&lt;&gt;"",IF(Team_Matches!J1311&gt;Team_Matches!J1313,MIN(Team_Matches!J1311,Team_Matches!J1313),-MIN(Team_Matches!J1311,Team_Matches!J1313))*IF(Team_Matches!$Q1311="W",1,-1),"")</f>
        <v/>
      </c>
      <c r="I104" s="7" t="str">
        <f ca="1">IF(Team_Matches!$Q1311&lt;&gt;"",IF(Team_Matches!K1311=Team_Matches!K1313,"",IF(Team_Matches!K1311&gt;Team_Matches!K1313,MIN(Team_Matches!K1311,Team_Matches!K1313),-MIN(Team_Matches!K1311,Team_Matches!K1313))*IF(Team_Matches!$Q1311="W",1,-1)),"")</f>
        <v/>
      </c>
      <c r="J104" s="7" t="str">
        <f ca="1">IF(Team_Matches!$Q1311&lt;&gt;"",IF(Team_Matches!L1311=Team_Matches!L1313,"",IF(Team_Matches!L1311&gt;Team_Matches!L1313,MIN(Team_Matches!L1311,Team_Matches!L1313),-MIN(Team_Matches!L1311,Team_Matches!L1313))*IF(Team_Matches!$Q1311="W",1,-1)),"")</f>
        <v/>
      </c>
    </row>
    <row r="105" spans="1:10" x14ac:dyDescent="0.25">
      <c r="A105" s="55" t="e">
        <f>$B105&amp;";"&amp;VLOOKUP($B105,Players!$C$4:$G$132,5,FALSE)&amp;";"&amp;IF(ISERROR(VLOOKUP($B105,Players!$C$4:$G$132,2,FALSE)),0,VLOOKUP($B105,Players!$C$4:$G$132,2,FALSE))&amp;";"&amp;$C105&amp;";"&amp;VLOOKUP($C105,Players!$C$4:$G$132,5,FALSE)&amp;";"&amp;IF(ISERROR(VLOOKUP($C105,Players!$C$4:$G$132,2,FALSE)),0,VLOOKUP($C105,Players!$C$4:$G$132,2,FALSE))&amp;"|"</f>
        <v>#N/A</v>
      </c>
      <c r="B105" t="str">
        <f>IF(Team_Matches!$Q1341="W",Team_Matches!$B1341,IF(Team_Matches!$Q1343="W",Team_Matches!$B1343,""))</f>
        <v/>
      </c>
      <c r="C105" t="str">
        <f>IF(Team_Matches!$Q1341="L",Team_Matches!$B1341,IF(Team_Matches!$Q1343="L",Team_Matches!$B1343,""))</f>
        <v/>
      </c>
      <c r="D105" t="str">
        <f>CONCATENATE(Team_Matches!$B1335," vs ",Team_Matches!$K1335)</f>
        <v>D vs K</v>
      </c>
      <c r="E105" t="str">
        <f>Team_Matches!A1339</f>
        <v>1st Singles</v>
      </c>
      <c r="F105" s="7" t="str">
        <f>IF(Team_Matches!$Q1341&lt;&gt;"",IF(Team_Matches!H1341&gt;Team_Matches!H1343,MIN(Team_Matches!H1341,Team_Matches!H1343),-MIN(Team_Matches!H1341,Team_Matches!H1343))*IF(Team_Matches!$Q1341="W",1,-1),"")</f>
        <v/>
      </c>
      <c r="G105" s="7" t="str">
        <f>IF(Team_Matches!$Q1341&lt;&gt;"",IF(Team_Matches!I1341&gt;Team_Matches!I1343,MIN(Team_Matches!I1341,Team_Matches!I1343),-MIN(Team_Matches!I1341,Team_Matches!I1343))*IF(Team_Matches!$Q1341="W",1,-1),"")</f>
        <v/>
      </c>
      <c r="H105" s="7" t="str">
        <f>IF(Team_Matches!$Q1341&lt;&gt;"",IF(Team_Matches!J1341&gt;Team_Matches!J1343,MIN(Team_Matches!J1341,Team_Matches!J1343),-MIN(Team_Matches!J1341,Team_Matches!J1343))*IF(Team_Matches!$Q1341="W",1,-1),"")</f>
        <v/>
      </c>
      <c r="I105" s="7" t="str">
        <f>IF(Team_Matches!$Q1341&lt;&gt;"",IF(Team_Matches!K1341=Team_Matches!K1343,"",IF(Team_Matches!K1341&gt;Team_Matches!K1343,MIN(Team_Matches!K1341,Team_Matches!K1343),-MIN(Team_Matches!K1341,Team_Matches!K1343))*IF(Team_Matches!$Q1341="W",1,-1)),"")</f>
        <v/>
      </c>
      <c r="J105" s="7" t="str">
        <f>IF(Team_Matches!$Q1341&lt;&gt;"",IF(Team_Matches!L1341=Team_Matches!L1343,"",IF(Team_Matches!L1341&gt;Team_Matches!L1343,MIN(Team_Matches!L1341,Team_Matches!L1343),-MIN(Team_Matches!L1341,Team_Matches!L1343))*IF(Team_Matches!$Q1341="W",1,-1)),"")</f>
        <v/>
      </c>
    </row>
    <row r="106" spans="1:10" x14ac:dyDescent="0.25">
      <c r="A106" s="55" t="e">
        <f>$B106&amp;";"&amp;VLOOKUP($B106,Players!$C$4:$G$132,5,FALSE)&amp;";"&amp;IF(ISERROR(VLOOKUP($B106,Players!$C$4:$G$132,2,FALSE)),0,VLOOKUP($B106,Players!$C$4:$G$132,2,FALSE))&amp;";"&amp;$C106&amp;";"&amp;VLOOKUP($C106,Players!$C$4:$G$132,5,FALSE)&amp;";"&amp;IF(ISERROR(VLOOKUP($C106,Players!$C$4:$G$132,2,FALSE)),0,VLOOKUP($C106,Players!$C$4:$G$132,2,FALSE))&amp;"|"</f>
        <v>#N/A</v>
      </c>
      <c r="B106" t="str">
        <f>IF(Team_Matches!$Q1348="W",Team_Matches!$B1348,IF(Team_Matches!$Q1350="W",Team_Matches!$B1350,""))</f>
        <v/>
      </c>
      <c r="C106" t="str">
        <f>IF(Team_Matches!$Q1348="L",Team_Matches!$B1348,IF(Team_Matches!$Q1350="L",Team_Matches!$B1350,""))</f>
        <v/>
      </c>
      <c r="D106" t="str">
        <f>CONCATENATE(Team_Matches!$B1335," vs ",Team_Matches!$K1335)</f>
        <v>D vs K</v>
      </c>
      <c r="E106" t="str">
        <f>Team_Matches!$A1346</f>
        <v>2nd Singles</v>
      </c>
      <c r="F106" s="7" t="str">
        <f>IF(Team_Matches!$Q1348&lt;&gt;"",IF(Team_Matches!H1348&gt;Team_Matches!H1350,MIN(Team_Matches!H1348,Team_Matches!H1350),-MIN(Team_Matches!H1348,Team_Matches!H1350))*IF(Team_Matches!$Q1348="W",1,-1),"")</f>
        <v/>
      </c>
      <c r="G106" s="7" t="str">
        <f>IF(Team_Matches!$Q1348&lt;&gt;"",IF(Team_Matches!I1348&gt;Team_Matches!I1350,MIN(Team_Matches!I1348,Team_Matches!I1350),-MIN(Team_Matches!I1348,Team_Matches!I1350))*IF(Team_Matches!$Q1348="W",1,-1),"")</f>
        <v/>
      </c>
      <c r="H106" s="7" t="str">
        <f>IF(Team_Matches!$Q1348&lt;&gt;"",IF(Team_Matches!J1348&gt;Team_Matches!J1350,MIN(Team_Matches!J1348,Team_Matches!J1350),-MIN(Team_Matches!J1348,Team_Matches!J1350))*IF(Team_Matches!$Q1348="W",1,-1),"")</f>
        <v/>
      </c>
      <c r="I106" s="7" t="str">
        <f>IF(Team_Matches!$Q1348&lt;&gt;"",IF(Team_Matches!K1348=Team_Matches!K1350,"",IF(Team_Matches!K1348&gt;Team_Matches!K1350,MIN(Team_Matches!K1348,Team_Matches!K1350),-MIN(Team_Matches!K1348,Team_Matches!K1350))*IF(Team_Matches!$Q1348="W",1,-1)),"")</f>
        <v/>
      </c>
      <c r="J106" s="7" t="str">
        <f>IF(Team_Matches!$Q1348&lt;&gt;"",IF(Team_Matches!L1348=Team_Matches!L1350,"",IF(Team_Matches!L1348&gt;Team_Matches!L1350,MIN(Team_Matches!L1348,Team_Matches!L1350),-MIN(Team_Matches!L1348,Team_Matches!L1350))*IF(Team_Matches!$Q1348="W",1,-1)),"")</f>
        <v/>
      </c>
    </row>
    <row r="107" spans="1:10" x14ac:dyDescent="0.25">
      <c r="A107" s="55" t="e">
        <f>$B107&amp;";"&amp;VLOOKUP($B107,Players!$C$4:$G$132,5,FALSE)&amp;";"&amp;IF(ISERROR(VLOOKUP($B107,Players!$C$4:$G$132,2,FALSE)),0,VLOOKUP($B107,Players!$C$4:$G$132,2,FALSE))&amp;";"&amp;$C107&amp;";"&amp;VLOOKUP($C107,Players!$C$4:$G$132,5,FALSE)&amp;";"&amp;IF(ISERROR(VLOOKUP($C107,Players!$C$4:$G$132,2,FALSE)),0,VLOOKUP($C107,Players!$C$4:$G$132,2,FALSE))&amp;"|"</f>
        <v>#N/A</v>
      </c>
      <c r="B107" t="str">
        <f>IF(Team_Matches!$Q1355="W",Team_Matches!$B1355,IF(Team_Matches!$Q1357="W",Team_Matches!$B1357,""))</f>
        <v/>
      </c>
      <c r="C107" t="str">
        <f>IF(Team_Matches!$Q1355="L",Team_Matches!$B1355,IF(Team_Matches!$Q1357="L",Team_Matches!$B1357,""))</f>
        <v/>
      </c>
      <c r="D107" t="str">
        <f>CONCATENATE(Team_Matches!$B1335," vs ",Team_Matches!$K1335)</f>
        <v>D vs K</v>
      </c>
      <c r="E107" t="str">
        <f>Team_Matches!$A1353</f>
        <v>3rd Singles</v>
      </c>
      <c r="F107" s="7" t="str">
        <f>IF(Team_Matches!$Q1355&lt;&gt;"",IF(Team_Matches!H1355&gt;Team_Matches!H1357,MIN(Team_Matches!H1355,Team_Matches!H1357),-MIN(Team_Matches!H1355,Team_Matches!H1357))*IF(Team_Matches!$Q1355="W",1,-1),"")</f>
        <v/>
      </c>
      <c r="G107" s="7" t="str">
        <f>IF(Team_Matches!$Q1355&lt;&gt;"",IF(Team_Matches!I1355&gt;Team_Matches!I1357,MIN(Team_Matches!I1355,Team_Matches!I1357),-MIN(Team_Matches!I1355,Team_Matches!I1357))*IF(Team_Matches!$Q1355="W",1,-1),"")</f>
        <v/>
      </c>
      <c r="H107" s="7" t="str">
        <f>IF(Team_Matches!$Q1355&lt;&gt;"",IF(Team_Matches!J1355&gt;Team_Matches!J1357,MIN(Team_Matches!J1355,Team_Matches!J1357),-MIN(Team_Matches!J1355,Team_Matches!J1357))*IF(Team_Matches!$Q1355="W",1,-1),"")</f>
        <v/>
      </c>
      <c r="I107" s="7" t="str">
        <f>IF(Team_Matches!$Q1355&lt;&gt;"",IF(Team_Matches!K1355=Team_Matches!K1357,"",IF(Team_Matches!K1355&gt;Team_Matches!K1357,MIN(Team_Matches!K1355,Team_Matches!K1357),-MIN(Team_Matches!K1355,Team_Matches!K1357))*IF(Team_Matches!$Q1355="W",1,-1)),"")</f>
        <v/>
      </c>
      <c r="J107" s="7" t="str">
        <f>IF(Team_Matches!$Q1355&lt;&gt;"",IF(Team_Matches!L1355=Team_Matches!L1357,"",IF(Team_Matches!L1355&gt;Team_Matches!L1357,MIN(Team_Matches!L1355,Team_Matches!L1357),-MIN(Team_Matches!L1355,Team_Matches!L1357))*IF(Team_Matches!$Q1355="W",1,-1)),"")</f>
        <v/>
      </c>
    </row>
    <row r="108" spans="1:10" x14ac:dyDescent="0.25">
      <c r="A108" s="55" t="e">
        <f ca="1">$B108&amp;";"&amp;VLOOKUP($B108,Players!$C$4:$G$132,5,FALSE)&amp;";"&amp;IF(ISERROR(VLOOKUP($B108,Players!$C$4:$G$132,2,FALSE)),0,VLOOKUP($B108,Players!$C$4:$G$132,2,FALSE))&amp;";"&amp;$C108&amp;";"&amp;VLOOKUP($C108,Players!$C$4:$G$132,5,FALSE)&amp;";"&amp;IF(ISERROR(VLOOKUP($C108,Players!$C$4:$G$132,2,FALSE)),0,VLOOKUP($C108,Players!$C$4:$G$132,2,FALSE))&amp;"|"</f>
        <v>#N/A</v>
      </c>
      <c r="B108" t="str">
        <f ca="1">IF(Team_Matches!$Q1362="W",Team_Matches!$B1362,IF(Team_Matches!$Q1364="W",Team_Matches!$B1364,""))</f>
        <v/>
      </c>
      <c r="C108" t="str">
        <f ca="1">IF(Team_Matches!$Q1362="L",Team_Matches!$B1362,IF(Team_Matches!$Q1364="L",Team_Matches!$B1364,""))</f>
        <v/>
      </c>
      <c r="D108" t="str">
        <f>CONCATENATE(Team_Matches!$B1335," vs ",Team_Matches!$K1335)</f>
        <v>D vs K</v>
      </c>
      <c r="E108" t="str">
        <f>Team_Matches!$A1360</f>
        <v>4th Singles</v>
      </c>
      <c r="F108" s="7" t="str">
        <f ca="1">IF(Team_Matches!$Q1362&lt;&gt;"",IF(Team_Matches!H1362&gt;Team_Matches!H1364,MIN(Team_Matches!H1362,Team_Matches!H1364),-MIN(Team_Matches!H1362,Team_Matches!H1364))*IF(Team_Matches!$Q1362="W",1,-1),"")</f>
        <v/>
      </c>
      <c r="G108" s="7" t="str">
        <f ca="1">IF(Team_Matches!$Q1362&lt;&gt;"",IF(Team_Matches!I1362&gt;Team_Matches!I1364,MIN(Team_Matches!I1362,Team_Matches!I1364),-MIN(Team_Matches!I1362,Team_Matches!I1364))*IF(Team_Matches!$Q1362="W",1,-1),"")</f>
        <v/>
      </c>
      <c r="H108" s="7" t="str">
        <f ca="1">IF(Team_Matches!$Q1362&lt;&gt;"",IF(Team_Matches!J1362&gt;Team_Matches!J1364,MIN(Team_Matches!J1362,Team_Matches!J1364),-MIN(Team_Matches!J1362,Team_Matches!J1364))*IF(Team_Matches!$Q1362="W",1,-1),"")</f>
        <v/>
      </c>
      <c r="I108" s="7" t="str">
        <f ca="1">IF(Team_Matches!$Q1362&lt;&gt;"",IF(Team_Matches!K1362=Team_Matches!K1364,"",IF(Team_Matches!K1362&gt;Team_Matches!K1364,MIN(Team_Matches!K1362,Team_Matches!K1364),-MIN(Team_Matches!K1362,Team_Matches!K1364))*IF(Team_Matches!$Q1362="W",1,-1)),"")</f>
        <v/>
      </c>
      <c r="J108" s="7" t="str">
        <f ca="1">IF(Team_Matches!$Q1362&lt;&gt;"",IF(Team_Matches!L1362=Team_Matches!L1364,"",IF(Team_Matches!L1362&gt;Team_Matches!L1364,MIN(Team_Matches!L1362,Team_Matches!L1364),-MIN(Team_Matches!L1362,Team_Matches!L1364))*IF(Team_Matches!$Q1362="W",1,-1)),"")</f>
        <v/>
      </c>
    </row>
    <row r="109" spans="1:10" x14ac:dyDescent="0.25">
      <c r="A109" s="55" t="e">
        <f>$B109&amp;";"&amp;VLOOKUP($B109,Players!$C$4:$G$132,5,FALSE)&amp;";"&amp;IF(ISERROR(VLOOKUP($B109,Players!$C$4:$G$132,2,FALSE)),0,VLOOKUP($B109,Players!$C$4:$G$132,2,FALSE))&amp;";"&amp;$C109&amp;";"&amp;VLOOKUP($C109,Players!$C$4:$G$132,5,FALSE)&amp;";"&amp;IF(ISERROR(VLOOKUP($C109,Players!$C$4:$G$132,2,FALSE)),0,VLOOKUP($C109,Players!$C$4:$G$132,2,FALSE))&amp;"|"</f>
        <v>#N/A</v>
      </c>
      <c r="B109" t="str">
        <f>IF(Team_Matches!$Q1392="W",Team_Matches!$B1392,IF(Team_Matches!$Q1394="W",Team_Matches!$B1394,""))</f>
        <v/>
      </c>
      <c r="C109" t="str">
        <f>IF(Team_Matches!$Q1392="L",Team_Matches!$B1392,IF(Team_Matches!$Q1394="L",Team_Matches!$B1394,""))</f>
        <v/>
      </c>
      <c r="D109" t="str">
        <f>CONCATENATE(Team_Matches!$B1386," vs ",Team_Matches!$K1386)</f>
        <v>E vs J</v>
      </c>
      <c r="E109" t="str">
        <f>Team_Matches!A1390</f>
        <v>1st Singles</v>
      </c>
      <c r="F109" s="7" t="str">
        <f>IF(Team_Matches!$Q1392&lt;&gt;"",IF(Team_Matches!H1392&gt;Team_Matches!H1394,MIN(Team_Matches!H1392,Team_Matches!H1394),-MIN(Team_Matches!H1392,Team_Matches!H1394))*IF(Team_Matches!$Q1392="W",1,-1),"")</f>
        <v/>
      </c>
      <c r="G109" s="7" t="str">
        <f>IF(Team_Matches!$Q1392&lt;&gt;"",IF(Team_Matches!I1392&gt;Team_Matches!I1394,MIN(Team_Matches!I1392,Team_Matches!I1394),-MIN(Team_Matches!I1392,Team_Matches!I1394))*IF(Team_Matches!$Q1392="W",1,-1),"")</f>
        <v/>
      </c>
      <c r="H109" s="7" t="str">
        <f>IF(Team_Matches!$Q1392&lt;&gt;"",IF(Team_Matches!J1392&gt;Team_Matches!J1394,MIN(Team_Matches!J1392,Team_Matches!J1394),-MIN(Team_Matches!J1392,Team_Matches!J1394))*IF(Team_Matches!$Q1392="W",1,-1),"")</f>
        <v/>
      </c>
      <c r="I109" s="7" t="str">
        <f>IF(Team_Matches!$Q1392&lt;&gt;"",IF(Team_Matches!K1392=Team_Matches!K1394,"",IF(Team_Matches!K1392&gt;Team_Matches!K1394,MIN(Team_Matches!K1392,Team_Matches!K1394),-MIN(Team_Matches!K1392,Team_Matches!K1394))*IF(Team_Matches!$Q1392="W",1,-1)),"")</f>
        <v/>
      </c>
      <c r="J109" s="7" t="str">
        <f>IF(Team_Matches!$Q1392&lt;&gt;"",IF(Team_Matches!L1392=Team_Matches!L1394,"",IF(Team_Matches!L1392&gt;Team_Matches!L1394,MIN(Team_Matches!L1392,Team_Matches!L1394),-MIN(Team_Matches!L1392,Team_Matches!L1394))*IF(Team_Matches!$Q1392="W",1,-1)),"")</f>
        <v/>
      </c>
    </row>
    <row r="110" spans="1:10" x14ac:dyDescent="0.25">
      <c r="A110" s="55" t="e">
        <f>$B110&amp;";"&amp;VLOOKUP($B110,Players!$C$4:$G$132,5,FALSE)&amp;";"&amp;IF(ISERROR(VLOOKUP($B110,Players!$C$4:$G$132,2,FALSE)),0,VLOOKUP($B110,Players!$C$4:$G$132,2,FALSE))&amp;";"&amp;$C110&amp;";"&amp;VLOOKUP($C110,Players!$C$4:$G$132,5,FALSE)&amp;";"&amp;IF(ISERROR(VLOOKUP($C110,Players!$C$4:$G$132,2,FALSE)),0,VLOOKUP($C110,Players!$C$4:$G$132,2,FALSE))&amp;"|"</f>
        <v>#N/A</v>
      </c>
      <c r="B110" t="str">
        <f>IF(Team_Matches!$Q1399="W",Team_Matches!$B1399,IF(Team_Matches!$Q1401="W",Team_Matches!$B1401,""))</f>
        <v/>
      </c>
      <c r="C110" t="str">
        <f>IF(Team_Matches!$Q1399="L",Team_Matches!$B1399,IF(Team_Matches!$Q1401="L",Team_Matches!$B1401,""))</f>
        <v/>
      </c>
      <c r="D110" t="str">
        <f>CONCATENATE(Team_Matches!$B1386," vs ",Team_Matches!$K1386)</f>
        <v>E vs J</v>
      </c>
      <c r="E110" t="str">
        <f>Team_Matches!$A1397</f>
        <v>2nd Singles</v>
      </c>
      <c r="F110" s="7" t="str">
        <f>IF(Team_Matches!$Q1399&lt;&gt;"",IF(Team_Matches!H1399&gt;Team_Matches!H1401,MIN(Team_Matches!H1399,Team_Matches!H1401),-MIN(Team_Matches!H1399,Team_Matches!H1401))*IF(Team_Matches!$Q1399="W",1,-1),"")</f>
        <v/>
      </c>
      <c r="G110" s="7" t="str">
        <f>IF(Team_Matches!$Q1399&lt;&gt;"",IF(Team_Matches!I1399&gt;Team_Matches!I1401,MIN(Team_Matches!I1399,Team_Matches!I1401),-MIN(Team_Matches!I1399,Team_Matches!I1401))*IF(Team_Matches!$Q1399="W",1,-1),"")</f>
        <v/>
      </c>
      <c r="H110" s="7" t="str">
        <f>IF(Team_Matches!$Q1399&lt;&gt;"",IF(Team_Matches!J1399&gt;Team_Matches!J1401,MIN(Team_Matches!J1399,Team_Matches!J1401),-MIN(Team_Matches!J1399,Team_Matches!J1401))*IF(Team_Matches!$Q1399="W",1,-1),"")</f>
        <v/>
      </c>
      <c r="I110" s="7" t="str">
        <f>IF(Team_Matches!$Q1399&lt;&gt;"",IF(Team_Matches!K1399=Team_Matches!K1401,"",IF(Team_Matches!K1399&gt;Team_Matches!K1401,MIN(Team_Matches!K1399,Team_Matches!K1401),-MIN(Team_Matches!K1399,Team_Matches!K1401))*IF(Team_Matches!$Q1399="W",1,-1)),"")</f>
        <v/>
      </c>
      <c r="J110" s="7" t="str">
        <f>IF(Team_Matches!$Q1399&lt;&gt;"",IF(Team_Matches!L1399=Team_Matches!L1401,"",IF(Team_Matches!L1399&gt;Team_Matches!L1401,MIN(Team_Matches!L1399,Team_Matches!L1401),-MIN(Team_Matches!L1399,Team_Matches!L1401))*IF(Team_Matches!$Q1399="W",1,-1)),"")</f>
        <v/>
      </c>
    </row>
    <row r="111" spans="1:10" x14ac:dyDescent="0.25">
      <c r="A111" s="55" t="e">
        <f>$B111&amp;";"&amp;VLOOKUP($B111,Players!$C$4:$G$132,5,FALSE)&amp;";"&amp;IF(ISERROR(VLOOKUP($B111,Players!$C$4:$G$132,2,FALSE)),0,VLOOKUP($B111,Players!$C$4:$G$132,2,FALSE))&amp;";"&amp;$C111&amp;";"&amp;VLOOKUP($C111,Players!$C$4:$G$132,5,FALSE)&amp;";"&amp;IF(ISERROR(VLOOKUP($C111,Players!$C$4:$G$132,2,FALSE)),0,VLOOKUP($C111,Players!$C$4:$G$132,2,FALSE))&amp;"|"</f>
        <v>#N/A</v>
      </c>
      <c r="B111" t="str">
        <f>IF(Team_Matches!$Q1406="W",Team_Matches!$B1406,IF(Team_Matches!$Q1408="W",Team_Matches!$B1408,""))</f>
        <v/>
      </c>
      <c r="C111" t="str">
        <f>IF(Team_Matches!$Q1406="L",Team_Matches!$B1406,IF(Team_Matches!$Q1408="L",Team_Matches!$B1408,""))</f>
        <v/>
      </c>
      <c r="D111" t="str">
        <f>CONCATENATE(Team_Matches!$B1386," vs ",Team_Matches!$K1386)</f>
        <v>E vs J</v>
      </c>
      <c r="E111" t="str">
        <f>Team_Matches!$A1404</f>
        <v>3rd Singles</v>
      </c>
      <c r="F111" s="7" t="str">
        <f>IF(Team_Matches!$Q1406&lt;&gt;"",IF(Team_Matches!H1406&gt;Team_Matches!H1408,MIN(Team_Matches!H1406,Team_Matches!H1408),-MIN(Team_Matches!H1406,Team_Matches!H1408))*IF(Team_Matches!$Q1406="W",1,-1),"")</f>
        <v/>
      </c>
      <c r="G111" s="7" t="str">
        <f>IF(Team_Matches!$Q1406&lt;&gt;"",IF(Team_Matches!I1406&gt;Team_Matches!I1408,MIN(Team_Matches!I1406,Team_Matches!I1408),-MIN(Team_Matches!I1406,Team_Matches!I1408))*IF(Team_Matches!$Q1406="W",1,-1),"")</f>
        <v/>
      </c>
      <c r="H111" s="7" t="str">
        <f>IF(Team_Matches!$Q1406&lt;&gt;"",IF(Team_Matches!J1406&gt;Team_Matches!J1408,MIN(Team_Matches!J1406,Team_Matches!J1408),-MIN(Team_Matches!J1406,Team_Matches!J1408))*IF(Team_Matches!$Q1406="W",1,-1),"")</f>
        <v/>
      </c>
      <c r="I111" s="7" t="str">
        <f>IF(Team_Matches!$Q1406&lt;&gt;"",IF(Team_Matches!K1406=Team_Matches!K1408,"",IF(Team_Matches!K1406&gt;Team_Matches!K1408,MIN(Team_Matches!K1406,Team_Matches!K1408),-MIN(Team_Matches!K1406,Team_Matches!K1408))*IF(Team_Matches!$Q1406="W",1,-1)),"")</f>
        <v/>
      </c>
      <c r="J111" s="7" t="str">
        <f>IF(Team_Matches!$Q1406&lt;&gt;"",IF(Team_Matches!L1406=Team_Matches!L1408,"",IF(Team_Matches!L1406&gt;Team_Matches!L1408,MIN(Team_Matches!L1406,Team_Matches!L1408),-MIN(Team_Matches!L1406,Team_Matches!L1408))*IF(Team_Matches!$Q1406="W",1,-1)),"")</f>
        <v/>
      </c>
    </row>
    <row r="112" spans="1:10" x14ac:dyDescent="0.25">
      <c r="A112" s="55" t="e">
        <f ca="1">$B112&amp;";"&amp;VLOOKUP($B112,Players!$C$4:$G$132,5,FALSE)&amp;";"&amp;IF(ISERROR(VLOOKUP($B112,Players!$C$4:$G$132,2,FALSE)),0,VLOOKUP($B112,Players!$C$4:$G$132,2,FALSE))&amp;";"&amp;$C112&amp;";"&amp;VLOOKUP($C112,Players!$C$4:$G$132,5,FALSE)&amp;";"&amp;IF(ISERROR(VLOOKUP($C112,Players!$C$4:$G$132,2,FALSE)),0,VLOOKUP($C112,Players!$C$4:$G$132,2,FALSE))&amp;"|"</f>
        <v>#N/A</v>
      </c>
      <c r="B112" t="str">
        <f ca="1">IF(Team_Matches!$Q1413="W",Team_Matches!$B1413,IF(Team_Matches!$Q1415="W",Team_Matches!$B1415,""))</f>
        <v/>
      </c>
      <c r="C112" t="str">
        <f ca="1">IF(Team_Matches!$Q1413="L",Team_Matches!$B1413,IF(Team_Matches!$Q1415="L",Team_Matches!$B1415,""))</f>
        <v/>
      </c>
      <c r="D112" t="str">
        <f>CONCATENATE(Team_Matches!$B1386," vs ",Team_Matches!$K1386)</f>
        <v>E vs J</v>
      </c>
      <c r="E112" t="str">
        <f>Team_Matches!$A1411</f>
        <v>4th Singles</v>
      </c>
      <c r="F112" s="7" t="str">
        <f ca="1">IF(Team_Matches!$Q1413&lt;&gt;"",IF(Team_Matches!H1413&gt;Team_Matches!H1415,MIN(Team_Matches!H1413,Team_Matches!H1415),-MIN(Team_Matches!H1413,Team_Matches!H1415))*IF(Team_Matches!$Q1413="W",1,-1),"")</f>
        <v/>
      </c>
      <c r="G112" s="7" t="str">
        <f ca="1">IF(Team_Matches!$Q1413&lt;&gt;"",IF(Team_Matches!I1413&gt;Team_Matches!I1415,MIN(Team_Matches!I1413,Team_Matches!I1415),-MIN(Team_Matches!I1413,Team_Matches!I1415))*IF(Team_Matches!$Q1413="W",1,-1),"")</f>
        <v/>
      </c>
      <c r="H112" s="7" t="str">
        <f ca="1">IF(Team_Matches!$Q1413&lt;&gt;"",IF(Team_Matches!J1413&gt;Team_Matches!J1415,MIN(Team_Matches!J1413,Team_Matches!J1415),-MIN(Team_Matches!J1413,Team_Matches!J1415))*IF(Team_Matches!$Q1413="W",1,-1),"")</f>
        <v/>
      </c>
      <c r="I112" s="7" t="str">
        <f ca="1">IF(Team_Matches!$Q1413&lt;&gt;"",IF(Team_Matches!K1413=Team_Matches!K1415,"",IF(Team_Matches!K1413&gt;Team_Matches!K1415,MIN(Team_Matches!K1413,Team_Matches!K1415),-MIN(Team_Matches!K1413,Team_Matches!K1415))*IF(Team_Matches!$Q1413="W",1,-1)),"")</f>
        <v/>
      </c>
      <c r="J112" s="7" t="str">
        <f ca="1">IF(Team_Matches!$Q1413&lt;&gt;"",IF(Team_Matches!L1413=Team_Matches!L1415,"",IF(Team_Matches!L1413&gt;Team_Matches!L1415,MIN(Team_Matches!L1413,Team_Matches!L1415),-MIN(Team_Matches!L1413,Team_Matches!L1415))*IF(Team_Matches!$Q1413="W",1,-1)),"")</f>
        <v/>
      </c>
    </row>
    <row r="113" spans="1:10" x14ac:dyDescent="0.25">
      <c r="A113" s="55" t="e">
        <f>$B113&amp;";"&amp;VLOOKUP($B113,Players!$C$4:$G$132,5,FALSE)&amp;";"&amp;IF(ISERROR(VLOOKUP($B113,Players!$C$4:$G$132,2,FALSE)),0,VLOOKUP($B113,Players!$C$4:$G$132,2,FALSE))&amp;";"&amp;$C113&amp;";"&amp;VLOOKUP($C113,Players!$C$4:$G$132,5,FALSE)&amp;";"&amp;IF(ISERROR(VLOOKUP($C113,Players!$C$4:$G$132,2,FALSE)),0,VLOOKUP($C113,Players!$C$4:$G$132,2,FALSE))&amp;"|"</f>
        <v>#N/A</v>
      </c>
      <c r="B113" t="str">
        <f>IF(Team_Matches!$Q1443="W",Team_Matches!$B1443,IF(Team_Matches!$Q1445="W",Team_Matches!$B1445,""))</f>
        <v/>
      </c>
      <c r="C113" t="str">
        <f>IF(Team_Matches!$Q1443="L",Team_Matches!$B1443,IF(Team_Matches!$Q1445="L",Team_Matches!$B1445,""))</f>
        <v/>
      </c>
      <c r="D113" t="str">
        <f>CONCATENATE(Team_Matches!$B1437," vs ",Team_Matches!$K1437)</f>
        <v>F vs I</v>
      </c>
      <c r="E113" t="str">
        <f>Team_Matches!A1441</f>
        <v>1st Singles</v>
      </c>
      <c r="F113" s="7" t="str">
        <f>IF(Team_Matches!$Q1443&lt;&gt;"",IF(Team_Matches!H1443&gt;Team_Matches!H1445,MIN(Team_Matches!H1443,Team_Matches!H1445),-MIN(Team_Matches!H1443,Team_Matches!H1445))*IF(Team_Matches!$Q1443="W",1,-1),"")</f>
        <v/>
      </c>
      <c r="G113" s="7" t="str">
        <f>IF(Team_Matches!$Q1443&lt;&gt;"",IF(Team_Matches!I1443&gt;Team_Matches!I1445,MIN(Team_Matches!I1443,Team_Matches!I1445),-MIN(Team_Matches!I1443,Team_Matches!I1445))*IF(Team_Matches!$Q1443="W",1,-1),"")</f>
        <v/>
      </c>
      <c r="H113" s="7" t="str">
        <f>IF(Team_Matches!$Q1443&lt;&gt;"",IF(Team_Matches!J1443&gt;Team_Matches!J1445,MIN(Team_Matches!J1443,Team_Matches!J1445),-MIN(Team_Matches!J1443,Team_Matches!J1445))*IF(Team_Matches!$Q1443="W",1,-1),"")</f>
        <v/>
      </c>
      <c r="I113" s="7" t="str">
        <f>IF(Team_Matches!$Q1443&lt;&gt;"",IF(Team_Matches!K1443=Team_Matches!K1445,"",IF(Team_Matches!K1443&gt;Team_Matches!K1445,MIN(Team_Matches!K1443,Team_Matches!K1445),-MIN(Team_Matches!K1443,Team_Matches!K1445))*IF(Team_Matches!$Q1443="W",1,-1)),"")</f>
        <v/>
      </c>
      <c r="J113" s="7" t="str">
        <f>IF(Team_Matches!$Q1443&lt;&gt;"",IF(Team_Matches!L1443=Team_Matches!L1445,"",IF(Team_Matches!L1443&gt;Team_Matches!L1445,MIN(Team_Matches!L1443,Team_Matches!L1445),-MIN(Team_Matches!L1443,Team_Matches!L1445))*IF(Team_Matches!$Q1443="W",1,-1)),"")</f>
        <v/>
      </c>
    </row>
    <row r="114" spans="1:10" x14ac:dyDescent="0.25">
      <c r="A114" s="55" t="e">
        <f>$B114&amp;";"&amp;VLOOKUP($B114,Players!$C$4:$G$132,5,FALSE)&amp;";"&amp;IF(ISERROR(VLOOKUP($B114,Players!$C$4:$G$132,2,FALSE)),0,VLOOKUP($B114,Players!$C$4:$G$132,2,FALSE))&amp;";"&amp;$C114&amp;";"&amp;VLOOKUP($C114,Players!$C$4:$G$132,5,FALSE)&amp;";"&amp;IF(ISERROR(VLOOKUP($C114,Players!$C$4:$G$132,2,FALSE)),0,VLOOKUP($C114,Players!$C$4:$G$132,2,FALSE))&amp;"|"</f>
        <v>#N/A</v>
      </c>
      <c r="B114" t="str">
        <f>IF(Team_Matches!$Q1450="W",Team_Matches!$B1450,IF(Team_Matches!$Q1452="W",Team_Matches!$B1452,""))</f>
        <v/>
      </c>
      <c r="C114" t="str">
        <f>IF(Team_Matches!$Q1450="L",Team_Matches!$B1450,IF(Team_Matches!$Q1452="L",Team_Matches!$B1452,""))</f>
        <v/>
      </c>
      <c r="D114" t="str">
        <f>CONCATENATE(Team_Matches!$B1437," vs ",Team_Matches!$K1437)</f>
        <v>F vs I</v>
      </c>
      <c r="E114" t="str">
        <f>Team_Matches!$A1448</f>
        <v>2nd Singles</v>
      </c>
      <c r="F114" s="7" t="str">
        <f>IF(Team_Matches!$Q1450&lt;&gt;"",IF(Team_Matches!H1450&gt;Team_Matches!H1452,MIN(Team_Matches!H1450,Team_Matches!H1452),-MIN(Team_Matches!H1450,Team_Matches!H1452))*IF(Team_Matches!$Q1450="W",1,-1),"")</f>
        <v/>
      </c>
      <c r="G114" s="7" t="str">
        <f>IF(Team_Matches!$Q1450&lt;&gt;"",IF(Team_Matches!I1450&gt;Team_Matches!I1452,MIN(Team_Matches!I1450,Team_Matches!I1452),-MIN(Team_Matches!I1450,Team_Matches!I1452))*IF(Team_Matches!$Q1450="W",1,-1),"")</f>
        <v/>
      </c>
      <c r="H114" s="7" t="str">
        <f>IF(Team_Matches!$Q1450&lt;&gt;"",IF(Team_Matches!J1450&gt;Team_Matches!J1452,MIN(Team_Matches!J1450,Team_Matches!J1452),-MIN(Team_Matches!J1450,Team_Matches!J1452))*IF(Team_Matches!$Q1450="W",1,-1),"")</f>
        <v/>
      </c>
      <c r="I114" s="7" t="str">
        <f>IF(Team_Matches!$Q1450&lt;&gt;"",IF(Team_Matches!K1450=Team_Matches!K1452,"",IF(Team_Matches!K1450&gt;Team_Matches!K1452,MIN(Team_Matches!K1450,Team_Matches!K1452),-MIN(Team_Matches!K1450,Team_Matches!K1452))*IF(Team_Matches!$Q1450="W",1,-1)),"")</f>
        <v/>
      </c>
      <c r="J114" s="7" t="str">
        <f>IF(Team_Matches!$Q1450&lt;&gt;"",IF(Team_Matches!L1450=Team_Matches!L1452,"",IF(Team_Matches!L1450&gt;Team_Matches!L1452,MIN(Team_Matches!L1450,Team_Matches!L1452),-MIN(Team_Matches!L1450,Team_Matches!L1452))*IF(Team_Matches!$Q1450="W",1,-1)),"")</f>
        <v/>
      </c>
    </row>
    <row r="115" spans="1:10" x14ac:dyDescent="0.25">
      <c r="A115" s="55" t="e">
        <f>$B115&amp;";"&amp;VLOOKUP($B115,Players!$C$4:$G$132,5,FALSE)&amp;";"&amp;IF(ISERROR(VLOOKUP($B115,Players!$C$4:$G$132,2,FALSE)),0,VLOOKUP($B115,Players!$C$4:$G$132,2,FALSE))&amp;";"&amp;$C115&amp;";"&amp;VLOOKUP($C115,Players!$C$4:$G$132,5,FALSE)&amp;";"&amp;IF(ISERROR(VLOOKUP($C115,Players!$C$4:$G$132,2,FALSE)),0,VLOOKUP($C115,Players!$C$4:$G$132,2,FALSE))&amp;"|"</f>
        <v>#N/A</v>
      </c>
      <c r="B115" t="str">
        <f>IF(Team_Matches!$Q1457="W",Team_Matches!$B1457,IF(Team_Matches!$Q1459="W",Team_Matches!$B1459,""))</f>
        <v/>
      </c>
      <c r="C115" t="str">
        <f>IF(Team_Matches!$Q1457="L",Team_Matches!$B1457,IF(Team_Matches!$Q1459="L",Team_Matches!$B1459,""))</f>
        <v/>
      </c>
      <c r="D115" t="str">
        <f>CONCATENATE(Team_Matches!$B1437," vs ",Team_Matches!$K1437)</f>
        <v>F vs I</v>
      </c>
      <c r="E115" t="str">
        <f>Team_Matches!$A1455</f>
        <v>3rd Singles</v>
      </c>
      <c r="F115" s="7" t="str">
        <f>IF(Team_Matches!$Q1457&lt;&gt;"",IF(Team_Matches!H1457&gt;Team_Matches!H1459,MIN(Team_Matches!H1457,Team_Matches!H1459),-MIN(Team_Matches!H1457,Team_Matches!H1459))*IF(Team_Matches!$Q1457="W",1,-1),"")</f>
        <v/>
      </c>
      <c r="G115" s="7" t="str">
        <f>IF(Team_Matches!$Q1457&lt;&gt;"",IF(Team_Matches!I1457&gt;Team_Matches!I1459,MIN(Team_Matches!I1457,Team_Matches!I1459),-MIN(Team_Matches!I1457,Team_Matches!I1459))*IF(Team_Matches!$Q1457="W",1,-1),"")</f>
        <v/>
      </c>
      <c r="H115" s="7" t="str">
        <f>IF(Team_Matches!$Q1457&lt;&gt;"",IF(Team_Matches!J1457&gt;Team_Matches!J1459,MIN(Team_Matches!J1457,Team_Matches!J1459),-MIN(Team_Matches!J1457,Team_Matches!J1459))*IF(Team_Matches!$Q1457="W",1,-1),"")</f>
        <v/>
      </c>
      <c r="I115" s="7" t="str">
        <f>IF(Team_Matches!$Q1457&lt;&gt;"",IF(Team_Matches!K1457=Team_Matches!K1459,"",IF(Team_Matches!K1457&gt;Team_Matches!K1459,MIN(Team_Matches!K1457,Team_Matches!K1459),-MIN(Team_Matches!K1457,Team_Matches!K1459))*IF(Team_Matches!$Q1457="W",1,-1)),"")</f>
        <v/>
      </c>
      <c r="J115" s="7" t="str">
        <f>IF(Team_Matches!$Q1457&lt;&gt;"",IF(Team_Matches!L1457=Team_Matches!L1459,"",IF(Team_Matches!L1457&gt;Team_Matches!L1459,MIN(Team_Matches!L1457,Team_Matches!L1459),-MIN(Team_Matches!L1457,Team_Matches!L1459))*IF(Team_Matches!$Q1457="W",1,-1)),"")</f>
        <v/>
      </c>
    </row>
    <row r="116" spans="1:10" x14ac:dyDescent="0.25">
      <c r="A116" s="55" t="e">
        <f ca="1">$B116&amp;";"&amp;VLOOKUP($B116,Players!$C$4:$G$132,5,FALSE)&amp;";"&amp;IF(ISERROR(VLOOKUP($B116,Players!$C$4:$G$132,2,FALSE)),0,VLOOKUP($B116,Players!$C$4:$G$132,2,FALSE))&amp;";"&amp;$C116&amp;";"&amp;VLOOKUP($C116,Players!$C$4:$G$132,5,FALSE)&amp;";"&amp;IF(ISERROR(VLOOKUP($C116,Players!$C$4:$G$132,2,FALSE)),0,VLOOKUP($C116,Players!$C$4:$G$132,2,FALSE))&amp;"|"</f>
        <v>#N/A</v>
      </c>
      <c r="B116" t="str">
        <f ca="1">IF(Team_Matches!$Q1464="W",Team_Matches!$B1464,IF(Team_Matches!$Q1466="W",Team_Matches!$B1466,""))</f>
        <v/>
      </c>
      <c r="C116" t="str">
        <f ca="1">IF(Team_Matches!$Q1464="L",Team_Matches!$B1464,IF(Team_Matches!$Q1466="L",Team_Matches!$B1466,""))</f>
        <v/>
      </c>
      <c r="D116" t="str">
        <f>CONCATENATE(Team_Matches!$B1437," vs ",Team_Matches!$K1437)</f>
        <v>F vs I</v>
      </c>
      <c r="E116" t="str">
        <f>Team_Matches!$A1462</f>
        <v>4th Singles</v>
      </c>
      <c r="F116" s="7" t="str">
        <f ca="1">IF(Team_Matches!$Q1464&lt;&gt;"",IF(Team_Matches!H1464&gt;Team_Matches!H1466,MIN(Team_Matches!H1464,Team_Matches!H1466),-MIN(Team_Matches!H1464,Team_Matches!H1466))*IF(Team_Matches!$Q1464="W",1,-1),"")</f>
        <v/>
      </c>
      <c r="G116" s="7" t="str">
        <f ca="1">IF(Team_Matches!$Q1464&lt;&gt;"",IF(Team_Matches!I1464&gt;Team_Matches!I1466,MIN(Team_Matches!I1464,Team_Matches!I1466),-MIN(Team_Matches!I1464,Team_Matches!I1466))*IF(Team_Matches!$Q1464="W",1,-1),"")</f>
        <v/>
      </c>
      <c r="H116" s="7" t="str">
        <f ca="1">IF(Team_Matches!$Q1464&lt;&gt;"",IF(Team_Matches!J1464&gt;Team_Matches!J1466,MIN(Team_Matches!J1464,Team_Matches!J1466),-MIN(Team_Matches!J1464,Team_Matches!J1466))*IF(Team_Matches!$Q1464="W",1,-1),"")</f>
        <v/>
      </c>
      <c r="I116" s="7" t="str">
        <f ca="1">IF(Team_Matches!$Q1464&lt;&gt;"",IF(Team_Matches!K1464=Team_Matches!K1466,"",IF(Team_Matches!K1464&gt;Team_Matches!K1466,MIN(Team_Matches!K1464,Team_Matches!K1466),-MIN(Team_Matches!K1464,Team_Matches!K1466))*IF(Team_Matches!$Q1464="W",1,-1)),"")</f>
        <v/>
      </c>
      <c r="J116" s="7" t="str">
        <f ca="1">IF(Team_Matches!$Q1464&lt;&gt;"",IF(Team_Matches!L1464=Team_Matches!L1466,"",IF(Team_Matches!L1464&gt;Team_Matches!L1466,MIN(Team_Matches!L1464,Team_Matches!L1466),-MIN(Team_Matches!L1464,Team_Matches!L1466))*IF(Team_Matches!$Q1464="W",1,-1)),"")</f>
        <v/>
      </c>
    </row>
    <row r="117" spans="1:10" x14ac:dyDescent="0.25">
      <c r="A117" s="55" t="e">
        <f>$B117&amp;";"&amp;VLOOKUP($B117,Players!$C$4:$G$132,5,FALSE)&amp;";"&amp;IF(ISERROR(VLOOKUP($B117,Players!$C$4:$G$132,2,FALSE)),0,VLOOKUP($B117,Players!$C$4:$G$132,2,FALSE))&amp;";"&amp;$C117&amp;";"&amp;VLOOKUP($C117,Players!$C$4:$G$132,5,FALSE)&amp;";"&amp;IF(ISERROR(VLOOKUP($C117,Players!$C$4:$G$132,2,FALSE)),0,VLOOKUP($C117,Players!$C$4:$G$132,2,FALSE))&amp;"|"</f>
        <v>#N/A</v>
      </c>
      <c r="B117" t="str">
        <f>IF(Team_Matches!$Q1494="W",Team_Matches!$B1494,IF(Team_Matches!$Q1496="W",Team_Matches!$B1496,""))</f>
        <v/>
      </c>
      <c r="C117" t="str">
        <f>IF(Team_Matches!$Q1494="L",Team_Matches!$B1494,IF(Team_Matches!$Q1496="L",Team_Matches!$B1496,""))</f>
        <v/>
      </c>
      <c r="D117" t="str">
        <f>CONCATENATE(Team_Matches!$B1488," vs ",Team_Matches!$K1488)</f>
        <v>G vs H</v>
      </c>
      <c r="E117" t="str">
        <f>Team_Matches!A1492</f>
        <v>1st Singles</v>
      </c>
      <c r="F117" s="7" t="str">
        <f>IF(Team_Matches!$Q1494&lt;&gt;"",IF(Team_Matches!H1494&gt;Team_Matches!H1496,MIN(Team_Matches!H1494,Team_Matches!H1496),-MIN(Team_Matches!H1494,Team_Matches!H1496))*IF(Team_Matches!$Q1494="W",1,-1),"")</f>
        <v/>
      </c>
      <c r="G117" s="7" t="str">
        <f>IF(Team_Matches!$Q1494&lt;&gt;"",IF(Team_Matches!I1494&gt;Team_Matches!I1496,MIN(Team_Matches!I1494,Team_Matches!I1496),-MIN(Team_Matches!I1494,Team_Matches!I1496))*IF(Team_Matches!$Q1494="W",1,-1),"")</f>
        <v/>
      </c>
      <c r="H117" s="7" t="str">
        <f>IF(Team_Matches!$Q1494&lt;&gt;"",IF(Team_Matches!J1494&gt;Team_Matches!J1496,MIN(Team_Matches!J1494,Team_Matches!J1496),-MIN(Team_Matches!J1494,Team_Matches!J1496))*IF(Team_Matches!$Q1494="W",1,-1),"")</f>
        <v/>
      </c>
      <c r="I117" s="7" t="str">
        <f>IF(Team_Matches!$Q1494&lt;&gt;"",IF(Team_Matches!K1494=Team_Matches!K1496,"",IF(Team_Matches!K1494&gt;Team_Matches!K1496,MIN(Team_Matches!K1494,Team_Matches!K1496),-MIN(Team_Matches!K1494,Team_Matches!K1496))*IF(Team_Matches!$Q1494="W",1,-1)),"")</f>
        <v/>
      </c>
      <c r="J117" s="7" t="str">
        <f>IF(Team_Matches!$Q1494&lt;&gt;"",IF(Team_Matches!L1494=Team_Matches!L1496,"",IF(Team_Matches!L1494&gt;Team_Matches!L1496,MIN(Team_Matches!L1494,Team_Matches!L1496),-MIN(Team_Matches!L1494,Team_Matches!L1496))*IF(Team_Matches!$Q1494="W",1,-1)),"")</f>
        <v/>
      </c>
    </row>
    <row r="118" spans="1:10" x14ac:dyDescent="0.25">
      <c r="A118" s="55" t="e">
        <f>$B118&amp;";"&amp;VLOOKUP($B118,Players!$C$4:$G$132,5,FALSE)&amp;";"&amp;IF(ISERROR(VLOOKUP($B118,Players!$C$4:$G$132,2,FALSE)),0,VLOOKUP($B118,Players!$C$4:$G$132,2,FALSE))&amp;";"&amp;$C118&amp;";"&amp;VLOOKUP($C118,Players!$C$4:$G$132,5,FALSE)&amp;";"&amp;IF(ISERROR(VLOOKUP($C118,Players!$C$4:$G$132,2,FALSE)),0,VLOOKUP($C118,Players!$C$4:$G$132,2,FALSE))&amp;"|"</f>
        <v>#N/A</v>
      </c>
      <c r="B118" t="str">
        <f>IF(Team_Matches!$Q1501="W",Team_Matches!$B1501,IF(Team_Matches!$Q1503="W",Team_Matches!$B1503,""))</f>
        <v/>
      </c>
      <c r="C118" t="str">
        <f>IF(Team_Matches!$Q1501="L",Team_Matches!$B1501,IF(Team_Matches!$Q1503="L",Team_Matches!$B1503,""))</f>
        <v/>
      </c>
      <c r="D118" t="str">
        <f>CONCATENATE(Team_Matches!$B1488," vs ",Team_Matches!$K1488)</f>
        <v>G vs H</v>
      </c>
      <c r="E118" t="str">
        <f>Team_Matches!$A1499</f>
        <v>2nd Singles</v>
      </c>
      <c r="F118" s="7" t="str">
        <f>IF(Team_Matches!$Q1501&lt;&gt;"",IF(Team_Matches!H1501&gt;Team_Matches!H1503,MIN(Team_Matches!H1501,Team_Matches!H1503),-MIN(Team_Matches!H1501,Team_Matches!H1503))*IF(Team_Matches!$Q1501="W",1,-1),"")</f>
        <v/>
      </c>
      <c r="G118" s="7" t="str">
        <f>IF(Team_Matches!$Q1501&lt;&gt;"",IF(Team_Matches!I1501&gt;Team_Matches!I1503,MIN(Team_Matches!I1501,Team_Matches!I1503),-MIN(Team_Matches!I1501,Team_Matches!I1503))*IF(Team_Matches!$Q1501="W",1,-1),"")</f>
        <v/>
      </c>
      <c r="H118" s="7" t="str">
        <f>IF(Team_Matches!$Q1501&lt;&gt;"",IF(Team_Matches!J1501&gt;Team_Matches!J1503,MIN(Team_Matches!J1501,Team_Matches!J1503),-MIN(Team_Matches!J1501,Team_Matches!J1503))*IF(Team_Matches!$Q1501="W",1,-1),"")</f>
        <v/>
      </c>
      <c r="I118" s="7" t="str">
        <f>IF(Team_Matches!$Q1501&lt;&gt;"",IF(Team_Matches!K1501=Team_Matches!K1503,"",IF(Team_Matches!K1501&gt;Team_Matches!K1503,MIN(Team_Matches!K1501,Team_Matches!K1503),-MIN(Team_Matches!K1501,Team_Matches!K1503))*IF(Team_Matches!$Q1501="W",1,-1)),"")</f>
        <v/>
      </c>
      <c r="J118" s="7" t="str">
        <f>IF(Team_Matches!$Q1501&lt;&gt;"",IF(Team_Matches!L1501=Team_Matches!L1503,"",IF(Team_Matches!L1501&gt;Team_Matches!L1503,MIN(Team_Matches!L1501,Team_Matches!L1503),-MIN(Team_Matches!L1501,Team_Matches!L1503))*IF(Team_Matches!$Q1501="W",1,-1)),"")</f>
        <v/>
      </c>
    </row>
    <row r="119" spans="1:10" x14ac:dyDescent="0.25">
      <c r="A119" s="55" t="e">
        <f>$B119&amp;";"&amp;VLOOKUP($B119,Players!$C$4:$G$132,5,FALSE)&amp;";"&amp;IF(ISERROR(VLOOKUP($B119,Players!$C$4:$G$132,2,FALSE)),0,VLOOKUP($B119,Players!$C$4:$G$132,2,FALSE))&amp;";"&amp;$C119&amp;";"&amp;VLOOKUP($C119,Players!$C$4:$G$132,5,FALSE)&amp;";"&amp;IF(ISERROR(VLOOKUP($C119,Players!$C$4:$G$132,2,FALSE)),0,VLOOKUP($C119,Players!$C$4:$G$132,2,FALSE))&amp;"|"</f>
        <v>#N/A</v>
      </c>
      <c r="B119" t="str">
        <f>IF(Team_Matches!$Q1508="W",Team_Matches!$B1508,IF(Team_Matches!$Q1510="W",Team_Matches!$B1510,""))</f>
        <v/>
      </c>
      <c r="C119" t="str">
        <f>IF(Team_Matches!$Q1508="L",Team_Matches!$B1508,IF(Team_Matches!$Q1510="L",Team_Matches!$B1510,""))</f>
        <v/>
      </c>
      <c r="D119" t="str">
        <f>CONCATENATE(Team_Matches!$B1488," vs ",Team_Matches!$K1488)</f>
        <v>G vs H</v>
      </c>
      <c r="E119" t="str">
        <f>Team_Matches!$A1506</f>
        <v>3rd Singles</v>
      </c>
      <c r="F119" s="7" t="str">
        <f>IF(Team_Matches!$Q1508&lt;&gt;"",IF(Team_Matches!H1508&gt;Team_Matches!H1510,MIN(Team_Matches!H1508,Team_Matches!H1510),-MIN(Team_Matches!H1508,Team_Matches!H1510))*IF(Team_Matches!$Q1508="W",1,-1),"")</f>
        <v/>
      </c>
      <c r="G119" s="7" t="str">
        <f>IF(Team_Matches!$Q1508&lt;&gt;"",IF(Team_Matches!I1508&gt;Team_Matches!I1510,MIN(Team_Matches!I1508,Team_Matches!I1510),-MIN(Team_Matches!I1508,Team_Matches!I1510))*IF(Team_Matches!$Q1508="W",1,-1),"")</f>
        <v/>
      </c>
      <c r="H119" s="7" t="str">
        <f>IF(Team_Matches!$Q1508&lt;&gt;"",IF(Team_Matches!J1508&gt;Team_Matches!J1510,MIN(Team_Matches!J1508,Team_Matches!J1510),-MIN(Team_Matches!J1508,Team_Matches!J1510))*IF(Team_Matches!$Q1508="W",1,-1),"")</f>
        <v/>
      </c>
      <c r="I119" s="7" t="str">
        <f>IF(Team_Matches!$Q1508&lt;&gt;"",IF(Team_Matches!K1508=Team_Matches!K1510,"",IF(Team_Matches!K1508&gt;Team_Matches!K1510,MIN(Team_Matches!K1508,Team_Matches!K1510),-MIN(Team_Matches!K1508,Team_Matches!K1510))*IF(Team_Matches!$Q1508="W",1,-1)),"")</f>
        <v/>
      </c>
      <c r="J119" s="7" t="str">
        <f>IF(Team_Matches!$Q1508&lt;&gt;"",IF(Team_Matches!L1508=Team_Matches!L1510,"",IF(Team_Matches!L1508&gt;Team_Matches!L1510,MIN(Team_Matches!L1508,Team_Matches!L1510),-MIN(Team_Matches!L1508,Team_Matches!L1510))*IF(Team_Matches!$Q1508="W",1,-1)),"")</f>
        <v/>
      </c>
    </row>
    <row r="120" spans="1:10" x14ac:dyDescent="0.25">
      <c r="A120" s="55" t="e">
        <f ca="1">$B120&amp;";"&amp;VLOOKUP($B120,Players!$C$4:$G$132,5,FALSE)&amp;";"&amp;IF(ISERROR(VLOOKUP($B120,Players!$C$4:$G$132,2,FALSE)),0,VLOOKUP($B120,Players!$C$4:$G$132,2,FALSE))&amp;";"&amp;$C120&amp;";"&amp;VLOOKUP($C120,Players!$C$4:$G$132,5,FALSE)&amp;";"&amp;IF(ISERROR(VLOOKUP($C120,Players!$C$4:$G$132,2,FALSE)),0,VLOOKUP($C120,Players!$C$4:$G$132,2,FALSE))&amp;"|"</f>
        <v>#N/A</v>
      </c>
      <c r="B120" t="str">
        <f ca="1">IF(Team_Matches!$Q1515="W",Team_Matches!$B1515,IF(Team_Matches!$Q1517="W",Team_Matches!$B1517,""))</f>
        <v/>
      </c>
      <c r="C120" t="str">
        <f ca="1">IF(Team_Matches!$Q1515="L",Team_Matches!$B1515,IF(Team_Matches!$Q1517="L",Team_Matches!$B1517,""))</f>
        <v/>
      </c>
      <c r="D120" t="str">
        <f>CONCATENATE(Team_Matches!$B1488," vs ",Team_Matches!$K1488)</f>
        <v>G vs H</v>
      </c>
      <c r="E120" t="str">
        <f>Team_Matches!$A1513</f>
        <v>4th Singles</v>
      </c>
      <c r="F120" s="7" t="str">
        <f ca="1">IF(Team_Matches!$Q1515&lt;&gt;"",IF(Team_Matches!H1515&gt;Team_Matches!H1517,MIN(Team_Matches!H1515,Team_Matches!H1517),-MIN(Team_Matches!H1515,Team_Matches!H1517))*IF(Team_Matches!$Q1515="W",1,-1),"")</f>
        <v/>
      </c>
      <c r="G120" s="7" t="str">
        <f ca="1">IF(Team_Matches!$Q1515&lt;&gt;"",IF(Team_Matches!I1515&gt;Team_Matches!I1517,MIN(Team_Matches!I1515,Team_Matches!I1517),-MIN(Team_Matches!I1515,Team_Matches!I1517))*IF(Team_Matches!$Q1515="W",1,-1),"")</f>
        <v/>
      </c>
      <c r="H120" s="7" t="str">
        <f ca="1">IF(Team_Matches!$Q1515&lt;&gt;"",IF(Team_Matches!J1515&gt;Team_Matches!J1517,MIN(Team_Matches!J1515,Team_Matches!J1517),-MIN(Team_Matches!J1515,Team_Matches!J1517))*IF(Team_Matches!$Q1515="W",1,-1),"")</f>
        <v/>
      </c>
      <c r="I120" s="7" t="str">
        <f ca="1">IF(Team_Matches!$Q1515&lt;&gt;"",IF(Team_Matches!K1515=Team_Matches!K1517,"",IF(Team_Matches!K1515&gt;Team_Matches!K1517,MIN(Team_Matches!K1515,Team_Matches!K1517),-MIN(Team_Matches!K1515,Team_Matches!K1517))*IF(Team_Matches!$Q1515="W",1,-1)),"")</f>
        <v/>
      </c>
      <c r="J120" s="7" t="str">
        <f ca="1">IF(Team_Matches!$Q1515&lt;&gt;"",IF(Team_Matches!L1515=Team_Matches!L1517,"",IF(Team_Matches!L1515&gt;Team_Matches!L1517,MIN(Team_Matches!L1515,Team_Matches!L1517),-MIN(Team_Matches!L1515,Team_Matches!L1517))*IF(Team_Matches!$Q1515="W",1,-1)),"")</f>
        <v/>
      </c>
    </row>
    <row r="121" spans="1:10" x14ac:dyDescent="0.25">
      <c r="A121" s="55" t="e">
        <f>$B121&amp;";"&amp;VLOOKUP($B121,Players!$C$4:$G$132,5,FALSE)&amp;";"&amp;IF(ISERROR(VLOOKUP($B121,Players!$C$4:$G$132,2,FALSE)),0,VLOOKUP($B121,Players!$C$4:$G$132,2,FALSE))&amp;";"&amp;$C121&amp;";"&amp;VLOOKUP($C121,Players!$C$4:$G$132,5,FALSE)&amp;";"&amp;IF(ISERROR(VLOOKUP($C121,Players!$C$4:$G$132,2,FALSE)),0,VLOOKUP($C121,Players!$C$4:$G$132,2,FALSE))&amp;"|"</f>
        <v>#N/A</v>
      </c>
      <c r="B121" t="str">
        <f>IF(Team_Matches!$Q1545="W",Team_Matches!$B1545,IF(Team_Matches!$Q1547="W",Team_Matches!$B1547,""))</f>
        <v/>
      </c>
      <c r="C121" t="str">
        <f>IF(Team_Matches!$Q1545="L",Team_Matches!$B1545,IF(Team_Matches!$Q1547="L",Team_Matches!$B1547,""))</f>
        <v/>
      </c>
      <c r="D121" t="str">
        <f>CONCATENATE(Team_Matches!$B1539," vs ",Team_Matches!$K1539)</f>
        <v>A vs G</v>
      </c>
      <c r="E121" t="str">
        <f>Team_Matches!A1543</f>
        <v>1st Singles</v>
      </c>
      <c r="F121" s="7" t="str">
        <f>IF(Team_Matches!$Q1545&lt;&gt;"",IF(Team_Matches!H1545&gt;Team_Matches!H1547,MIN(Team_Matches!H1545,Team_Matches!H1547),-MIN(Team_Matches!H1545,Team_Matches!H1547))*IF(Team_Matches!$Q1545="W",1,-1),"")</f>
        <v/>
      </c>
      <c r="G121" s="7" t="str">
        <f>IF(Team_Matches!$Q1545&lt;&gt;"",IF(Team_Matches!I1545&gt;Team_Matches!I1547,MIN(Team_Matches!I1545,Team_Matches!I1547),-MIN(Team_Matches!I1545,Team_Matches!I1547))*IF(Team_Matches!$Q1545="W",1,-1),"")</f>
        <v/>
      </c>
      <c r="H121" s="7" t="str">
        <f>IF(Team_Matches!$Q1545&lt;&gt;"",IF(Team_Matches!J1545&gt;Team_Matches!J1547,MIN(Team_Matches!J1545,Team_Matches!J1547),-MIN(Team_Matches!J1545,Team_Matches!J1547))*IF(Team_Matches!$Q1545="W",1,-1),"")</f>
        <v/>
      </c>
      <c r="I121" s="7" t="str">
        <f>IF(Team_Matches!$Q1545&lt;&gt;"",IF(Team_Matches!K1545=Team_Matches!K1547,"",IF(Team_Matches!K1545&gt;Team_Matches!K1547,MIN(Team_Matches!K1545,Team_Matches!K1547),-MIN(Team_Matches!K1545,Team_Matches!K1547))*IF(Team_Matches!$Q1545="W",1,-1)),"")</f>
        <v/>
      </c>
      <c r="J121" s="7" t="str">
        <f>IF(Team_Matches!$Q1545&lt;&gt;"",IF(Team_Matches!L1545=Team_Matches!L1547,"",IF(Team_Matches!L1545&gt;Team_Matches!L1547,MIN(Team_Matches!L1545,Team_Matches!L1547),-MIN(Team_Matches!L1545,Team_Matches!L1547))*IF(Team_Matches!$Q1545="W",1,-1)),"")</f>
        <v/>
      </c>
    </row>
    <row r="122" spans="1:10" x14ac:dyDescent="0.25">
      <c r="A122" s="55" t="e">
        <f>$B122&amp;";"&amp;VLOOKUP($B122,Players!$C$4:$G$132,5,FALSE)&amp;";"&amp;IF(ISERROR(VLOOKUP($B122,Players!$C$4:$G$132,2,FALSE)),0,VLOOKUP($B122,Players!$C$4:$G$132,2,FALSE))&amp;";"&amp;$C122&amp;";"&amp;VLOOKUP($C122,Players!$C$4:$G$132,5,FALSE)&amp;";"&amp;IF(ISERROR(VLOOKUP($C122,Players!$C$4:$G$132,2,FALSE)),0,VLOOKUP($C122,Players!$C$4:$G$132,2,FALSE))&amp;"|"</f>
        <v>#N/A</v>
      </c>
      <c r="B122" t="str">
        <f>IF(Team_Matches!$Q1552="W",Team_Matches!$B1552,IF(Team_Matches!$Q1554="W",Team_Matches!$B1554,""))</f>
        <v/>
      </c>
      <c r="C122" t="str">
        <f>IF(Team_Matches!$Q1552="L",Team_Matches!$B1552,IF(Team_Matches!$Q1554="L",Team_Matches!$B1554,""))</f>
        <v/>
      </c>
      <c r="D122" t="str">
        <f>CONCATENATE(Team_Matches!$B1539," vs ",Team_Matches!$K1539)</f>
        <v>A vs G</v>
      </c>
      <c r="E122" t="str">
        <f>Team_Matches!$A1550</f>
        <v>2nd Singles</v>
      </c>
      <c r="F122" s="7" t="str">
        <f>IF(Team_Matches!$Q1552&lt;&gt;"",IF(Team_Matches!H1552&gt;Team_Matches!H1554,MIN(Team_Matches!H1552,Team_Matches!H1554),-MIN(Team_Matches!H1552,Team_Matches!H1554))*IF(Team_Matches!$Q1552="W",1,-1),"")</f>
        <v/>
      </c>
      <c r="G122" s="7" t="str">
        <f>IF(Team_Matches!$Q1552&lt;&gt;"",IF(Team_Matches!I1552&gt;Team_Matches!I1554,MIN(Team_Matches!I1552,Team_Matches!I1554),-MIN(Team_Matches!I1552,Team_Matches!I1554))*IF(Team_Matches!$Q1552="W",1,-1),"")</f>
        <v/>
      </c>
      <c r="H122" s="7" t="str">
        <f>IF(Team_Matches!$Q1552&lt;&gt;"",IF(Team_Matches!J1552&gt;Team_Matches!J1554,MIN(Team_Matches!J1552,Team_Matches!J1554),-MIN(Team_Matches!J1552,Team_Matches!J1554))*IF(Team_Matches!$Q1552="W",1,-1),"")</f>
        <v/>
      </c>
      <c r="I122" s="7" t="str">
        <f>IF(Team_Matches!$Q1552&lt;&gt;"",IF(Team_Matches!K1552=Team_Matches!K1554,"",IF(Team_Matches!K1552&gt;Team_Matches!K1554,MIN(Team_Matches!K1552,Team_Matches!K1554),-MIN(Team_Matches!K1552,Team_Matches!K1554))*IF(Team_Matches!$Q1552="W",1,-1)),"")</f>
        <v/>
      </c>
      <c r="J122" s="7" t="str">
        <f>IF(Team_Matches!$Q1552&lt;&gt;"",IF(Team_Matches!L1552=Team_Matches!L1554,"",IF(Team_Matches!L1552&gt;Team_Matches!L1554,MIN(Team_Matches!L1552,Team_Matches!L1554),-MIN(Team_Matches!L1552,Team_Matches!L1554))*IF(Team_Matches!$Q1552="W",1,-1)),"")</f>
        <v/>
      </c>
    </row>
    <row r="123" spans="1:10" x14ac:dyDescent="0.25">
      <c r="A123" s="55" t="e">
        <f>$B123&amp;";"&amp;VLOOKUP($B123,Players!$C$4:$G$132,5,FALSE)&amp;";"&amp;IF(ISERROR(VLOOKUP($B123,Players!$C$4:$G$132,2,FALSE)),0,VLOOKUP($B123,Players!$C$4:$G$132,2,FALSE))&amp;";"&amp;$C123&amp;";"&amp;VLOOKUP($C123,Players!$C$4:$G$132,5,FALSE)&amp;";"&amp;IF(ISERROR(VLOOKUP($C123,Players!$C$4:$G$132,2,FALSE)),0,VLOOKUP($C123,Players!$C$4:$G$132,2,FALSE))&amp;"|"</f>
        <v>#N/A</v>
      </c>
      <c r="B123" t="str">
        <f>IF(Team_Matches!$Q1559="W",Team_Matches!$B1559,IF(Team_Matches!$Q1561="W",Team_Matches!$B1561,""))</f>
        <v/>
      </c>
      <c r="C123" t="str">
        <f>IF(Team_Matches!$Q1559="L",Team_Matches!$B1559,IF(Team_Matches!$Q1561="L",Team_Matches!$B1561,""))</f>
        <v/>
      </c>
      <c r="D123" t="str">
        <f>CONCATENATE(Team_Matches!$B1539," vs ",Team_Matches!$K1539)</f>
        <v>A vs G</v>
      </c>
      <c r="E123" t="str">
        <f>Team_Matches!$A1557</f>
        <v>3rd Singles</v>
      </c>
      <c r="F123" s="7" t="str">
        <f>IF(Team_Matches!$Q1559&lt;&gt;"",IF(Team_Matches!H1559&gt;Team_Matches!H1561,MIN(Team_Matches!H1559,Team_Matches!H1561),-MIN(Team_Matches!H1559,Team_Matches!H1561))*IF(Team_Matches!$Q1559="W",1,-1),"")</f>
        <v/>
      </c>
      <c r="G123" s="7" t="str">
        <f>IF(Team_Matches!$Q1559&lt;&gt;"",IF(Team_Matches!I1559&gt;Team_Matches!I1561,MIN(Team_Matches!I1559,Team_Matches!I1561),-MIN(Team_Matches!I1559,Team_Matches!I1561))*IF(Team_Matches!$Q1559="W",1,-1),"")</f>
        <v/>
      </c>
      <c r="H123" s="7" t="str">
        <f>IF(Team_Matches!$Q1559&lt;&gt;"",IF(Team_Matches!J1559&gt;Team_Matches!J1561,MIN(Team_Matches!J1559,Team_Matches!J1561),-MIN(Team_Matches!J1559,Team_Matches!J1561))*IF(Team_Matches!$Q1559="W",1,-1),"")</f>
        <v/>
      </c>
      <c r="I123" s="7" t="str">
        <f>IF(Team_Matches!$Q1559&lt;&gt;"",IF(Team_Matches!K1559=Team_Matches!K1561,"",IF(Team_Matches!K1559&gt;Team_Matches!K1561,MIN(Team_Matches!K1559,Team_Matches!K1561),-MIN(Team_Matches!K1559,Team_Matches!K1561))*IF(Team_Matches!$Q1559="W",1,-1)),"")</f>
        <v/>
      </c>
      <c r="J123" s="7" t="str">
        <f>IF(Team_Matches!$Q1559&lt;&gt;"",IF(Team_Matches!L1559=Team_Matches!L1561,"",IF(Team_Matches!L1559&gt;Team_Matches!L1561,MIN(Team_Matches!L1559,Team_Matches!L1561),-MIN(Team_Matches!L1559,Team_Matches!L1561))*IF(Team_Matches!$Q1559="W",1,-1)),"")</f>
        <v/>
      </c>
    </row>
    <row r="124" spans="1:10" x14ac:dyDescent="0.25">
      <c r="A124" s="55" t="e">
        <f ca="1">$B124&amp;";"&amp;VLOOKUP($B124,Players!$C$4:$G$132,5,FALSE)&amp;";"&amp;IF(ISERROR(VLOOKUP($B124,Players!$C$4:$G$132,2,FALSE)),0,VLOOKUP($B124,Players!$C$4:$G$132,2,FALSE))&amp;";"&amp;$C124&amp;";"&amp;VLOOKUP($C124,Players!$C$4:$G$132,5,FALSE)&amp;";"&amp;IF(ISERROR(VLOOKUP($C124,Players!$C$4:$G$132,2,FALSE)),0,VLOOKUP($C124,Players!$C$4:$G$132,2,FALSE))&amp;"|"</f>
        <v>#N/A</v>
      </c>
      <c r="B124" t="str">
        <f ca="1">IF(Team_Matches!$Q1566="W",Team_Matches!$B1566,IF(Team_Matches!$Q1568="W",Team_Matches!$B1568,""))</f>
        <v/>
      </c>
      <c r="C124" t="str">
        <f ca="1">IF(Team_Matches!$Q1566="L",Team_Matches!$B1566,IF(Team_Matches!$Q1568="L",Team_Matches!$B1568,""))</f>
        <v/>
      </c>
      <c r="D124" t="str">
        <f>CONCATENATE(Team_Matches!$B1539," vs ",Team_Matches!$K1539)</f>
        <v>A vs G</v>
      </c>
      <c r="E124" t="str">
        <f>Team_Matches!$A1564</f>
        <v>4th Singles</v>
      </c>
      <c r="F124" s="7" t="str">
        <f ca="1">IF(Team_Matches!$Q1566&lt;&gt;"",IF(Team_Matches!H1566&gt;Team_Matches!H1568,MIN(Team_Matches!H1566,Team_Matches!H1568),-MIN(Team_Matches!H1566,Team_Matches!H1568))*IF(Team_Matches!$Q1566="W",1,-1),"")</f>
        <v/>
      </c>
      <c r="G124" s="7" t="str">
        <f ca="1">IF(Team_Matches!$Q1566&lt;&gt;"",IF(Team_Matches!I1566&gt;Team_Matches!I1568,MIN(Team_Matches!I1566,Team_Matches!I1568),-MIN(Team_Matches!I1566,Team_Matches!I1568))*IF(Team_Matches!$Q1566="W",1,-1),"")</f>
        <v/>
      </c>
      <c r="H124" s="7" t="str">
        <f ca="1">IF(Team_Matches!$Q1566&lt;&gt;"",IF(Team_Matches!J1566&gt;Team_Matches!J1568,MIN(Team_Matches!J1566,Team_Matches!J1568),-MIN(Team_Matches!J1566,Team_Matches!J1568))*IF(Team_Matches!$Q1566="W",1,-1),"")</f>
        <v/>
      </c>
      <c r="I124" s="7" t="str">
        <f ca="1">IF(Team_Matches!$Q1566&lt;&gt;"",IF(Team_Matches!K1566=Team_Matches!K1568,"",IF(Team_Matches!K1566&gt;Team_Matches!K1568,MIN(Team_Matches!K1566,Team_Matches!K1568),-MIN(Team_Matches!K1566,Team_Matches!K1568))*IF(Team_Matches!$Q1566="W",1,-1)),"")</f>
        <v/>
      </c>
      <c r="J124" s="7" t="str">
        <f ca="1">IF(Team_Matches!$Q1566&lt;&gt;"",IF(Team_Matches!L1566=Team_Matches!L1568,"",IF(Team_Matches!L1566&gt;Team_Matches!L1568,MIN(Team_Matches!L1566,Team_Matches!L1568),-MIN(Team_Matches!L1566,Team_Matches!L1568))*IF(Team_Matches!$Q1566="W",1,-1)),"")</f>
        <v/>
      </c>
    </row>
    <row r="125" spans="1:10" x14ac:dyDescent="0.25">
      <c r="A125" s="55" t="e">
        <f>$B125&amp;";"&amp;VLOOKUP($B125,Players!$C$4:$G$132,5,FALSE)&amp;";"&amp;IF(ISERROR(VLOOKUP($B125,Players!$C$4:$G$132,2,FALSE)),0,VLOOKUP($B125,Players!$C$4:$G$132,2,FALSE))&amp;";"&amp;$C125&amp;";"&amp;VLOOKUP($C125,Players!$C$4:$G$132,5,FALSE)&amp;";"&amp;IF(ISERROR(VLOOKUP($C125,Players!$C$4:$G$132,2,FALSE)),0,VLOOKUP($C125,Players!$C$4:$G$132,2,FALSE))&amp;"|"</f>
        <v>#N/A</v>
      </c>
      <c r="B125" t="str">
        <f>IF(Team_Matches!$Q1596="W",Team_Matches!$B1596,IF(Team_Matches!$Q1598="W",Team_Matches!$B1598,""))</f>
        <v/>
      </c>
      <c r="C125" t="str">
        <f>IF(Team_Matches!$Q1596="L",Team_Matches!$B1596,IF(Team_Matches!$Q1598="L",Team_Matches!$B1598,""))</f>
        <v/>
      </c>
      <c r="D125" t="str">
        <f>CONCATENATE(Team_Matches!$B1590," vs ",Team_Matches!$K1590)</f>
        <v>F vs H</v>
      </c>
      <c r="E125" t="str">
        <f>Team_Matches!A1594</f>
        <v>1st Singles</v>
      </c>
      <c r="F125" s="7" t="str">
        <f>IF(Team_Matches!$Q1596&lt;&gt;"",IF(Team_Matches!H1596&gt;Team_Matches!H1598,MIN(Team_Matches!H1596,Team_Matches!H1598),-MIN(Team_Matches!H1596,Team_Matches!H1598))*IF(Team_Matches!$Q1596="W",1,-1),"")</f>
        <v/>
      </c>
      <c r="G125" s="7" t="str">
        <f>IF(Team_Matches!$Q1596&lt;&gt;"",IF(Team_Matches!I1596&gt;Team_Matches!I1598,MIN(Team_Matches!I1596,Team_Matches!I1598),-MIN(Team_Matches!I1596,Team_Matches!I1598))*IF(Team_Matches!$Q1596="W",1,-1),"")</f>
        <v/>
      </c>
      <c r="H125" s="7" t="str">
        <f>IF(Team_Matches!$Q1596&lt;&gt;"",IF(Team_Matches!J1596&gt;Team_Matches!J1598,MIN(Team_Matches!J1596,Team_Matches!J1598),-MIN(Team_Matches!J1596,Team_Matches!J1598))*IF(Team_Matches!$Q1596="W",1,-1),"")</f>
        <v/>
      </c>
      <c r="I125" s="7" t="str">
        <f>IF(Team_Matches!$Q1596&lt;&gt;"",IF(Team_Matches!K1596=Team_Matches!K1598,"",IF(Team_Matches!K1596&gt;Team_Matches!K1598,MIN(Team_Matches!K1596,Team_Matches!K1598),-MIN(Team_Matches!K1596,Team_Matches!K1598))*IF(Team_Matches!$Q1596="W",1,-1)),"")</f>
        <v/>
      </c>
      <c r="J125" s="7" t="str">
        <f>IF(Team_Matches!$Q1596&lt;&gt;"",IF(Team_Matches!L1596=Team_Matches!L1598,"",IF(Team_Matches!L1596&gt;Team_Matches!L1598,MIN(Team_Matches!L1596,Team_Matches!L1598),-MIN(Team_Matches!L1596,Team_Matches!L1598))*IF(Team_Matches!$Q1596="W",1,-1)),"")</f>
        <v/>
      </c>
    </row>
    <row r="126" spans="1:10" x14ac:dyDescent="0.25">
      <c r="A126" s="55" t="e">
        <f>$B126&amp;";"&amp;VLOOKUP($B126,Players!$C$4:$G$132,5,FALSE)&amp;";"&amp;IF(ISERROR(VLOOKUP($B126,Players!$C$4:$G$132,2,FALSE)),0,VLOOKUP($B126,Players!$C$4:$G$132,2,FALSE))&amp;";"&amp;$C126&amp;";"&amp;VLOOKUP($C126,Players!$C$4:$G$132,5,FALSE)&amp;";"&amp;IF(ISERROR(VLOOKUP($C126,Players!$C$4:$G$132,2,FALSE)),0,VLOOKUP($C126,Players!$C$4:$G$132,2,FALSE))&amp;"|"</f>
        <v>#N/A</v>
      </c>
      <c r="B126" t="str">
        <f>IF(Team_Matches!$Q1603="W",Team_Matches!$B1603,IF(Team_Matches!$Q1605="W",Team_Matches!$B1605,""))</f>
        <v/>
      </c>
      <c r="C126" t="str">
        <f>IF(Team_Matches!$Q1603="L",Team_Matches!$B1603,IF(Team_Matches!$Q1605="L",Team_Matches!$B1605,""))</f>
        <v/>
      </c>
      <c r="D126" t="str">
        <f>CONCATENATE(Team_Matches!$B1590," vs ",Team_Matches!$K1590)</f>
        <v>F vs H</v>
      </c>
      <c r="E126" t="str">
        <f>Team_Matches!$A1601</f>
        <v>2nd Singles</v>
      </c>
      <c r="F126" s="7" t="str">
        <f>IF(Team_Matches!$Q1603&lt;&gt;"",IF(Team_Matches!H1603&gt;Team_Matches!H1605,MIN(Team_Matches!H1603,Team_Matches!H1605),-MIN(Team_Matches!H1603,Team_Matches!H1605))*IF(Team_Matches!$Q1603="W",1,-1),"")</f>
        <v/>
      </c>
      <c r="G126" s="7" t="str">
        <f>IF(Team_Matches!$Q1603&lt;&gt;"",IF(Team_Matches!I1603&gt;Team_Matches!I1605,MIN(Team_Matches!I1603,Team_Matches!I1605),-MIN(Team_Matches!I1603,Team_Matches!I1605))*IF(Team_Matches!$Q1603="W",1,-1),"")</f>
        <v/>
      </c>
      <c r="H126" s="7" t="str">
        <f>IF(Team_Matches!$Q1603&lt;&gt;"",IF(Team_Matches!J1603&gt;Team_Matches!J1605,MIN(Team_Matches!J1603,Team_Matches!J1605),-MIN(Team_Matches!J1603,Team_Matches!J1605))*IF(Team_Matches!$Q1603="W",1,-1),"")</f>
        <v/>
      </c>
      <c r="I126" s="7" t="str">
        <f>IF(Team_Matches!$Q1603&lt;&gt;"",IF(Team_Matches!K1603=Team_Matches!K1605,"",IF(Team_Matches!K1603&gt;Team_Matches!K1605,MIN(Team_Matches!K1603,Team_Matches!K1605),-MIN(Team_Matches!K1603,Team_Matches!K1605))*IF(Team_Matches!$Q1603="W",1,-1)),"")</f>
        <v/>
      </c>
      <c r="J126" s="7" t="str">
        <f>IF(Team_Matches!$Q1603&lt;&gt;"",IF(Team_Matches!L1603=Team_Matches!L1605,"",IF(Team_Matches!L1603&gt;Team_Matches!L1605,MIN(Team_Matches!L1603,Team_Matches!L1605),-MIN(Team_Matches!L1603,Team_Matches!L1605))*IF(Team_Matches!$Q1603="W",1,-1)),"")</f>
        <v/>
      </c>
    </row>
    <row r="127" spans="1:10" x14ac:dyDescent="0.25">
      <c r="A127" s="55" t="e">
        <f>$B127&amp;";"&amp;VLOOKUP($B127,Players!$C$4:$G$132,5,FALSE)&amp;";"&amp;IF(ISERROR(VLOOKUP($B127,Players!$C$4:$G$132,2,FALSE)),0,VLOOKUP($B127,Players!$C$4:$G$132,2,FALSE))&amp;";"&amp;$C127&amp;";"&amp;VLOOKUP($C127,Players!$C$4:$G$132,5,FALSE)&amp;";"&amp;IF(ISERROR(VLOOKUP($C127,Players!$C$4:$G$132,2,FALSE)),0,VLOOKUP($C127,Players!$C$4:$G$132,2,FALSE))&amp;"|"</f>
        <v>#N/A</v>
      </c>
      <c r="B127" t="str">
        <f>IF(Team_Matches!$Q1610="W",Team_Matches!$B1610,IF(Team_Matches!$Q1612="W",Team_Matches!$B1612,""))</f>
        <v/>
      </c>
      <c r="C127" t="str">
        <f>IF(Team_Matches!$Q1610="L",Team_Matches!$B1610,IF(Team_Matches!$Q1612="L",Team_Matches!$B1612,""))</f>
        <v/>
      </c>
      <c r="D127" t="str">
        <f>CONCATENATE(Team_Matches!$B1590," vs ",Team_Matches!$K1590)</f>
        <v>F vs H</v>
      </c>
      <c r="E127" t="str">
        <f>Team_Matches!$A1608</f>
        <v>3rd Singles</v>
      </c>
      <c r="F127" s="7" t="str">
        <f>IF(Team_Matches!$Q1610&lt;&gt;"",IF(Team_Matches!H1610&gt;Team_Matches!H1612,MIN(Team_Matches!H1610,Team_Matches!H1612),-MIN(Team_Matches!H1610,Team_Matches!H1612))*IF(Team_Matches!$Q1610="W",1,-1),"")</f>
        <v/>
      </c>
      <c r="G127" s="7" t="str">
        <f>IF(Team_Matches!$Q1610&lt;&gt;"",IF(Team_Matches!I1610&gt;Team_Matches!I1612,MIN(Team_Matches!I1610,Team_Matches!I1612),-MIN(Team_Matches!I1610,Team_Matches!I1612))*IF(Team_Matches!$Q1610="W",1,-1),"")</f>
        <v/>
      </c>
      <c r="H127" s="7" t="str">
        <f>IF(Team_Matches!$Q1610&lt;&gt;"",IF(Team_Matches!J1610&gt;Team_Matches!J1612,MIN(Team_Matches!J1610,Team_Matches!J1612),-MIN(Team_Matches!J1610,Team_Matches!J1612))*IF(Team_Matches!$Q1610="W",1,-1),"")</f>
        <v/>
      </c>
      <c r="I127" s="7" t="str">
        <f>IF(Team_Matches!$Q1610&lt;&gt;"",IF(Team_Matches!K1610=Team_Matches!K1612,"",IF(Team_Matches!K1610&gt;Team_Matches!K1612,MIN(Team_Matches!K1610,Team_Matches!K1612),-MIN(Team_Matches!K1610,Team_Matches!K1612))*IF(Team_Matches!$Q1610="W",1,-1)),"")</f>
        <v/>
      </c>
      <c r="J127" s="7" t="str">
        <f>IF(Team_Matches!$Q1610&lt;&gt;"",IF(Team_Matches!L1610=Team_Matches!L1612,"",IF(Team_Matches!L1610&gt;Team_Matches!L1612,MIN(Team_Matches!L1610,Team_Matches!L1612),-MIN(Team_Matches!L1610,Team_Matches!L1612))*IF(Team_Matches!$Q1610="W",1,-1)),"")</f>
        <v/>
      </c>
    </row>
    <row r="128" spans="1:10" x14ac:dyDescent="0.25">
      <c r="A128" s="55" t="e">
        <f ca="1">$B128&amp;";"&amp;VLOOKUP($B128,Players!$C$4:$G$132,5,FALSE)&amp;";"&amp;IF(ISERROR(VLOOKUP($B128,Players!$C$4:$G$132,2,FALSE)),0,VLOOKUP($B128,Players!$C$4:$G$132,2,FALSE))&amp;";"&amp;$C128&amp;";"&amp;VLOOKUP($C128,Players!$C$4:$G$132,5,FALSE)&amp;";"&amp;IF(ISERROR(VLOOKUP($C128,Players!$C$4:$G$132,2,FALSE)),0,VLOOKUP($C128,Players!$C$4:$G$132,2,FALSE))&amp;"|"</f>
        <v>#N/A</v>
      </c>
      <c r="B128" t="str">
        <f ca="1">IF(Team_Matches!$Q1617="W",Team_Matches!$B1617,IF(Team_Matches!$Q1619="W",Team_Matches!$B1619,""))</f>
        <v/>
      </c>
      <c r="C128" t="str">
        <f ca="1">IF(Team_Matches!$Q1617="L",Team_Matches!$B1617,IF(Team_Matches!$Q1619="L",Team_Matches!$B1619,""))</f>
        <v/>
      </c>
      <c r="D128" t="str">
        <f>CONCATENATE(Team_Matches!$B1590," vs ",Team_Matches!$K1590)</f>
        <v>F vs H</v>
      </c>
      <c r="E128" t="str">
        <f>Team_Matches!$A1615</f>
        <v>4th Singles</v>
      </c>
      <c r="F128" s="7" t="str">
        <f ca="1">IF(Team_Matches!$Q1617&lt;&gt;"",IF(Team_Matches!H1617&gt;Team_Matches!H1619,MIN(Team_Matches!H1617,Team_Matches!H1619),-MIN(Team_Matches!H1617,Team_Matches!H1619))*IF(Team_Matches!$Q1617="W",1,-1),"")</f>
        <v/>
      </c>
      <c r="G128" s="7" t="str">
        <f ca="1">IF(Team_Matches!$Q1617&lt;&gt;"",IF(Team_Matches!I1617&gt;Team_Matches!I1619,MIN(Team_Matches!I1617,Team_Matches!I1619),-MIN(Team_Matches!I1617,Team_Matches!I1619))*IF(Team_Matches!$Q1617="W",1,-1),"")</f>
        <v/>
      </c>
      <c r="H128" s="7" t="str">
        <f ca="1">IF(Team_Matches!$Q1617&lt;&gt;"",IF(Team_Matches!J1617&gt;Team_Matches!J1619,MIN(Team_Matches!J1617,Team_Matches!J1619),-MIN(Team_Matches!J1617,Team_Matches!J1619))*IF(Team_Matches!$Q1617="W",1,-1),"")</f>
        <v/>
      </c>
      <c r="I128" s="7" t="str">
        <f ca="1">IF(Team_Matches!$Q1617&lt;&gt;"",IF(Team_Matches!K1617=Team_Matches!K1619,"",IF(Team_Matches!K1617&gt;Team_Matches!K1619,MIN(Team_Matches!K1617,Team_Matches!K1619),-MIN(Team_Matches!K1617,Team_Matches!K1619))*IF(Team_Matches!$Q1617="W",1,-1)),"")</f>
        <v/>
      </c>
      <c r="J128" s="7" t="str">
        <f ca="1">IF(Team_Matches!$Q1617&lt;&gt;"",IF(Team_Matches!L1617=Team_Matches!L1619,"",IF(Team_Matches!L1617&gt;Team_Matches!L1619,MIN(Team_Matches!L1617,Team_Matches!L1619),-MIN(Team_Matches!L1617,Team_Matches!L1619))*IF(Team_Matches!$Q1617="W",1,-1)),"")</f>
        <v/>
      </c>
    </row>
    <row r="129" spans="1:10" x14ac:dyDescent="0.25">
      <c r="A129" s="55" t="e">
        <f>$B129&amp;";"&amp;VLOOKUP($B129,Players!$C$4:$G$132,5,FALSE)&amp;";"&amp;IF(ISERROR(VLOOKUP($B129,Players!$C$4:$G$132,2,FALSE)),0,VLOOKUP($B129,Players!$C$4:$G$132,2,FALSE))&amp;";"&amp;$C129&amp;";"&amp;VLOOKUP($C129,Players!$C$4:$G$132,5,FALSE)&amp;";"&amp;IF(ISERROR(VLOOKUP($C129,Players!$C$4:$G$132,2,FALSE)),0,VLOOKUP($C129,Players!$C$4:$G$132,2,FALSE))&amp;"|"</f>
        <v>#N/A</v>
      </c>
      <c r="B129" t="str">
        <f>IF(Team_Matches!$Q1647="W",Team_Matches!$B1647,IF(Team_Matches!$Q1649="W",Team_Matches!$B1649,""))</f>
        <v/>
      </c>
      <c r="C129" t="str">
        <f>IF(Team_Matches!$Q1647="L",Team_Matches!$B1647,IF(Team_Matches!$Q1649="L",Team_Matches!$B1649,""))</f>
        <v/>
      </c>
      <c r="D129" t="str">
        <f>CONCATENATE(Team_Matches!$B1641," vs ",Team_Matches!$K1641)</f>
        <v>E vs I</v>
      </c>
      <c r="E129" t="str">
        <f>Team_Matches!A1645</f>
        <v>1st Singles</v>
      </c>
      <c r="F129" s="7" t="str">
        <f>IF(Team_Matches!$Q1647&lt;&gt;"",IF(Team_Matches!H1647&gt;Team_Matches!H1649,MIN(Team_Matches!H1647,Team_Matches!H1649),-MIN(Team_Matches!H1647,Team_Matches!H1649))*IF(Team_Matches!$Q1647="W",1,-1),"")</f>
        <v/>
      </c>
      <c r="G129" s="7" t="str">
        <f>IF(Team_Matches!$Q1647&lt;&gt;"",IF(Team_Matches!I1647&gt;Team_Matches!I1649,MIN(Team_Matches!I1647,Team_Matches!I1649),-MIN(Team_Matches!I1647,Team_Matches!I1649))*IF(Team_Matches!$Q1647="W",1,-1),"")</f>
        <v/>
      </c>
      <c r="H129" s="7" t="str">
        <f>IF(Team_Matches!$Q1647&lt;&gt;"",IF(Team_Matches!J1647&gt;Team_Matches!J1649,MIN(Team_Matches!J1647,Team_Matches!J1649),-MIN(Team_Matches!J1647,Team_Matches!J1649))*IF(Team_Matches!$Q1647="W",1,-1),"")</f>
        <v/>
      </c>
      <c r="I129" s="7" t="str">
        <f>IF(Team_Matches!$Q1647&lt;&gt;"",IF(Team_Matches!K1647=Team_Matches!K1649,"",IF(Team_Matches!K1647&gt;Team_Matches!K1649,MIN(Team_Matches!K1647,Team_Matches!K1649),-MIN(Team_Matches!K1647,Team_Matches!K1649))*IF(Team_Matches!$Q1647="W",1,-1)),"")</f>
        <v/>
      </c>
      <c r="J129" s="7" t="str">
        <f>IF(Team_Matches!$Q1647&lt;&gt;"",IF(Team_Matches!L1647=Team_Matches!L1649,"",IF(Team_Matches!L1647&gt;Team_Matches!L1649,MIN(Team_Matches!L1647,Team_Matches!L1649),-MIN(Team_Matches!L1647,Team_Matches!L1649))*IF(Team_Matches!$Q1647="W",1,-1)),"")</f>
        <v/>
      </c>
    </row>
    <row r="130" spans="1:10" x14ac:dyDescent="0.25">
      <c r="A130" s="55" t="e">
        <f>$B130&amp;";"&amp;VLOOKUP($B130,Players!$C$4:$G$132,5,FALSE)&amp;";"&amp;IF(ISERROR(VLOOKUP($B130,Players!$C$4:$G$132,2,FALSE)),0,VLOOKUP($B130,Players!$C$4:$G$132,2,FALSE))&amp;";"&amp;$C130&amp;";"&amp;VLOOKUP($C130,Players!$C$4:$G$132,5,FALSE)&amp;";"&amp;IF(ISERROR(VLOOKUP($C130,Players!$C$4:$G$132,2,FALSE)),0,VLOOKUP($C130,Players!$C$4:$G$132,2,FALSE))&amp;"|"</f>
        <v>#N/A</v>
      </c>
      <c r="B130" t="str">
        <f>IF(Team_Matches!$Q1654="W",Team_Matches!$B1654,IF(Team_Matches!$Q1656="W",Team_Matches!$B1656,""))</f>
        <v/>
      </c>
      <c r="C130" t="str">
        <f>IF(Team_Matches!$Q1654="L",Team_Matches!$B1654,IF(Team_Matches!$Q1656="L",Team_Matches!$B1656,""))</f>
        <v/>
      </c>
      <c r="D130" t="str">
        <f>CONCATENATE(Team_Matches!$B1641," vs ",Team_Matches!$K1641)</f>
        <v>E vs I</v>
      </c>
      <c r="E130" t="str">
        <f>Team_Matches!$A1652</f>
        <v>2nd Singles</v>
      </c>
      <c r="F130" s="7" t="str">
        <f>IF(Team_Matches!$Q1654&lt;&gt;"",IF(Team_Matches!H1654&gt;Team_Matches!H1656,MIN(Team_Matches!H1654,Team_Matches!H1656),-MIN(Team_Matches!H1654,Team_Matches!H1656))*IF(Team_Matches!$Q1654="W",1,-1),"")</f>
        <v/>
      </c>
      <c r="G130" s="7" t="str">
        <f>IF(Team_Matches!$Q1654&lt;&gt;"",IF(Team_Matches!I1654&gt;Team_Matches!I1656,MIN(Team_Matches!I1654,Team_Matches!I1656),-MIN(Team_Matches!I1654,Team_Matches!I1656))*IF(Team_Matches!$Q1654="W",1,-1),"")</f>
        <v/>
      </c>
      <c r="H130" s="7" t="str">
        <f>IF(Team_Matches!$Q1654&lt;&gt;"",IF(Team_Matches!J1654&gt;Team_Matches!J1656,MIN(Team_Matches!J1654,Team_Matches!J1656),-MIN(Team_Matches!J1654,Team_Matches!J1656))*IF(Team_Matches!$Q1654="W",1,-1),"")</f>
        <v/>
      </c>
      <c r="I130" s="7" t="str">
        <f>IF(Team_Matches!$Q1654&lt;&gt;"",IF(Team_Matches!K1654=Team_Matches!K1656,"",IF(Team_Matches!K1654&gt;Team_Matches!K1656,MIN(Team_Matches!K1654,Team_Matches!K1656),-MIN(Team_Matches!K1654,Team_Matches!K1656))*IF(Team_Matches!$Q1654="W",1,-1)),"")</f>
        <v/>
      </c>
      <c r="J130" s="7" t="str">
        <f>IF(Team_Matches!$Q1654&lt;&gt;"",IF(Team_Matches!L1654=Team_Matches!L1656,"",IF(Team_Matches!L1654&gt;Team_Matches!L1656,MIN(Team_Matches!L1654,Team_Matches!L1656),-MIN(Team_Matches!L1654,Team_Matches!L1656))*IF(Team_Matches!$Q1654="W",1,-1)),"")</f>
        <v/>
      </c>
    </row>
    <row r="131" spans="1:10" x14ac:dyDescent="0.25">
      <c r="A131" s="55" t="e">
        <f>$B131&amp;";"&amp;VLOOKUP($B131,Players!$C$4:$G$132,5,FALSE)&amp;";"&amp;IF(ISERROR(VLOOKUP($B131,Players!$C$4:$G$132,2,FALSE)),0,VLOOKUP($B131,Players!$C$4:$G$132,2,FALSE))&amp;";"&amp;$C131&amp;";"&amp;VLOOKUP($C131,Players!$C$4:$G$132,5,FALSE)&amp;";"&amp;IF(ISERROR(VLOOKUP($C131,Players!$C$4:$G$132,2,FALSE)),0,VLOOKUP($C131,Players!$C$4:$G$132,2,FALSE))&amp;"|"</f>
        <v>#N/A</v>
      </c>
      <c r="B131" t="str">
        <f>IF(Team_Matches!$Q1661="W",Team_Matches!$B1661,IF(Team_Matches!$Q1663="W",Team_Matches!$B1663,""))</f>
        <v/>
      </c>
      <c r="C131" t="str">
        <f>IF(Team_Matches!$Q1661="L",Team_Matches!$B1661,IF(Team_Matches!$Q1663="L",Team_Matches!$B1663,""))</f>
        <v/>
      </c>
      <c r="D131" t="str">
        <f>CONCATENATE(Team_Matches!$B1641," vs ",Team_Matches!$K1641)</f>
        <v>E vs I</v>
      </c>
      <c r="E131" t="str">
        <f>Team_Matches!$A1659</f>
        <v>3rd Singles</v>
      </c>
      <c r="F131" s="7" t="str">
        <f>IF(Team_Matches!$Q1661&lt;&gt;"",IF(Team_Matches!H1661&gt;Team_Matches!H1663,MIN(Team_Matches!H1661,Team_Matches!H1663),-MIN(Team_Matches!H1661,Team_Matches!H1663))*IF(Team_Matches!$Q1661="W",1,-1),"")</f>
        <v/>
      </c>
      <c r="G131" s="7" t="str">
        <f>IF(Team_Matches!$Q1661&lt;&gt;"",IF(Team_Matches!I1661&gt;Team_Matches!I1663,MIN(Team_Matches!I1661,Team_Matches!I1663),-MIN(Team_Matches!I1661,Team_Matches!I1663))*IF(Team_Matches!$Q1661="W",1,-1),"")</f>
        <v/>
      </c>
      <c r="H131" s="7" t="str">
        <f>IF(Team_Matches!$Q1661&lt;&gt;"",IF(Team_Matches!J1661&gt;Team_Matches!J1663,MIN(Team_Matches!J1661,Team_Matches!J1663),-MIN(Team_Matches!J1661,Team_Matches!J1663))*IF(Team_Matches!$Q1661="W",1,-1),"")</f>
        <v/>
      </c>
      <c r="I131" s="7" t="str">
        <f>IF(Team_Matches!$Q1661&lt;&gt;"",IF(Team_Matches!K1661=Team_Matches!K1663,"",IF(Team_Matches!K1661&gt;Team_Matches!K1663,MIN(Team_Matches!K1661,Team_Matches!K1663),-MIN(Team_Matches!K1661,Team_Matches!K1663))*IF(Team_Matches!$Q1661="W",1,-1)),"")</f>
        <v/>
      </c>
      <c r="J131" s="7" t="str">
        <f>IF(Team_Matches!$Q1661&lt;&gt;"",IF(Team_Matches!L1661=Team_Matches!L1663,"",IF(Team_Matches!L1661&gt;Team_Matches!L1663,MIN(Team_Matches!L1661,Team_Matches!L1663),-MIN(Team_Matches!L1661,Team_Matches!L1663))*IF(Team_Matches!$Q1661="W",1,-1)),"")</f>
        <v/>
      </c>
    </row>
    <row r="132" spans="1:10" x14ac:dyDescent="0.25">
      <c r="A132" s="55" t="e">
        <f ca="1">$B132&amp;";"&amp;VLOOKUP($B132,Players!$C$4:$G$132,5,FALSE)&amp;";"&amp;IF(ISERROR(VLOOKUP($B132,Players!$C$4:$G$132,2,FALSE)),0,VLOOKUP($B132,Players!$C$4:$G$132,2,FALSE))&amp;";"&amp;$C132&amp;";"&amp;VLOOKUP($C132,Players!$C$4:$G$132,5,FALSE)&amp;";"&amp;IF(ISERROR(VLOOKUP($C132,Players!$C$4:$G$132,2,FALSE)),0,VLOOKUP($C132,Players!$C$4:$G$132,2,FALSE))&amp;"|"</f>
        <v>#N/A</v>
      </c>
      <c r="B132" t="str">
        <f ca="1">IF(Team_Matches!$Q1668="W",Team_Matches!$B1668,IF(Team_Matches!$Q1670="W",Team_Matches!$B1670,""))</f>
        <v/>
      </c>
      <c r="C132" t="str">
        <f ca="1">IF(Team_Matches!$Q1668="L",Team_Matches!$B1668,IF(Team_Matches!$Q1670="L",Team_Matches!$B1670,""))</f>
        <v/>
      </c>
      <c r="D132" t="str">
        <f>CONCATENATE(Team_Matches!$B1641," vs ",Team_Matches!$K1641)</f>
        <v>E vs I</v>
      </c>
      <c r="E132" t="str">
        <f>Team_Matches!$A1666</f>
        <v>4th Singles</v>
      </c>
      <c r="F132" s="7" t="str">
        <f ca="1">IF(Team_Matches!$Q1668&lt;&gt;"",IF(Team_Matches!H1668&gt;Team_Matches!H1670,MIN(Team_Matches!H1668,Team_Matches!H1670),-MIN(Team_Matches!H1668,Team_Matches!H1670))*IF(Team_Matches!$Q1668="W",1,-1),"")</f>
        <v/>
      </c>
      <c r="G132" s="7" t="str">
        <f ca="1">IF(Team_Matches!$Q1668&lt;&gt;"",IF(Team_Matches!I1668&gt;Team_Matches!I1670,MIN(Team_Matches!I1668,Team_Matches!I1670),-MIN(Team_Matches!I1668,Team_Matches!I1670))*IF(Team_Matches!$Q1668="W",1,-1),"")</f>
        <v/>
      </c>
      <c r="H132" s="7" t="str">
        <f ca="1">IF(Team_Matches!$Q1668&lt;&gt;"",IF(Team_Matches!J1668&gt;Team_Matches!J1670,MIN(Team_Matches!J1668,Team_Matches!J1670),-MIN(Team_Matches!J1668,Team_Matches!J1670))*IF(Team_Matches!$Q1668="W",1,-1),"")</f>
        <v/>
      </c>
      <c r="I132" s="7" t="str">
        <f ca="1">IF(Team_Matches!$Q1668&lt;&gt;"",IF(Team_Matches!K1668=Team_Matches!K1670,"",IF(Team_Matches!K1668&gt;Team_Matches!K1670,MIN(Team_Matches!K1668,Team_Matches!K1670),-MIN(Team_Matches!K1668,Team_Matches!K1670))*IF(Team_Matches!$Q1668="W",1,-1)),"")</f>
        <v/>
      </c>
      <c r="J132" s="7" t="str">
        <f ca="1">IF(Team_Matches!$Q1668&lt;&gt;"",IF(Team_Matches!L1668=Team_Matches!L1670,"",IF(Team_Matches!L1668&gt;Team_Matches!L1670,MIN(Team_Matches!L1668,Team_Matches!L1670),-MIN(Team_Matches!L1668,Team_Matches!L1670))*IF(Team_Matches!$Q1668="W",1,-1)),"")</f>
        <v/>
      </c>
    </row>
    <row r="133" spans="1:10" x14ac:dyDescent="0.25">
      <c r="A133" s="55" t="e">
        <f>$B133&amp;";"&amp;VLOOKUP($B133,Players!$C$4:$G$132,5,FALSE)&amp;";"&amp;IF(ISERROR(VLOOKUP($B133,Players!$C$4:$G$132,2,FALSE)),0,VLOOKUP($B133,Players!$C$4:$G$132,2,FALSE))&amp;";"&amp;$C133&amp;";"&amp;VLOOKUP($C133,Players!$C$4:$G$132,5,FALSE)&amp;";"&amp;IF(ISERROR(VLOOKUP($C133,Players!$C$4:$G$132,2,FALSE)),0,VLOOKUP($C133,Players!$C$4:$G$132,2,FALSE))&amp;"|"</f>
        <v>#N/A</v>
      </c>
      <c r="B133" t="str">
        <f>IF(Team_Matches!$Q1698="W",Team_Matches!$B1698,IF(Team_Matches!$Q1700="W",Team_Matches!$B1700,""))</f>
        <v/>
      </c>
      <c r="C133" t="str">
        <f>IF(Team_Matches!$Q1698="L",Team_Matches!$B1698,IF(Team_Matches!$Q1700="L",Team_Matches!$B1700,""))</f>
        <v/>
      </c>
      <c r="D133" t="str">
        <f>CONCATENATE(Team_Matches!$B1692," vs ",Team_Matches!$K1692)</f>
        <v>D vs J</v>
      </c>
      <c r="E133" t="str">
        <f>Team_Matches!A1696</f>
        <v>1st Singles</v>
      </c>
      <c r="F133" s="7" t="str">
        <f>IF(Team_Matches!$Q1698&lt;&gt;"",IF(Team_Matches!H1698&gt;Team_Matches!H1700,MIN(Team_Matches!H1698,Team_Matches!H1700),-MIN(Team_Matches!H1698,Team_Matches!H1700))*IF(Team_Matches!$Q1698="W",1,-1),"")</f>
        <v/>
      </c>
      <c r="G133" s="7" t="str">
        <f>IF(Team_Matches!$Q1698&lt;&gt;"",IF(Team_Matches!I1698&gt;Team_Matches!I1700,MIN(Team_Matches!I1698,Team_Matches!I1700),-MIN(Team_Matches!I1698,Team_Matches!I1700))*IF(Team_Matches!$Q1698="W",1,-1),"")</f>
        <v/>
      </c>
      <c r="H133" s="7" t="str">
        <f>IF(Team_Matches!$Q1698&lt;&gt;"",IF(Team_Matches!J1698&gt;Team_Matches!J1700,MIN(Team_Matches!J1698,Team_Matches!J1700),-MIN(Team_Matches!J1698,Team_Matches!J1700))*IF(Team_Matches!$Q1698="W",1,-1),"")</f>
        <v/>
      </c>
      <c r="I133" s="7" t="str">
        <f>IF(Team_Matches!$Q1698&lt;&gt;"",IF(Team_Matches!K1698=Team_Matches!K1700,"",IF(Team_Matches!K1698&gt;Team_Matches!K1700,MIN(Team_Matches!K1698,Team_Matches!K1700),-MIN(Team_Matches!K1698,Team_Matches!K1700))*IF(Team_Matches!$Q1698="W",1,-1)),"")</f>
        <v/>
      </c>
      <c r="J133" s="7" t="str">
        <f>IF(Team_Matches!$Q1698&lt;&gt;"",IF(Team_Matches!L1698=Team_Matches!L1700,"",IF(Team_Matches!L1698&gt;Team_Matches!L1700,MIN(Team_Matches!L1698,Team_Matches!L1700),-MIN(Team_Matches!L1698,Team_Matches!L1700))*IF(Team_Matches!$Q1698="W",1,-1)),"")</f>
        <v/>
      </c>
    </row>
    <row r="134" spans="1:10" x14ac:dyDescent="0.25">
      <c r="A134" s="55" t="e">
        <f>$B134&amp;";"&amp;VLOOKUP($B134,Players!$C$4:$G$132,5,FALSE)&amp;";"&amp;IF(ISERROR(VLOOKUP($B134,Players!$C$4:$G$132,2,FALSE)),0,VLOOKUP($B134,Players!$C$4:$G$132,2,FALSE))&amp;";"&amp;$C134&amp;";"&amp;VLOOKUP($C134,Players!$C$4:$G$132,5,FALSE)&amp;";"&amp;IF(ISERROR(VLOOKUP($C134,Players!$C$4:$G$132,2,FALSE)),0,VLOOKUP($C134,Players!$C$4:$G$132,2,FALSE))&amp;"|"</f>
        <v>#N/A</v>
      </c>
      <c r="B134" t="str">
        <f>IF(Team_Matches!$Q1705="W",Team_Matches!$B1705,IF(Team_Matches!$Q1707="W",Team_Matches!$B1707,""))</f>
        <v/>
      </c>
      <c r="C134" t="str">
        <f>IF(Team_Matches!$Q1705="L",Team_Matches!$B1705,IF(Team_Matches!$Q1707="L",Team_Matches!$B1707,""))</f>
        <v/>
      </c>
      <c r="D134" t="str">
        <f>CONCATENATE(Team_Matches!$B1692," vs ",Team_Matches!$K1692)</f>
        <v>D vs J</v>
      </c>
      <c r="E134" t="str">
        <f>Team_Matches!$A1703</f>
        <v>2nd Singles</v>
      </c>
      <c r="F134" s="7" t="str">
        <f>IF(Team_Matches!$Q1705&lt;&gt;"",IF(Team_Matches!H1705&gt;Team_Matches!H1707,MIN(Team_Matches!H1705,Team_Matches!H1707),-MIN(Team_Matches!H1705,Team_Matches!H1707))*IF(Team_Matches!$Q1705="W",1,-1),"")</f>
        <v/>
      </c>
      <c r="G134" s="7" t="str">
        <f>IF(Team_Matches!$Q1705&lt;&gt;"",IF(Team_Matches!I1705&gt;Team_Matches!I1707,MIN(Team_Matches!I1705,Team_Matches!I1707),-MIN(Team_Matches!I1705,Team_Matches!I1707))*IF(Team_Matches!$Q1705="W",1,-1),"")</f>
        <v/>
      </c>
      <c r="H134" s="7" t="str">
        <f>IF(Team_Matches!$Q1705&lt;&gt;"",IF(Team_Matches!J1705&gt;Team_Matches!J1707,MIN(Team_Matches!J1705,Team_Matches!J1707),-MIN(Team_Matches!J1705,Team_Matches!J1707))*IF(Team_Matches!$Q1705="W",1,-1),"")</f>
        <v/>
      </c>
      <c r="I134" s="7" t="str">
        <f>IF(Team_Matches!$Q1705&lt;&gt;"",IF(Team_Matches!K1705=Team_Matches!K1707,"",IF(Team_Matches!K1705&gt;Team_Matches!K1707,MIN(Team_Matches!K1705,Team_Matches!K1707),-MIN(Team_Matches!K1705,Team_Matches!K1707))*IF(Team_Matches!$Q1705="W",1,-1)),"")</f>
        <v/>
      </c>
      <c r="J134" s="7" t="str">
        <f>IF(Team_Matches!$Q1705&lt;&gt;"",IF(Team_Matches!L1705=Team_Matches!L1707,"",IF(Team_Matches!L1705&gt;Team_Matches!L1707,MIN(Team_Matches!L1705,Team_Matches!L1707),-MIN(Team_Matches!L1705,Team_Matches!L1707))*IF(Team_Matches!$Q1705="W",1,-1)),"")</f>
        <v/>
      </c>
    </row>
    <row r="135" spans="1:10" x14ac:dyDescent="0.25">
      <c r="A135" s="55" t="e">
        <f>$B135&amp;";"&amp;VLOOKUP($B135,Players!$C$4:$G$132,5,FALSE)&amp;";"&amp;IF(ISERROR(VLOOKUP($B135,Players!$C$4:$G$132,2,FALSE)),0,VLOOKUP($B135,Players!$C$4:$G$132,2,FALSE))&amp;";"&amp;$C135&amp;";"&amp;VLOOKUP($C135,Players!$C$4:$G$132,5,FALSE)&amp;";"&amp;IF(ISERROR(VLOOKUP($C135,Players!$C$4:$G$132,2,FALSE)),0,VLOOKUP($C135,Players!$C$4:$G$132,2,FALSE))&amp;"|"</f>
        <v>#N/A</v>
      </c>
      <c r="B135" t="str">
        <f>IF(Team_Matches!$Q1712="W",Team_Matches!$B1712,IF(Team_Matches!$Q1714="W",Team_Matches!$B1714,""))</f>
        <v/>
      </c>
      <c r="C135" t="str">
        <f>IF(Team_Matches!$Q1712="L",Team_Matches!$B1712,IF(Team_Matches!$Q1714="L",Team_Matches!$B1714,""))</f>
        <v/>
      </c>
      <c r="D135" t="str">
        <f>CONCATENATE(Team_Matches!$B1692," vs ",Team_Matches!$K1692)</f>
        <v>D vs J</v>
      </c>
      <c r="E135" t="str">
        <f>Team_Matches!$A1710</f>
        <v>3rd Singles</v>
      </c>
      <c r="F135" s="7" t="str">
        <f>IF(Team_Matches!$Q1712&lt;&gt;"",IF(Team_Matches!H1712&gt;Team_Matches!H1714,MIN(Team_Matches!H1712,Team_Matches!H1714),-MIN(Team_Matches!H1712,Team_Matches!H1714))*IF(Team_Matches!$Q1712="W",1,-1),"")</f>
        <v/>
      </c>
      <c r="G135" s="7" t="str">
        <f>IF(Team_Matches!$Q1712&lt;&gt;"",IF(Team_Matches!I1712&gt;Team_Matches!I1714,MIN(Team_Matches!I1712,Team_Matches!I1714),-MIN(Team_Matches!I1712,Team_Matches!I1714))*IF(Team_Matches!$Q1712="W",1,-1),"")</f>
        <v/>
      </c>
      <c r="H135" s="7" t="str">
        <f>IF(Team_Matches!$Q1712&lt;&gt;"",IF(Team_Matches!J1712&gt;Team_Matches!J1714,MIN(Team_Matches!J1712,Team_Matches!J1714),-MIN(Team_Matches!J1712,Team_Matches!J1714))*IF(Team_Matches!$Q1712="W",1,-1),"")</f>
        <v/>
      </c>
      <c r="I135" s="7" t="str">
        <f>IF(Team_Matches!$Q1712&lt;&gt;"",IF(Team_Matches!K1712=Team_Matches!K1714,"",IF(Team_Matches!K1712&gt;Team_Matches!K1714,MIN(Team_Matches!K1712,Team_Matches!K1714),-MIN(Team_Matches!K1712,Team_Matches!K1714))*IF(Team_Matches!$Q1712="W",1,-1)),"")</f>
        <v/>
      </c>
      <c r="J135" s="7" t="str">
        <f>IF(Team_Matches!$Q1712&lt;&gt;"",IF(Team_Matches!L1712=Team_Matches!L1714,"",IF(Team_Matches!L1712&gt;Team_Matches!L1714,MIN(Team_Matches!L1712,Team_Matches!L1714),-MIN(Team_Matches!L1712,Team_Matches!L1714))*IF(Team_Matches!$Q1712="W",1,-1)),"")</f>
        <v/>
      </c>
    </row>
    <row r="136" spans="1:10" x14ac:dyDescent="0.25">
      <c r="A136" s="55" t="e">
        <f ca="1">$B136&amp;";"&amp;VLOOKUP($B136,Players!$C$4:$G$132,5,FALSE)&amp;";"&amp;IF(ISERROR(VLOOKUP($B136,Players!$C$4:$G$132,2,FALSE)),0,VLOOKUP($B136,Players!$C$4:$G$132,2,FALSE))&amp;";"&amp;$C136&amp;";"&amp;VLOOKUP($C136,Players!$C$4:$G$132,5,FALSE)&amp;";"&amp;IF(ISERROR(VLOOKUP($C136,Players!$C$4:$G$132,2,FALSE)),0,VLOOKUP($C136,Players!$C$4:$G$132,2,FALSE))&amp;"|"</f>
        <v>#N/A</v>
      </c>
      <c r="B136" t="str">
        <f ca="1">IF(Team_Matches!$Q1719="W",Team_Matches!$B1719,IF(Team_Matches!$Q1721="W",Team_Matches!$B1721,""))</f>
        <v/>
      </c>
      <c r="C136" t="str">
        <f ca="1">IF(Team_Matches!$Q1719="L",Team_Matches!$B1719,IF(Team_Matches!$Q1721="L",Team_Matches!$B1721,""))</f>
        <v/>
      </c>
      <c r="D136" t="str">
        <f>CONCATENATE(Team_Matches!$B1692," vs ",Team_Matches!$K1692)</f>
        <v>D vs J</v>
      </c>
      <c r="E136" t="str">
        <f>Team_Matches!$A1717</f>
        <v>4th Singles</v>
      </c>
      <c r="F136" s="7" t="str">
        <f ca="1">IF(Team_Matches!$Q1719&lt;&gt;"",IF(Team_Matches!H1719&gt;Team_Matches!H1721,MIN(Team_Matches!H1719,Team_Matches!H1721),-MIN(Team_Matches!H1719,Team_Matches!H1721))*IF(Team_Matches!$Q1719="W",1,-1),"")</f>
        <v/>
      </c>
      <c r="G136" s="7" t="str">
        <f ca="1">IF(Team_Matches!$Q1719&lt;&gt;"",IF(Team_Matches!I1719&gt;Team_Matches!I1721,MIN(Team_Matches!I1719,Team_Matches!I1721),-MIN(Team_Matches!I1719,Team_Matches!I1721))*IF(Team_Matches!$Q1719="W",1,-1),"")</f>
        <v/>
      </c>
      <c r="H136" s="7" t="str">
        <f ca="1">IF(Team_Matches!$Q1719&lt;&gt;"",IF(Team_Matches!J1719&gt;Team_Matches!J1721,MIN(Team_Matches!J1719,Team_Matches!J1721),-MIN(Team_Matches!J1719,Team_Matches!J1721))*IF(Team_Matches!$Q1719="W",1,-1),"")</f>
        <v/>
      </c>
      <c r="I136" s="7" t="str">
        <f ca="1">IF(Team_Matches!$Q1719&lt;&gt;"",IF(Team_Matches!K1719=Team_Matches!K1721,"",IF(Team_Matches!K1719&gt;Team_Matches!K1721,MIN(Team_Matches!K1719,Team_Matches!K1721),-MIN(Team_Matches!K1719,Team_Matches!K1721))*IF(Team_Matches!$Q1719="W",1,-1)),"")</f>
        <v/>
      </c>
      <c r="J136" s="7" t="str">
        <f ca="1">IF(Team_Matches!$Q1719&lt;&gt;"",IF(Team_Matches!L1719=Team_Matches!L1721,"",IF(Team_Matches!L1719&gt;Team_Matches!L1721,MIN(Team_Matches!L1719,Team_Matches!L1721),-MIN(Team_Matches!L1719,Team_Matches!L1721))*IF(Team_Matches!$Q1719="W",1,-1)),"")</f>
        <v/>
      </c>
    </row>
    <row r="137" spans="1:10" x14ac:dyDescent="0.25">
      <c r="A137" s="55" t="e">
        <f>$B137&amp;";"&amp;VLOOKUP($B137,Players!$C$4:$G$132,5,FALSE)&amp;";"&amp;IF(ISERROR(VLOOKUP($B137,Players!$C$4:$G$132,2,FALSE)),0,VLOOKUP($B137,Players!$C$4:$G$132,2,FALSE))&amp;";"&amp;$C137&amp;";"&amp;VLOOKUP($C137,Players!$C$4:$G$132,5,FALSE)&amp;";"&amp;IF(ISERROR(VLOOKUP($C137,Players!$C$4:$G$132,2,FALSE)),0,VLOOKUP($C137,Players!$C$4:$G$132,2,FALSE))&amp;"|"</f>
        <v>#N/A</v>
      </c>
      <c r="B137" t="str">
        <f>IF(Team_Matches!$Q1749="W",Team_Matches!$B1749,IF(Team_Matches!$Q1751="W",Team_Matches!$B1751,""))</f>
        <v/>
      </c>
      <c r="C137" t="str">
        <f>IF(Team_Matches!$Q1749="L",Team_Matches!$B1749,IF(Team_Matches!$Q1751="L",Team_Matches!$B1751,""))</f>
        <v/>
      </c>
      <c r="D137" t="str">
        <f>CONCATENATE(Team_Matches!$B1743," vs ",Team_Matches!$K1743)</f>
        <v>C vs K</v>
      </c>
      <c r="E137" t="str">
        <f>Team_Matches!A1747</f>
        <v>1st Singles</v>
      </c>
      <c r="F137" s="7" t="str">
        <f>IF(Team_Matches!$Q1749&lt;&gt;"",IF(Team_Matches!H1749&gt;Team_Matches!H1751,MIN(Team_Matches!H1749,Team_Matches!H1751),-MIN(Team_Matches!H1749,Team_Matches!H1751))*IF(Team_Matches!$Q1749="W",1,-1),"")</f>
        <v/>
      </c>
      <c r="G137" s="7" t="str">
        <f>IF(Team_Matches!$Q1749&lt;&gt;"",IF(Team_Matches!I1749&gt;Team_Matches!I1751,MIN(Team_Matches!I1749,Team_Matches!I1751),-MIN(Team_Matches!I1749,Team_Matches!I1751))*IF(Team_Matches!$Q1749="W",1,-1),"")</f>
        <v/>
      </c>
      <c r="H137" s="7" t="str">
        <f>IF(Team_Matches!$Q1749&lt;&gt;"",IF(Team_Matches!J1749&gt;Team_Matches!J1751,MIN(Team_Matches!J1749,Team_Matches!J1751),-MIN(Team_Matches!J1749,Team_Matches!J1751))*IF(Team_Matches!$Q1749="W",1,-1),"")</f>
        <v/>
      </c>
      <c r="I137" s="7" t="str">
        <f>IF(Team_Matches!$Q1749&lt;&gt;"",IF(Team_Matches!K1749=Team_Matches!K1751,"",IF(Team_Matches!K1749&gt;Team_Matches!K1751,MIN(Team_Matches!K1749,Team_Matches!K1751),-MIN(Team_Matches!K1749,Team_Matches!K1751))*IF(Team_Matches!$Q1749="W",1,-1)),"")</f>
        <v/>
      </c>
      <c r="J137" s="7" t="str">
        <f>IF(Team_Matches!$Q1749&lt;&gt;"",IF(Team_Matches!L1749=Team_Matches!L1751,"",IF(Team_Matches!L1749&gt;Team_Matches!L1751,MIN(Team_Matches!L1749,Team_Matches!L1751),-MIN(Team_Matches!L1749,Team_Matches!L1751))*IF(Team_Matches!$Q1749="W",1,-1)),"")</f>
        <v/>
      </c>
    </row>
    <row r="138" spans="1:10" x14ac:dyDescent="0.25">
      <c r="A138" s="55" t="e">
        <f>$B138&amp;";"&amp;VLOOKUP($B138,Players!$C$4:$G$132,5,FALSE)&amp;";"&amp;IF(ISERROR(VLOOKUP($B138,Players!$C$4:$G$132,2,FALSE)),0,VLOOKUP($B138,Players!$C$4:$G$132,2,FALSE))&amp;";"&amp;$C138&amp;";"&amp;VLOOKUP($C138,Players!$C$4:$G$132,5,FALSE)&amp;";"&amp;IF(ISERROR(VLOOKUP($C138,Players!$C$4:$G$132,2,FALSE)),0,VLOOKUP($C138,Players!$C$4:$G$132,2,FALSE))&amp;"|"</f>
        <v>#N/A</v>
      </c>
      <c r="B138" t="str">
        <f>IF(Team_Matches!$Q1756="W",Team_Matches!$B1756,IF(Team_Matches!$Q1758="W",Team_Matches!$B1758,""))</f>
        <v/>
      </c>
      <c r="C138" t="str">
        <f>IF(Team_Matches!$Q1756="L",Team_Matches!$B1756,IF(Team_Matches!$Q1758="L",Team_Matches!$B1758,""))</f>
        <v/>
      </c>
      <c r="D138" t="str">
        <f>CONCATENATE(Team_Matches!$B1743," vs ",Team_Matches!$K1743)</f>
        <v>C vs K</v>
      </c>
      <c r="E138" t="str">
        <f>Team_Matches!$A1754</f>
        <v>2nd Singles</v>
      </c>
      <c r="F138" s="7" t="str">
        <f>IF(Team_Matches!$Q1756&lt;&gt;"",IF(Team_Matches!H1756&gt;Team_Matches!H1758,MIN(Team_Matches!H1756,Team_Matches!H1758),-MIN(Team_Matches!H1756,Team_Matches!H1758))*IF(Team_Matches!$Q1756="W",1,-1),"")</f>
        <v/>
      </c>
      <c r="G138" s="7" t="str">
        <f>IF(Team_Matches!$Q1756&lt;&gt;"",IF(Team_Matches!I1756&gt;Team_Matches!I1758,MIN(Team_Matches!I1756,Team_Matches!I1758),-MIN(Team_Matches!I1756,Team_Matches!I1758))*IF(Team_Matches!$Q1756="W",1,-1),"")</f>
        <v/>
      </c>
      <c r="H138" s="7" t="str">
        <f>IF(Team_Matches!$Q1756&lt;&gt;"",IF(Team_Matches!J1756&gt;Team_Matches!J1758,MIN(Team_Matches!J1756,Team_Matches!J1758),-MIN(Team_Matches!J1756,Team_Matches!J1758))*IF(Team_Matches!$Q1756="W",1,-1),"")</f>
        <v/>
      </c>
      <c r="I138" s="7" t="str">
        <f>IF(Team_Matches!$Q1756&lt;&gt;"",IF(Team_Matches!K1756=Team_Matches!K1758,"",IF(Team_Matches!K1756&gt;Team_Matches!K1758,MIN(Team_Matches!K1756,Team_Matches!K1758),-MIN(Team_Matches!K1756,Team_Matches!K1758))*IF(Team_Matches!$Q1756="W",1,-1)),"")</f>
        <v/>
      </c>
      <c r="J138" s="7" t="str">
        <f>IF(Team_Matches!$Q1756&lt;&gt;"",IF(Team_Matches!L1756=Team_Matches!L1758,"",IF(Team_Matches!L1756&gt;Team_Matches!L1758,MIN(Team_Matches!L1756,Team_Matches!L1758),-MIN(Team_Matches!L1756,Team_Matches!L1758))*IF(Team_Matches!$Q1756="W",1,-1)),"")</f>
        <v/>
      </c>
    </row>
    <row r="139" spans="1:10" x14ac:dyDescent="0.25">
      <c r="A139" s="55" t="e">
        <f>$B139&amp;";"&amp;VLOOKUP($B139,Players!$C$4:$G$132,5,FALSE)&amp;";"&amp;IF(ISERROR(VLOOKUP($B139,Players!$C$4:$G$132,2,FALSE)),0,VLOOKUP($B139,Players!$C$4:$G$132,2,FALSE))&amp;";"&amp;$C139&amp;";"&amp;VLOOKUP($C139,Players!$C$4:$G$132,5,FALSE)&amp;";"&amp;IF(ISERROR(VLOOKUP($C139,Players!$C$4:$G$132,2,FALSE)),0,VLOOKUP($C139,Players!$C$4:$G$132,2,FALSE))&amp;"|"</f>
        <v>#N/A</v>
      </c>
      <c r="B139" t="str">
        <f>IF(Team_Matches!$Q1763="W",Team_Matches!$B1763,IF(Team_Matches!$Q1765="W",Team_Matches!$B1765,""))</f>
        <v/>
      </c>
      <c r="C139" t="str">
        <f>IF(Team_Matches!$Q1763="L",Team_Matches!$B1763,IF(Team_Matches!$Q1765="L",Team_Matches!$B1765,""))</f>
        <v/>
      </c>
      <c r="D139" t="str">
        <f>CONCATENATE(Team_Matches!$B1743," vs ",Team_Matches!$K1743)</f>
        <v>C vs K</v>
      </c>
      <c r="E139" t="str">
        <f>Team_Matches!$A1761</f>
        <v>3rd Singles</v>
      </c>
      <c r="F139" s="7" t="str">
        <f>IF(Team_Matches!$Q1763&lt;&gt;"",IF(Team_Matches!H1763&gt;Team_Matches!H1765,MIN(Team_Matches!H1763,Team_Matches!H1765),-MIN(Team_Matches!H1763,Team_Matches!H1765))*IF(Team_Matches!$Q1763="W",1,-1),"")</f>
        <v/>
      </c>
      <c r="G139" s="7" t="str">
        <f>IF(Team_Matches!$Q1763&lt;&gt;"",IF(Team_Matches!I1763&gt;Team_Matches!I1765,MIN(Team_Matches!I1763,Team_Matches!I1765),-MIN(Team_Matches!I1763,Team_Matches!I1765))*IF(Team_Matches!$Q1763="W",1,-1),"")</f>
        <v/>
      </c>
      <c r="H139" s="7" t="str">
        <f>IF(Team_Matches!$Q1763&lt;&gt;"",IF(Team_Matches!J1763&gt;Team_Matches!J1765,MIN(Team_Matches!J1763,Team_Matches!J1765),-MIN(Team_Matches!J1763,Team_Matches!J1765))*IF(Team_Matches!$Q1763="W",1,-1),"")</f>
        <v/>
      </c>
      <c r="I139" s="7" t="str">
        <f>IF(Team_Matches!$Q1763&lt;&gt;"",IF(Team_Matches!K1763=Team_Matches!K1765,"",IF(Team_Matches!K1763&gt;Team_Matches!K1765,MIN(Team_Matches!K1763,Team_Matches!K1765),-MIN(Team_Matches!K1763,Team_Matches!K1765))*IF(Team_Matches!$Q1763="W",1,-1)),"")</f>
        <v/>
      </c>
      <c r="J139" s="7" t="str">
        <f>IF(Team_Matches!$Q1763&lt;&gt;"",IF(Team_Matches!L1763=Team_Matches!L1765,"",IF(Team_Matches!L1763&gt;Team_Matches!L1765,MIN(Team_Matches!L1763,Team_Matches!L1765),-MIN(Team_Matches!L1763,Team_Matches!L1765))*IF(Team_Matches!$Q1763="W",1,-1)),"")</f>
        <v/>
      </c>
    </row>
    <row r="140" spans="1:10" x14ac:dyDescent="0.25">
      <c r="A140" s="55" t="e">
        <f ca="1">$B140&amp;";"&amp;VLOOKUP($B140,Players!$C$4:$G$132,5,FALSE)&amp;";"&amp;IF(ISERROR(VLOOKUP($B140,Players!$C$4:$G$132,2,FALSE)),0,VLOOKUP($B140,Players!$C$4:$G$132,2,FALSE))&amp;";"&amp;$C140&amp;";"&amp;VLOOKUP($C140,Players!$C$4:$G$132,5,FALSE)&amp;";"&amp;IF(ISERROR(VLOOKUP($C140,Players!$C$4:$G$132,2,FALSE)),0,VLOOKUP($C140,Players!$C$4:$G$132,2,FALSE))&amp;"|"</f>
        <v>#N/A</v>
      </c>
      <c r="B140" t="str">
        <f ca="1">IF(Team_Matches!$Q1770="W",Team_Matches!$B1770,IF(Team_Matches!$Q1772="W",Team_Matches!$B1772,""))</f>
        <v/>
      </c>
      <c r="C140" t="str">
        <f ca="1">IF(Team_Matches!$Q1770="L",Team_Matches!$B1770,IF(Team_Matches!$Q1772="L",Team_Matches!$B1772,""))</f>
        <v/>
      </c>
      <c r="D140" t="str">
        <f>CONCATENATE(Team_Matches!$B1743," vs ",Team_Matches!$K1743)</f>
        <v>C vs K</v>
      </c>
      <c r="E140" t="str">
        <f>Team_Matches!$A1768</f>
        <v>4th Singles</v>
      </c>
      <c r="F140" s="7" t="str">
        <f ca="1">IF(Team_Matches!$Q1770&lt;&gt;"",IF(Team_Matches!H1770&gt;Team_Matches!H1772,MIN(Team_Matches!H1770,Team_Matches!H1772),-MIN(Team_Matches!H1770,Team_Matches!H1772))*IF(Team_Matches!$Q1770="W",1,-1),"")</f>
        <v/>
      </c>
      <c r="G140" s="7" t="str">
        <f ca="1">IF(Team_Matches!$Q1770&lt;&gt;"",IF(Team_Matches!I1770&gt;Team_Matches!I1772,MIN(Team_Matches!I1770,Team_Matches!I1772),-MIN(Team_Matches!I1770,Team_Matches!I1772))*IF(Team_Matches!$Q1770="W",1,-1),"")</f>
        <v/>
      </c>
      <c r="H140" s="7" t="str">
        <f ca="1">IF(Team_Matches!$Q1770&lt;&gt;"",IF(Team_Matches!J1770&gt;Team_Matches!J1772,MIN(Team_Matches!J1770,Team_Matches!J1772),-MIN(Team_Matches!J1770,Team_Matches!J1772))*IF(Team_Matches!$Q1770="W",1,-1),"")</f>
        <v/>
      </c>
      <c r="I140" s="7" t="str">
        <f ca="1">IF(Team_Matches!$Q1770&lt;&gt;"",IF(Team_Matches!K1770=Team_Matches!K1772,"",IF(Team_Matches!K1770&gt;Team_Matches!K1772,MIN(Team_Matches!K1770,Team_Matches!K1772),-MIN(Team_Matches!K1770,Team_Matches!K1772))*IF(Team_Matches!$Q1770="W",1,-1)),"")</f>
        <v/>
      </c>
      <c r="J140" s="7" t="str">
        <f ca="1">IF(Team_Matches!$Q1770&lt;&gt;"",IF(Team_Matches!L1770=Team_Matches!L1772,"",IF(Team_Matches!L1770&gt;Team_Matches!L1772,MIN(Team_Matches!L1770,Team_Matches!L1772),-MIN(Team_Matches!L1770,Team_Matches!L1772))*IF(Team_Matches!$Q1770="W",1,-1)),"")</f>
        <v/>
      </c>
    </row>
    <row r="141" spans="1:10" x14ac:dyDescent="0.25">
      <c r="A141" s="55" t="e">
        <f>$B141&amp;";"&amp;VLOOKUP($B141,Players!$C$4:$G$132,5,FALSE)&amp;";"&amp;IF(ISERROR(VLOOKUP($B141,Players!$C$4:$G$132,2,FALSE)),0,VLOOKUP($B141,Players!$C$4:$G$132,2,FALSE))&amp;";"&amp;$C141&amp;";"&amp;VLOOKUP($C141,Players!$C$4:$G$132,5,FALSE)&amp;";"&amp;IF(ISERROR(VLOOKUP($C141,Players!$C$4:$G$132,2,FALSE)),0,VLOOKUP($C141,Players!$C$4:$G$132,2,FALSE))&amp;"|"</f>
        <v>#N/A</v>
      </c>
      <c r="B141" t="str">
        <f>IF(Team_Matches!$Q1800="W",Team_Matches!$B1800,IF(Team_Matches!$Q1802="W",Team_Matches!$B1802,""))</f>
        <v/>
      </c>
      <c r="C141" t="str">
        <f>IF(Team_Matches!$Q1800="L",Team_Matches!$B1800,IF(Team_Matches!$Q1802="L",Team_Matches!$B1802,""))</f>
        <v/>
      </c>
      <c r="D141" t="str">
        <f>CONCATENATE(Team_Matches!$B1794," vs ",Team_Matches!$K1794)</f>
        <v>B vs L</v>
      </c>
      <c r="E141" t="str">
        <f>Team_Matches!A1798</f>
        <v>1st Singles</v>
      </c>
      <c r="F141" s="7" t="str">
        <f>IF(Team_Matches!$Q1800&lt;&gt;"",IF(Team_Matches!H1800&gt;Team_Matches!H1802,MIN(Team_Matches!H1800,Team_Matches!H1802),-MIN(Team_Matches!H1800,Team_Matches!H1802))*IF(Team_Matches!$Q1800="W",1,-1),"")</f>
        <v/>
      </c>
      <c r="G141" s="7" t="str">
        <f>IF(Team_Matches!$Q1800&lt;&gt;"",IF(Team_Matches!I1800&gt;Team_Matches!I1802,MIN(Team_Matches!I1800,Team_Matches!I1802),-MIN(Team_Matches!I1800,Team_Matches!I1802))*IF(Team_Matches!$Q1800="W",1,-1),"")</f>
        <v/>
      </c>
      <c r="H141" s="7" t="str">
        <f>IF(Team_Matches!$Q1800&lt;&gt;"",IF(Team_Matches!J1800&gt;Team_Matches!J1802,MIN(Team_Matches!J1800,Team_Matches!J1802),-MIN(Team_Matches!J1800,Team_Matches!J1802))*IF(Team_Matches!$Q1800="W",1,-1),"")</f>
        <v/>
      </c>
      <c r="I141" s="7" t="str">
        <f>IF(Team_Matches!$Q1800&lt;&gt;"",IF(Team_Matches!K1800=Team_Matches!K1802,"",IF(Team_Matches!K1800&gt;Team_Matches!K1802,MIN(Team_Matches!K1800,Team_Matches!K1802),-MIN(Team_Matches!K1800,Team_Matches!K1802))*IF(Team_Matches!$Q1800="W",1,-1)),"")</f>
        <v/>
      </c>
      <c r="J141" s="7" t="str">
        <f>IF(Team_Matches!$Q1800&lt;&gt;"",IF(Team_Matches!L1800=Team_Matches!L1802,"",IF(Team_Matches!L1800&gt;Team_Matches!L1802,MIN(Team_Matches!L1800,Team_Matches!L1802),-MIN(Team_Matches!L1800,Team_Matches!L1802))*IF(Team_Matches!$Q1800="W",1,-1)),"")</f>
        <v/>
      </c>
    </row>
    <row r="142" spans="1:10" x14ac:dyDescent="0.25">
      <c r="A142" s="55" t="e">
        <f>$B142&amp;";"&amp;VLOOKUP($B142,Players!$C$4:$G$132,5,FALSE)&amp;";"&amp;IF(ISERROR(VLOOKUP($B142,Players!$C$4:$G$132,2,FALSE)),0,VLOOKUP($B142,Players!$C$4:$G$132,2,FALSE))&amp;";"&amp;$C142&amp;";"&amp;VLOOKUP($C142,Players!$C$4:$G$132,5,FALSE)&amp;";"&amp;IF(ISERROR(VLOOKUP($C142,Players!$C$4:$G$132,2,FALSE)),0,VLOOKUP($C142,Players!$C$4:$G$132,2,FALSE))&amp;"|"</f>
        <v>#N/A</v>
      </c>
      <c r="B142" t="str">
        <f>IF(Team_Matches!$Q1807="W",Team_Matches!$B1807,IF(Team_Matches!$Q1809="W",Team_Matches!$B1809,""))</f>
        <v/>
      </c>
      <c r="C142" t="str">
        <f>IF(Team_Matches!$Q1807="L",Team_Matches!$B1807,IF(Team_Matches!$Q1809="L",Team_Matches!$B1809,""))</f>
        <v/>
      </c>
      <c r="D142" t="str">
        <f>CONCATENATE(Team_Matches!$B1794," vs ",Team_Matches!$K1794)</f>
        <v>B vs L</v>
      </c>
      <c r="E142" t="str">
        <f>Team_Matches!$A1805</f>
        <v>2nd Singles</v>
      </c>
      <c r="F142" s="7" t="str">
        <f>IF(Team_Matches!$Q1807&lt;&gt;"",IF(Team_Matches!H1807&gt;Team_Matches!H1809,MIN(Team_Matches!H1807,Team_Matches!H1809),-MIN(Team_Matches!H1807,Team_Matches!H1809))*IF(Team_Matches!$Q1807="W",1,-1),"")</f>
        <v/>
      </c>
      <c r="G142" s="7" t="str">
        <f>IF(Team_Matches!$Q1807&lt;&gt;"",IF(Team_Matches!I1807&gt;Team_Matches!I1809,MIN(Team_Matches!I1807,Team_Matches!I1809),-MIN(Team_Matches!I1807,Team_Matches!I1809))*IF(Team_Matches!$Q1807="W",1,-1),"")</f>
        <v/>
      </c>
      <c r="H142" s="7" t="str">
        <f>IF(Team_Matches!$Q1807&lt;&gt;"",IF(Team_Matches!J1807&gt;Team_Matches!J1809,MIN(Team_Matches!J1807,Team_Matches!J1809),-MIN(Team_Matches!J1807,Team_Matches!J1809))*IF(Team_Matches!$Q1807="W",1,-1),"")</f>
        <v/>
      </c>
      <c r="I142" s="7" t="str">
        <f>IF(Team_Matches!$Q1807&lt;&gt;"",IF(Team_Matches!K1807=Team_Matches!K1809,"",IF(Team_Matches!K1807&gt;Team_Matches!K1809,MIN(Team_Matches!K1807,Team_Matches!K1809),-MIN(Team_Matches!K1807,Team_Matches!K1809))*IF(Team_Matches!$Q1807="W",1,-1)),"")</f>
        <v/>
      </c>
      <c r="J142" s="7" t="str">
        <f>IF(Team_Matches!$Q1807&lt;&gt;"",IF(Team_Matches!L1807=Team_Matches!L1809,"",IF(Team_Matches!L1807&gt;Team_Matches!L1809,MIN(Team_Matches!L1807,Team_Matches!L1809),-MIN(Team_Matches!L1807,Team_Matches!L1809))*IF(Team_Matches!$Q1807="W",1,-1)),"")</f>
        <v/>
      </c>
    </row>
    <row r="143" spans="1:10" x14ac:dyDescent="0.25">
      <c r="A143" s="55" t="e">
        <f>$B143&amp;";"&amp;VLOOKUP($B143,Players!$C$4:$G$132,5,FALSE)&amp;";"&amp;IF(ISERROR(VLOOKUP($B143,Players!$C$4:$G$132,2,FALSE)),0,VLOOKUP($B143,Players!$C$4:$G$132,2,FALSE))&amp;";"&amp;$C143&amp;";"&amp;VLOOKUP($C143,Players!$C$4:$G$132,5,FALSE)&amp;";"&amp;IF(ISERROR(VLOOKUP($C143,Players!$C$4:$G$132,2,FALSE)),0,VLOOKUP($C143,Players!$C$4:$G$132,2,FALSE))&amp;"|"</f>
        <v>#N/A</v>
      </c>
      <c r="B143" t="str">
        <f>IF(Team_Matches!$Q1814="W",Team_Matches!$B1814,IF(Team_Matches!$Q1816="W",Team_Matches!$B1816,""))</f>
        <v/>
      </c>
      <c r="C143" t="str">
        <f>IF(Team_Matches!$Q1814="L",Team_Matches!$B1814,IF(Team_Matches!$Q1816="L",Team_Matches!$B1816,""))</f>
        <v/>
      </c>
      <c r="D143" t="str">
        <f>CONCATENATE(Team_Matches!$B1794," vs ",Team_Matches!$K1794)</f>
        <v>B vs L</v>
      </c>
      <c r="E143" t="str">
        <f>Team_Matches!$A1812</f>
        <v>3rd Singles</v>
      </c>
      <c r="F143" s="7" t="str">
        <f>IF(Team_Matches!$Q1814&lt;&gt;"",IF(Team_Matches!H1814&gt;Team_Matches!H1816,MIN(Team_Matches!H1814,Team_Matches!H1816),-MIN(Team_Matches!H1814,Team_Matches!H1816))*IF(Team_Matches!$Q1814="W",1,-1),"")</f>
        <v/>
      </c>
      <c r="G143" s="7" t="str">
        <f>IF(Team_Matches!$Q1814&lt;&gt;"",IF(Team_Matches!I1814&gt;Team_Matches!I1816,MIN(Team_Matches!I1814,Team_Matches!I1816),-MIN(Team_Matches!I1814,Team_Matches!I1816))*IF(Team_Matches!$Q1814="W",1,-1),"")</f>
        <v/>
      </c>
      <c r="H143" s="7" t="str">
        <f>IF(Team_Matches!$Q1814&lt;&gt;"",IF(Team_Matches!J1814&gt;Team_Matches!J1816,MIN(Team_Matches!J1814,Team_Matches!J1816),-MIN(Team_Matches!J1814,Team_Matches!J1816))*IF(Team_Matches!$Q1814="W",1,-1),"")</f>
        <v/>
      </c>
      <c r="I143" s="7" t="str">
        <f>IF(Team_Matches!$Q1814&lt;&gt;"",IF(Team_Matches!K1814=Team_Matches!K1816,"",IF(Team_Matches!K1814&gt;Team_Matches!K1816,MIN(Team_Matches!K1814,Team_Matches!K1816),-MIN(Team_Matches!K1814,Team_Matches!K1816))*IF(Team_Matches!$Q1814="W",1,-1)),"")</f>
        <v/>
      </c>
      <c r="J143" s="7" t="str">
        <f>IF(Team_Matches!$Q1814&lt;&gt;"",IF(Team_Matches!L1814=Team_Matches!L1816,"",IF(Team_Matches!L1814&gt;Team_Matches!L1816,MIN(Team_Matches!L1814,Team_Matches!L1816),-MIN(Team_Matches!L1814,Team_Matches!L1816))*IF(Team_Matches!$Q1814="W",1,-1)),"")</f>
        <v/>
      </c>
    </row>
    <row r="144" spans="1:10" x14ac:dyDescent="0.25">
      <c r="A144" s="55" t="e">
        <f ca="1">$B144&amp;";"&amp;VLOOKUP($B144,Players!$C$4:$G$132,5,FALSE)&amp;";"&amp;IF(ISERROR(VLOOKUP($B144,Players!$C$4:$G$132,2,FALSE)),0,VLOOKUP($B144,Players!$C$4:$G$132,2,FALSE))&amp;";"&amp;$C144&amp;";"&amp;VLOOKUP($C144,Players!$C$4:$G$132,5,FALSE)&amp;";"&amp;IF(ISERROR(VLOOKUP($C144,Players!$C$4:$G$132,2,FALSE)),0,VLOOKUP($C144,Players!$C$4:$G$132,2,FALSE))&amp;"|"</f>
        <v>#N/A</v>
      </c>
      <c r="B144" t="str">
        <f ca="1">IF(Team_Matches!$Q1821="W",Team_Matches!$B1821,IF(Team_Matches!$Q1823="W",Team_Matches!$B1823,""))</f>
        <v/>
      </c>
      <c r="C144" t="str">
        <f ca="1">IF(Team_Matches!$Q1821="L",Team_Matches!$B1821,IF(Team_Matches!$Q1823="L",Team_Matches!$B1823,""))</f>
        <v/>
      </c>
      <c r="D144" t="str">
        <f>CONCATENATE(Team_Matches!$B1794," vs ",Team_Matches!$K1794)</f>
        <v>B vs L</v>
      </c>
      <c r="E144" t="str">
        <f>Team_Matches!$A1819</f>
        <v>4th Singles</v>
      </c>
      <c r="F144" s="7" t="str">
        <f ca="1">IF(Team_Matches!$Q1821&lt;&gt;"",IF(Team_Matches!H1821&gt;Team_Matches!H1823,MIN(Team_Matches!H1821,Team_Matches!H1823),-MIN(Team_Matches!H1821,Team_Matches!H1823))*IF(Team_Matches!$Q1821="W",1,-1),"")</f>
        <v/>
      </c>
      <c r="G144" s="7" t="str">
        <f ca="1">IF(Team_Matches!$Q1821&lt;&gt;"",IF(Team_Matches!I1821&gt;Team_Matches!I1823,MIN(Team_Matches!I1821,Team_Matches!I1823),-MIN(Team_Matches!I1821,Team_Matches!I1823))*IF(Team_Matches!$Q1821="W",1,-1),"")</f>
        <v/>
      </c>
      <c r="H144" s="7" t="str">
        <f ca="1">IF(Team_Matches!$Q1821&lt;&gt;"",IF(Team_Matches!J1821&gt;Team_Matches!J1823,MIN(Team_Matches!J1821,Team_Matches!J1823),-MIN(Team_Matches!J1821,Team_Matches!J1823))*IF(Team_Matches!$Q1821="W",1,-1),"")</f>
        <v/>
      </c>
      <c r="I144" s="7" t="str">
        <f ca="1">IF(Team_Matches!$Q1821&lt;&gt;"",IF(Team_Matches!K1821=Team_Matches!K1823,"",IF(Team_Matches!K1821&gt;Team_Matches!K1823,MIN(Team_Matches!K1821,Team_Matches!K1823),-MIN(Team_Matches!K1821,Team_Matches!K1823))*IF(Team_Matches!$Q1821="W",1,-1)),"")</f>
        <v/>
      </c>
      <c r="J144" s="7" t="str">
        <f ca="1">IF(Team_Matches!$Q1821&lt;&gt;"",IF(Team_Matches!L1821=Team_Matches!L1823,"",IF(Team_Matches!L1821&gt;Team_Matches!L1823,MIN(Team_Matches!L1821,Team_Matches!L1823),-MIN(Team_Matches!L1821,Team_Matches!L1823))*IF(Team_Matches!$Q1821="W",1,-1)),"")</f>
        <v/>
      </c>
    </row>
    <row r="145" spans="1:10" x14ac:dyDescent="0.25">
      <c r="A145" s="55" t="e">
        <f>$B145&amp;";"&amp;VLOOKUP($B145,Players!$C$4:$G$132,5,FALSE)&amp;";"&amp;IF(ISERROR(VLOOKUP($B145,Players!$C$4:$G$132,2,FALSE)),0,VLOOKUP($B145,Players!$C$4:$G$132,2,FALSE))&amp;";"&amp;$C145&amp;";"&amp;VLOOKUP($C145,Players!$C$4:$G$132,5,FALSE)&amp;";"&amp;IF(ISERROR(VLOOKUP($C145,Players!$C$4:$G$132,2,FALSE)),0,VLOOKUP($C145,Players!$C$4:$G$132,2,FALSE))&amp;"|"</f>
        <v>#N/A</v>
      </c>
      <c r="B145" t="str">
        <f>IF(Team_Matches!$Q1851="W",Team_Matches!$B1851,IF(Team_Matches!$Q1853="W",Team_Matches!$B1853,""))</f>
        <v/>
      </c>
      <c r="C145" t="str">
        <f>IF(Team_Matches!$Q1851="L",Team_Matches!$B1851,IF(Team_Matches!$Q1853="L",Team_Matches!$B1853,""))</f>
        <v/>
      </c>
      <c r="D145" t="str">
        <f>CONCATENATE(Team_Matches!$B1845," vs ",Team_Matches!$K1845)</f>
        <v>A vs F</v>
      </c>
      <c r="E145" t="str">
        <f>Team_Matches!A1849</f>
        <v>1st Singles</v>
      </c>
      <c r="F145" s="7" t="str">
        <f>IF(Team_Matches!$Q1851&lt;&gt;"",IF(Team_Matches!H1851&gt;Team_Matches!H1853,MIN(Team_Matches!H1851,Team_Matches!H1853),-MIN(Team_Matches!H1851,Team_Matches!H1853))*IF(Team_Matches!$Q1851="W",1,-1),"")</f>
        <v/>
      </c>
      <c r="G145" s="7" t="str">
        <f>IF(Team_Matches!$Q1851&lt;&gt;"",IF(Team_Matches!I1851&gt;Team_Matches!I1853,MIN(Team_Matches!I1851,Team_Matches!I1853),-MIN(Team_Matches!I1851,Team_Matches!I1853))*IF(Team_Matches!$Q1851="W",1,-1),"")</f>
        <v/>
      </c>
      <c r="H145" s="7" t="str">
        <f>IF(Team_Matches!$Q1851&lt;&gt;"",IF(Team_Matches!J1851&gt;Team_Matches!J1853,MIN(Team_Matches!J1851,Team_Matches!J1853),-MIN(Team_Matches!J1851,Team_Matches!J1853))*IF(Team_Matches!$Q1851="W",1,-1),"")</f>
        <v/>
      </c>
      <c r="I145" s="7" t="str">
        <f>IF(Team_Matches!$Q1851&lt;&gt;"",IF(Team_Matches!K1851=Team_Matches!K1853,"",IF(Team_Matches!K1851&gt;Team_Matches!K1853,MIN(Team_Matches!K1851,Team_Matches!K1853),-MIN(Team_Matches!K1851,Team_Matches!K1853))*IF(Team_Matches!$Q1851="W",1,-1)),"")</f>
        <v/>
      </c>
      <c r="J145" s="7" t="str">
        <f>IF(Team_Matches!$Q1851&lt;&gt;"",IF(Team_Matches!L1851=Team_Matches!L1853,"",IF(Team_Matches!L1851&gt;Team_Matches!L1853,MIN(Team_Matches!L1851,Team_Matches!L1853),-MIN(Team_Matches!L1851,Team_Matches!L1853))*IF(Team_Matches!$Q1851="W",1,-1)),"")</f>
        <v/>
      </c>
    </row>
    <row r="146" spans="1:10" x14ac:dyDescent="0.25">
      <c r="A146" s="55" t="e">
        <f>$B146&amp;";"&amp;VLOOKUP($B146,Players!$C$4:$G$132,5,FALSE)&amp;";"&amp;IF(ISERROR(VLOOKUP($B146,Players!$C$4:$G$132,2,FALSE)),0,VLOOKUP($B146,Players!$C$4:$G$132,2,FALSE))&amp;";"&amp;$C146&amp;";"&amp;VLOOKUP($C146,Players!$C$4:$G$132,5,FALSE)&amp;";"&amp;IF(ISERROR(VLOOKUP($C146,Players!$C$4:$G$132,2,FALSE)),0,VLOOKUP($C146,Players!$C$4:$G$132,2,FALSE))&amp;"|"</f>
        <v>#N/A</v>
      </c>
      <c r="B146" t="str">
        <f>IF(Team_Matches!$Q1858="W",Team_Matches!$B1858,IF(Team_Matches!$Q1860="W",Team_Matches!$B1860,""))</f>
        <v/>
      </c>
      <c r="C146" t="str">
        <f>IF(Team_Matches!$Q1858="L",Team_Matches!$B1858,IF(Team_Matches!$Q1860="L",Team_Matches!$B1860,""))</f>
        <v/>
      </c>
      <c r="D146" t="str">
        <f>CONCATENATE(Team_Matches!$B1845," vs ",Team_Matches!$K1845)</f>
        <v>A vs F</v>
      </c>
      <c r="E146" t="str">
        <f>Team_Matches!$A1856</f>
        <v>2nd Singles</v>
      </c>
      <c r="F146" s="7" t="str">
        <f>IF(Team_Matches!$Q1858&lt;&gt;"",IF(Team_Matches!H1858&gt;Team_Matches!H1860,MIN(Team_Matches!H1858,Team_Matches!H1860),-MIN(Team_Matches!H1858,Team_Matches!H1860))*IF(Team_Matches!$Q1858="W",1,-1),"")</f>
        <v/>
      </c>
      <c r="G146" s="7" t="str">
        <f>IF(Team_Matches!$Q1858&lt;&gt;"",IF(Team_Matches!I1858&gt;Team_Matches!I1860,MIN(Team_Matches!I1858,Team_Matches!I1860),-MIN(Team_Matches!I1858,Team_Matches!I1860))*IF(Team_Matches!$Q1858="W",1,-1),"")</f>
        <v/>
      </c>
      <c r="H146" s="7" t="str">
        <f>IF(Team_Matches!$Q1858&lt;&gt;"",IF(Team_Matches!J1858&gt;Team_Matches!J1860,MIN(Team_Matches!J1858,Team_Matches!J1860),-MIN(Team_Matches!J1858,Team_Matches!J1860))*IF(Team_Matches!$Q1858="W",1,-1),"")</f>
        <v/>
      </c>
      <c r="I146" s="7" t="str">
        <f>IF(Team_Matches!$Q1858&lt;&gt;"",IF(Team_Matches!K1858=Team_Matches!K1860,"",IF(Team_Matches!K1858&gt;Team_Matches!K1860,MIN(Team_Matches!K1858,Team_Matches!K1860),-MIN(Team_Matches!K1858,Team_Matches!K1860))*IF(Team_Matches!$Q1858="W",1,-1)),"")</f>
        <v/>
      </c>
      <c r="J146" s="7" t="str">
        <f>IF(Team_Matches!$Q1858&lt;&gt;"",IF(Team_Matches!L1858=Team_Matches!L1860,"",IF(Team_Matches!L1858&gt;Team_Matches!L1860,MIN(Team_Matches!L1858,Team_Matches!L1860),-MIN(Team_Matches!L1858,Team_Matches!L1860))*IF(Team_Matches!$Q1858="W",1,-1)),"")</f>
        <v/>
      </c>
    </row>
    <row r="147" spans="1:10" x14ac:dyDescent="0.25">
      <c r="A147" s="55" t="e">
        <f>$B147&amp;";"&amp;VLOOKUP($B147,Players!$C$4:$G$132,5,FALSE)&amp;";"&amp;IF(ISERROR(VLOOKUP($B147,Players!$C$4:$G$132,2,FALSE)),0,VLOOKUP($B147,Players!$C$4:$G$132,2,FALSE))&amp;";"&amp;$C147&amp;";"&amp;VLOOKUP($C147,Players!$C$4:$G$132,5,FALSE)&amp;";"&amp;IF(ISERROR(VLOOKUP($C147,Players!$C$4:$G$132,2,FALSE)),0,VLOOKUP($C147,Players!$C$4:$G$132,2,FALSE))&amp;"|"</f>
        <v>#N/A</v>
      </c>
      <c r="B147" t="str">
        <f>IF(Team_Matches!$Q1865="W",Team_Matches!$B1865,IF(Team_Matches!$Q1867="W",Team_Matches!$B1867,""))</f>
        <v/>
      </c>
      <c r="C147" t="str">
        <f>IF(Team_Matches!$Q1865="L",Team_Matches!$B1865,IF(Team_Matches!$Q1867="L",Team_Matches!$B1867,""))</f>
        <v/>
      </c>
      <c r="D147" t="str">
        <f>CONCATENATE(Team_Matches!$B1845," vs ",Team_Matches!$K1845)</f>
        <v>A vs F</v>
      </c>
      <c r="E147" t="str">
        <f>Team_Matches!$A1863</f>
        <v>3rd Singles</v>
      </c>
      <c r="F147" s="7" t="str">
        <f>IF(Team_Matches!$Q1865&lt;&gt;"",IF(Team_Matches!H1865&gt;Team_Matches!H1867,MIN(Team_Matches!H1865,Team_Matches!H1867),-MIN(Team_Matches!H1865,Team_Matches!H1867))*IF(Team_Matches!$Q1865="W",1,-1),"")</f>
        <v/>
      </c>
      <c r="G147" s="7" t="str">
        <f>IF(Team_Matches!$Q1865&lt;&gt;"",IF(Team_Matches!I1865&gt;Team_Matches!I1867,MIN(Team_Matches!I1865,Team_Matches!I1867),-MIN(Team_Matches!I1865,Team_Matches!I1867))*IF(Team_Matches!$Q1865="W",1,-1),"")</f>
        <v/>
      </c>
      <c r="H147" s="7" t="str">
        <f>IF(Team_Matches!$Q1865&lt;&gt;"",IF(Team_Matches!J1865&gt;Team_Matches!J1867,MIN(Team_Matches!J1865,Team_Matches!J1867),-MIN(Team_Matches!J1865,Team_Matches!J1867))*IF(Team_Matches!$Q1865="W",1,-1),"")</f>
        <v/>
      </c>
      <c r="I147" s="7" t="str">
        <f>IF(Team_Matches!$Q1865&lt;&gt;"",IF(Team_Matches!K1865=Team_Matches!K1867,"",IF(Team_Matches!K1865&gt;Team_Matches!K1867,MIN(Team_Matches!K1865,Team_Matches!K1867),-MIN(Team_Matches!K1865,Team_Matches!K1867))*IF(Team_Matches!$Q1865="W",1,-1)),"")</f>
        <v/>
      </c>
      <c r="J147" s="7" t="str">
        <f>IF(Team_Matches!$Q1865&lt;&gt;"",IF(Team_Matches!L1865=Team_Matches!L1867,"",IF(Team_Matches!L1865&gt;Team_Matches!L1867,MIN(Team_Matches!L1865,Team_Matches!L1867),-MIN(Team_Matches!L1865,Team_Matches!L1867))*IF(Team_Matches!$Q1865="W",1,-1)),"")</f>
        <v/>
      </c>
    </row>
    <row r="148" spans="1:10" x14ac:dyDescent="0.25">
      <c r="A148" s="55" t="e">
        <f ca="1">$B148&amp;";"&amp;VLOOKUP($B148,Players!$C$4:$G$132,5,FALSE)&amp;";"&amp;IF(ISERROR(VLOOKUP($B148,Players!$C$4:$G$132,2,FALSE)),0,VLOOKUP($B148,Players!$C$4:$G$132,2,FALSE))&amp;";"&amp;$C148&amp;";"&amp;VLOOKUP($C148,Players!$C$4:$G$132,5,FALSE)&amp;";"&amp;IF(ISERROR(VLOOKUP($C148,Players!$C$4:$G$132,2,FALSE)),0,VLOOKUP($C148,Players!$C$4:$G$132,2,FALSE))&amp;"|"</f>
        <v>#N/A</v>
      </c>
      <c r="B148" t="str">
        <f ca="1">IF(Team_Matches!$Q1872="W",Team_Matches!$B1872,IF(Team_Matches!$Q1874="W",Team_Matches!$B1874,""))</f>
        <v/>
      </c>
      <c r="C148" t="str">
        <f ca="1">IF(Team_Matches!$Q1872="L",Team_Matches!$B1872,IF(Team_Matches!$Q1874="L",Team_Matches!$B1874,""))</f>
        <v/>
      </c>
      <c r="D148" t="str">
        <f>CONCATENATE(Team_Matches!$B1845," vs ",Team_Matches!$K1845)</f>
        <v>A vs F</v>
      </c>
      <c r="E148" t="str">
        <f>Team_Matches!$A1870</f>
        <v>4th Singles</v>
      </c>
      <c r="F148" s="7" t="str">
        <f ca="1">IF(Team_Matches!$Q1872&lt;&gt;"",IF(Team_Matches!H1872&gt;Team_Matches!H1874,MIN(Team_Matches!H1872,Team_Matches!H1874),-MIN(Team_Matches!H1872,Team_Matches!H1874))*IF(Team_Matches!$Q1872="W",1,-1),"")</f>
        <v/>
      </c>
      <c r="G148" s="7" t="str">
        <f ca="1">IF(Team_Matches!$Q1872&lt;&gt;"",IF(Team_Matches!I1872&gt;Team_Matches!I1874,MIN(Team_Matches!I1872,Team_Matches!I1874),-MIN(Team_Matches!I1872,Team_Matches!I1874))*IF(Team_Matches!$Q1872="W",1,-1),"")</f>
        <v/>
      </c>
      <c r="H148" s="7" t="str">
        <f ca="1">IF(Team_Matches!$Q1872&lt;&gt;"",IF(Team_Matches!J1872&gt;Team_Matches!J1874,MIN(Team_Matches!J1872,Team_Matches!J1874),-MIN(Team_Matches!J1872,Team_Matches!J1874))*IF(Team_Matches!$Q1872="W",1,-1),"")</f>
        <v/>
      </c>
      <c r="I148" s="7" t="str">
        <f ca="1">IF(Team_Matches!$Q1872&lt;&gt;"",IF(Team_Matches!K1872=Team_Matches!K1874,"",IF(Team_Matches!K1872&gt;Team_Matches!K1874,MIN(Team_Matches!K1872,Team_Matches!K1874),-MIN(Team_Matches!K1872,Team_Matches!K1874))*IF(Team_Matches!$Q1872="W",1,-1)),"")</f>
        <v/>
      </c>
      <c r="J148" s="7" t="str">
        <f ca="1">IF(Team_Matches!$Q1872&lt;&gt;"",IF(Team_Matches!L1872=Team_Matches!L1874,"",IF(Team_Matches!L1872&gt;Team_Matches!L1874,MIN(Team_Matches!L1872,Team_Matches!L1874),-MIN(Team_Matches!L1872,Team_Matches!L1874))*IF(Team_Matches!$Q1872="W",1,-1)),"")</f>
        <v/>
      </c>
    </row>
    <row r="149" spans="1:10" x14ac:dyDescent="0.25">
      <c r="A149" s="55" t="e">
        <f>$B149&amp;";"&amp;VLOOKUP($B149,Players!$C$4:$G$132,5,FALSE)&amp;";"&amp;IF(ISERROR(VLOOKUP($B149,Players!$C$4:$G$132,2,FALSE)),0,VLOOKUP($B149,Players!$C$4:$G$132,2,FALSE))&amp;";"&amp;$C149&amp;";"&amp;VLOOKUP($C149,Players!$C$4:$G$132,5,FALSE)&amp;";"&amp;IF(ISERROR(VLOOKUP($C149,Players!$C$4:$G$132,2,FALSE)),0,VLOOKUP($C149,Players!$C$4:$G$132,2,FALSE))&amp;"|"</f>
        <v>#N/A</v>
      </c>
      <c r="B149" t="str">
        <f>IF(Team_Matches!$Q1902="W",Team_Matches!$B1902,IF(Team_Matches!$Q1904="W",Team_Matches!$B1904,""))</f>
        <v/>
      </c>
      <c r="C149" t="str">
        <f>IF(Team_Matches!$Q1902="L",Team_Matches!$B1902,IF(Team_Matches!$Q1904="L",Team_Matches!$B1904,""))</f>
        <v/>
      </c>
      <c r="D149" t="str">
        <f>CONCATENATE(Team_Matches!$B1896," vs ",Team_Matches!$K1896)</f>
        <v>E vs G</v>
      </c>
      <c r="E149" t="str">
        <f>Team_Matches!A1900</f>
        <v>1st Singles</v>
      </c>
      <c r="F149" s="7" t="str">
        <f>IF(Team_Matches!$Q1902&lt;&gt;"",IF(Team_Matches!H1902&gt;Team_Matches!H1904,MIN(Team_Matches!H1902,Team_Matches!H1904),-MIN(Team_Matches!H1902,Team_Matches!H1904))*IF(Team_Matches!$Q1902="W",1,-1),"")</f>
        <v/>
      </c>
      <c r="G149" s="7" t="str">
        <f>IF(Team_Matches!$Q1902&lt;&gt;"",IF(Team_Matches!I1902&gt;Team_Matches!I1904,MIN(Team_Matches!I1902,Team_Matches!I1904),-MIN(Team_Matches!I1902,Team_Matches!I1904))*IF(Team_Matches!$Q1902="W",1,-1),"")</f>
        <v/>
      </c>
      <c r="H149" s="7" t="str">
        <f>IF(Team_Matches!$Q1902&lt;&gt;"",IF(Team_Matches!J1902&gt;Team_Matches!J1904,MIN(Team_Matches!J1902,Team_Matches!J1904),-MIN(Team_Matches!J1902,Team_Matches!J1904))*IF(Team_Matches!$Q1902="W",1,-1),"")</f>
        <v/>
      </c>
      <c r="I149" s="7" t="str">
        <f>IF(Team_Matches!$Q1902&lt;&gt;"",IF(Team_Matches!K1902=Team_Matches!K1904,"",IF(Team_Matches!K1902&gt;Team_Matches!K1904,MIN(Team_Matches!K1902,Team_Matches!K1904),-MIN(Team_Matches!K1902,Team_Matches!K1904))*IF(Team_Matches!$Q1902="W",1,-1)),"")</f>
        <v/>
      </c>
      <c r="J149" s="7" t="str">
        <f>IF(Team_Matches!$Q1902&lt;&gt;"",IF(Team_Matches!L1902=Team_Matches!L1904,"",IF(Team_Matches!L1902&gt;Team_Matches!L1904,MIN(Team_Matches!L1902,Team_Matches!L1904),-MIN(Team_Matches!L1902,Team_Matches!L1904))*IF(Team_Matches!$Q1902="W",1,-1)),"")</f>
        <v/>
      </c>
    </row>
    <row r="150" spans="1:10" x14ac:dyDescent="0.25">
      <c r="A150" s="55" t="e">
        <f>$B150&amp;";"&amp;VLOOKUP($B150,Players!$C$4:$G$132,5,FALSE)&amp;";"&amp;IF(ISERROR(VLOOKUP($B150,Players!$C$4:$G$132,2,FALSE)),0,VLOOKUP($B150,Players!$C$4:$G$132,2,FALSE))&amp;";"&amp;$C150&amp;";"&amp;VLOOKUP($C150,Players!$C$4:$G$132,5,FALSE)&amp;";"&amp;IF(ISERROR(VLOOKUP($C150,Players!$C$4:$G$132,2,FALSE)),0,VLOOKUP($C150,Players!$C$4:$G$132,2,FALSE))&amp;"|"</f>
        <v>#N/A</v>
      </c>
      <c r="B150" t="str">
        <f>IF(Team_Matches!$Q1909="W",Team_Matches!$B1909,IF(Team_Matches!$Q1911="W",Team_Matches!$B1911,""))</f>
        <v/>
      </c>
      <c r="C150" t="str">
        <f>IF(Team_Matches!$Q1909="L",Team_Matches!$B1909,IF(Team_Matches!$Q1911="L",Team_Matches!$B1911,""))</f>
        <v/>
      </c>
      <c r="D150" t="str">
        <f>CONCATENATE(Team_Matches!$B1896," vs ",Team_Matches!$K1896)</f>
        <v>E vs G</v>
      </c>
      <c r="E150" t="str">
        <f>Team_Matches!$A1907</f>
        <v>2nd Singles</v>
      </c>
      <c r="F150" s="7" t="str">
        <f>IF(Team_Matches!$Q1909&lt;&gt;"",IF(Team_Matches!H1909&gt;Team_Matches!H1911,MIN(Team_Matches!H1909,Team_Matches!H1911),-MIN(Team_Matches!H1909,Team_Matches!H1911))*IF(Team_Matches!$Q1909="W",1,-1),"")</f>
        <v/>
      </c>
      <c r="G150" s="7" t="str">
        <f>IF(Team_Matches!$Q1909&lt;&gt;"",IF(Team_Matches!I1909&gt;Team_Matches!I1911,MIN(Team_Matches!I1909,Team_Matches!I1911),-MIN(Team_Matches!I1909,Team_Matches!I1911))*IF(Team_Matches!$Q1909="W",1,-1),"")</f>
        <v/>
      </c>
      <c r="H150" s="7" t="str">
        <f>IF(Team_Matches!$Q1909&lt;&gt;"",IF(Team_Matches!J1909&gt;Team_Matches!J1911,MIN(Team_Matches!J1909,Team_Matches!J1911),-MIN(Team_Matches!J1909,Team_Matches!J1911))*IF(Team_Matches!$Q1909="W",1,-1),"")</f>
        <v/>
      </c>
      <c r="I150" s="7" t="str">
        <f>IF(Team_Matches!$Q1909&lt;&gt;"",IF(Team_Matches!K1909=Team_Matches!K1911,"",IF(Team_Matches!K1909&gt;Team_Matches!K1911,MIN(Team_Matches!K1909,Team_Matches!K1911),-MIN(Team_Matches!K1909,Team_Matches!K1911))*IF(Team_Matches!$Q1909="W",1,-1)),"")</f>
        <v/>
      </c>
      <c r="J150" s="7" t="str">
        <f>IF(Team_Matches!$Q1909&lt;&gt;"",IF(Team_Matches!L1909=Team_Matches!L1911,"",IF(Team_Matches!L1909&gt;Team_Matches!L1911,MIN(Team_Matches!L1909,Team_Matches!L1911),-MIN(Team_Matches!L1909,Team_Matches!L1911))*IF(Team_Matches!$Q1909="W",1,-1)),"")</f>
        <v/>
      </c>
    </row>
    <row r="151" spans="1:10" x14ac:dyDescent="0.25">
      <c r="A151" s="55" t="e">
        <f>$B151&amp;";"&amp;VLOOKUP($B151,Players!$C$4:$G$132,5,FALSE)&amp;";"&amp;IF(ISERROR(VLOOKUP($B151,Players!$C$4:$G$132,2,FALSE)),0,VLOOKUP($B151,Players!$C$4:$G$132,2,FALSE))&amp;";"&amp;$C151&amp;";"&amp;VLOOKUP($C151,Players!$C$4:$G$132,5,FALSE)&amp;";"&amp;IF(ISERROR(VLOOKUP($C151,Players!$C$4:$G$132,2,FALSE)),0,VLOOKUP($C151,Players!$C$4:$G$132,2,FALSE))&amp;"|"</f>
        <v>#N/A</v>
      </c>
      <c r="B151" t="str">
        <f>IF(Team_Matches!$Q1916="W",Team_Matches!$B1916,IF(Team_Matches!$Q1918="W",Team_Matches!$B1918,""))</f>
        <v/>
      </c>
      <c r="C151" t="str">
        <f>IF(Team_Matches!$Q1916="L",Team_Matches!$B1916,IF(Team_Matches!$Q1918="L",Team_Matches!$B1918,""))</f>
        <v/>
      </c>
      <c r="D151" t="str">
        <f>CONCATENATE(Team_Matches!$B1896," vs ",Team_Matches!$K1896)</f>
        <v>E vs G</v>
      </c>
      <c r="E151" t="str">
        <f>Team_Matches!$A1914</f>
        <v>3rd Singles</v>
      </c>
      <c r="F151" s="7" t="str">
        <f>IF(Team_Matches!$Q1916&lt;&gt;"",IF(Team_Matches!H1916&gt;Team_Matches!H1918,MIN(Team_Matches!H1916,Team_Matches!H1918),-MIN(Team_Matches!H1916,Team_Matches!H1918))*IF(Team_Matches!$Q1916="W",1,-1),"")</f>
        <v/>
      </c>
      <c r="G151" s="7" t="str">
        <f>IF(Team_Matches!$Q1916&lt;&gt;"",IF(Team_Matches!I1916&gt;Team_Matches!I1918,MIN(Team_Matches!I1916,Team_Matches!I1918),-MIN(Team_Matches!I1916,Team_Matches!I1918))*IF(Team_Matches!$Q1916="W",1,-1),"")</f>
        <v/>
      </c>
      <c r="H151" s="7" t="str">
        <f>IF(Team_Matches!$Q1916&lt;&gt;"",IF(Team_Matches!J1916&gt;Team_Matches!J1918,MIN(Team_Matches!J1916,Team_Matches!J1918),-MIN(Team_Matches!J1916,Team_Matches!J1918))*IF(Team_Matches!$Q1916="W",1,-1),"")</f>
        <v/>
      </c>
      <c r="I151" s="7" t="str">
        <f>IF(Team_Matches!$Q1916&lt;&gt;"",IF(Team_Matches!K1916=Team_Matches!K1918,"",IF(Team_Matches!K1916&gt;Team_Matches!K1918,MIN(Team_Matches!K1916,Team_Matches!K1918),-MIN(Team_Matches!K1916,Team_Matches!K1918))*IF(Team_Matches!$Q1916="W",1,-1)),"")</f>
        <v/>
      </c>
      <c r="J151" s="7" t="str">
        <f>IF(Team_Matches!$Q1916&lt;&gt;"",IF(Team_Matches!L1916=Team_Matches!L1918,"",IF(Team_Matches!L1916&gt;Team_Matches!L1918,MIN(Team_Matches!L1916,Team_Matches!L1918),-MIN(Team_Matches!L1916,Team_Matches!L1918))*IF(Team_Matches!$Q1916="W",1,-1)),"")</f>
        <v/>
      </c>
    </row>
    <row r="152" spans="1:10" x14ac:dyDescent="0.25">
      <c r="A152" s="55" t="e">
        <f ca="1">$B152&amp;";"&amp;VLOOKUP($B152,Players!$C$4:$G$132,5,FALSE)&amp;";"&amp;IF(ISERROR(VLOOKUP($B152,Players!$C$4:$G$132,2,FALSE)),0,VLOOKUP($B152,Players!$C$4:$G$132,2,FALSE))&amp;";"&amp;$C152&amp;";"&amp;VLOOKUP($C152,Players!$C$4:$G$132,5,FALSE)&amp;";"&amp;IF(ISERROR(VLOOKUP($C152,Players!$C$4:$G$132,2,FALSE)),0,VLOOKUP($C152,Players!$C$4:$G$132,2,FALSE))&amp;"|"</f>
        <v>#N/A</v>
      </c>
      <c r="B152" t="str">
        <f ca="1">IF(Team_Matches!$Q1923="W",Team_Matches!$B1923,IF(Team_Matches!$Q1925="W",Team_Matches!$B1925,""))</f>
        <v/>
      </c>
      <c r="C152" t="str">
        <f ca="1">IF(Team_Matches!$Q1923="L",Team_Matches!$B1923,IF(Team_Matches!$Q1925="L",Team_Matches!$B1925,""))</f>
        <v/>
      </c>
      <c r="D152" t="str">
        <f>CONCATENATE(Team_Matches!$B1896," vs ",Team_Matches!$K1896)</f>
        <v>E vs G</v>
      </c>
      <c r="E152" t="str">
        <f>Team_Matches!$A1921</f>
        <v>4th Singles</v>
      </c>
      <c r="F152" s="7" t="str">
        <f ca="1">IF(Team_Matches!$Q1923&lt;&gt;"",IF(Team_Matches!H1923&gt;Team_Matches!H1925,MIN(Team_Matches!H1923,Team_Matches!H1925),-MIN(Team_Matches!H1923,Team_Matches!H1925))*IF(Team_Matches!$Q1923="W",1,-1),"")</f>
        <v/>
      </c>
      <c r="G152" s="7" t="str">
        <f ca="1">IF(Team_Matches!$Q1923&lt;&gt;"",IF(Team_Matches!I1923&gt;Team_Matches!I1925,MIN(Team_Matches!I1923,Team_Matches!I1925),-MIN(Team_Matches!I1923,Team_Matches!I1925))*IF(Team_Matches!$Q1923="W",1,-1),"")</f>
        <v/>
      </c>
      <c r="H152" s="7" t="str">
        <f ca="1">IF(Team_Matches!$Q1923&lt;&gt;"",IF(Team_Matches!J1923&gt;Team_Matches!J1925,MIN(Team_Matches!J1923,Team_Matches!J1925),-MIN(Team_Matches!J1923,Team_Matches!J1925))*IF(Team_Matches!$Q1923="W",1,-1),"")</f>
        <v/>
      </c>
      <c r="I152" s="7" t="str">
        <f ca="1">IF(Team_Matches!$Q1923&lt;&gt;"",IF(Team_Matches!K1923=Team_Matches!K1925,"",IF(Team_Matches!K1923&gt;Team_Matches!K1925,MIN(Team_Matches!K1923,Team_Matches!K1925),-MIN(Team_Matches!K1923,Team_Matches!K1925))*IF(Team_Matches!$Q1923="W",1,-1)),"")</f>
        <v/>
      </c>
      <c r="J152" s="7" t="str">
        <f ca="1">IF(Team_Matches!$Q1923&lt;&gt;"",IF(Team_Matches!L1923=Team_Matches!L1925,"",IF(Team_Matches!L1923&gt;Team_Matches!L1925,MIN(Team_Matches!L1923,Team_Matches!L1925),-MIN(Team_Matches!L1923,Team_Matches!L1925))*IF(Team_Matches!$Q1923="W",1,-1)),"")</f>
        <v/>
      </c>
    </row>
    <row r="153" spans="1:10" x14ac:dyDescent="0.25">
      <c r="A153" s="55" t="e">
        <f>$B153&amp;";"&amp;VLOOKUP($B153,Players!$C$4:$G$132,5,FALSE)&amp;";"&amp;IF(ISERROR(VLOOKUP($B153,Players!$C$4:$G$132,2,FALSE)),0,VLOOKUP($B153,Players!$C$4:$G$132,2,FALSE))&amp;";"&amp;$C153&amp;";"&amp;VLOOKUP($C153,Players!$C$4:$G$132,5,FALSE)&amp;";"&amp;IF(ISERROR(VLOOKUP($C153,Players!$C$4:$G$132,2,FALSE)),0,VLOOKUP($C153,Players!$C$4:$G$132,2,FALSE))&amp;"|"</f>
        <v>#N/A</v>
      </c>
      <c r="B153" t="str">
        <f>IF(Team_Matches!$Q1953="W",Team_Matches!$B1953,IF(Team_Matches!$Q1955="W",Team_Matches!$B1955,""))</f>
        <v/>
      </c>
      <c r="C153" t="str">
        <f>IF(Team_Matches!$Q1953="L",Team_Matches!$B1953,IF(Team_Matches!$Q1955="L",Team_Matches!$B1955,""))</f>
        <v/>
      </c>
      <c r="D153" t="str">
        <f>CONCATENATE(Team_Matches!$B1947," vs ",Team_Matches!$K1947)</f>
        <v>D vs H</v>
      </c>
      <c r="E153" t="str">
        <f>Team_Matches!A1951</f>
        <v>1st Singles</v>
      </c>
      <c r="F153" s="7" t="str">
        <f>IF(Team_Matches!$Q1953&lt;&gt;"",IF(Team_Matches!H1953&gt;Team_Matches!H1955,MIN(Team_Matches!H1953,Team_Matches!H1955),-MIN(Team_Matches!H1953,Team_Matches!H1955))*IF(Team_Matches!$Q1953="W",1,-1),"")</f>
        <v/>
      </c>
      <c r="G153" s="7" t="str">
        <f>IF(Team_Matches!$Q1953&lt;&gt;"",IF(Team_Matches!I1953&gt;Team_Matches!I1955,MIN(Team_Matches!I1953,Team_Matches!I1955),-MIN(Team_Matches!I1953,Team_Matches!I1955))*IF(Team_Matches!$Q1953="W",1,-1),"")</f>
        <v/>
      </c>
      <c r="H153" s="7" t="str">
        <f>IF(Team_Matches!$Q1953&lt;&gt;"",IF(Team_Matches!J1953&gt;Team_Matches!J1955,MIN(Team_Matches!J1953,Team_Matches!J1955),-MIN(Team_Matches!J1953,Team_Matches!J1955))*IF(Team_Matches!$Q1953="W",1,-1),"")</f>
        <v/>
      </c>
      <c r="I153" s="7" t="str">
        <f>IF(Team_Matches!$Q1953&lt;&gt;"",IF(Team_Matches!K1953=Team_Matches!K1955,"",IF(Team_Matches!K1953&gt;Team_Matches!K1955,MIN(Team_Matches!K1953,Team_Matches!K1955),-MIN(Team_Matches!K1953,Team_Matches!K1955))*IF(Team_Matches!$Q1953="W",1,-1)),"")</f>
        <v/>
      </c>
      <c r="J153" s="7" t="str">
        <f>IF(Team_Matches!$Q1953&lt;&gt;"",IF(Team_Matches!L1953=Team_Matches!L1955,"",IF(Team_Matches!L1953&gt;Team_Matches!L1955,MIN(Team_Matches!L1953,Team_Matches!L1955),-MIN(Team_Matches!L1953,Team_Matches!L1955))*IF(Team_Matches!$Q1953="W",1,-1)),"")</f>
        <v/>
      </c>
    </row>
    <row r="154" spans="1:10" x14ac:dyDescent="0.25">
      <c r="A154" s="55" t="e">
        <f>$B154&amp;";"&amp;VLOOKUP($B154,Players!$C$4:$G$132,5,FALSE)&amp;";"&amp;IF(ISERROR(VLOOKUP($B154,Players!$C$4:$G$132,2,FALSE)),0,VLOOKUP($B154,Players!$C$4:$G$132,2,FALSE))&amp;";"&amp;$C154&amp;";"&amp;VLOOKUP($C154,Players!$C$4:$G$132,5,FALSE)&amp;";"&amp;IF(ISERROR(VLOOKUP($C154,Players!$C$4:$G$132,2,FALSE)),0,VLOOKUP($C154,Players!$C$4:$G$132,2,FALSE))&amp;"|"</f>
        <v>#N/A</v>
      </c>
      <c r="B154" t="str">
        <f>IF(Team_Matches!$Q1960="W",Team_Matches!$B1960,IF(Team_Matches!$Q1962="W",Team_Matches!$B1962,""))</f>
        <v/>
      </c>
      <c r="C154" t="str">
        <f>IF(Team_Matches!$Q1960="L",Team_Matches!$B1960,IF(Team_Matches!$Q1962="L",Team_Matches!$B1962,""))</f>
        <v/>
      </c>
      <c r="D154" t="str">
        <f>CONCATENATE(Team_Matches!$B1947," vs ",Team_Matches!$K1947)</f>
        <v>D vs H</v>
      </c>
      <c r="E154" t="str">
        <f>Team_Matches!$A1958</f>
        <v>2nd Singles</v>
      </c>
      <c r="F154" s="7" t="str">
        <f>IF(Team_Matches!$Q1960&lt;&gt;"",IF(Team_Matches!H1960&gt;Team_Matches!H1962,MIN(Team_Matches!H1960,Team_Matches!H1962),-MIN(Team_Matches!H1960,Team_Matches!H1962))*IF(Team_Matches!$Q1960="W",1,-1),"")</f>
        <v/>
      </c>
      <c r="G154" s="7" t="str">
        <f>IF(Team_Matches!$Q1960&lt;&gt;"",IF(Team_Matches!I1960&gt;Team_Matches!I1962,MIN(Team_Matches!I1960,Team_Matches!I1962),-MIN(Team_Matches!I1960,Team_Matches!I1962))*IF(Team_Matches!$Q1960="W",1,-1),"")</f>
        <v/>
      </c>
      <c r="H154" s="7" t="str">
        <f>IF(Team_Matches!$Q1960&lt;&gt;"",IF(Team_Matches!J1960&gt;Team_Matches!J1962,MIN(Team_Matches!J1960,Team_Matches!J1962),-MIN(Team_Matches!J1960,Team_Matches!J1962))*IF(Team_Matches!$Q1960="W",1,-1),"")</f>
        <v/>
      </c>
      <c r="I154" s="7" t="str">
        <f>IF(Team_Matches!$Q1960&lt;&gt;"",IF(Team_Matches!K1960=Team_Matches!K1962,"",IF(Team_Matches!K1960&gt;Team_Matches!K1962,MIN(Team_Matches!K1960,Team_Matches!K1962),-MIN(Team_Matches!K1960,Team_Matches!K1962))*IF(Team_Matches!$Q1960="W",1,-1)),"")</f>
        <v/>
      </c>
      <c r="J154" s="7" t="str">
        <f>IF(Team_Matches!$Q1960&lt;&gt;"",IF(Team_Matches!L1960=Team_Matches!L1962,"",IF(Team_Matches!L1960&gt;Team_Matches!L1962,MIN(Team_Matches!L1960,Team_Matches!L1962),-MIN(Team_Matches!L1960,Team_Matches!L1962))*IF(Team_Matches!$Q1960="W",1,-1)),"")</f>
        <v/>
      </c>
    </row>
    <row r="155" spans="1:10" x14ac:dyDescent="0.25">
      <c r="A155" s="55" t="e">
        <f>$B155&amp;";"&amp;VLOOKUP($B155,Players!$C$4:$G$132,5,FALSE)&amp;";"&amp;IF(ISERROR(VLOOKUP($B155,Players!$C$4:$G$132,2,FALSE)),0,VLOOKUP($B155,Players!$C$4:$G$132,2,FALSE))&amp;";"&amp;$C155&amp;";"&amp;VLOOKUP($C155,Players!$C$4:$G$132,5,FALSE)&amp;";"&amp;IF(ISERROR(VLOOKUP($C155,Players!$C$4:$G$132,2,FALSE)),0,VLOOKUP($C155,Players!$C$4:$G$132,2,FALSE))&amp;"|"</f>
        <v>#N/A</v>
      </c>
      <c r="B155" t="str">
        <f>IF(Team_Matches!$Q1967="W",Team_Matches!$B1967,IF(Team_Matches!$Q1969="W",Team_Matches!$B1969,""))</f>
        <v/>
      </c>
      <c r="C155" t="str">
        <f>IF(Team_Matches!$Q1967="L",Team_Matches!$B1967,IF(Team_Matches!$Q1969="L",Team_Matches!$B1969,""))</f>
        <v/>
      </c>
      <c r="D155" t="str">
        <f>CONCATENATE(Team_Matches!$B1947," vs ",Team_Matches!$K1947)</f>
        <v>D vs H</v>
      </c>
      <c r="E155" t="str">
        <f>Team_Matches!$A1965</f>
        <v>3rd Singles</v>
      </c>
      <c r="F155" s="7" t="str">
        <f>IF(Team_Matches!$Q1967&lt;&gt;"",IF(Team_Matches!H1967&gt;Team_Matches!H1969,MIN(Team_Matches!H1967,Team_Matches!H1969),-MIN(Team_Matches!H1967,Team_Matches!H1969))*IF(Team_Matches!$Q1967="W",1,-1),"")</f>
        <v/>
      </c>
      <c r="G155" s="7" t="str">
        <f>IF(Team_Matches!$Q1967&lt;&gt;"",IF(Team_Matches!I1967&gt;Team_Matches!I1969,MIN(Team_Matches!I1967,Team_Matches!I1969),-MIN(Team_Matches!I1967,Team_Matches!I1969))*IF(Team_Matches!$Q1967="W",1,-1),"")</f>
        <v/>
      </c>
      <c r="H155" s="7" t="str">
        <f>IF(Team_Matches!$Q1967&lt;&gt;"",IF(Team_Matches!J1967&gt;Team_Matches!J1969,MIN(Team_Matches!J1967,Team_Matches!J1969),-MIN(Team_Matches!J1967,Team_Matches!J1969))*IF(Team_Matches!$Q1967="W",1,-1),"")</f>
        <v/>
      </c>
      <c r="I155" s="7" t="str">
        <f>IF(Team_Matches!$Q1967&lt;&gt;"",IF(Team_Matches!K1967=Team_Matches!K1969,"",IF(Team_Matches!K1967&gt;Team_Matches!K1969,MIN(Team_Matches!K1967,Team_Matches!K1969),-MIN(Team_Matches!K1967,Team_Matches!K1969))*IF(Team_Matches!$Q1967="W",1,-1)),"")</f>
        <v/>
      </c>
      <c r="J155" s="7" t="str">
        <f>IF(Team_Matches!$Q1967&lt;&gt;"",IF(Team_Matches!L1967=Team_Matches!L1969,"",IF(Team_Matches!L1967&gt;Team_Matches!L1969,MIN(Team_Matches!L1967,Team_Matches!L1969),-MIN(Team_Matches!L1967,Team_Matches!L1969))*IF(Team_Matches!$Q1967="W",1,-1)),"")</f>
        <v/>
      </c>
    </row>
    <row r="156" spans="1:10" x14ac:dyDescent="0.25">
      <c r="A156" s="55" t="e">
        <f ca="1">$B156&amp;";"&amp;VLOOKUP($B156,Players!$C$4:$G$132,5,FALSE)&amp;";"&amp;IF(ISERROR(VLOOKUP($B156,Players!$C$4:$G$132,2,FALSE)),0,VLOOKUP($B156,Players!$C$4:$G$132,2,FALSE))&amp;";"&amp;$C156&amp;";"&amp;VLOOKUP($C156,Players!$C$4:$G$132,5,FALSE)&amp;";"&amp;IF(ISERROR(VLOOKUP($C156,Players!$C$4:$G$132,2,FALSE)),0,VLOOKUP($C156,Players!$C$4:$G$132,2,FALSE))&amp;"|"</f>
        <v>#N/A</v>
      </c>
      <c r="B156" t="str">
        <f ca="1">IF(Team_Matches!$Q1974="W",Team_Matches!$B1974,IF(Team_Matches!$Q1976="W",Team_Matches!$B1976,""))</f>
        <v/>
      </c>
      <c r="C156" t="str">
        <f ca="1">IF(Team_Matches!$Q1974="L",Team_Matches!$B1974,IF(Team_Matches!$Q1976="L",Team_Matches!$B1976,""))</f>
        <v/>
      </c>
      <c r="D156" t="str">
        <f>CONCATENATE(Team_Matches!$B1947," vs ",Team_Matches!$K1947)</f>
        <v>D vs H</v>
      </c>
      <c r="E156" t="str">
        <f>Team_Matches!$A1972</f>
        <v>4th Singles</v>
      </c>
      <c r="F156" s="7" t="str">
        <f ca="1">IF(Team_Matches!$Q1974&lt;&gt;"",IF(Team_Matches!H1974&gt;Team_Matches!H1976,MIN(Team_Matches!H1974,Team_Matches!H1976),-MIN(Team_Matches!H1974,Team_Matches!H1976))*IF(Team_Matches!$Q1974="W",1,-1),"")</f>
        <v/>
      </c>
      <c r="G156" s="7" t="str">
        <f ca="1">IF(Team_Matches!$Q1974&lt;&gt;"",IF(Team_Matches!I1974&gt;Team_Matches!I1976,MIN(Team_Matches!I1974,Team_Matches!I1976),-MIN(Team_Matches!I1974,Team_Matches!I1976))*IF(Team_Matches!$Q1974="W",1,-1),"")</f>
        <v/>
      </c>
      <c r="H156" s="7" t="str">
        <f ca="1">IF(Team_Matches!$Q1974&lt;&gt;"",IF(Team_Matches!J1974&gt;Team_Matches!J1976,MIN(Team_Matches!J1974,Team_Matches!J1976),-MIN(Team_Matches!J1974,Team_Matches!J1976))*IF(Team_Matches!$Q1974="W",1,-1),"")</f>
        <v/>
      </c>
      <c r="I156" s="7" t="str">
        <f ca="1">IF(Team_Matches!$Q1974&lt;&gt;"",IF(Team_Matches!K1974=Team_Matches!K1976,"",IF(Team_Matches!K1974&gt;Team_Matches!K1976,MIN(Team_Matches!K1974,Team_Matches!K1976),-MIN(Team_Matches!K1974,Team_Matches!K1976))*IF(Team_Matches!$Q1974="W",1,-1)),"")</f>
        <v/>
      </c>
      <c r="J156" s="7" t="str">
        <f ca="1">IF(Team_Matches!$Q1974&lt;&gt;"",IF(Team_Matches!L1974=Team_Matches!L1976,"",IF(Team_Matches!L1974&gt;Team_Matches!L1976,MIN(Team_Matches!L1974,Team_Matches!L1976),-MIN(Team_Matches!L1974,Team_Matches!L1976))*IF(Team_Matches!$Q1974="W",1,-1)),"")</f>
        <v/>
      </c>
    </row>
    <row r="157" spans="1:10" x14ac:dyDescent="0.25">
      <c r="A157" s="55" t="e">
        <f>$B157&amp;";"&amp;VLOOKUP($B157,Players!$C$4:$G$132,5,FALSE)&amp;";"&amp;IF(ISERROR(VLOOKUP($B157,Players!$C$4:$G$132,2,FALSE)),0,VLOOKUP($B157,Players!$C$4:$G$132,2,FALSE))&amp;";"&amp;$C157&amp;";"&amp;VLOOKUP($C157,Players!$C$4:$G$132,5,FALSE)&amp;";"&amp;IF(ISERROR(VLOOKUP($C157,Players!$C$4:$G$132,2,FALSE)),0,VLOOKUP($C157,Players!$C$4:$G$132,2,FALSE))&amp;"|"</f>
        <v>#N/A</v>
      </c>
      <c r="B157" t="str">
        <f>IF(Team_Matches!$Q2004="W",Team_Matches!$B2004,IF(Team_Matches!$Q2006="W",Team_Matches!$B2006,""))</f>
        <v/>
      </c>
      <c r="C157" t="str">
        <f>IF(Team_Matches!$Q2004="L",Team_Matches!$B2004,IF(Team_Matches!$Q2006="L",Team_Matches!$B2006,""))</f>
        <v/>
      </c>
      <c r="D157" t="str">
        <f>CONCATENATE(Team_Matches!$B1998," vs ",Team_Matches!$K1998)</f>
        <v>C vs I</v>
      </c>
      <c r="E157" t="str">
        <f>Team_Matches!A2002</f>
        <v>1st Singles</v>
      </c>
      <c r="F157" s="7" t="str">
        <f>IF(Team_Matches!$Q2004&lt;&gt;"",IF(Team_Matches!H2004&gt;Team_Matches!H2006,MIN(Team_Matches!H2004,Team_Matches!H2006),-MIN(Team_Matches!H2004,Team_Matches!H2006))*IF(Team_Matches!$Q2004="W",1,-1),"")</f>
        <v/>
      </c>
      <c r="G157" s="7" t="str">
        <f>IF(Team_Matches!$Q2004&lt;&gt;"",IF(Team_Matches!I2004&gt;Team_Matches!I2006,MIN(Team_Matches!I2004,Team_Matches!I2006),-MIN(Team_Matches!I2004,Team_Matches!I2006))*IF(Team_Matches!$Q2004="W",1,-1),"")</f>
        <v/>
      </c>
      <c r="H157" s="7" t="str">
        <f>IF(Team_Matches!$Q2004&lt;&gt;"",IF(Team_Matches!J2004&gt;Team_Matches!J2006,MIN(Team_Matches!J2004,Team_Matches!J2006),-MIN(Team_Matches!J2004,Team_Matches!J2006))*IF(Team_Matches!$Q2004="W",1,-1),"")</f>
        <v/>
      </c>
      <c r="I157" s="7" t="str">
        <f>IF(Team_Matches!$Q2004&lt;&gt;"",IF(Team_Matches!K2004=Team_Matches!K2006,"",IF(Team_Matches!K2004&gt;Team_Matches!K2006,MIN(Team_Matches!K2004,Team_Matches!K2006),-MIN(Team_Matches!K2004,Team_Matches!K2006))*IF(Team_Matches!$Q2004="W",1,-1)),"")</f>
        <v/>
      </c>
      <c r="J157" s="7" t="str">
        <f>IF(Team_Matches!$Q2004&lt;&gt;"",IF(Team_Matches!L2004=Team_Matches!L2006,"",IF(Team_Matches!L2004&gt;Team_Matches!L2006,MIN(Team_Matches!L2004,Team_Matches!L2006),-MIN(Team_Matches!L2004,Team_Matches!L2006))*IF(Team_Matches!$Q2004="W",1,-1)),"")</f>
        <v/>
      </c>
    </row>
    <row r="158" spans="1:10" x14ac:dyDescent="0.25">
      <c r="A158" s="55" t="e">
        <f>$B158&amp;";"&amp;VLOOKUP($B158,Players!$C$4:$G$132,5,FALSE)&amp;";"&amp;IF(ISERROR(VLOOKUP($B158,Players!$C$4:$G$132,2,FALSE)),0,VLOOKUP($B158,Players!$C$4:$G$132,2,FALSE))&amp;";"&amp;$C158&amp;";"&amp;VLOOKUP($C158,Players!$C$4:$G$132,5,FALSE)&amp;";"&amp;IF(ISERROR(VLOOKUP($C158,Players!$C$4:$G$132,2,FALSE)),0,VLOOKUP($C158,Players!$C$4:$G$132,2,FALSE))&amp;"|"</f>
        <v>#N/A</v>
      </c>
      <c r="B158" t="str">
        <f>IF(Team_Matches!$Q2011="W",Team_Matches!$B2011,IF(Team_Matches!$Q2013="W",Team_Matches!$B2013,""))</f>
        <v/>
      </c>
      <c r="C158" t="str">
        <f>IF(Team_Matches!$Q2011="L",Team_Matches!$B2011,IF(Team_Matches!$Q2013="L",Team_Matches!$B2013,""))</f>
        <v/>
      </c>
      <c r="D158" t="str">
        <f>CONCATENATE(Team_Matches!$B1998," vs ",Team_Matches!$K1998)</f>
        <v>C vs I</v>
      </c>
      <c r="E158" t="str">
        <f>Team_Matches!$A2009</f>
        <v>2nd Singles</v>
      </c>
      <c r="F158" s="7" t="str">
        <f>IF(Team_Matches!$Q2011&lt;&gt;"",IF(Team_Matches!H2011&gt;Team_Matches!H2013,MIN(Team_Matches!H2011,Team_Matches!H2013),-MIN(Team_Matches!H2011,Team_Matches!H2013))*IF(Team_Matches!$Q2011="W",1,-1),"")</f>
        <v/>
      </c>
      <c r="G158" s="7" t="str">
        <f>IF(Team_Matches!$Q2011&lt;&gt;"",IF(Team_Matches!I2011&gt;Team_Matches!I2013,MIN(Team_Matches!I2011,Team_Matches!I2013),-MIN(Team_Matches!I2011,Team_Matches!I2013))*IF(Team_Matches!$Q2011="W",1,-1),"")</f>
        <v/>
      </c>
      <c r="H158" s="7" t="str">
        <f>IF(Team_Matches!$Q2011&lt;&gt;"",IF(Team_Matches!J2011&gt;Team_Matches!J2013,MIN(Team_Matches!J2011,Team_Matches!J2013),-MIN(Team_Matches!J2011,Team_Matches!J2013))*IF(Team_Matches!$Q2011="W",1,-1),"")</f>
        <v/>
      </c>
      <c r="I158" s="7" t="str">
        <f>IF(Team_Matches!$Q2011&lt;&gt;"",IF(Team_Matches!K2011=Team_Matches!K2013,"",IF(Team_Matches!K2011&gt;Team_Matches!K2013,MIN(Team_Matches!K2011,Team_Matches!K2013),-MIN(Team_Matches!K2011,Team_Matches!K2013))*IF(Team_Matches!$Q2011="W",1,-1)),"")</f>
        <v/>
      </c>
      <c r="J158" s="7" t="str">
        <f>IF(Team_Matches!$Q2011&lt;&gt;"",IF(Team_Matches!L2011=Team_Matches!L2013,"",IF(Team_Matches!L2011&gt;Team_Matches!L2013,MIN(Team_Matches!L2011,Team_Matches!L2013),-MIN(Team_Matches!L2011,Team_Matches!L2013))*IF(Team_Matches!$Q2011="W",1,-1)),"")</f>
        <v/>
      </c>
    </row>
    <row r="159" spans="1:10" x14ac:dyDescent="0.25">
      <c r="A159" s="55" t="e">
        <f>$B159&amp;";"&amp;VLOOKUP($B159,Players!$C$4:$G$132,5,FALSE)&amp;";"&amp;IF(ISERROR(VLOOKUP($B159,Players!$C$4:$G$132,2,FALSE)),0,VLOOKUP($B159,Players!$C$4:$G$132,2,FALSE))&amp;";"&amp;$C159&amp;";"&amp;VLOOKUP($C159,Players!$C$4:$G$132,5,FALSE)&amp;";"&amp;IF(ISERROR(VLOOKUP($C159,Players!$C$4:$G$132,2,FALSE)),0,VLOOKUP($C159,Players!$C$4:$G$132,2,FALSE))&amp;"|"</f>
        <v>#N/A</v>
      </c>
      <c r="B159" t="str">
        <f>IF(Team_Matches!$Q2018="W",Team_Matches!$B2018,IF(Team_Matches!$Q2020="W",Team_Matches!$B2020,""))</f>
        <v/>
      </c>
      <c r="C159" t="str">
        <f>IF(Team_Matches!$Q2018="L",Team_Matches!$B2018,IF(Team_Matches!$Q2020="L",Team_Matches!$B2020,""))</f>
        <v/>
      </c>
      <c r="D159" t="str">
        <f>CONCATENATE(Team_Matches!$B1998," vs ",Team_Matches!$K1998)</f>
        <v>C vs I</v>
      </c>
      <c r="E159" t="str">
        <f>Team_Matches!$A2016</f>
        <v>3rd Singles</v>
      </c>
      <c r="F159" s="7" t="str">
        <f>IF(Team_Matches!$Q2018&lt;&gt;"",IF(Team_Matches!H2018&gt;Team_Matches!H2020,MIN(Team_Matches!H2018,Team_Matches!H2020),-MIN(Team_Matches!H2018,Team_Matches!H2020))*IF(Team_Matches!$Q2018="W",1,-1),"")</f>
        <v/>
      </c>
      <c r="G159" s="7" t="str">
        <f>IF(Team_Matches!$Q2018&lt;&gt;"",IF(Team_Matches!I2018&gt;Team_Matches!I2020,MIN(Team_Matches!I2018,Team_Matches!I2020),-MIN(Team_Matches!I2018,Team_Matches!I2020))*IF(Team_Matches!$Q2018="W",1,-1),"")</f>
        <v/>
      </c>
      <c r="H159" s="7" t="str">
        <f>IF(Team_Matches!$Q2018&lt;&gt;"",IF(Team_Matches!J2018&gt;Team_Matches!J2020,MIN(Team_Matches!J2018,Team_Matches!J2020),-MIN(Team_Matches!J2018,Team_Matches!J2020))*IF(Team_Matches!$Q2018="W",1,-1),"")</f>
        <v/>
      </c>
      <c r="I159" s="7" t="str">
        <f>IF(Team_Matches!$Q2018&lt;&gt;"",IF(Team_Matches!K2018=Team_Matches!K2020,"",IF(Team_Matches!K2018&gt;Team_Matches!K2020,MIN(Team_Matches!K2018,Team_Matches!K2020),-MIN(Team_Matches!K2018,Team_Matches!K2020))*IF(Team_Matches!$Q2018="W",1,-1)),"")</f>
        <v/>
      </c>
      <c r="J159" s="7" t="str">
        <f>IF(Team_Matches!$Q2018&lt;&gt;"",IF(Team_Matches!L2018=Team_Matches!L2020,"",IF(Team_Matches!L2018&gt;Team_Matches!L2020,MIN(Team_Matches!L2018,Team_Matches!L2020),-MIN(Team_Matches!L2018,Team_Matches!L2020))*IF(Team_Matches!$Q2018="W",1,-1)),"")</f>
        <v/>
      </c>
    </row>
    <row r="160" spans="1:10" x14ac:dyDescent="0.25">
      <c r="A160" s="55" t="e">
        <f ca="1">$B160&amp;";"&amp;VLOOKUP($B160,Players!$C$4:$G$132,5,FALSE)&amp;";"&amp;IF(ISERROR(VLOOKUP($B160,Players!$C$4:$G$132,2,FALSE)),0,VLOOKUP($B160,Players!$C$4:$G$132,2,FALSE))&amp;";"&amp;$C160&amp;";"&amp;VLOOKUP($C160,Players!$C$4:$G$132,5,FALSE)&amp;";"&amp;IF(ISERROR(VLOOKUP($C160,Players!$C$4:$G$132,2,FALSE)),0,VLOOKUP($C160,Players!$C$4:$G$132,2,FALSE))&amp;"|"</f>
        <v>#N/A</v>
      </c>
      <c r="B160" t="str">
        <f ca="1">IF(Team_Matches!$Q2025="W",Team_Matches!$B2025,IF(Team_Matches!$Q2027="W",Team_Matches!$B2027,""))</f>
        <v/>
      </c>
      <c r="C160" t="str">
        <f ca="1">IF(Team_Matches!$Q2025="L",Team_Matches!$B2025,IF(Team_Matches!$Q2027="L",Team_Matches!$B2027,""))</f>
        <v/>
      </c>
      <c r="D160" t="str">
        <f>CONCATENATE(Team_Matches!$B1998," vs ",Team_Matches!$K1998)</f>
        <v>C vs I</v>
      </c>
      <c r="E160" t="str">
        <f>Team_Matches!$A2023</f>
        <v>4th Singles</v>
      </c>
      <c r="F160" s="7" t="str">
        <f ca="1">IF(Team_Matches!$Q2025&lt;&gt;"",IF(Team_Matches!H2025&gt;Team_Matches!H2027,MIN(Team_Matches!H2025,Team_Matches!H2027),-MIN(Team_Matches!H2025,Team_Matches!H2027))*IF(Team_Matches!$Q2025="W",1,-1),"")</f>
        <v/>
      </c>
      <c r="G160" s="7" t="str">
        <f ca="1">IF(Team_Matches!$Q2025&lt;&gt;"",IF(Team_Matches!I2025&gt;Team_Matches!I2027,MIN(Team_Matches!I2025,Team_Matches!I2027),-MIN(Team_Matches!I2025,Team_Matches!I2027))*IF(Team_Matches!$Q2025="W",1,-1),"")</f>
        <v/>
      </c>
      <c r="H160" s="7" t="str">
        <f ca="1">IF(Team_Matches!$Q2025&lt;&gt;"",IF(Team_Matches!J2025&gt;Team_Matches!J2027,MIN(Team_Matches!J2025,Team_Matches!J2027),-MIN(Team_Matches!J2025,Team_Matches!J2027))*IF(Team_Matches!$Q2025="W",1,-1),"")</f>
        <v/>
      </c>
      <c r="I160" s="7" t="str">
        <f ca="1">IF(Team_Matches!$Q2025&lt;&gt;"",IF(Team_Matches!K2025=Team_Matches!K2027,"",IF(Team_Matches!K2025&gt;Team_Matches!K2027,MIN(Team_Matches!K2025,Team_Matches!K2027),-MIN(Team_Matches!K2025,Team_Matches!K2027))*IF(Team_Matches!$Q2025="W",1,-1)),"")</f>
        <v/>
      </c>
      <c r="J160" s="7" t="str">
        <f ca="1">IF(Team_Matches!$Q2025&lt;&gt;"",IF(Team_Matches!L2025=Team_Matches!L2027,"",IF(Team_Matches!L2025&gt;Team_Matches!L2027,MIN(Team_Matches!L2025,Team_Matches!L2027),-MIN(Team_Matches!L2025,Team_Matches!L2027))*IF(Team_Matches!$Q2025="W",1,-1)),"")</f>
        <v/>
      </c>
    </row>
    <row r="161" spans="1:10" x14ac:dyDescent="0.25">
      <c r="A161" s="55" t="e">
        <f>$B161&amp;";"&amp;VLOOKUP($B161,Players!$C$4:$G$132,5,FALSE)&amp;";"&amp;IF(ISERROR(VLOOKUP($B161,Players!$C$4:$G$132,2,FALSE)),0,VLOOKUP($B161,Players!$C$4:$G$132,2,FALSE))&amp;";"&amp;$C161&amp;";"&amp;VLOOKUP($C161,Players!$C$4:$G$132,5,FALSE)&amp;";"&amp;IF(ISERROR(VLOOKUP($C161,Players!$C$4:$G$132,2,FALSE)),0,VLOOKUP($C161,Players!$C$4:$G$132,2,FALSE))&amp;"|"</f>
        <v>#N/A</v>
      </c>
      <c r="B161" t="str">
        <f>IF(Team_Matches!$Q2055="W",Team_Matches!$B2055,IF(Team_Matches!$Q2057="W",Team_Matches!$B2057,""))</f>
        <v/>
      </c>
      <c r="C161" t="str">
        <f>IF(Team_Matches!$Q2055="L",Team_Matches!$B2055,IF(Team_Matches!$Q2057="L",Team_Matches!$B2057,""))</f>
        <v/>
      </c>
      <c r="D161" t="str">
        <f>CONCATENATE(Team_Matches!$B2049," vs ",Team_Matches!$K2049)</f>
        <v>B vs J</v>
      </c>
      <c r="E161" t="str">
        <f>Team_Matches!A2053</f>
        <v>1st Singles</v>
      </c>
      <c r="F161" s="7" t="str">
        <f>IF(Team_Matches!$Q2055&lt;&gt;"",IF(Team_Matches!H2055&gt;Team_Matches!H2057,MIN(Team_Matches!H2055,Team_Matches!H2057),-MIN(Team_Matches!H2055,Team_Matches!H2057))*IF(Team_Matches!$Q2055="W",1,-1),"")</f>
        <v/>
      </c>
      <c r="G161" s="7" t="str">
        <f>IF(Team_Matches!$Q2055&lt;&gt;"",IF(Team_Matches!I2055&gt;Team_Matches!I2057,MIN(Team_Matches!I2055,Team_Matches!I2057),-MIN(Team_Matches!I2055,Team_Matches!I2057))*IF(Team_Matches!$Q2055="W",1,-1),"")</f>
        <v/>
      </c>
      <c r="H161" s="7" t="str">
        <f>IF(Team_Matches!$Q2055&lt;&gt;"",IF(Team_Matches!J2055&gt;Team_Matches!J2057,MIN(Team_Matches!J2055,Team_Matches!J2057),-MIN(Team_Matches!J2055,Team_Matches!J2057))*IF(Team_Matches!$Q2055="W",1,-1),"")</f>
        <v/>
      </c>
      <c r="I161" s="7" t="str">
        <f>IF(Team_Matches!$Q2055&lt;&gt;"",IF(Team_Matches!K2055=Team_Matches!K2057,"",IF(Team_Matches!K2055&gt;Team_Matches!K2057,MIN(Team_Matches!K2055,Team_Matches!K2057),-MIN(Team_Matches!K2055,Team_Matches!K2057))*IF(Team_Matches!$Q2055="W",1,-1)),"")</f>
        <v/>
      </c>
      <c r="J161" s="7" t="str">
        <f>IF(Team_Matches!$Q2055&lt;&gt;"",IF(Team_Matches!L2055=Team_Matches!L2057,"",IF(Team_Matches!L2055&gt;Team_Matches!L2057,MIN(Team_Matches!L2055,Team_Matches!L2057),-MIN(Team_Matches!L2055,Team_Matches!L2057))*IF(Team_Matches!$Q2055="W",1,-1)),"")</f>
        <v/>
      </c>
    </row>
    <row r="162" spans="1:10" x14ac:dyDescent="0.25">
      <c r="A162" s="55" t="e">
        <f>$B162&amp;";"&amp;VLOOKUP($B162,Players!$C$4:$G$132,5,FALSE)&amp;";"&amp;IF(ISERROR(VLOOKUP($B162,Players!$C$4:$G$132,2,FALSE)),0,VLOOKUP($B162,Players!$C$4:$G$132,2,FALSE))&amp;";"&amp;$C162&amp;";"&amp;VLOOKUP($C162,Players!$C$4:$G$132,5,FALSE)&amp;";"&amp;IF(ISERROR(VLOOKUP($C162,Players!$C$4:$G$132,2,FALSE)),0,VLOOKUP($C162,Players!$C$4:$G$132,2,FALSE))&amp;"|"</f>
        <v>#N/A</v>
      </c>
      <c r="B162" t="str">
        <f>IF(Team_Matches!$Q2062="W",Team_Matches!$B2062,IF(Team_Matches!$Q2064="W",Team_Matches!$B2064,""))</f>
        <v/>
      </c>
      <c r="C162" t="str">
        <f>IF(Team_Matches!$Q2062="L",Team_Matches!$B2062,IF(Team_Matches!$Q2064="L",Team_Matches!$B2064,""))</f>
        <v/>
      </c>
      <c r="D162" t="str">
        <f>CONCATENATE(Team_Matches!$B2049," vs ",Team_Matches!$K2049)</f>
        <v>B vs J</v>
      </c>
      <c r="E162" t="str">
        <f>Team_Matches!$A2060</f>
        <v>2nd Singles</v>
      </c>
      <c r="F162" s="7" t="str">
        <f>IF(Team_Matches!$Q2062&lt;&gt;"",IF(Team_Matches!H2062&gt;Team_Matches!H2064,MIN(Team_Matches!H2062,Team_Matches!H2064),-MIN(Team_Matches!H2062,Team_Matches!H2064))*IF(Team_Matches!$Q2062="W",1,-1),"")</f>
        <v/>
      </c>
      <c r="G162" s="7" t="str">
        <f>IF(Team_Matches!$Q2062&lt;&gt;"",IF(Team_Matches!I2062&gt;Team_Matches!I2064,MIN(Team_Matches!I2062,Team_Matches!I2064),-MIN(Team_Matches!I2062,Team_Matches!I2064))*IF(Team_Matches!$Q2062="W",1,-1),"")</f>
        <v/>
      </c>
      <c r="H162" s="7" t="str">
        <f>IF(Team_Matches!$Q2062&lt;&gt;"",IF(Team_Matches!J2062&gt;Team_Matches!J2064,MIN(Team_Matches!J2062,Team_Matches!J2064),-MIN(Team_Matches!J2062,Team_Matches!J2064))*IF(Team_Matches!$Q2062="W",1,-1),"")</f>
        <v/>
      </c>
      <c r="I162" s="7" t="str">
        <f>IF(Team_Matches!$Q2062&lt;&gt;"",IF(Team_Matches!K2062=Team_Matches!K2064,"",IF(Team_Matches!K2062&gt;Team_Matches!K2064,MIN(Team_Matches!K2062,Team_Matches!K2064),-MIN(Team_Matches!K2062,Team_Matches!K2064))*IF(Team_Matches!$Q2062="W",1,-1)),"")</f>
        <v/>
      </c>
      <c r="J162" s="7" t="str">
        <f>IF(Team_Matches!$Q2062&lt;&gt;"",IF(Team_Matches!L2062=Team_Matches!L2064,"",IF(Team_Matches!L2062&gt;Team_Matches!L2064,MIN(Team_Matches!L2062,Team_Matches!L2064),-MIN(Team_Matches!L2062,Team_Matches!L2064))*IF(Team_Matches!$Q2062="W",1,-1)),"")</f>
        <v/>
      </c>
    </row>
    <row r="163" spans="1:10" x14ac:dyDescent="0.25">
      <c r="A163" s="55" t="e">
        <f>$B163&amp;";"&amp;VLOOKUP($B163,Players!$C$4:$G$132,5,FALSE)&amp;";"&amp;IF(ISERROR(VLOOKUP($B163,Players!$C$4:$G$132,2,FALSE)),0,VLOOKUP($B163,Players!$C$4:$G$132,2,FALSE))&amp;";"&amp;$C163&amp;";"&amp;VLOOKUP($C163,Players!$C$4:$G$132,5,FALSE)&amp;";"&amp;IF(ISERROR(VLOOKUP($C163,Players!$C$4:$G$132,2,FALSE)),0,VLOOKUP($C163,Players!$C$4:$G$132,2,FALSE))&amp;"|"</f>
        <v>#N/A</v>
      </c>
      <c r="B163" t="str">
        <f>IF(Team_Matches!$Q2069="W",Team_Matches!$B2069,IF(Team_Matches!$Q2071="W",Team_Matches!$B2071,""))</f>
        <v/>
      </c>
      <c r="C163" t="str">
        <f>IF(Team_Matches!$Q2069="L",Team_Matches!$B2069,IF(Team_Matches!$Q2071="L",Team_Matches!$B2071,""))</f>
        <v/>
      </c>
      <c r="D163" t="str">
        <f>CONCATENATE(Team_Matches!$B2049," vs ",Team_Matches!$K2049)</f>
        <v>B vs J</v>
      </c>
      <c r="E163" t="str">
        <f>Team_Matches!$A2067</f>
        <v>3rd Singles</v>
      </c>
      <c r="F163" s="7" t="str">
        <f>IF(Team_Matches!$Q2069&lt;&gt;"",IF(Team_Matches!H2069&gt;Team_Matches!H2071,MIN(Team_Matches!H2069,Team_Matches!H2071),-MIN(Team_Matches!H2069,Team_Matches!H2071))*IF(Team_Matches!$Q2069="W",1,-1),"")</f>
        <v/>
      </c>
      <c r="G163" s="7" t="str">
        <f>IF(Team_Matches!$Q2069&lt;&gt;"",IF(Team_Matches!I2069&gt;Team_Matches!I2071,MIN(Team_Matches!I2069,Team_Matches!I2071),-MIN(Team_Matches!I2069,Team_Matches!I2071))*IF(Team_Matches!$Q2069="W",1,-1),"")</f>
        <v/>
      </c>
      <c r="H163" s="7" t="str">
        <f>IF(Team_Matches!$Q2069&lt;&gt;"",IF(Team_Matches!J2069&gt;Team_Matches!J2071,MIN(Team_Matches!J2069,Team_Matches!J2071),-MIN(Team_Matches!J2069,Team_Matches!J2071))*IF(Team_Matches!$Q2069="W",1,-1),"")</f>
        <v/>
      </c>
      <c r="I163" s="7" t="str">
        <f>IF(Team_Matches!$Q2069&lt;&gt;"",IF(Team_Matches!K2069=Team_Matches!K2071,"",IF(Team_Matches!K2069&gt;Team_Matches!K2071,MIN(Team_Matches!K2069,Team_Matches!K2071),-MIN(Team_Matches!K2069,Team_Matches!K2071))*IF(Team_Matches!$Q2069="W",1,-1)),"")</f>
        <v/>
      </c>
      <c r="J163" s="7" t="str">
        <f>IF(Team_Matches!$Q2069&lt;&gt;"",IF(Team_Matches!L2069=Team_Matches!L2071,"",IF(Team_Matches!L2069&gt;Team_Matches!L2071,MIN(Team_Matches!L2069,Team_Matches!L2071),-MIN(Team_Matches!L2069,Team_Matches!L2071))*IF(Team_Matches!$Q2069="W",1,-1)),"")</f>
        <v/>
      </c>
    </row>
    <row r="164" spans="1:10" x14ac:dyDescent="0.25">
      <c r="A164" s="55" t="e">
        <f ca="1">$B164&amp;";"&amp;VLOOKUP($B164,Players!$C$4:$G$132,5,FALSE)&amp;";"&amp;IF(ISERROR(VLOOKUP($B164,Players!$C$4:$G$132,2,FALSE)),0,VLOOKUP($B164,Players!$C$4:$G$132,2,FALSE))&amp;";"&amp;$C164&amp;";"&amp;VLOOKUP($C164,Players!$C$4:$G$132,5,FALSE)&amp;";"&amp;IF(ISERROR(VLOOKUP($C164,Players!$C$4:$G$132,2,FALSE)),0,VLOOKUP($C164,Players!$C$4:$G$132,2,FALSE))&amp;"|"</f>
        <v>#N/A</v>
      </c>
      <c r="B164" t="str">
        <f ca="1">IF(Team_Matches!$Q2076="W",Team_Matches!$B2076,IF(Team_Matches!$Q2078="W",Team_Matches!$B2078,""))</f>
        <v/>
      </c>
      <c r="C164" t="str">
        <f ca="1">IF(Team_Matches!$Q2076="L",Team_Matches!$B2076,IF(Team_Matches!$Q2078="L",Team_Matches!$B2078,""))</f>
        <v/>
      </c>
      <c r="D164" t="str">
        <f>CONCATENATE(Team_Matches!$B2049," vs ",Team_Matches!$K2049)</f>
        <v>B vs J</v>
      </c>
      <c r="E164" t="str">
        <f>Team_Matches!$A2074</f>
        <v>4th Singles</v>
      </c>
      <c r="F164" s="7" t="str">
        <f ca="1">IF(Team_Matches!$Q2076&lt;&gt;"",IF(Team_Matches!H2076&gt;Team_Matches!H2078,MIN(Team_Matches!H2076,Team_Matches!H2078),-MIN(Team_Matches!H2076,Team_Matches!H2078))*IF(Team_Matches!$Q2076="W",1,-1),"")</f>
        <v/>
      </c>
      <c r="G164" s="7" t="str">
        <f ca="1">IF(Team_Matches!$Q2076&lt;&gt;"",IF(Team_Matches!I2076&gt;Team_Matches!I2078,MIN(Team_Matches!I2076,Team_Matches!I2078),-MIN(Team_Matches!I2076,Team_Matches!I2078))*IF(Team_Matches!$Q2076="W",1,-1),"")</f>
        <v/>
      </c>
      <c r="H164" s="7" t="str">
        <f ca="1">IF(Team_Matches!$Q2076&lt;&gt;"",IF(Team_Matches!J2076&gt;Team_Matches!J2078,MIN(Team_Matches!J2076,Team_Matches!J2078),-MIN(Team_Matches!J2076,Team_Matches!J2078))*IF(Team_Matches!$Q2076="W",1,-1),"")</f>
        <v/>
      </c>
      <c r="I164" s="7" t="str">
        <f ca="1">IF(Team_Matches!$Q2076&lt;&gt;"",IF(Team_Matches!K2076=Team_Matches!K2078,"",IF(Team_Matches!K2076&gt;Team_Matches!K2078,MIN(Team_Matches!K2076,Team_Matches!K2078),-MIN(Team_Matches!K2076,Team_Matches!K2078))*IF(Team_Matches!$Q2076="W",1,-1)),"")</f>
        <v/>
      </c>
      <c r="J164" s="7" t="str">
        <f ca="1">IF(Team_Matches!$Q2076&lt;&gt;"",IF(Team_Matches!L2076=Team_Matches!L2078,"",IF(Team_Matches!L2076&gt;Team_Matches!L2078,MIN(Team_Matches!L2076,Team_Matches!L2078),-MIN(Team_Matches!L2076,Team_Matches!L2078))*IF(Team_Matches!$Q2076="W",1,-1)),"")</f>
        <v/>
      </c>
    </row>
    <row r="165" spans="1:10" x14ac:dyDescent="0.25">
      <c r="A165" s="55" t="e">
        <f>$B165&amp;";"&amp;VLOOKUP($B165,Players!$C$4:$G$132,5,FALSE)&amp;";"&amp;IF(ISERROR(VLOOKUP($B165,Players!$C$4:$G$132,2,FALSE)),0,VLOOKUP($B165,Players!$C$4:$G$132,2,FALSE))&amp;";"&amp;$C165&amp;";"&amp;VLOOKUP($C165,Players!$C$4:$G$132,5,FALSE)&amp;";"&amp;IF(ISERROR(VLOOKUP($C165,Players!$C$4:$G$132,2,FALSE)),0,VLOOKUP($C165,Players!$C$4:$G$132,2,FALSE))&amp;"|"</f>
        <v>#N/A</v>
      </c>
      <c r="B165" t="str">
        <f>IF(Team_Matches!$Q2106="W",Team_Matches!$B2106,IF(Team_Matches!$Q2108="W",Team_Matches!$B2108,""))</f>
        <v/>
      </c>
      <c r="C165" t="str">
        <f>IF(Team_Matches!$Q2106="L",Team_Matches!$B2106,IF(Team_Matches!$Q2108="L",Team_Matches!$B2108,""))</f>
        <v/>
      </c>
      <c r="D165" t="str">
        <f>CONCATENATE(Team_Matches!$B2100," vs ",Team_Matches!$K2100)</f>
        <v>K vs L</v>
      </c>
      <c r="E165" t="str">
        <f>Team_Matches!A2104</f>
        <v>1st Singles</v>
      </c>
      <c r="F165" s="7" t="str">
        <f>IF(Team_Matches!$Q2106&lt;&gt;"",IF(Team_Matches!H2106&gt;Team_Matches!H2108,MIN(Team_Matches!H2106,Team_Matches!H2108),-MIN(Team_Matches!H2106,Team_Matches!H2108))*IF(Team_Matches!$Q2106="W",1,-1),"")</f>
        <v/>
      </c>
      <c r="G165" s="7" t="str">
        <f>IF(Team_Matches!$Q2106&lt;&gt;"",IF(Team_Matches!I2106&gt;Team_Matches!I2108,MIN(Team_Matches!I2106,Team_Matches!I2108),-MIN(Team_Matches!I2106,Team_Matches!I2108))*IF(Team_Matches!$Q2106="W",1,-1),"")</f>
        <v/>
      </c>
      <c r="H165" s="7" t="str">
        <f>IF(Team_Matches!$Q2106&lt;&gt;"",IF(Team_Matches!J2106&gt;Team_Matches!J2108,MIN(Team_Matches!J2106,Team_Matches!J2108),-MIN(Team_Matches!J2106,Team_Matches!J2108))*IF(Team_Matches!$Q2106="W",1,-1),"")</f>
        <v/>
      </c>
      <c r="I165" s="7" t="str">
        <f>IF(Team_Matches!$Q2106&lt;&gt;"",IF(Team_Matches!K2106=Team_Matches!K2108,"",IF(Team_Matches!K2106&gt;Team_Matches!K2108,MIN(Team_Matches!K2106,Team_Matches!K2108),-MIN(Team_Matches!K2106,Team_Matches!K2108))*IF(Team_Matches!$Q2106="W",1,-1)),"")</f>
        <v/>
      </c>
      <c r="J165" s="7" t="str">
        <f>IF(Team_Matches!$Q2106&lt;&gt;"",IF(Team_Matches!L2106=Team_Matches!L2108,"",IF(Team_Matches!L2106&gt;Team_Matches!L2108,MIN(Team_Matches!L2106,Team_Matches!L2108),-MIN(Team_Matches!L2106,Team_Matches!L2108))*IF(Team_Matches!$Q2106="W",1,-1)),"")</f>
        <v/>
      </c>
    </row>
    <row r="166" spans="1:10" x14ac:dyDescent="0.25">
      <c r="A166" s="55" t="e">
        <f>$B166&amp;";"&amp;VLOOKUP($B166,Players!$C$4:$G$132,5,FALSE)&amp;";"&amp;IF(ISERROR(VLOOKUP($B166,Players!$C$4:$G$132,2,FALSE)),0,VLOOKUP($B166,Players!$C$4:$G$132,2,FALSE))&amp;";"&amp;$C166&amp;";"&amp;VLOOKUP($C166,Players!$C$4:$G$132,5,FALSE)&amp;";"&amp;IF(ISERROR(VLOOKUP($C166,Players!$C$4:$G$132,2,FALSE)),0,VLOOKUP($C166,Players!$C$4:$G$132,2,FALSE))&amp;"|"</f>
        <v>#N/A</v>
      </c>
      <c r="B166" t="str">
        <f>IF(Team_Matches!$Q2113="W",Team_Matches!$B2113,IF(Team_Matches!$Q2115="W",Team_Matches!$B2115,""))</f>
        <v/>
      </c>
      <c r="C166" t="str">
        <f>IF(Team_Matches!$Q2113="L",Team_Matches!$B2113,IF(Team_Matches!$Q2115="L",Team_Matches!$B2115,""))</f>
        <v/>
      </c>
      <c r="D166" t="str">
        <f>CONCATENATE(Team_Matches!$B2100," vs ",Team_Matches!$K2100)</f>
        <v>K vs L</v>
      </c>
      <c r="E166" t="str">
        <f>Team_Matches!$A2111</f>
        <v>2nd Singles</v>
      </c>
      <c r="F166" s="7" t="str">
        <f>IF(Team_Matches!$Q2113&lt;&gt;"",IF(Team_Matches!H2113&gt;Team_Matches!H2115,MIN(Team_Matches!H2113,Team_Matches!H2115),-MIN(Team_Matches!H2113,Team_Matches!H2115))*IF(Team_Matches!$Q2113="W",1,-1),"")</f>
        <v/>
      </c>
      <c r="G166" s="7" t="str">
        <f>IF(Team_Matches!$Q2113&lt;&gt;"",IF(Team_Matches!I2113&gt;Team_Matches!I2115,MIN(Team_Matches!I2113,Team_Matches!I2115),-MIN(Team_Matches!I2113,Team_Matches!I2115))*IF(Team_Matches!$Q2113="W",1,-1),"")</f>
        <v/>
      </c>
      <c r="H166" s="7" t="str">
        <f>IF(Team_Matches!$Q2113&lt;&gt;"",IF(Team_Matches!J2113&gt;Team_Matches!J2115,MIN(Team_Matches!J2113,Team_Matches!J2115),-MIN(Team_Matches!J2113,Team_Matches!J2115))*IF(Team_Matches!$Q2113="W",1,-1),"")</f>
        <v/>
      </c>
      <c r="I166" s="7" t="str">
        <f>IF(Team_Matches!$Q2113&lt;&gt;"",IF(Team_Matches!K2113=Team_Matches!K2115,"",IF(Team_Matches!K2113&gt;Team_Matches!K2115,MIN(Team_Matches!K2113,Team_Matches!K2115),-MIN(Team_Matches!K2113,Team_Matches!K2115))*IF(Team_Matches!$Q2113="W",1,-1)),"")</f>
        <v/>
      </c>
      <c r="J166" s="7" t="str">
        <f>IF(Team_Matches!$Q2113&lt;&gt;"",IF(Team_Matches!L2113=Team_Matches!L2115,"",IF(Team_Matches!L2113&gt;Team_Matches!L2115,MIN(Team_Matches!L2113,Team_Matches!L2115),-MIN(Team_Matches!L2113,Team_Matches!L2115))*IF(Team_Matches!$Q2113="W",1,-1)),"")</f>
        <v/>
      </c>
    </row>
    <row r="167" spans="1:10" x14ac:dyDescent="0.25">
      <c r="A167" s="55" t="e">
        <f>$B167&amp;";"&amp;VLOOKUP($B167,Players!$C$4:$G$132,5,FALSE)&amp;";"&amp;IF(ISERROR(VLOOKUP($B167,Players!$C$4:$G$132,2,FALSE)),0,VLOOKUP($B167,Players!$C$4:$G$132,2,FALSE))&amp;";"&amp;$C167&amp;";"&amp;VLOOKUP($C167,Players!$C$4:$G$132,5,FALSE)&amp;";"&amp;IF(ISERROR(VLOOKUP($C167,Players!$C$4:$G$132,2,FALSE)),0,VLOOKUP($C167,Players!$C$4:$G$132,2,FALSE))&amp;"|"</f>
        <v>#N/A</v>
      </c>
      <c r="B167" t="str">
        <f>IF(Team_Matches!$Q2120="W",Team_Matches!$B2120,IF(Team_Matches!$Q2122="W",Team_Matches!$B2122,""))</f>
        <v/>
      </c>
      <c r="C167" t="str">
        <f>IF(Team_Matches!$Q2120="L",Team_Matches!$B2120,IF(Team_Matches!$Q2122="L",Team_Matches!$B2122,""))</f>
        <v/>
      </c>
      <c r="D167" t="str">
        <f>CONCATENATE(Team_Matches!$B2100," vs ",Team_Matches!$K2100)</f>
        <v>K vs L</v>
      </c>
      <c r="E167" t="str">
        <f>Team_Matches!$A2118</f>
        <v>3rd Singles</v>
      </c>
      <c r="F167" s="7" t="str">
        <f>IF(Team_Matches!$Q2120&lt;&gt;"",IF(Team_Matches!H2120&gt;Team_Matches!H2122,MIN(Team_Matches!H2120,Team_Matches!H2122),-MIN(Team_Matches!H2120,Team_Matches!H2122))*IF(Team_Matches!$Q2120="W",1,-1),"")</f>
        <v/>
      </c>
      <c r="G167" s="7" t="str">
        <f>IF(Team_Matches!$Q2120&lt;&gt;"",IF(Team_Matches!I2120&gt;Team_Matches!I2122,MIN(Team_Matches!I2120,Team_Matches!I2122),-MIN(Team_Matches!I2120,Team_Matches!I2122))*IF(Team_Matches!$Q2120="W",1,-1),"")</f>
        <v/>
      </c>
      <c r="H167" s="7" t="str">
        <f>IF(Team_Matches!$Q2120&lt;&gt;"",IF(Team_Matches!J2120&gt;Team_Matches!J2122,MIN(Team_Matches!J2120,Team_Matches!J2122),-MIN(Team_Matches!J2120,Team_Matches!J2122))*IF(Team_Matches!$Q2120="W",1,-1),"")</f>
        <v/>
      </c>
      <c r="I167" s="7" t="str">
        <f>IF(Team_Matches!$Q2120&lt;&gt;"",IF(Team_Matches!K2120=Team_Matches!K2122,"",IF(Team_Matches!K2120&gt;Team_Matches!K2122,MIN(Team_Matches!K2120,Team_Matches!K2122),-MIN(Team_Matches!K2120,Team_Matches!K2122))*IF(Team_Matches!$Q2120="W",1,-1)),"")</f>
        <v/>
      </c>
      <c r="J167" s="7" t="str">
        <f>IF(Team_Matches!$Q2120&lt;&gt;"",IF(Team_Matches!L2120=Team_Matches!L2122,"",IF(Team_Matches!L2120&gt;Team_Matches!L2122,MIN(Team_Matches!L2120,Team_Matches!L2122),-MIN(Team_Matches!L2120,Team_Matches!L2122))*IF(Team_Matches!$Q2120="W",1,-1)),"")</f>
        <v/>
      </c>
    </row>
    <row r="168" spans="1:10" x14ac:dyDescent="0.25">
      <c r="A168" s="55" t="e">
        <f ca="1">$B168&amp;";"&amp;VLOOKUP($B168,Players!$C$4:$G$132,5,FALSE)&amp;";"&amp;IF(ISERROR(VLOOKUP($B168,Players!$C$4:$G$132,2,FALSE)),0,VLOOKUP($B168,Players!$C$4:$G$132,2,FALSE))&amp;";"&amp;$C168&amp;";"&amp;VLOOKUP($C168,Players!$C$4:$G$132,5,FALSE)&amp;";"&amp;IF(ISERROR(VLOOKUP($C168,Players!$C$4:$G$132,2,FALSE)),0,VLOOKUP($C168,Players!$C$4:$G$132,2,FALSE))&amp;"|"</f>
        <v>#N/A</v>
      </c>
      <c r="B168" t="str">
        <f ca="1">IF(Team_Matches!$Q2127="W",Team_Matches!$B2127,IF(Team_Matches!$Q2129="W",Team_Matches!$B2129,""))</f>
        <v/>
      </c>
      <c r="C168" t="str">
        <f ca="1">IF(Team_Matches!$Q2127="L",Team_Matches!$B2127,IF(Team_Matches!$Q2129="L",Team_Matches!$B2129,""))</f>
        <v/>
      </c>
      <c r="D168" t="str">
        <f>CONCATENATE(Team_Matches!$B2100," vs ",Team_Matches!$K2100)</f>
        <v>K vs L</v>
      </c>
      <c r="E168" t="str">
        <f>Team_Matches!$A2125</f>
        <v>4th Singles</v>
      </c>
      <c r="F168" s="7" t="str">
        <f ca="1">IF(Team_Matches!$Q2127&lt;&gt;"",IF(Team_Matches!H2127&gt;Team_Matches!H2129,MIN(Team_Matches!H2127,Team_Matches!H2129),-MIN(Team_Matches!H2127,Team_Matches!H2129))*IF(Team_Matches!$Q2127="W",1,-1),"")</f>
        <v/>
      </c>
      <c r="G168" s="7" t="str">
        <f ca="1">IF(Team_Matches!$Q2127&lt;&gt;"",IF(Team_Matches!I2127&gt;Team_Matches!I2129,MIN(Team_Matches!I2127,Team_Matches!I2129),-MIN(Team_Matches!I2127,Team_Matches!I2129))*IF(Team_Matches!$Q2127="W",1,-1),"")</f>
        <v/>
      </c>
      <c r="H168" s="7" t="str">
        <f ca="1">IF(Team_Matches!$Q2127&lt;&gt;"",IF(Team_Matches!J2127&gt;Team_Matches!J2129,MIN(Team_Matches!J2127,Team_Matches!J2129),-MIN(Team_Matches!J2127,Team_Matches!J2129))*IF(Team_Matches!$Q2127="W",1,-1),"")</f>
        <v/>
      </c>
      <c r="I168" s="7" t="str">
        <f ca="1">IF(Team_Matches!$Q2127&lt;&gt;"",IF(Team_Matches!K2127=Team_Matches!K2129,"",IF(Team_Matches!K2127&gt;Team_Matches!K2129,MIN(Team_Matches!K2127,Team_Matches!K2129),-MIN(Team_Matches!K2127,Team_Matches!K2129))*IF(Team_Matches!$Q2127="W",1,-1)),"")</f>
        <v/>
      </c>
      <c r="J168" s="7" t="str">
        <f ca="1">IF(Team_Matches!$Q2127&lt;&gt;"",IF(Team_Matches!L2127=Team_Matches!L2129,"",IF(Team_Matches!L2127&gt;Team_Matches!L2129,MIN(Team_Matches!L2127,Team_Matches!L2129),-MIN(Team_Matches!L2127,Team_Matches!L2129))*IF(Team_Matches!$Q2127="W",1,-1)),"")</f>
        <v/>
      </c>
    </row>
    <row r="169" spans="1:10" x14ac:dyDescent="0.25">
      <c r="A169" s="55" t="e">
        <f>$B169&amp;";"&amp;VLOOKUP($B169,Players!$C$4:$G$132,5,FALSE)&amp;";"&amp;IF(ISERROR(VLOOKUP($B169,Players!$C$4:$G$132,2,FALSE)),0,VLOOKUP($B169,Players!$C$4:$G$132,2,FALSE))&amp;";"&amp;$C169&amp;";"&amp;VLOOKUP($C169,Players!$C$4:$G$132,5,FALSE)&amp;";"&amp;IF(ISERROR(VLOOKUP($C169,Players!$C$4:$G$132,2,FALSE)),0,VLOOKUP($C169,Players!$C$4:$G$132,2,FALSE))&amp;"|"</f>
        <v>#N/A</v>
      </c>
      <c r="B169" t="str">
        <f>IF(Team_Matches!$Q2157="W",Team_Matches!$B2157,IF(Team_Matches!$Q2159="W",Team_Matches!$B2159,""))</f>
        <v/>
      </c>
      <c r="C169" t="str">
        <f>IF(Team_Matches!$Q2157="L",Team_Matches!$B2157,IF(Team_Matches!$Q2159="L",Team_Matches!$B2159,""))</f>
        <v/>
      </c>
      <c r="D169" t="str">
        <f>CONCATENATE(Team_Matches!$B2151," vs ",Team_Matches!$K2151)</f>
        <v>A vs E</v>
      </c>
      <c r="E169" t="str">
        <f>Team_Matches!A2155</f>
        <v>1st Singles</v>
      </c>
      <c r="F169" s="7" t="str">
        <f>IF(Team_Matches!$Q2157&lt;&gt;"",IF(Team_Matches!H2157&gt;Team_Matches!H2159,MIN(Team_Matches!H2157,Team_Matches!H2159),-MIN(Team_Matches!H2157,Team_Matches!H2159))*IF(Team_Matches!$Q2157="W",1,-1),"")</f>
        <v/>
      </c>
      <c r="G169" s="7" t="str">
        <f>IF(Team_Matches!$Q2157&lt;&gt;"",IF(Team_Matches!I2157&gt;Team_Matches!I2159,MIN(Team_Matches!I2157,Team_Matches!I2159),-MIN(Team_Matches!I2157,Team_Matches!I2159))*IF(Team_Matches!$Q2157="W",1,-1),"")</f>
        <v/>
      </c>
      <c r="H169" s="7" t="str">
        <f>IF(Team_Matches!$Q2157&lt;&gt;"",IF(Team_Matches!J2157&gt;Team_Matches!J2159,MIN(Team_Matches!J2157,Team_Matches!J2159),-MIN(Team_Matches!J2157,Team_Matches!J2159))*IF(Team_Matches!$Q2157="W",1,-1),"")</f>
        <v/>
      </c>
      <c r="I169" s="7" t="str">
        <f>IF(Team_Matches!$Q2157&lt;&gt;"",IF(Team_Matches!K2157=Team_Matches!K2159,"",IF(Team_Matches!K2157&gt;Team_Matches!K2159,MIN(Team_Matches!K2157,Team_Matches!K2159),-MIN(Team_Matches!K2157,Team_Matches!K2159))*IF(Team_Matches!$Q2157="W",1,-1)),"")</f>
        <v/>
      </c>
      <c r="J169" s="7" t="str">
        <f>IF(Team_Matches!$Q2157&lt;&gt;"",IF(Team_Matches!L2157=Team_Matches!L2159,"",IF(Team_Matches!L2157&gt;Team_Matches!L2159,MIN(Team_Matches!L2157,Team_Matches!L2159),-MIN(Team_Matches!L2157,Team_Matches!L2159))*IF(Team_Matches!$Q2157="W",1,-1)),"")</f>
        <v/>
      </c>
    </row>
    <row r="170" spans="1:10" x14ac:dyDescent="0.25">
      <c r="A170" s="55" t="e">
        <f>$B170&amp;";"&amp;VLOOKUP($B170,Players!$C$4:$G$132,5,FALSE)&amp;";"&amp;IF(ISERROR(VLOOKUP($B170,Players!$C$4:$G$132,2,FALSE)),0,VLOOKUP($B170,Players!$C$4:$G$132,2,FALSE))&amp;";"&amp;$C170&amp;";"&amp;VLOOKUP($C170,Players!$C$4:$G$132,5,FALSE)&amp;";"&amp;IF(ISERROR(VLOOKUP($C170,Players!$C$4:$G$132,2,FALSE)),0,VLOOKUP($C170,Players!$C$4:$G$132,2,FALSE))&amp;"|"</f>
        <v>#N/A</v>
      </c>
      <c r="B170" t="str">
        <f>IF(Team_Matches!$Q2164="W",Team_Matches!$B2164,IF(Team_Matches!$Q2166="W",Team_Matches!$B2166,""))</f>
        <v/>
      </c>
      <c r="C170" t="str">
        <f>IF(Team_Matches!$Q2164="L",Team_Matches!$B2164,IF(Team_Matches!$Q2166="L",Team_Matches!$B2166,""))</f>
        <v/>
      </c>
      <c r="D170" t="str">
        <f>CONCATENATE(Team_Matches!$B2151," vs ",Team_Matches!$K2151)</f>
        <v>A vs E</v>
      </c>
      <c r="E170" t="str">
        <f>Team_Matches!$A2162</f>
        <v>2nd Singles</v>
      </c>
      <c r="F170" s="7" t="str">
        <f>IF(Team_Matches!$Q2164&lt;&gt;"",IF(Team_Matches!H2164&gt;Team_Matches!H2166,MIN(Team_Matches!H2164,Team_Matches!H2166),-MIN(Team_Matches!H2164,Team_Matches!H2166))*IF(Team_Matches!$Q2164="W",1,-1),"")</f>
        <v/>
      </c>
      <c r="G170" s="7" t="str">
        <f>IF(Team_Matches!$Q2164&lt;&gt;"",IF(Team_Matches!I2164&gt;Team_Matches!I2166,MIN(Team_Matches!I2164,Team_Matches!I2166),-MIN(Team_Matches!I2164,Team_Matches!I2166))*IF(Team_Matches!$Q2164="W",1,-1),"")</f>
        <v/>
      </c>
      <c r="H170" s="7" t="str">
        <f>IF(Team_Matches!$Q2164&lt;&gt;"",IF(Team_Matches!J2164&gt;Team_Matches!J2166,MIN(Team_Matches!J2164,Team_Matches!J2166),-MIN(Team_Matches!J2164,Team_Matches!J2166))*IF(Team_Matches!$Q2164="W",1,-1),"")</f>
        <v/>
      </c>
      <c r="I170" s="7" t="str">
        <f>IF(Team_Matches!$Q2164&lt;&gt;"",IF(Team_Matches!K2164=Team_Matches!K2166,"",IF(Team_Matches!K2164&gt;Team_Matches!K2166,MIN(Team_Matches!K2164,Team_Matches!K2166),-MIN(Team_Matches!K2164,Team_Matches!K2166))*IF(Team_Matches!$Q2164="W",1,-1)),"")</f>
        <v/>
      </c>
      <c r="J170" s="7" t="str">
        <f>IF(Team_Matches!$Q2164&lt;&gt;"",IF(Team_Matches!L2164=Team_Matches!L2166,"",IF(Team_Matches!L2164&gt;Team_Matches!L2166,MIN(Team_Matches!L2164,Team_Matches!L2166),-MIN(Team_Matches!L2164,Team_Matches!L2166))*IF(Team_Matches!$Q2164="W",1,-1)),"")</f>
        <v/>
      </c>
    </row>
    <row r="171" spans="1:10" x14ac:dyDescent="0.25">
      <c r="A171" s="55" t="e">
        <f>$B171&amp;";"&amp;VLOOKUP($B171,Players!$C$4:$G$132,5,FALSE)&amp;";"&amp;IF(ISERROR(VLOOKUP($B171,Players!$C$4:$G$132,2,FALSE)),0,VLOOKUP($B171,Players!$C$4:$G$132,2,FALSE))&amp;";"&amp;$C171&amp;";"&amp;VLOOKUP($C171,Players!$C$4:$G$132,5,FALSE)&amp;";"&amp;IF(ISERROR(VLOOKUP($C171,Players!$C$4:$G$132,2,FALSE)),0,VLOOKUP($C171,Players!$C$4:$G$132,2,FALSE))&amp;"|"</f>
        <v>#N/A</v>
      </c>
      <c r="B171" t="str">
        <f>IF(Team_Matches!$Q2171="W",Team_Matches!$B2171,IF(Team_Matches!$Q2173="W",Team_Matches!$B2173,""))</f>
        <v/>
      </c>
      <c r="C171" t="str">
        <f>IF(Team_Matches!$Q2171="L",Team_Matches!$B2171,IF(Team_Matches!$Q2173="L",Team_Matches!$B2173,""))</f>
        <v/>
      </c>
      <c r="D171" t="str">
        <f>CONCATENATE(Team_Matches!$B2151," vs ",Team_Matches!$K2151)</f>
        <v>A vs E</v>
      </c>
      <c r="E171" t="str">
        <f>Team_Matches!$A2169</f>
        <v>3rd Singles</v>
      </c>
      <c r="F171" s="7" t="str">
        <f>IF(Team_Matches!$Q2171&lt;&gt;"",IF(Team_Matches!H2171&gt;Team_Matches!H2173,MIN(Team_Matches!H2171,Team_Matches!H2173),-MIN(Team_Matches!H2171,Team_Matches!H2173))*IF(Team_Matches!$Q2171="W",1,-1),"")</f>
        <v/>
      </c>
      <c r="G171" s="7" t="str">
        <f>IF(Team_Matches!$Q2171&lt;&gt;"",IF(Team_Matches!I2171&gt;Team_Matches!I2173,MIN(Team_Matches!I2171,Team_Matches!I2173),-MIN(Team_Matches!I2171,Team_Matches!I2173))*IF(Team_Matches!$Q2171="W",1,-1),"")</f>
        <v/>
      </c>
      <c r="H171" s="7" t="str">
        <f>IF(Team_Matches!$Q2171&lt;&gt;"",IF(Team_Matches!J2171&gt;Team_Matches!J2173,MIN(Team_Matches!J2171,Team_Matches!J2173),-MIN(Team_Matches!J2171,Team_Matches!J2173))*IF(Team_Matches!$Q2171="W",1,-1),"")</f>
        <v/>
      </c>
      <c r="I171" s="7" t="str">
        <f>IF(Team_Matches!$Q2171&lt;&gt;"",IF(Team_Matches!K2171=Team_Matches!K2173,"",IF(Team_Matches!K2171&gt;Team_Matches!K2173,MIN(Team_Matches!K2171,Team_Matches!K2173),-MIN(Team_Matches!K2171,Team_Matches!K2173))*IF(Team_Matches!$Q2171="W",1,-1)),"")</f>
        <v/>
      </c>
      <c r="J171" s="7" t="str">
        <f>IF(Team_Matches!$Q2171&lt;&gt;"",IF(Team_Matches!L2171=Team_Matches!L2173,"",IF(Team_Matches!L2171&gt;Team_Matches!L2173,MIN(Team_Matches!L2171,Team_Matches!L2173),-MIN(Team_Matches!L2171,Team_Matches!L2173))*IF(Team_Matches!$Q2171="W",1,-1)),"")</f>
        <v/>
      </c>
    </row>
    <row r="172" spans="1:10" x14ac:dyDescent="0.25">
      <c r="A172" s="55" t="e">
        <f ca="1">$B172&amp;";"&amp;VLOOKUP($B172,Players!$C$4:$G$132,5,FALSE)&amp;";"&amp;IF(ISERROR(VLOOKUP($B172,Players!$C$4:$G$132,2,FALSE)),0,VLOOKUP($B172,Players!$C$4:$G$132,2,FALSE))&amp;";"&amp;$C172&amp;";"&amp;VLOOKUP($C172,Players!$C$4:$G$132,5,FALSE)&amp;";"&amp;IF(ISERROR(VLOOKUP($C172,Players!$C$4:$G$132,2,FALSE)),0,VLOOKUP($C172,Players!$C$4:$G$132,2,FALSE))&amp;"|"</f>
        <v>#N/A</v>
      </c>
      <c r="B172" t="str">
        <f ca="1">IF(Team_Matches!$Q2178="W",Team_Matches!$B2178,IF(Team_Matches!$Q2180="W",Team_Matches!$B2180,""))</f>
        <v/>
      </c>
      <c r="C172" t="str">
        <f ca="1">IF(Team_Matches!$Q2178="L",Team_Matches!$B2178,IF(Team_Matches!$Q2180="L",Team_Matches!$B2180,""))</f>
        <v/>
      </c>
      <c r="D172" t="str">
        <f>CONCATENATE(Team_Matches!$B2151," vs ",Team_Matches!$K2151)</f>
        <v>A vs E</v>
      </c>
      <c r="E172" t="str">
        <f>Team_Matches!$A2176</f>
        <v>4th Singles</v>
      </c>
      <c r="F172" s="7" t="str">
        <f ca="1">IF(Team_Matches!$Q2178&lt;&gt;"",IF(Team_Matches!H2178&gt;Team_Matches!H2180,MIN(Team_Matches!H2178,Team_Matches!H2180),-MIN(Team_Matches!H2178,Team_Matches!H2180))*IF(Team_Matches!$Q2178="W",1,-1),"")</f>
        <v/>
      </c>
      <c r="G172" s="7" t="str">
        <f ca="1">IF(Team_Matches!$Q2178&lt;&gt;"",IF(Team_Matches!I2178&gt;Team_Matches!I2180,MIN(Team_Matches!I2178,Team_Matches!I2180),-MIN(Team_Matches!I2178,Team_Matches!I2180))*IF(Team_Matches!$Q2178="W",1,-1),"")</f>
        <v/>
      </c>
      <c r="H172" s="7" t="str">
        <f ca="1">IF(Team_Matches!$Q2178&lt;&gt;"",IF(Team_Matches!J2178&gt;Team_Matches!J2180,MIN(Team_Matches!J2178,Team_Matches!J2180),-MIN(Team_Matches!J2178,Team_Matches!J2180))*IF(Team_Matches!$Q2178="W",1,-1),"")</f>
        <v/>
      </c>
      <c r="I172" s="7" t="str">
        <f ca="1">IF(Team_Matches!$Q2178&lt;&gt;"",IF(Team_Matches!K2178=Team_Matches!K2180,"",IF(Team_Matches!K2178&gt;Team_Matches!K2180,MIN(Team_Matches!K2178,Team_Matches!K2180),-MIN(Team_Matches!K2178,Team_Matches!K2180))*IF(Team_Matches!$Q2178="W",1,-1)),"")</f>
        <v/>
      </c>
      <c r="J172" s="7" t="str">
        <f ca="1">IF(Team_Matches!$Q2178&lt;&gt;"",IF(Team_Matches!L2178=Team_Matches!L2180,"",IF(Team_Matches!L2178&gt;Team_Matches!L2180,MIN(Team_Matches!L2178,Team_Matches!L2180),-MIN(Team_Matches!L2178,Team_Matches!L2180))*IF(Team_Matches!$Q2178="W",1,-1)),"")</f>
        <v/>
      </c>
    </row>
    <row r="173" spans="1:10" x14ac:dyDescent="0.25">
      <c r="A173" s="55" t="e">
        <f>$B173&amp;";"&amp;VLOOKUP($B173,Players!$C$4:$G$132,5,FALSE)&amp;";"&amp;IF(ISERROR(VLOOKUP($B173,Players!$C$4:$G$132,2,FALSE)),0,VLOOKUP($B173,Players!$C$4:$G$132,2,FALSE))&amp;";"&amp;$C173&amp;";"&amp;VLOOKUP($C173,Players!$C$4:$G$132,5,FALSE)&amp;";"&amp;IF(ISERROR(VLOOKUP($C173,Players!$C$4:$G$132,2,FALSE)),0,VLOOKUP($C173,Players!$C$4:$G$132,2,FALSE))&amp;"|"</f>
        <v>#N/A</v>
      </c>
      <c r="B173" t="str">
        <f>IF(Team_Matches!$Q2208="W",Team_Matches!$B2208,IF(Team_Matches!$Q2210="W",Team_Matches!$B2210,""))</f>
        <v/>
      </c>
      <c r="C173" t="str">
        <f>IF(Team_Matches!$Q2208="L",Team_Matches!$B2208,IF(Team_Matches!$Q2210="L",Team_Matches!$B2210,""))</f>
        <v/>
      </c>
      <c r="D173" t="str">
        <f>CONCATENATE(Team_Matches!$B2202," vs ",Team_Matches!$K2202)</f>
        <v>D vs F</v>
      </c>
      <c r="E173" t="str">
        <f>Team_Matches!A2206</f>
        <v>1st Singles</v>
      </c>
      <c r="F173" s="7" t="str">
        <f>IF(Team_Matches!$Q2208&lt;&gt;"",IF(Team_Matches!H2208&gt;Team_Matches!H2210,MIN(Team_Matches!H2208,Team_Matches!H2210),-MIN(Team_Matches!H2208,Team_Matches!H2210))*IF(Team_Matches!$Q2208="W",1,-1),"")</f>
        <v/>
      </c>
      <c r="G173" s="7" t="str">
        <f>IF(Team_Matches!$Q2208&lt;&gt;"",IF(Team_Matches!I2208&gt;Team_Matches!I2210,MIN(Team_Matches!I2208,Team_Matches!I2210),-MIN(Team_Matches!I2208,Team_Matches!I2210))*IF(Team_Matches!$Q2208="W",1,-1),"")</f>
        <v/>
      </c>
      <c r="H173" s="7" t="str">
        <f>IF(Team_Matches!$Q2208&lt;&gt;"",IF(Team_Matches!J2208&gt;Team_Matches!J2210,MIN(Team_Matches!J2208,Team_Matches!J2210),-MIN(Team_Matches!J2208,Team_Matches!J2210))*IF(Team_Matches!$Q2208="W",1,-1),"")</f>
        <v/>
      </c>
      <c r="I173" s="7" t="str">
        <f>IF(Team_Matches!$Q2208&lt;&gt;"",IF(Team_Matches!K2208=Team_Matches!K2210,"",IF(Team_Matches!K2208&gt;Team_Matches!K2210,MIN(Team_Matches!K2208,Team_Matches!K2210),-MIN(Team_Matches!K2208,Team_Matches!K2210))*IF(Team_Matches!$Q2208="W",1,-1)),"")</f>
        <v/>
      </c>
      <c r="J173" s="7" t="str">
        <f>IF(Team_Matches!$Q2208&lt;&gt;"",IF(Team_Matches!L2208=Team_Matches!L2210,"",IF(Team_Matches!L2208&gt;Team_Matches!L2210,MIN(Team_Matches!L2208,Team_Matches!L2210),-MIN(Team_Matches!L2208,Team_Matches!L2210))*IF(Team_Matches!$Q2208="W",1,-1)),"")</f>
        <v/>
      </c>
    </row>
    <row r="174" spans="1:10" x14ac:dyDescent="0.25">
      <c r="A174" s="55" t="e">
        <f>$B174&amp;";"&amp;VLOOKUP($B174,Players!$C$4:$G$132,5,FALSE)&amp;";"&amp;IF(ISERROR(VLOOKUP($B174,Players!$C$4:$G$132,2,FALSE)),0,VLOOKUP($B174,Players!$C$4:$G$132,2,FALSE))&amp;";"&amp;$C174&amp;";"&amp;VLOOKUP($C174,Players!$C$4:$G$132,5,FALSE)&amp;";"&amp;IF(ISERROR(VLOOKUP($C174,Players!$C$4:$G$132,2,FALSE)),0,VLOOKUP($C174,Players!$C$4:$G$132,2,FALSE))&amp;"|"</f>
        <v>#N/A</v>
      </c>
      <c r="B174" t="str">
        <f>IF(Team_Matches!$Q2215="W",Team_Matches!$B2215,IF(Team_Matches!$Q2217="W",Team_Matches!$B2217,""))</f>
        <v/>
      </c>
      <c r="C174" t="str">
        <f>IF(Team_Matches!$Q2215="L",Team_Matches!$B2215,IF(Team_Matches!$Q2217="L",Team_Matches!$B2217,""))</f>
        <v/>
      </c>
      <c r="D174" t="str">
        <f>CONCATENATE(Team_Matches!$B2202," vs ",Team_Matches!$K2202)</f>
        <v>D vs F</v>
      </c>
      <c r="E174" t="str">
        <f>Team_Matches!$A2213</f>
        <v>2nd Singles</v>
      </c>
      <c r="F174" s="7" t="str">
        <f>IF(Team_Matches!$Q2215&lt;&gt;"",IF(Team_Matches!H2215&gt;Team_Matches!H2217,MIN(Team_Matches!H2215,Team_Matches!H2217),-MIN(Team_Matches!H2215,Team_Matches!H2217))*IF(Team_Matches!$Q2215="W",1,-1),"")</f>
        <v/>
      </c>
      <c r="G174" s="7" t="str">
        <f>IF(Team_Matches!$Q2215&lt;&gt;"",IF(Team_Matches!I2215&gt;Team_Matches!I2217,MIN(Team_Matches!I2215,Team_Matches!I2217),-MIN(Team_Matches!I2215,Team_Matches!I2217))*IF(Team_Matches!$Q2215="W",1,-1),"")</f>
        <v/>
      </c>
      <c r="H174" s="7" t="str">
        <f>IF(Team_Matches!$Q2215&lt;&gt;"",IF(Team_Matches!J2215&gt;Team_Matches!J2217,MIN(Team_Matches!J2215,Team_Matches!J2217),-MIN(Team_Matches!J2215,Team_Matches!J2217))*IF(Team_Matches!$Q2215="W",1,-1),"")</f>
        <v/>
      </c>
      <c r="I174" s="7" t="str">
        <f>IF(Team_Matches!$Q2215&lt;&gt;"",IF(Team_Matches!K2215=Team_Matches!K2217,"",IF(Team_Matches!K2215&gt;Team_Matches!K2217,MIN(Team_Matches!K2215,Team_Matches!K2217),-MIN(Team_Matches!K2215,Team_Matches!K2217))*IF(Team_Matches!$Q2215="W",1,-1)),"")</f>
        <v/>
      </c>
      <c r="J174" s="7" t="str">
        <f>IF(Team_Matches!$Q2215&lt;&gt;"",IF(Team_Matches!L2215=Team_Matches!L2217,"",IF(Team_Matches!L2215&gt;Team_Matches!L2217,MIN(Team_Matches!L2215,Team_Matches!L2217),-MIN(Team_Matches!L2215,Team_Matches!L2217))*IF(Team_Matches!$Q2215="W",1,-1)),"")</f>
        <v/>
      </c>
    </row>
    <row r="175" spans="1:10" x14ac:dyDescent="0.25">
      <c r="A175" s="55" t="e">
        <f>$B175&amp;";"&amp;VLOOKUP($B175,Players!$C$4:$G$132,5,FALSE)&amp;";"&amp;IF(ISERROR(VLOOKUP($B175,Players!$C$4:$G$132,2,FALSE)),0,VLOOKUP($B175,Players!$C$4:$G$132,2,FALSE))&amp;";"&amp;$C175&amp;";"&amp;VLOOKUP($C175,Players!$C$4:$G$132,5,FALSE)&amp;";"&amp;IF(ISERROR(VLOOKUP($C175,Players!$C$4:$G$132,2,FALSE)),0,VLOOKUP($C175,Players!$C$4:$G$132,2,FALSE))&amp;"|"</f>
        <v>#N/A</v>
      </c>
      <c r="B175" t="str">
        <f>IF(Team_Matches!$Q2222="W",Team_Matches!$B2222,IF(Team_Matches!$Q2224="W",Team_Matches!$B2224,""))</f>
        <v/>
      </c>
      <c r="C175" t="str">
        <f>IF(Team_Matches!$Q2222="L",Team_Matches!$B2222,IF(Team_Matches!$Q2224="L",Team_Matches!$B2224,""))</f>
        <v/>
      </c>
      <c r="D175" t="str">
        <f>CONCATENATE(Team_Matches!$B2202," vs ",Team_Matches!$K2202)</f>
        <v>D vs F</v>
      </c>
      <c r="E175" t="str">
        <f>Team_Matches!$A2220</f>
        <v>3rd Singles</v>
      </c>
      <c r="F175" s="7" t="str">
        <f>IF(Team_Matches!$Q2222&lt;&gt;"",IF(Team_Matches!H2222&gt;Team_Matches!H2224,MIN(Team_Matches!H2222,Team_Matches!H2224),-MIN(Team_Matches!H2222,Team_Matches!H2224))*IF(Team_Matches!$Q2222="W",1,-1),"")</f>
        <v/>
      </c>
      <c r="G175" s="7" t="str">
        <f>IF(Team_Matches!$Q2222&lt;&gt;"",IF(Team_Matches!I2222&gt;Team_Matches!I2224,MIN(Team_Matches!I2222,Team_Matches!I2224),-MIN(Team_Matches!I2222,Team_Matches!I2224))*IF(Team_Matches!$Q2222="W",1,-1),"")</f>
        <v/>
      </c>
      <c r="H175" s="7" t="str">
        <f>IF(Team_Matches!$Q2222&lt;&gt;"",IF(Team_Matches!J2222&gt;Team_Matches!J2224,MIN(Team_Matches!J2222,Team_Matches!J2224),-MIN(Team_Matches!J2222,Team_Matches!J2224))*IF(Team_Matches!$Q2222="W",1,-1),"")</f>
        <v/>
      </c>
      <c r="I175" s="7" t="str">
        <f>IF(Team_Matches!$Q2222&lt;&gt;"",IF(Team_Matches!K2222=Team_Matches!K2224,"",IF(Team_Matches!K2222&gt;Team_Matches!K2224,MIN(Team_Matches!K2222,Team_Matches!K2224),-MIN(Team_Matches!K2222,Team_Matches!K2224))*IF(Team_Matches!$Q2222="W",1,-1)),"")</f>
        <v/>
      </c>
      <c r="J175" s="7" t="str">
        <f>IF(Team_Matches!$Q2222&lt;&gt;"",IF(Team_Matches!L2222=Team_Matches!L2224,"",IF(Team_Matches!L2222&gt;Team_Matches!L2224,MIN(Team_Matches!L2222,Team_Matches!L2224),-MIN(Team_Matches!L2222,Team_Matches!L2224))*IF(Team_Matches!$Q2222="W",1,-1)),"")</f>
        <v/>
      </c>
    </row>
    <row r="176" spans="1:10" x14ac:dyDescent="0.25">
      <c r="A176" s="55" t="e">
        <f ca="1">$B176&amp;";"&amp;VLOOKUP($B176,Players!$C$4:$G$132,5,FALSE)&amp;";"&amp;IF(ISERROR(VLOOKUP($B176,Players!$C$4:$G$132,2,FALSE)),0,VLOOKUP($B176,Players!$C$4:$G$132,2,FALSE))&amp;";"&amp;$C176&amp;";"&amp;VLOOKUP($C176,Players!$C$4:$G$132,5,FALSE)&amp;";"&amp;IF(ISERROR(VLOOKUP($C176,Players!$C$4:$G$132,2,FALSE)),0,VLOOKUP($C176,Players!$C$4:$G$132,2,FALSE))&amp;"|"</f>
        <v>#N/A</v>
      </c>
      <c r="B176" t="str">
        <f ca="1">IF(Team_Matches!$Q2229="W",Team_Matches!$B2229,IF(Team_Matches!$Q2231="W",Team_Matches!$B2231,""))</f>
        <v/>
      </c>
      <c r="C176" t="str">
        <f ca="1">IF(Team_Matches!$Q2229="L",Team_Matches!$B2229,IF(Team_Matches!$Q2231="L",Team_Matches!$B2231,""))</f>
        <v/>
      </c>
      <c r="D176" t="str">
        <f>CONCATENATE(Team_Matches!$B2202," vs ",Team_Matches!$K2202)</f>
        <v>D vs F</v>
      </c>
      <c r="E176" t="str">
        <f>Team_Matches!$A2227</f>
        <v>4th Singles</v>
      </c>
      <c r="F176" s="7" t="str">
        <f ca="1">IF(Team_Matches!$Q2229&lt;&gt;"",IF(Team_Matches!H2229&gt;Team_Matches!H2231,MIN(Team_Matches!H2229,Team_Matches!H2231),-MIN(Team_Matches!H2229,Team_Matches!H2231))*IF(Team_Matches!$Q2229="W",1,-1),"")</f>
        <v/>
      </c>
      <c r="G176" s="7" t="str">
        <f ca="1">IF(Team_Matches!$Q2229&lt;&gt;"",IF(Team_Matches!I2229&gt;Team_Matches!I2231,MIN(Team_Matches!I2229,Team_Matches!I2231),-MIN(Team_Matches!I2229,Team_Matches!I2231))*IF(Team_Matches!$Q2229="W",1,-1),"")</f>
        <v/>
      </c>
      <c r="H176" s="7" t="str">
        <f ca="1">IF(Team_Matches!$Q2229&lt;&gt;"",IF(Team_Matches!J2229&gt;Team_Matches!J2231,MIN(Team_Matches!J2229,Team_Matches!J2231),-MIN(Team_Matches!J2229,Team_Matches!J2231))*IF(Team_Matches!$Q2229="W",1,-1),"")</f>
        <v/>
      </c>
      <c r="I176" s="7" t="str">
        <f ca="1">IF(Team_Matches!$Q2229&lt;&gt;"",IF(Team_Matches!K2229=Team_Matches!K2231,"",IF(Team_Matches!K2229&gt;Team_Matches!K2231,MIN(Team_Matches!K2229,Team_Matches!K2231),-MIN(Team_Matches!K2229,Team_Matches!K2231))*IF(Team_Matches!$Q2229="W",1,-1)),"")</f>
        <v/>
      </c>
      <c r="J176" s="7" t="str">
        <f ca="1">IF(Team_Matches!$Q2229&lt;&gt;"",IF(Team_Matches!L2229=Team_Matches!L2231,"",IF(Team_Matches!L2229&gt;Team_Matches!L2231,MIN(Team_Matches!L2229,Team_Matches!L2231),-MIN(Team_Matches!L2229,Team_Matches!L2231))*IF(Team_Matches!$Q2229="W",1,-1)),"")</f>
        <v/>
      </c>
    </row>
    <row r="177" spans="1:10" x14ac:dyDescent="0.25">
      <c r="A177" s="55" t="e">
        <f>$B177&amp;";"&amp;VLOOKUP($B177,Players!$C$4:$G$132,5,FALSE)&amp;";"&amp;IF(ISERROR(VLOOKUP($B177,Players!$C$4:$G$132,2,FALSE)),0,VLOOKUP($B177,Players!$C$4:$G$132,2,FALSE))&amp;";"&amp;$C177&amp;";"&amp;VLOOKUP($C177,Players!$C$4:$G$132,5,FALSE)&amp;";"&amp;IF(ISERROR(VLOOKUP($C177,Players!$C$4:$G$132,2,FALSE)),0,VLOOKUP($C177,Players!$C$4:$G$132,2,FALSE))&amp;"|"</f>
        <v>#N/A</v>
      </c>
      <c r="B177" t="str">
        <f>IF(Team_Matches!$Q2259="W",Team_Matches!$B2259,IF(Team_Matches!$Q2261="W",Team_Matches!$B2261,""))</f>
        <v/>
      </c>
      <c r="C177" t="str">
        <f>IF(Team_Matches!$Q2259="L",Team_Matches!$B2259,IF(Team_Matches!$Q2261="L",Team_Matches!$B2261,""))</f>
        <v/>
      </c>
      <c r="D177" t="str">
        <f>CONCATENATE(Team_Matches!$B2253," vs ",Team_Matches!$K2253)</f>
        <v>C vs G</v>
      </c>
      <c r="E177" t="str">
        <f>Team_Matches!A2257</f>
        <v>1st Singles</v>
      </c>
      <c r="F177" s="7" t="str">
        <f>IF(Team_Matches!$Q2259&lt;&gt;"",IF(Team_Matches!H2259&gt;Team_Matches!H2261,MIN(Team_Matches!H2259,Team_Matches!H2261),-MIN(Team_Matches!H2259,Team_Matches!H2261))*IF(Team_Matches!$Q2259="W",1,-1),"")</f>
        <v/>
      </c>
      <c r="G177" s="7" t="str">
        <f>IF(Team_Matches!$Q2259&lt;&gt;"",IF(Team_Matches!I2259&gt;Team_Matches!I2261,MIN(Team_Matches!I2259,Team_Matches!I2261),-MIN(Team_Matches!I2259,Team_Matches!I2261))*IF(Team_Matches!$Q2259="W",1,-1),"")</f>
        <v/>
      </c>
      <c r="H177" s="7" t="str">
        <f>IF(Team_Matches!$Q2259&lt;&gt;"",IF(Team_Matches!J2259&gt;Team_Matches!J2261,MIN(Team_Matches!J2259,Team_Matches!J2261),-MIN(Team_Matches!J2259,Team_Matches!J2261))*IF(Team_Matches!$Q2259="W",1,-1),"")</f>
        <v/>
      </c>
      <c r="I177" s="7" t="str">
        <f>IF(Team_Matches!$Q2259&lt;&gt;"",IF(Team_Matches!K2259=Team_Matches!K2261,"",IF(Team_Matches!K2259&gt;Team_Matches!K2261,MIN(Team_Matches!K2259,Team_Matches!K2261),-MIN(Team_Matches!K2259,Team_Matches!K2261))*IF(Team_Matches!$Q2259="W",1,-1)),"")</f>
        <v/>
      </c>
      <c r="J177" s="7" t="str">
        <f>IF(Team_Matches!$Q2259&lt;&gt;"",IF(Team_Matches!L2259=Team_Matches!L2261,"",IF(Team_Matches!L2259&gt;Team_Matches!L2261,MIN(Team_Matches!L2259,Team_Matches!L2261),-MIN(Team_Matches!L2259,Team_Matches!L2261))*IF(Team_Matches!$Q2259="W",1,-1)),"")</f>
        <v/>
      </c>
    </row>
    <row r="178" spans="1:10" x14ac:dyDescent="0.25">
      <c r="A178" s="55" t="e">
        <f>$B178&amp;";"&amp;VLOOKUP($B178,Players!$C$4:$G$132,5,FALSE)&amp;";"&amp;IF(ISERROR(VLOOKUP($B178,Players!$C$4:$G$132,2,FALSE)),0,VLOOKUP($B178,Players!$C$4:$G$132,2,FALSE))&amp;";"&amp;$C178&amp;";"&amp;VLOOKUP($C178,Players!$C$4:$G$132,5,FALSE)&amp;";"&amp;IF(ISERROR(VLOOKUP($C178,Players!$C$4:$G$132,2,FALSE)),0,VLOOKUP($C178,Players!$C$4:$G$132,2,FALSE))&amp;"|"</f>
        <v>#N/A</v>
      </c>
      <c r="B178" t="str">
        <f>IF(Team_Matches!$Q2266="W",Team_Matches!$B2266,IF(Team_Matches!$Q2268="W",Team_Matches!$B2268,""))</f>
        <v/>
      </c>
      <c r="C178" t="str">
        <f>IF(Team_Matches!$Q2266="L",Team_Matches!$B2266,IF(Team_Matches!$Q2268="L",Team_Matches!$B2268,""))</f>
        <v/>
      </c>
      <c r="D178" t="str">
        <f>CONCATENATE(Team_Matches!$B2253," vs ",Team_Matches!$K2253)</f>
        <v>C vs G</v>
      </c>
      <c r="E178" t="str">
        <f>Team_Matches!$A2264</f>
        <v>2nd Singles</v>
      </c>
      <c r="F178" s="7" t="str">
        <f>IF(Team_Matches!$Q2266&lt;&gt;"",IF(Team_Matches!H2266&gt;Team_Matches!H2268,MIN(Team_Matches!H2266,Team_Matches!H2268),-MIN(Team_Matches!H2266,Team_Matches!H2268))*IF(Team_Matches!$Q2266="W",1,-1),"")</f>
        <v/>
      </c>
      <c r="G178" s="7" t="str">
        <f>IF(Team_Matches!$Q2266&lt;&gt;"",IF(Team_Matches!I2266&gt;Team_Matches!I2268,MIN(Team_Matches!I2266,Team_Matches!I2268),-MIN(Team_Matches!I2266,Team_Matches!I2268))*IF(Team_Matches!$Q2266="W",1,-1),"")</f>
        <v/>
      </c>
      <c r="H178" s="7" t="str">
        <f>IF(Team_Matches!$Q2266&lt;&gt;"",IF(Team_Matches!J2266&gt;Team_Matches!J2268,MIN(Team_Matches!J2266,Team_Matches!J2268),-MIN(Team_Matches!J2266,Team_Matches!J2268))*IF(Team_Matches!$Q2266="W",1,-1),"")</f>
        <v/>
      </c>
      <c r="I178" s="7" t="str">
        <f>IF(Team_Matches!$Q2266&lt;&gt;"",IF(Team_Matches!K2266=Team_Matches!K2268,"",IF(Team_Matches!K2266&gt;Team_Matches!K2268,MIN(Team_Matches!K2266,Team_Matches!K2268),-MIN(Team_Matches!K2266,Team_Matches!K2268))*IF(Team_Matches!$Q2266="W",1,-1)),"")</f>
        <v/>
      </c>
      <c r="J178" s="7" t="str">
        <f>IF(Team_Matches!$Q2266&lt;&gt;"",IF(Team_Matches!L2266=Team_Matches!L2268,"",IF(Team_Matches!L2266&gt;Team_Matches!L2268,MIN(Team_Matches!L2266,Team_Matches!L2268),-MIN(Team_Matches!L2266,Team_Matches!L2268))*IF(Team_Matches!$Q2266="W",1,-1)),"")</f>
        <v/>
      </c>
    </row>
    <row r="179" spans="1:10" x14ac:dyDescent="0.25">
      <c r="A179" s="55" t="e">
        <f>$B179&amp;";"&amp;VLOOKUP($B179,Players!$C$4:$G$132,5,FALSE)&amp;";"&amp;IF(ISERROR(VLOOKUP($B179,Players!$C$4:$G$132,2,FALSE)),0,VLOOKUP($B179,Players!$C$4:$G$132,2,FALSE))&amp;";"&amp;$C179&amp;";"&amp;VLOOKUP($C179,Players!$C$4:$G$132,5,FALSE)&amp;";"&amp;IF(ISERROR(VLOOKUP($C179,Players!$C$4:$G$132,2,FALSE)),0,VLOOKUP($C179,Players!$C$4:$G$132,2,FALSE))&amp;"|"</f>
        <v>#N/A</v>
      </c>
      <c r="B179" t="str">
        <f>IF(Team_Matches!$Q2273="W",Team_Matches!$B2273,IF(Team_Matches!$Q2275="W",Team_Matches!$B2275,""))</f>
        <v/>
      </c>
      <c r="C179" t="str">
        <f>IF(Team_Matches!$Q2273="L",Team_Matches!$B2273,IF(Team_Matches!$Q2275="L",Team_Matches!$B2275,""))</f>
        <v/>
      </c>
      <c r="D179" t="str">
        <f>CONCATENATE(Team_Matches!$B2253," vs ",Team_Matches!$K2253)</f>
        <v>C vs G</v>
      </c>
      <c r="E179" t="str">
        <f>Team_Matches!$A2271</f>
        <v>3rd Singles</v>
      </c>
      <c r="F179" s="7" t="str">
        <f>IF(Team_Matches!$Q2273&lt;&gt;"",IF(Team_Matches!H2273&gt;Team_Matches!H2275,MIN(Team_Matches!H2273,Team_Matches!H2275),-MIN(Team_Matches!H2273,Team_Matches!H2275))*IF(Team_Matches!$Q2273="W",1,-1),"")</f>
        <v/>
      </c>
      <c r="G179" s="7" t="str">
        <f>IF(Team_Matches!$Q2273&lt;&gt;"",IF(Team_Matches!I2273&gt;Team_Matches!I2275,MIN(Team_Matches!I2273,Team_Matches!I2275),-MIN(Team_Matches!I2273,Team_Matches!I2275))*IF(Team_Matches!$Q2273="W",1,-1),"")</f>
        <v/>
      </c>
      <c r="H179" s="7" t="str">
        <f>IF(Team_Matches!$Q2273&lt;&gt;"",IF(Team_Matches!J2273&gt;Team_Matches!J2275,MIN(Team_Matches!J2273,Team_Matches!J2275),-MIN(Team_Matches!J2273,Team_Matches!J2275))*IF(Team_Matches!$Q2273="W",1,-1),"")</f>
        <v/>
      </c>
      <c r="I179" s="7" t="str">
        <f>IF(Team_Matches!$Q2273&lt;&gt;"",IF(Team_Matches!K2273=Team_Matches!K2275,"",IF(Team_Matches!K2273&gt;Team_Matches!K2275,MIN(Team_Matches!K2273,Team_Matches!K2275),-MIN(Team_Matches!K2273,Team_Matches!K2275))*IF(Team_Matches!$Q2273="W",1,-1)),"")</f>
        <v/>
      </c>
      <c r="J179" s="7" t="str">
        <f>IF(Team_Matches!$Q2273&lt;&gt;"",IF(Team_Matches!L2273=Team_Matches!L2275,"",IF(Team_Matches!L2273&gt;Team_Matches!L2275,MIN(Team_Matches!L2273,Team_Matches!L2275),-MIN(Team_Matches!L2273,Team_Matches!L2275))*IF(Team_Matches!$Q2273="W",1,-1)),"")</f>
        <v/>
      </c>
    </row>
    <row r="180" spans="1:10" x14ac:dyDescent="0.25">
      <c r="A180" s="55" t="e">
        <f ca="1">$B180&amp;";"&amp;VLOOKUP($B180,Players!$C$4:$G$132,5,FALSE)&amp;";"&amp;IF(ISERROR(VLOOKUP($B180,Players!$C$4:$G$132,2,FALSE)),0,VLOOKUP($B180,Players!$C$4:$G$132,2,FALSE))&amp;";"&amp;$C180&amp;";"&amp;VLOOKUP($C180,Players!$C$4:$G$132,5,FALSE)&amp;";"&amp;IF(ISERROR(VLOOKUP($C180,Players!$C$4:$G$132,2,FALSE)),0,VLOOKUP($C180,Players!$C$4:$G$132,2,FALSE))&amp;"|"</f>
        <v>#N/A</v>
      </c>
      <c r="B180" t="str">
        <f ca="1">IF(Team_Matches!$Q2280="W",Team_Matches!$B2280,IF(Team_Matches!$Q2282="W",Team_Matches!$B2282,""))</f>
        <v/>
      </c>
      <c r="C180" t="str">
        <f ca="1">IF(Team_Matches!$Q2280="L",Team_Matches!$B2280,IF(Team_Matches!$Q2282="L",Team_Matches!$B2282,""))</f>
        <v/>
      </c>
      <c r="D180" t="str">
        <f>CONCATENATE(Team_Matches!$B2253," vs ",Team_Matches!$K2253)</f>
        <v>C vs G</v>
      </c>
      <c r="E180" t="str">
        <f>Team_Matches!$A2278</f>
        <v>4th Singles</v>
      </c>
      <c r="F180" s="7" t="str">
        <f ca="1">IF(Team_Matches!$Q2280&lt;&gt;"",IF(Team_Matches!H2280&gt;Team_Matches!H2282,MIN(Team_Matches!H2280,Team_Matches!H2282),-MIN(Team_Matches!H2280,Team_Matches!H2282))*IF(Team_Matches!$Q2280="W",1,-1),"")</f>
        <v/>
      </c>
      <c r="G180" s="7" t="str">
        <f ca="1">IF(Team_Matches!$Q2280&lt;&gt;"",IF(Team_Matches!I2280&gt;Team_Matches!I2282,MIN(Team_Matches!I2280,Team_Matches!I2282),-MIN(Team_Matches!I2280,Team_Matches!I2282))*IF(Team_Matches!$Q2280="W",1,-1),"")</f>
        <v/>
      </c>
      <c r="H180" s="7" t="str">
        <f ca="1">IF(Team_Matches!$Q2280&lt;&gt;"",IF(Team_Matches!J2280&gt;Team_Matches!J2282,MIN(Team_Matches!J2280,Team_Matches!J2282),-MIN(Team_Matches!J2280,Team_Matches!J2282))*IF(Team_Matches!$Q2280="W",1,-1),"")</f>
        <v/>
      </c>
      <c r="I180" s="7" t="str">
        <f ca="1">IF(Team_Matches!$Q2280&lt;&gt;"",IF(Team_Matches!K2280=Team_Matches!K2282,"",IF(Team_Matches!K2280&gt;Team_Matches!K2282,MIN(Team_Matches!K2280,Team_Matches!K2282),-MIN(Team_Matches!K2280,Team_Matches!K2282))*IF(Team_Matches!$Q2280="W",1,-1)),"")</f>
        <v/>
      </c>
      <c r="J180" s="7" t="str">
        <f ca="1">IF(Team_Matches!$Q2280&lt;&gt;"",IF(Team_Matches!L2280=Team_Matches!L2282,"",IF(Team_Matches!L2280&gt;Team_Matches!L2282,MIN(Team_Matches!L2280,Team_Matches!L2282),-MIN(Team_Matches!L2280,Team_Matches!L2282))*IF(Team_Matches!$Q2280="W",1,-1)),"")</f>
        <v/>
      </c>
    </row>
    <row r="181" spans="1:10" x14ac:dyDescent="0.25">
      <c r="A181" s="55" t="e">
        <f>$B181&amp;";"&amp;VLOOKUP($B181,Players!$C$4:$G$132,5,FALSE)&amp;";"&amp;IF(ISERROR(VLOOKUP($B181,Players!$C$4:$G$132,2,FALSE)),0,VLOOKUP($B181,Players!$C$4:$G$132,2,FALSE))&amp;";"&amp;$C181&amp;";"&amp;VLOOKUP($C181,Players!$C$4:$G$132,5,FALSE)&amp;";"&amp;IF(ISERROR(VLOOKUP($C181,Players!$C$4:$G$132,2,FALSE)),0,VLOOKUP($C181,Players!$C$4:$G$132,2,FALSE))&amp;"|"</f>
        <v>#N/A</v>
      </c>
      <c r="B181" t="str">
        <f>IF(Team_Matches!$Q2310="W",Team_Matches!$B2310,IF(Team_Matches!$Q2312="W",Team_Matches!$B2312,""))</f>
        <v/>
      </c>
      <c r="C181" t="str">
        <f>IF(Team_Matches!$Q2310="L",Team_Matches!$B2310,IF(Team_Matches!$Q2312="L",Team_Matches!$B2312,""))</f>
        <v/>
      </c>
      <c r="D181" t="str">
        <f>CONCATENATE(Team_Matches!$B2304," vs ",Team_Matches!$K2304)</f>
        <v>B vs H</v>
      </c>
      <c r="E181" t="str">
        <f>Team_Matches!A2308</f>
        <v>1st Singles</v>
      </c>
      <c r="F181" s="7" t="str">
        <f>IF(Team_Matches!$Q2310&lt;&gt;"",IF(Team_Matches!H2310&gt;Team_Matches!H2312,MIN(Team_Matches!H2310,Team_Matches!H2312),-MIN(Team_Matches!H2310,Team_Matches!H2312))*IF(Team_Matches!$Q2310="W",1,-1),"")</f>
        <v/>
      </c>
      <c r="G181" s="7" t="str">
        <f>IF(Team_Matches!$Q2310&lt;&gt;"",IF(Team_Matches!I2310&gt;Team_Matches!I2312,MIN(Team_Matches!I2310,Team_Matches!I2312),-MIN(Team_Matches!I2310,Team_Matches!I2312))*IF(Team_Matches!$Q2310="W",1,-1),"")</f>
        <v/>
      </c>
      <c r="H181" s="7" t="str">
        <f>IF(Team_Matches!$Q2310&lt;&gt;"",IF(Team_Matches!J2310&gt;Team_Matches!J2312,MIN(Team_Matches!J2310,Team_Matches!J2312),-MIN(Team_Matches!J2310,Team_Matches!J2312))*IF(Team_Matches!$Q2310="W",1,-1),"")</f>
        <v/>
      </c>
      <c r="I181" s="7" t="str">
        <f>IF(Team_Matches!$Q2310&lt;&gt;"",IF(Team_Matches!K2310=Team_Matches!K2312,"",IF(Team_Matches!K2310&gt;Team_Matches!K2312,MIN(Team_Matches!K2310,Team_Matches!K2312),-MIN(Team_Matches!K2310,Team_Matches!K2312))*IF(Team_Matches!$Q2310="W",1,-1)),"")</f>
        <v/>
      </c>
      <c r="J181" s="7" t="str">
        <f>IF(Team_Matches!$Q2310&lt;&gt;"",IF(Team_Matches!L2310=Team_Matches!L2312,"",IF(Team_Matches!L2310&gt;Team_Matches!L2312,MIN(Team_Matches!L2310,Team_Matches!L2312),-MIN(Team_Matches!L2310,Team_Matches!L2312))*IF(Team_Matches!$Q2310="W",1,-1)),"")</f>
        <v/>
      </c>
    </row>
    <row r="182" spans="1:10" x14ac:dyDescent="0.25">
      <c r="A182" s="55" t="e">
        <f>$B182&amp;";"&amp;VLOOKUP($B182,Players!$C$4:$G$132,5,FALSE)&amp;";"&amp;IF(ISERROR(VLOOKUP($B182,Players!$C$4:$G$132,2,FALSE)),0,VLOOKUP($B182,Players!$C$4:$G$132,2,FALSE))&amp;";"&amp;$C182&amp;";"&amp;VLOOKUP($C182,Players!$C$4:$G$132,5,FALSE)&amp;";"&amp;IF(ISERROR(VLOOKUP($C182,Players!$C$4:$G$132,2,FALSE)),0,VLOOKUP($C182,Players!$C$4:$G$132,2,FALSE))&amp;"|"</f>
        <v>#N/A</v>
      </c>
      <c r="B182" t="str">
        <f>IF(Team_Matches!$Q2317="W",Team_Matches!$B2317,IF(Team_Matches!$Q2319="W",Team_Matches!$B2319,""))</f>
        <v/>
      </c>
      <c r="C182" t="str">
        <f>IF(Team_Matches!$Q2317="L",Team_Matches!$B2317,IF(Team_Matches!$Q2319="L",Team_Matches!$B2319,""))</f>
        <v/>
      </c>
      <c r="D182" t="str">
        <f>CONCATENATE(Team_Matches!$B2304," vs ",Team_Matches!$K2304)</f>
        <v>B vs H</v>
      </c>
      <c r="E182" t="str">
        <f>Team_Matches!$A2315</f>
        <v>2nd Singles</v>
      </c>
      <c r="F182" s="7" t="str">
        <f>IF(Team_Matches!$Q2317&lt;&gt;"",IF(Team_Matches!H2317&gt;Team_Matches!H2319,MIN(Team_Matches!H2317,Team_Matches!H2319),-MIN(Team_Matches!H2317,Team_Matches!H2319))*IF(Team_Matches!$Q2317="W",1,-1),"")</f>
        <v/>
      </c>
      <c r="G182" s="7" t="str">
        <f>IF(Team_Matches!$Q2317&lt;&gt;"",IF(Team_Matches!I2317&gt;Team_Matches!I2319,MIN(Team_Matches!I2317,Team_Matches!I2319),-MIN(Team_Matches!I2317,Team_Matches!I2319))*IF(Team_Matches!$Q2317="W",1,-1),"")</f>
        <v/>
      </c>
      <c r="H182" s="7" t="str">
        <f>IF(Team_Matches!$Q2317&lt;&gt;"",IF(Team_Matches!J2317&gt;Team_Matches!J2319,MIN(Team_Matches!J2317,Team_Matches!J2319),-MIN(Team_Matches!J2317,Team_Matches!J2319))*IF(Team_Matches!$Q2317="W",1,-1),"")</f>
        <v/>
      </c>
      <c r="I182" s="7" t="str">
        <f>IF(Team_Matches!$Q2317&lt;&gt;"",IF(Team_Matches!K2317=Team_Matches!K2319,"",IF(Team_Matches!K2317&gt;Team_Matches!K2319,MIN(Team_Matches!K2317,Team_Matches!K2319),-MIN(Team_Matches!K2317,Team_Matches!K2319))*IF(Team_Matches!$Q2317="W",1,-1)),"")</f>
        <v/>
      </c>
      <c r="J182" s="7" t="str">
        <f>IF(Team_Matches!$Q2317&lt;&gt;"",IF(Team_Matches!L2317=Team_Matches!L2319,"",IF(Team_Matches!L2317&gt;Team_Matches!L2319,MIN(Team_Matches!L2317,Team_Matches!L2319),-MIN(Team_Matches!L2317,Team_Matches!L2319))*IF(Team_Matches!$Q2317="W",1,-1)),"")</f>
        <v/>
      </c>
    </row>
    <row r="183" spans="1:10" x14ac:dyDescent="0.25">
      <c r="A183" s="55" t="e">
        <f>$B183&amp;";"&amp;VLOOKUP($B183,Players!$C$4:$G$132,5,FALSE)&amp;";"&amp;IF(ISERROR(VLOOKUP($B183,Players!$C$4:$G$132,2,FALSE)),0,VLOOKUP($B183,Players!$C$4:$G$132,2,FALSE))&amp;";"&amp;$C183&amp;";"&amp;VLOOKUP($C183,Players!$C$4:$G$132,5,FALSE)&amp;";"&amp;IF(ISERROR(VLOOKUP($C183,Players!$C$4:$G$132,2,FALSE)),0,VLOOKUP($C183,Players!$C$4:$G$132,2,FALSE))&amp;"|"</f>
        <v>#N/A</v>
      </c>
      <c r="B183" t="str">
        <f>IF(Team_Matches!$Q2324="W",Team_Matches!$B2324,IF(Team_Matches!$Q2326="W",Team_Matches!$B2326,""))</f>
        <v/>
      </c>
      <c r="C183" t="str">
        <f>IF(Team_Matches!$Q2324="L",Team_Matches!$B2324,IF(Team_Matches!$Q2326="L",Team_Matches!$B2326,""))</f>
        <v/>
      </c>
      <c r="D183" t="str">
        <f>CONCATENATE(Team_Matches!$B2304," vs ",Team_Matches!$K2304)</f>
        <v>B vs H</v>
      </c>
      <c r="E183" t="str">
        <f>Team_Matches!$A2322</f>
        <v>3rd Singles</v>
      </c>
      <c r="F183" s="7" t="str">
        <f>IF(Team_Matches!$Q2324&lt;&gt;"",IF(Team_Matches!H2324&gt;Team_Matches!H2326,MIN(Team_Matches!H2324,Team_Matches!H2326),-MIN(Team_Matches!H2324,Team_Matches!H2326))*IF(Team_Matches!$Q2324="W",1,-1),"")</f>
        <v/>
      </c>
      <c r="G183" s="7" t="str">
        <f>IF(Team_Matches!$Q2324&lt;&gt;"",IF(Team_Matches!I2324&gt;Team_Matches!I2326,MIN(Team_Matches!I2324,Team_Matches!I2326),-MIN(Team_Matches!I2324,Team_Matches!I2326))*IF(Team_Matches!$Q2324="W",1,-1),"")</f>
        <v/>
      </c>
      <c r="H183" s="7" t="str">
        <f>IF(Team_Matches!$Q2324&lt;&gt;"",IF(Team_Matches!J2324&gt;Team_Matches!J2326,MIN(Team_Matches!J2324,Team_Matches!J2326),-MIN(Team_Matches!J2324,Team_Matches!J2326))*IF(Team_Matches!$Q2324="W",1,-1),"")</f>
        <v/>
      </c>
      <c r="I183" s="7" t="str">
        <f>IF(Team_Matches!$Q2324&lt;&gt;"",IF(Team_Matches!K2324=Team_Matches!K2326,"",IF(Team_Matches!K2324&gt;Team_Matches!K2326,MIN(Team_Matches!K2324,Team_Matches!K2326),-MIN(Team_Matches!K2324,Team_Matches!K2326))*IF(Team_Matches!$Q2324="W",1,-1)),"")</f>
        <v/>
      </c>
      <c r="J183" s="7" t="str">
        <f>IF(Team_Matches!$Q2324&lt;&gt;"",IF(Team_Matches!L2324=Team_Matches!L2326,"",IF(Team_Matches!L2324&gt;Team_Matches!L2326,MIN(Team_Matches!L2324,Team_Matches!L2326),-MIN(Team_Matches!L2324,Team_Matches!L2326))*IF(Team_Matches!$Q2324="W",1,-1)),"")</f>
        <v/>
      </c>
    </row>
    <row r="184" spans="1:10" x14ac:dyDescent="0.25">
      <c r="A184" s="55" t="e">
        <f ca="1">$B184&amp;";"&amp;VLOOKUP($B184,Players!$C$4:$G$132,5,FALSE)&amp;";"&amp;IF(ISERROR(VLOOKUP($B184,Players!$C$4:$G$132,2,FALSE)),0,VLOOKUP($B184,Players!$C$4:$G$132,2,FALSE))&amp;";"&amp;$C184&amp;";"&amp;VLOOKUP($C184,Players!$C$4:$G$132,5,FALSE)&amp;";"&amp;IF(ISERROR(VLOOKUP($C184,Players!$C$4:$G$132,2,FALSE)),0,VLOOKUP($C184,Players!$C$4:$G$132,2,FALSE))&amp;"|"</f>
        <v>#N/A</v>
      </c>
      <c r="B184" t="str">
        <f ca="1">IF(Team_Matches!$Q2331="W",Team_Matches!$B2331,IF(Team_Matches!$Q2333="W",Team_Matches!$B2333,""))</f>
        <v/>
      </c>
      <c r="C184" t="str">
        <f ca="1">IF(Team_Matches!$Q2331="L",Team_Matches!$B2331,IF(Team_Matches!$Q2333="L",Team_Matches!$B2333,""))</f>
        <v/>
      </c>
      <c r="D184" t="str">
        <f>CONCATENATE(Team_Matches!$B2304," vs ",Team_Matches!$K2304)</f>
        <v>B vs H</v>
      </c>
      <c r="E184" t="str">
        <f>Team_Matches!$A2329</f>
        <v>4th Singles</v>
      </c>
      <c r="F184" s="7" t="str">
        <f ca="1">IF(Team_Matches!$Q2331&lt;&gt;"",IF(Team_Matches!H2331&gt;Team_Matches!H2333,MIN(Team_Matches!H2331,Team_Matches!H2333),-MIN(Team_Matches!H2331,Team_Matches!H2333))*IF(Team_Matches!$Q2331="W",1,-1),"")</f>
        <v/>
      </c>
      <c r="G184" s="7" t="str">
        <f ca="1">IF(Team_Matches!$Q2331&lt;&gt;"",IF(Team_Matches!I2331&gt;Team_Matches!I2333,MIN(Team_Matches!I2331,Team_Matches!I2333),-MIN(Team_Matches!I2331,Team_Matches!I2333))*IF(Team_Matches!$Q2331="W",1,-1),"")</f>
        <v/>
      </c>
      <c r="H184" s="7" t="str">
        <f ca="1">IF(Team_Matches!$Q2331&lt;&gt;"",IF(Team_Matches!J2331&gt;Team_Matches!J2333,MIN(Team_Matches!J2331,Team_Matches!J2333),-MIN(Team_Matches!J2331,Team_Matches!J2333))*IF(Team_Matches!$Q2331="W",1,-1),"")</f>
        <v/>
      </c>
      <c r="I184" s="7" t="str">
        <f ca="1">IF(Team_Matches!$Q2331&lt;&gt;"",IF(Team_Matches!K2331=Team_Matches!K2333,"",IF(Team_Matches!K2331&gt;Team_Matches!K2333,MIN(Team_Matches!K2331,Team_Matches!K2333),-MIN(Team_Matches!K2331,Team_Matches!K2333))*IF(Team_Matches!$Q2331="W",1,-1)),"")</f>
        <v/>
      </c>
      <c r="J184" s="7" t="str">
        <f ca="1">IF(Team_Matches!$Q2331&lt;&gt;"",IF(Team_Matches!L2331=Team_Matches!L2333,"",IF(Team_Matches!L2331&gt;Team_Matches!L2333,MIN(Team_Matches!L2331,Team_Matches!L2333),-MIN(Team_Matches!L2331,Team_Matches!L2333))*IF(Team_Matches!$Q2331="W",1,-1)),"")</f>
        <v/>
      </c>
    </row>
    <row r="185" spans="1:10" x14ac:dyDescent="0.25">
      <c r="A185" s="55" t="e">
        <f>$B185&amp;";"&amp;VLOOKUP($B185,Players!$C$4:$G$132,5,FALSE)&amp;";"&amp;IF(ISERROR(VLOOKUP($B185,Players!$C$4:$G$132,2,FALSE)),0,VLOOKUP($B185,Players!$C$4:$G$132,2,FALSE))&amp;";"&amp;$C185&amp;";"&amp;VLOOKUP($C185,Players!$C$4:$G$132,5,FALSE)&amp;";"&amp;IF(ISERROR(VLOOKUP($C185,Players!$C$4:$G$132,2,FALSE)),0,VLOOKUP($C185,Players!$C$4:$G$132,2,FALSE))&amp;"|"</f>
        <v>#N/A</v>
      </c>
      <c r="B185" t="str">
        <f>IF(Team_Matches!$Q2361="W",Team_Matches!$B2361,IF(Team_Matches!$Q2363="W",Team_Matches!$B2363,""))</f>
        <v/>
      </c>
      <c r="C185" t="str">
        <f>IF(Team_Matches!$Q2361="L",Team_Matches!$B2361,IF(Team_Matches!$Q2363="L",Team_Matches!$B2363,""))</f>
        <v/>
      </c>
      <c r="D185" t="str">
        <f>CONCATENATE(Team_Matches!$B2355," vs ",Team_Matches!$K2355)</f>
        <v>I vs L</v>
      </c>
      <c r="E185" t="str">
        <f>Team_Matches!A2359</f>
        <v>1st Singles</v>
      </c>
      <c r="F185" s="7" t="str">
        <f>IF(Team_Matches!$Q2361&lt;&gt;"",IF(Team_Matches!H2361&gt;Team_Matches!H2363,MIN(Team_Matches!H2361,Team_Matches!H2363),-MIN(Team_Matches!H2361,Team_Matches!H2363))*IF(Team_Matches!$Q2361="W",1,-1),"")</f>
        <v/>
      </c>
      <c r="G185" s="7" t="str">
        <f>IF(Team_Matches!$Q2361&lt;&gt;"",IF(Team_Matches!I2361&gt;Team_Matches!I2363,MIN(Team_Matches!I2361,Team_Matches!I2363),-MIN(Team_Matches!I2361,Team_Matches!I2363))*IF(Team_Matches!$Q2361="W",1,-1),"")</f>
        <v/>
      </c>
      <c r="H185" s="7" t="str">
        <f>IF(Team_Matches!$Q2361&lt;&gt;"",IF(Team_Matches!J2361&gt;Team_Matches!J2363,MIN(Team_Matches!J2361,Team_Matches!J2363),-MIN(Team_Matches!J2361,Team_Matches!J2363))*IF(Team_Matches!$Q2361="W",1,-1),"")</f>
        <v/>
      </c>
      <c r="I185" s="7" t="str">
        <f>IF(Team_Matches!$Q2361&lt;&gt;"",IF(Team_Matches!K2361=Team_Matches!K2363,"",IF(Team_Matches!K2361&gt;Team_Matches!K2363,MIN(Team_Matches!K2361,Team_Matches!K2363),-MIN(Team_Matches!K2361,Team_Matches!K2363))*IF(Team_Matches!$Q2361="W",1,-1)),"")</f>
        <v/>
      </c>
      <c r="J185" s="7" t="str">
        <f>IF(Team_Matches!$Q2361&lt;&gt;"",IF(Team_Matches!L2361=Team_Matches!L2363,"",IF(Team_Matches!L2361&gt;Team_Matches!L2363,MIN(Team_Matches!L2361,Team_Matches!L2363),-MIN(Team_Matches!L2361,Team_Matches!L2363))*IF(Team_Matches!$Q2361="W",1,-1)),"")</f>
        <v/>
      </c>
    </row>
    <row r="186" spans="1:10" x14ac:dyDescent="0.25">
      <c r="A186" s="55" t="e">
        <f>$B186&amp;";"&amp;VLOOKUP($B186,Players!$C$4:$G$132,5,FALSE)&amp;";"&amp;IF(ISERROR(VLOOKUP($B186,Players!$C$4:$G$132,2,FALSE)),0,VLOOKUP($B186,Players!$C$4:$G$132,2,FALSE))&amp;";"&amp;$C186&amp;";"&amp;VLOOKUP($C186,Players!$C$4:$G$132,5,FALSE)&amp;";"&amp;IF(ISERROR(VLOOKUP($C186,Players!$C$4:$G$132,2,FALSE)),0,VLOOKUP($C186,Players!$C$4:$G$132,2,FALSE))&amp;"|"</f>
        <v>#N/A</v>
      </c>
      <c r="B186" t="str">
        <f>IF(Team_Matches!$Q2368="W",Team_Matches!$B2368,IF(Team_Matches!$Q2370="W",Team_Matches!$B2370,""))</f>
        <v/>
      </c>
      <c r="C186" t="str">
        <f>IF(Team_Matches!$Q2368="L",Team_Matches!$B2368,IF(Team_Matches!$Q2370="L",Team_Matches!$B2370,""))</f>
        <v/>
      </c>
      <c r="D186" t="str">
        <f>CONCATENATE(Team_Matches!$B2355," vs ",Team_Matches!$K2355)</f>
        <v>I vs L</v>
      </c>
      <c r="E186" t="str">
        <f>Team_Matches!$A2366</f>
        <v>2nd Singles</v>
      </c>
      <c r="F186" s="7" t="str">
        <f>IF(Team_Matches!$Q2368&lt;&gt;"",IF(Team_Matches!H2368&gt;Team_Matches!H2370,MIN(Team_Matches!H2368,Team_Matches!H2370),-MIN(Team_Matches!H2368,Team_Matches!H2370))*IF(Team_Matches!$Q2368="W",1,-1),"")</f>
        <v/>
      </c>
      <c r="G186" s="7" t="str">
        <f>IF(Team_Matches!$Q2368&lt;&gt;"",IF(Team_Matches!I2368&gt;Team_Matches!I2370,MIN(Team_Matches!I2368,Team_Matches!I2370),-MIN(Team_Matches!I2368,Team_Matches!I2370))*IF(Team_Matches!$Q2368="W",1,-1),"")</f>
        <v/>
      </c>
      <c r="H186" s="7" t="str">
        <f>IF(Team_Matches!$Q2368&lt;&gt;"",IF(Team_Matches!J2368&gt;Team_Matches!J2370,MIN(Team_Matches!J2368,Team_Matches!J2370),-MIN(Team_Matches!J2368,Team_Matches!J2370))*IF(Team_Matches!$Q2368="W",1,-1),"")</f>
        <v/>
      </c>
      <c r="I186" s="7" t="str">
        <f>IF(Team_Matches!$Q2368&lt;&gt;"",IF(Team_Matches!K2368=Team_Matches!K2370,"",IF(Team_Matches!K2368&gt;Team_Matches!K2370,MIN(Team_Matches!K2368,Team_Matches!K2370),-MIN(Team_Matches!K2368,Team_Matches!K2370))*IF(Team_Matches!$Q2368="W",1,-1)),"")</f>
        <v/>
      </c>
      <c r="J186" s="7" t="str">
        <f>IF(Team_Matches!$Q2368&lt;&gt;"",IF(Team_Matches!L2368=Team_Matches!L2370,"",IF(Team_Matches!L2368&gt;Team_Matches!L2370,MIN(Team_Matches!L2368,Team_Matches!L2370),-MIN(Team_Matches!L2368,Team_Matches!L2370))*IF(Team_Matches!$Q2368="W",1,-1)),"")</f>
        <v/>
      </c>
    </row>
    <row r="187" spans="1:10" x14ac:dyDescent="0.25">
      <c r="A187" s="55" t="e">
        <f>$B187&amp;";"&amp;VLOOKUP($B187,Players!$C$4:$G$132,5,FALSE)&amp;";"&amp;IF(ISERROR(VLOOKUP($B187,Players!$C$4:$G$132,2,FALSE)),0,VLOOKUP($B187,Players!$C$4:$G$132,2,FALSE))&amp;";"&amp;$C187&amp;";"&amp;VLOOKUP($C187,Players!$C$4:$G$132,5,FALSE)&amp;";"&amp;IF(ISERROR(VLOOKUP($C187,Players!$C$4:$G$132,2,FALSE)),0,VLOOKUP($C187,Players!$C$4:$G$132,2,FALSE))&amp;"|"</f>
        <v>#N/A</v>
      </c>
      <c r="B187" t="str">
        <f>IF(Team_Matches!$Q2375="W",Team_Matches!$B2375,IF(Team_Matches!$Q2377="W",Team_Matches!$B2377,""))</f>
        <v/>
      </c>
      <c r="C187" t="str">
        <f>IF(Team_Matches!$Q2375="L",Team_Matches!$B2375,IF(Team_Matches!$Q2377="L",Team_Matches!$B2377,""))</f>
        <v/>
      </c>
      <c r="D187" t="str">
        <f>CONCATENATE(Team_Matches!$B2355," vs ",Team_Matches!$K2355)</f>
        <v>I vs L</v>
      </c>
      <c r="E187" t="str">
        <f>Team_Matches!$A2373</f>
        <v>3rd Singles</v>
      </c>
      <c r="F187" s="7" t="str">
        <f>IF(Team_Matches!$Q2375&lt;&gt;"",IF(Team_Matches!H2375&gt;Team_Matches!H2377,MIN(Team_Matches!H2375,Team_Matches!H2377),-MIN(Team_Matches!H2375,Team_Matches!H2377))*IF(Team_Matches!$Q2375="W",1,-1),"")</f>
        <v/>
      </c>
      <c r="G187" s="7" t="str">
        <f>IF(Team_Matches!$Q2375&lt;&gt;"",IF(Team_Matches!I2375&gt;Team_Matches!I2377,MIN(Team_Matches!I2375,Team_Matches!I2377),-MIN(Team_Matches!I2375,Team_Matches!I2377))*IF(Team_Matches!$Q2375="W",1,-1),"")</f>
        <v/>
      </c>
      <c r="H187" s="7" t="str">
        <f>IF(Team_Matches!$Q2375&lt;&gt;"",IF(Team_Matches!J2375&gt;Team_Matches!J2377,MIN(Team_Matches!J2375,Team_Matches!J2377),-MIN(Team_Matches!J2375,Team_Matches!J2377))*IF(Team_Matches!$Q2375="W",1,-1),"")</f>
        <v/>
      </c>
      <c r="I187" s="7" t="str">
        <f>IF(Team_Matches!$Q2375&lt;&gt;"",IF(Team_Matches!K2375=Team_Matches!K2377,"",IF(Team_Matches!K2375&gt;Team_Matches!K2377,MIN(Team_Matches!K2375,Team_Matches!K2377),-MIN(Team_Matches!K2375,Team_Matches!K2377))*IF(Team_Matches!$Q2375="W",1,-1)),"")</f>
        <v/>
      </c>
      <c r="J187" s="7" t="str">
        <f>IF(Team_Matches!$Q2375&lt;&gt;"",IF(Team_Matches!L2375=Team_Matches!L2377,"",IF(Team_Matches!L2375&gt;Team_Matches!L2377,MIN(Team_Matches!L2375,Team_Matches!L2377),-MIN(Team_Matches!L2375,Team_Matches!L2377))*IF(Team_Matches!$Q2375="W",1,-1)),"")</f>
        <v/>
      </c>
    </row>
    <row r="188" spans="1:10" x14ac:dyDescent="0.25">
      <c r="A188" s="55" t="e">
        <f ca="1">$B188&amp;";"&amp;VLOOKUP($B188,Players!$C$4:$G$132,5,FALSE)&amp;";"&amp;IF(ISERROR(VLOOKUP($B188,Players!$C$4:$G$132,2,FALSE)),0,VLOOKUP($B188,Players!$C$4:$G$132,2,FALSE))&amp;";"&amp;$C188&amp;";"&amp;VLOOKUP($C188,Players!$C$4:$G$132,5,FALSE)&amp;";"&amp;IF(ISERROR(VLOOKUP($C188,Players!$C$4:$G$132,2,FALSE)),0,VLOOKUP($C188,Players!$C$4:$G$132,2,FALSE))&amp;"|"</f>
        <v>#N/A</v>
      </c>
      <c r="B188" t="str">
        <f ca="1">IF(Team_Matches!$Q2382="W",Team_Matches!$B2382,IF(Team_Matches!$Q2384="W",Team_Matches!$B2384,""))</f>
        <v/>
      </c>
      <c r="C188" t="str">
        <f ca="1">IF(Team_Matches!$Q2382="L",Team_Matches!$B2382,IF(Team_Matches!$Q2384="L",Team_Matches!$B2384,""))</f>
        <v/>
      </c>
      <c r="D188" t="str">
        <f>CONCATENATE(Team_Matches!$B2355," vs ",Team_Matches!$K2355)</f>
        <v>I vs L</v>
      </c>
      <c r="E188" t="str">
        <f>Team_Matches!$A2380</f>
        <v>4th Singles</v>
      </c>
      <c r="F188" s="7" t="str">
        <f ca="1">IF(Team_Matches!$Q2382&lt;&gt;"",IF(Team_Matches!H2382&gt;Team_Matches!H2384,MIN(Team_Matches!H2382,Team_Matches!H2384),-MIN(Team_Matches!H2382,Team_Matches!H2384))*IF(Team_Matches!$Q2382="W",1,-1),"")</f>
        <v/>
      </c>
      <c r="G188" s="7" t="str">
        <f ca="1">IF(Team_Matches!$Q2382&lt;&gt;"",IF(Team_Matches!I2382&gt;Team_Matches!I2384,MIN(Team_Matches!I2382,Team_Matches!I2384),-MIN(Team_Matches!I2382,Team_Matches!I2384))*IF(Team_Matches!$Q2382="W",1,-1),"")</f>
        <v/>
      </c>
      <c r="H188" s="7" t="str">
        <f ca="1">IF(Team_Matches!$Q2382&lt;&gt;"",IF(Team_Matches!J2382&gt;Team_Matches!J2384,MIN(Team_Matches!J2382,Team_Matches!J2384),-MIN(Team_Matches!J2382,Team_Matches!J2384))*IF(Team_Matches!$Q2382="W",1,-1),"")</f>
        <v/>
      </c>
      <c r="I188" s="7" t="str">
        <f ca="1">IF(Team_Matches!$Q2382&lt;&gt;"",IF(Team_Matches!K2382=Team_Matches!K2384,"",IF(Team_Matches!K2382&gt;Team_Matches!K2384,MIN(Team_Matches!K2382,Team_Matches!K2384),-MIN(Team_Matches!K2382,Team_Matches!K2384))*IF(Team_Matches!$Q2382="W",1,-1)),"")</f>
        <v/>
      </c>
      <c r="J188" s="7" t="str">
        <f ca="1">IF(Team_Matches!$Q2382&lt;&gt;"",IF(Team_Matches!L2382=Team_Matches!L2384,"",IF(Team_Matches!L2382&gt;Team_Matches!L2384,MIN(Team_Matches!L2382,Team_Matches!L2384),-MIN(Team_Matches!L2382,Team_Matches!L2384))*IF(Team_Matches!$Q2382="W",1,-1)),"")</f>
        <v/>
      </c>
    </row>
    <row r="189" spans="1:10" x14ac:dyDescent="0.25">
      <c r="A189" s="55" t="e">
        <f>$B189&amp;";"&amp;VLOOKUP($B189,Players!$C$4:$G$132,5,FALSE)&amp;";"&amp;IF(ISERROR(VLOOKUP($B189,Players!$C$4:$G$132,2,FALSE)),0,VLOOKUP($B189,Players!$C$4:$G$132,2,FALSE))&amp;";"&amp;$C189&amp;";"&amp;VLOOKUP($C189,Players!$C$4:$G$132,5,FALSE)&amp;";"&amp;IF(ISERROR(VLOOKUP($C189,Players!$C$4:$G$132,2,FALSE)),0,VLOOKUP($C189,Players!$C$4:$G$132,2,FALSE))&amp;"|"</f>
        <v>#N/A</v>
      </c>
      <c r="B189" t="str">
        <f>IF(Team_Matches!$Q2412="W",Team_Matches!$B2412,IF(Team_Matches!$Q2414="W",Team_Matches!$B2414,""))</f>
        <v/>
      </c>
      <c r="C189" t="str">
        <f>IF(Team_Matches!$Q2412="L",Team_Matches!$B2412,IF(Team_Matches!$Q2414="L",Team_Matches!$B2414,""))</f>
        <v/>
      </c>
      <c r="D189" t="str">
        <f>CONCATENATE(Team_Matches!$B2406," vs ",Team_Matches!$K2406)</f>
        <v>J vs K</v>
      </c>
      <c r="E189" t="str">
        <f>Team_Matches!A2410</f>
        <v>1st Singles</v>
      </c>
      <c r="F189" s="7" t="str">
        <f>IF(Team_Matches!$Q2412&lt;&gt;"",IF(Team_Matches!H2412&gt;Team_Matches!H2414,MIN(Team_Matches!H2412,Team_Matches!H2414),-MIN(Team_Matches!H2412,Team_Matches!H2414))*IF(Team_Matches!$Q2412="W",1,-1),"")</f>
        <v/>
      </c>
      <c r="G189" s="7" t="str">
        <f>IF(Team_Matches!$Q2412&lt;&gt;"",IF(Team_Matches!I2412&gt;Team_Matches!I2414,MIN(Team_Matches!I2412,Team_Matches!I2414),-MIN(Team_Matches!I2412,Team_Matches!I2414))*IF(Team_Matches!$Q2412="W",1,-1),"")</f>
        <v/>
      </c>
      <c r="H189" s="7" t="str">
        <f>IF(Team_Matches!$Q2412&lt;&gt;"",IF(Team_Matches!J2412&gt;Team_Matches!J2414,MIN(Team_Matches!J2412,Team_Matches!J2414),-MIN(Team_Matches!J2412,Team_Matches!J2414))*IF(Team_Matches!$Q2412="W",1,-1),"")</f>
        <v/>
      </c>
      <c r="I189" s="7" t="str">
        <f>IF(Team_Matches!$Q2412&lt;&gt;"",IF(Team_Matches!K2412=Team_Matches!K2414,"",IF(Team_Matches!K2412&gt;Team_Matches!K2414,MIN(Team_Matches!K2412,Team_Matches!K2414),-MIN(Team_Matches!K2412,Team_Matches!K2414))*IF(Team_Matches!$Q2412="W",1,-1)),"")</f>
        <v/>
      </c>
      <c r="J189" s="7" t="str">
        <f>IF(Team_Matches!$Q2412&lt;&gt;"",IF(Team_Matches!L2412=Team_Matches!L2414,"",IF(Team_Matches!L2412&gt;Team_Matches!L2414,MIN(Team_Matches!L2412,Team_Matches!L2414),-MIN(Team_Matches!L2412,Team_Matches!L2414))*IF(Team_Matches!$Q2412="W",1,-1)),"")</f>
        <v/>
      </c>
    </row>
    <row r="190" spans="1:10" x14ac:dyDescent="0.25">
      <c r="A190" s="55" t="e">
        <f>$B190&amp;";"&amp;VLOOKUP($B190,Players!$C$4:$G$132,5,FALSE)&amp;";"&amp;IF(ISERROR(VLOOKUP($B190,Players!$C$4:$G$132,2,FALSE)),0,VLOOKUP($B190,Players!$C$4:$G$132,2,FALSE))&amp;";"&amp;$C190&amp;";"&amp;VLOOKUP($C190,Players!$C$4:$G$132,5,FALSE)&amp;";"&amp;IF(ISERROR(VLOOKUP($C190,Players!$C$4:$G$132,2,FALSE)),0,VLOOKUP($C190,Players!$C$4:$G$132,2,FALSE))&amp;"|"</f>
        <v>#N/A</v>
      </c>
      <c r="B190" t="str">
        <f>IF(Team_Matches!$Q2419="W",Team_Matches!$B2419,IF(Team_Matches!$Q2421="W",Team_Matches!$B2421,""))</f>
        <v/>
      </c>
      <c r="C190" t="str">
        <f>IF(Team_Matches!$Q2419="L",Team_Matches!$B2419,IF(Team_Matches!$Q2421="L",Team_Matches!$B2421,""))</f>
        <v/>
      </c>
      <c r="D190" t="str">
        <f>CONCATENATE(Team_Matches!$B2406," vs ",Team_Matches!$K2406)</f>
        <v>J vs K</v>
      </c>
      <c r="E190" t="str">
        <f>Team_Matches!$A2417</f>
        <v>2nd Singles</v>
      </c>
      <c r="F190" s="7" t="str">
        <f>IF(Team_Matches!$Q2419&lt;&gt;"",IF(Team_Matches!H2419&gt;Team_Matches!H2421,MIN(Team_Matches!H2419,Team_Matches!H2421),-MIN(Team_Matches!H2419,Team_Matches!H2421))*IF(Team_Matches!$Q2419="W",1,-1),"")</f>
        <v/>
      </c>
      <c r="G190" s="7" t="str">
        <f>IF(Team_Matches!$Q2419&lt;&gt;"",IF(Team_Matches!I2419&gt;Team_Matches!I2421,MIN(Team_Matches!I2419,Team_Matches!I2421),-MIN(Team_Matches!I2419,Team_Matches!I2421))*IF(Team_Matches!$Q2419="W",1,-1),"")</f>
        <v/>
      </c>
      <c r="H190" s="7" t="str">
        <f>IF(Team_Matches!$Q2419&lt;&gt;"",IF(Team_Matches!J2419&gt;Team_Matches!J2421,MIN(Team_Matches!J2419,Team_Matches!J2421),-MIN(Team_Matches!J2419,Team_Matches!J2421))*IF(Team_Matches!$Q2419="W",1,-1),"")</f>
        <v/>
      </c>
      <c r="I190" s="7" t="str">
        <f>IF(Team_Matches!$Q2419&lt;&gt;"",IF(Team_Matches!K2419=Team_Matches!K2421,"",IF(Team_Matches!K2419&gt;Team_Matches!K2421,MIN(Team_Matches!K2419,Team_Matches!K2421),-MIN(Team_Matches!K2419,Team_Matches!K2421))*IF(Team_Matches!$Q2419="W",1,-1)),"")</f>
        <v/>
      </c>
      <c r="J190" s="7" t="str">
        <f>IF(Team_Matches!$Q2419&lt;&gt;"",IF(Team_Matches!L2419=Team_Matches!L2421,"",IF(Team_Matches!L2419&gt;Team_Matches!L2421,MIN(Team_Matches!L2419,Team_Matches!L2421),-MIN(Team_Matches!L2419,Team_Matches!L2421))*IF(Team_Matches!$Q2419="W",1,-1)),"")</f>
        <v/>
      </c>
    </row>
    <row r="191" spans="1:10" x14ac:dyDescent="0.25">
      <c r="A191" s="55" t="e">
        <f>$B191&amp;";"&amp;VLOOKUP($B191,Players!$C$4:$G$132,5,FALSE)&amp;";"&amp;IF(ISERROR(VLOOKUP($B191,Players!$C$4:$G$132,2,FALSE)),0,VLOOKUP($B191,Players!$C$4:$G$132,2,FALSE))&amp;";"&amp;$C191&amp;";"&amp;VLOOKUP($C191,Players!$C$4:$G$132,5,FALSE)&amp;";"&amp;IF(ISERROR(VLOOKUP($C191,Players!$C$4:$G$132,2,FALSE)),0,VLOOKUP($C191,Players!$C$4:$G$132,2,FALSE))&amp;"|"</f>
        <v>#N/A</v>
      </c>
      <c r="B191" t="str">
        <f>IF(Team_Matches!$Q2426="W",Team_Matches!$B2426,IF(Team_Matches!$Q2428="W",Team_Matches!$B2428,""))</f>
        <v/>
      </c>
      <c r="C191" t="str">
        <f>IF(Team_Matches!$Q2426="L",Team_Matches!$B2426,IF(Team_Matches!$Q2428="L",Team_Matches!$B2428,""))</f>
        <v/>
      </c>
      <c r="D191" t="str">
        <f>CONCATENATE(Team_Matches!$B2406," vs ",Team_Matches!$K2406)</f>
        <v>J vs K</v>
      </c>
      <c r="E191" t="str">
        <f>Team_Matches!$A2424</f>
        <v>3rd Singles</v>
      </c>
      <c r="F191" s="7" t="str">
        <f>IF(Team_Matches!$Q2426&lt;&gt;"",IF(Team_Matches!H2426&gt;Team_Matches!H2428,MIN(Team_Matches!H2426,Team_Matches!H2428),-MIN(Team_Matches!H2426,Team_Matches!H2428))*IF(Team_Matches!$Q2426="W",1,-1),"")</f>
        <v/>
      </c>
      <c r="G191" s="7" t="str">
        <f>IF(Team_Matches!$Q2426&lt;&gt;"",IF(Team_Matches!I2426&gt;Team_Matches!I2428,MIN(Team_Matches!I2426,Team_Matches!I2428),-MIN(Team_Matches!I2426,Team_Matches!I2428))*IF(Team_Matches!$Q2426="W",1,-1),"")</f>
        <v/>
      </c>
      <c r="H191" s="7" t="str">
        <f>IF(Team_Matches!$Q2426&lt;&gt;"",IF(Team_Matches!J2426&gt;Team_Matches!J2428,MIN(Team_Matches!J2426,Team_Matches!J2428),-MIN(Team_Matches!J2426,Team_Matches!J2428))*IF(Team_Matches!$Q2426="W",1,-1),"")</f>
        <v/>
      </c>
      <c r="I191" s="7" t="str">
        <f>IF(Team_Matches!$Q2426&lt;&gt;"",IF(Team_Matches!K2426=Team_Matches!K2428,"",IF(Team_Matches!K2426&gt;Team_Matches!K2428,MIN(Team_Matches!K2426,Team_Matches!K2428),-MIN(Team_Matches!K2426,Team_Matches!K2428))*IF(Team_Matches!$Q2426="W",1,-1)),"")</f>
        <v/>
      </c>
      <c r="J191" s="7" t="str">
        <f>IF(Team_Matches!$Q2426&lt;&gt;"",IF(Team_Matches!L2426=Team_Matches!L2428,"",IF(Team_Matches!L2426&gt;Team_Matches!L2428,MIN(Team_Matches!L2426,Team_Matches!L2428),-MIN(Team_Matches!L2426,Team_Matches!L2428))*IF(Team_Matches!$Q2426="W",1,-1)),"")</f>
        <v/>
      </c>
    </row>
    <row r="192" spans="1:10" x14ac:dyDescent="0.25">
      <c r="A192" s="55" t="e">
        <f ca="1">$B192&amp;";"&amp;VLOOKUP($B192,Players!$C$4:$G$132,5,FALSE)&amp;";"&amp;IF(ISERROR(VLOOKUP($B192,Players!$C$4:$G$132,2,FALSE)),0,VLOOKUP($B192,Players!$C$4:$G$132,2,FALSE))&amp;";"&amp;$C192&amp;";"&amp;VLOOKUP($C192,Players!$C$4:$G$132,5,FALSE)&amp;";"&amp;IF(ISERROR(VLOOKUP($C192,Players!$C$4:$G$132,2,FALSE)),0,VLOOKUP($C192,Players!$C$4:$G$132,2,FALSE))&amp;"|"</f>
        <v>#N/A</v>
      </c>
      <c r="B192" t="str">
        <f ca="1">IF(Team_Matches!$Q2433="W",Team_Matches!$B2433,IF(Team_Matches!$Q2435="W",Team_Matches!$B2435,""))</f>
        <v/>
      </c>
      <c r="C192" t="str">
        <f ca="1">IF(Team_Matches!$Q2433="L",Team_Matches!$B2433,IF(Team_Matches!$Q2435="L",Team_Matches!$B2435,""))</f>
        <v/>
      </c>
      <c r="D192" t="str">
        <f>CONCATENATE(Team_Matches!$B2406," vs ",Team_Matches!$K2406)</f>
        <v>J vs K</v>
      </c>
      <c r="E192" t="str">
        <f>Team_Matches!$A2431</f>
        <v>4th Singles</v>
      </c>
      <c r="F192" s="7" t="str">
        <f ca="1">IF(Team_Matches!$Q2433&lt;&gt;"",IF(Team_Matches!H2433&gt;Team_Matches!H2435,MIN(Team_Matches!H2433,Team_Matches!H2435),-MIN(Team_Matches!H2433,Team_Matches!H2435))*IF(Team_Matches!$Q2433="W",1,-1),"")</f>
        <v/>
      </c>
      <c r="G192" s="7" t="str">
        <f ca="1">IF(Team_Matches!$Q2433&lt;&gt;"",IF(Team_Matches!I2433&gt;Team_Matches!I2435,MIN(Team_Matches!I2433,Team_Matches!I2435),-MIN(Team_Matches!I2433,Team_Matches!I2435))*IF(Team_Matches!$Q2433="W",1,-1),"")</f>
        <v/>
      </c>
      <c r="H192" s="7" t="str">
        <f ca="1">IF(Team_Matches!$Q2433&lt;&gt;"",IF(Team_Matches!J2433&gt;Team_Matches!J2435,MIN(Team_Matches!J2433,Team_Matches!J2435),-MIN(Team_Matches!J2433,Team_Matches!J2435))*IF(Team_Matches!$Q2433="W",1,-1),"")</f>
        <v/>
      </c>
      <c r="I192" s="7" t="str">
        <f ca="1">IF(Team_Matches!$Q2433&lt;&gt;"",IF(Team_Matches!K2433=Team_Matches!K2435,"",IF(Team_Matches!K2433&gt;Team_Matches!K2435,MIN(Team_Matches!K2433,Team_Matches!K2435),-MIN(Team_Matches!K2433,Team_Matches!K2435))*IF(Team_Matches!$Q2433="W",1,-1)),"")</f>
        <v/>
      </c>
      <c r="J192" s="7" t="str">
        <f ca="1">IF(Team_Matches!$Q2433&lt;&gt;"",IF(Team_Matches!L2433=Team_Matches!L2435,"",IF(Team_Matches!L2433&gt;Team_Matches!L2435,MIN(Team_Matches!L2433,Team_Matches!L2435),-MIN(Team_Matches!L2433,Team_Matches!L2435))*IF(Team_Matches!$Q2433="W",1,-1)),"")</f>
        <v/>
      </c>
    </row>
    <row r="193" spans="1:10" x14ac:dyDescent="0.25">
      <c r="A193" s="55" t="e">
        <f>$B193&amp;";"&amp;VLOOKUP($B193,Players!$C$4:$G$132,5,FALSE)&amp;";"&amp;IF(ISERROR(VLOOKUP($B193,Players!$C$4:$G$132,2,FALSE)),0,VLOOKUP($B193,Players!$C$4:$G$132,2,FALSE))&amp;";"&amp;$C193&amp;";"&amp;VLOOKUP($C193,Players!$C$4:$G$132,5,FALSE)&amp;";"&amp;IF(ISERROR(VLOOKUP($C193,Players!$C$4:$G$132,2,FALSE)),0,VLOOKUP($C193,Players!$C$4:$G$132,2,FALSE))&amp;"|"</f>
        <v>#N/A</v>
      </c>
      <c r="B193" t="str">
        <f>IF(Team_Matches!$Q2463="W",Team_Matches!$B2463,IF(Team_Matches!$Q2465="W",Team_Matches!$B2465,""))</f>
        <v/>
      </c>
      <c r="C193" t="str">
        <f>IF(Team_Matches!$Q2463="L",Team_Matches!$B2463,IF(Team_Matches!$Q2465="L",Team_Matches!$B2465,""))</f>
        <v/>
      </c>
      <c r="D193" t="str">
        <f>CONCATENATE(Team_Matches!$B2457," vs ",Team_Matches!$K2457)</f>
        <v>A vs D</v>
      </c>
      <c r="E193" t="str">
        <f>Team_Matches!A2461</f>
        <v>1st Singles</v>
      </c>
      <c r="F193" s="7" t="str">
        <f>IF(Team_Matches!$Q2463&lt;&gt;"",IF(Team_Matches!H2463&gt;Team_Matches!H2465,MIN(Team_Matches!H2463,Team_Matches!H2465),-MIN(Team_Matches!H2463,Team_Matches!H2465))*IF(Team_Matches!$Q2463="W",1,-1),"")</f>
        <v/>
      </c>
      <c r="G193" s="7" t="str">
        <f>IF(Team_Matches!$Q2463&lt;&gt;"",IF(Team_Matches!I2463&gt;Team_Matches!I2465,MIN(Team_Matches!I2463,Team_Matches!I2465),-MIN(Team_Matches!I2463,Team_Matches!I2465))*IF(Team_Matches!$Q2463="W",1,-1),"")</f>
        <v/>
      </c>
      <c r="H193" s="7" t="str">
        <f>IF(Team_Matches!$Q2463&lt;&gt;"",IF(Team_Matches!J2463&gt;Team_Matches!J2465,MIN(Team_Matches!J2463,Team_Matches!J2465),-MIN(Team_Matches!J2463,Team_Matches!J2465))*IF(Team_Matches!$Q2463="W",1,-1),"")</f>
        <v/>
      </c>
      <c r="I193" s="7" t="str">
        <f>IF(Team_Matches!$Q2463&lt;&gt;"",IF(Team_Matches!K2463=Team_Matches!K2465,"",IF(Team_Matches!K2463&gt;Team_Matches!K2465,MIN(Team_Matches!K2463,Team_Matches!K2465),-MIN(Team_Matches!K2463,Team_Matches!K2465))*IF(Team_Matches!$Q2463="W",1,-1)),"")</f>
        <v/>
      </c>
      <c r="J193" s="7" t="str">
        <f>IF(Team_Matches!$Q2463&lt;&gt;"",IF(Team_Matches!L2463=Team_Matches!L2465,"",IF(Team_Matches!L2463&gt;Team_Matches!L2465,MIN(Team_Matches!L2463,Team_Matches!L2465),-MIN(Team_Matches!L2463,Team_Matches!L2465))*IF(Team_Matches!$Q2463="W",1,-1)),"")</f>
        <v/>
      </c>
    </row>
    <row r="194" spans="1:10" x14ac:dyDescent="0.25">
      <c r="A194" s="55" t="e">
        <f>$B194&amp;";"&amp;VLOOKUP($B194,Players!$C$4:$G$132,5,FALSE)&amp;";"&amp;IF(ISERROR(VLOOKUP($B194,Players!$C$4:$G$132,2,FALSE)),0,VLOOKUP($B194,Players!$C$4:$G$132,2,FALSE))&amp;";"&amp;$C194&amp;";"&amp;VLOOKUP($C194,Players!$C$4:$G$132,5,FALSE)&amp;";"&amp;IF(ISERROR(VLOOKUP($C194,Players!$C$4:$G$132,2,FALSE)),0,VLOOKUP($C194,Players!$C$4:$G$132,2,FALSE))&amp;"|"</f>
        <v>#N/A</v>
      </c>
      <c r="B194" t="str">
        <f>IF(Team_Matches!$Q2470="W",Team_Matches!$B2470,IF(Team_Matches!$Q2472="W",Team_Matches!$B2472,""))</f>
        <v/>
      </c>
      <c r="C194" t="str">
        <f>IF(Team_Matches!$Q2470="L",Team_Matches!$B2470,IF(Team_Matches!$Q2472="L",Team_Matches!$B2472,""))</f>
        <v/>
      </c>
      <c r="D194" t="str">
        <f>CONCATENATE(Team_Matches!$B2457," vs ",Team_Matches!$K2457)</f>
        <v>A vs D</v>
      </c>
      <c r="E194" t="str">
        <f>Team_Matches!$A2468</f>
        <v>2nd Singles</v>
      </c>
      <c r="F194" s="7" t="str">
        <f>IF(Team_Matches!$Q2470&lt;&gt;"",IF(Team_Matches!H2470&gt;Team_Matches!H2472,MIN(Team_Matches!H2470,Team_Matches!H2472),-MIN(Team_Matches!H2470,Team_Matches!H2472))*IF(Team_Matches!$Q2470="W",1,-1),"")</f>
        <v/>
      </c>
      <c r="G194" s="7" t="str">
        <f>IF(Team_Matches!$Q2470&lt;&gt;"",IF(Team_Matches!I2470&gt;Team_Matches!I2472,MIN(Team_Matches!I2470,Team_Matches!I2472),-MIN(Team_Matches!I2470,Team_Matches!I2472))*IF(Team_Matches!$Q2470="W",1,-1),"")</f>
        <v/>
      </c>
      <c r="H194" s="7" t="str">
        <f>IF(Team_Matches!$Q2470&lt;&gt;"",IF(Team_Matches!J2470&gt;Team_Matches!J2472,MIN(Team_Matches!J2470,Team_Matches!J2472),-MIN(Team_Matches!J2470,Team_Matches!J2472))*IF(Team_Matches!$Q2470="W",1,-1),"")</f>
        <v/>
      </c>
      <c r="I194" s="7" t="str">
        <f>IF(Team_Matches!$Q2470&lt;&gt;"",IF(Team_Matches!K2470=Team_Matches!K2472,"",IF(Team_Matches!K2470&gt;Team_Matches!K2472,MIN(Team_Matches!K2470,Team_Matches!K2472),-MIN(Team_Matches!K2470,Team_Matches!K2472))*IF(Team_Matches!$Q2470="W",1,-1)),"")</f>
        <v/>
      </c>
      <c r="J194" s="7" t="str">
        <f>IF(Team_Matches!$Q2470&lt;&gt;"",IF(Team_Matches!L2470=Team_Matches!L2472,"",IF(Team_Matches!L2470&gt;Team_Matches!L2472,MIN(Team_Matches!L2470,Team_Matches!L2472),-MIN(Team_Matches!L2470,Team_Matches!L2472))*IF(Team_Matches!$Q2470="W",1,-1)),"")</f>
        <v/>
      </c>
    </row>
    <row r="195" spans="1:10" x14ac:dyDescent="0.25">
      <c r="A195" s="55" t="e">
        <f>$B195&amp;";"&amp;VLOOKUP($B195,Players!$C$4:$G$132,5,FALSE)&amp;";"&amp;IF(ISERROR(VLOOKUP($B195,Players!$C$4:$G$132,2,FALSE)),0,VLOOKUP($B195,Players!$C$4:$G$132,2,FALSE))&amp;";"&amp;$C195&amp;";"&amp;VLOOKUP($C195,Players!$C$4:$G$132,5,FALSE)&amp;";"&amp;IF(ISERROR(VLOOKUP($C195,Players!$C$4:$G$132,2,FALSE)),0,VLOOKUP($C195,Players!$C$4:$G$132,2,FALSE))&amp;"|"</f>
        <v>#N/A</v>
      </c>
      <c r="B195" t="str">
        <f>IF(Team_Matches!$Q2477="W",Team_Matches!$B2477,IF(Team_Matches!$Q2479="W",Team_Matches!$B2479,""))</f>
        <v/>
      </c>
      <c r="C195" t="str">
        <f>IF(Team_Matches!$Q2477="L",Team_Matches!$B2477,IF(Team_Matches!$Q2479="L",Team_Matches!$B2479,""))</f>
        <v/>
      </c>
      <c r="D195" t="str">
        <f>CONCATENATE(Team_Matches!$B2457," vs ",Team_Matches!$K2457)</f>
        <v>A vs D</v>
      </c>
      <c r="E195" t="str">
        <f>Team_Matches!$A2475</f>
        <v>3rd Singles</v>
      </c>
      <c r="F195" s="7" t="str">
        <f>IF(Team_Matches!$Q2477&lt;&gt;"",IF(Team_Matches!H2477&gt;Team_Matches!H2479,MIN(Team_Matches!H2477,Team_Matches!H2479),-MIN(Team_Matches!H2477,Team_Matches!H2479))*IF(Team_Matches!$Q2477="W",1,-1),"")</f>
        <v/>
      </c>
      <c r="G195" s="7" t="str">
        <f>IF(Team_Matches!$Q2477&lt;&gt;"",IF(Team_Matches!I2477&gt;Team_Matches!I2479,MIN(Team_Matches!I2477,Team_Matches!I2479),-MIN(Team_Matches!I2477,Team_Matches!I2479))*IF(Team_Matches!$Q2477="W",1,-1),"")</f>
        <v/>
      </c>
      <c r="H195" s="7" t="str">
        <f>IF(Team_Matches!$Q2477&lt;&gt;"",IF(Team_Matches!J2477&gt;Team_Matches!J2479,MIN(Team_Matches!J2477,Team_Matches!J2479),-MIN(Team_Matches!J2477,Team_Matches!J2479))*IF(Team_Matches!$Q2477="W",1,-1),"")</f>
        <v/>
      </c>
      <c r="I195" s="7" t="str">
        <f>IF(Team_Matches!$Q2477&lt;&gt;"",IF(Team_Matches!K2477=Team_Matches!K2479,"",IF(Team_Matches!K2477&gt;Team_Matches!K2479,MIN(Team_Matches!K2477,Team_Matches!K2479),-MIN(Team_Matches!K2477,Team_Matches!K2479))*IF(Team_Matches!$Q2477="W",1,-1)),"")</f>
        <v/>
      </c>
      <c r="J195" s="7" t="str">
        <f>IF(Team_Matches!$Q2477&lt;&gt;"",IF(Team_Matches!L2477=Team_Matches!L2479,"",IF(Team_Matches!L2477&gt;Team_Matches!L2479,MIN(Team_Matches!L2477,Team_Matches!L2479),-MIN(Team_Matches!L2477,Team_Matches!L2479))*IF(Team_Matches!$Q2477="W",1,-1)),"")</f>
        <v/>
      </c>
    </row>
    <row r="196" spans="1:10" x14ac:dyDescent="0.25">
      <c r="A196" s="55" t="e">
        <f ca="1">$B196&amp;";"&amp;VLOOKUP($B196,Players!$C$4:$G$132,5,FALSE)&amp;";"&amp;IF(ISERROR(VLOOKUP($B196,Players!$C$4:$G$132,2,FALSE)),0,VLOOKUP($B196,Players!$C$4:$G$132,2,FALSE))&amp;";"&amp;$C196&amp;";"&amp;VLOOKUP($C196,Players!$C$4:$G$132,5,FALSE)&amp;";"&amp;IF(ISERROR(VLOOKUP($C196,Players!$C$4:$G$132,2,FALSE)),0,VLOOKUP($C196,Players!$C$4:$G$132,2,FALSE))&amp;"|"</f>
        <v>#N/A</v>
      </c>
      <c r="B196" t="str">
        <f ca="1">IF(Team_Matches!$Q2484="W",Team_Matches!$B2484,IF(Team_Matches!$Q2486="W",Team_Matches!$B2486,""))</f>
        <v/>
      </c>
      <c r="C196" t="str">
        <f ca="1">IF(Team_Matches!$Q2484="L",Team_Matches!$B2484,IF(Team_Matches!$Q2486="L",Team_Matches!$B2486,""))</f>
        <v/>
      </c>
      <c r="D196" t="str">
        <f>CONCATENATE(Team_Matches!$B2457," vs ",Team_Matches!$K2457)</f>
        <v>A vs D</v>
      </c>
      <c r="E196" t="str">
        <f>Team_Matches!$A2482</f>
        <v>4th Singles</v>
      </c>
      <c r="F196" s="7" t="str">
        <f ca="1">IF(Team_Matches!$Q2484&lt;&gt;"",IF(Team_Matches!H2484&gt;Team_Matches!H2486,MIN(Team_Matches!H2484,Team_Matches!H2486),-MIN(Team_Matches!H2484,Team_Matches!H2486))*IF(Team_Matches!$Q2484="W",1,-1),"")</f>
        <v/>
      </c>
      <c r="G196" s="7" t="str">
        <f ca="1">IF(Team_Matches!$Q2484&lt;&gt;"",IF(Team_Matches!I2484&gt;Team_Matches!I2486,MIN(Team_Matches!I2484,Team_Matches!I2486),-MIN(Team_Matches!I2484,Team_Matches!I2486))*IF(Team_Matches!$Q2484="W",1,-1),"")</f>
        <v/>
      </c>
      <c r="H196" s="7" t="str">
        <f ca="1">IF(Team_Matches!$Q2484&lt;&gt;"",IF(Team_Matches!J2484&gt;Team_Matches!J2486,MIN(Team_Matches!J2484,Team_Matches!J2486),-MIN(Team_Matches!J2484,Team_Matches!J2486))*IF(Team_Matches!$Q2484="W",1,-1),"")</f>
        <v/>
      </c>
      <c r="I196" s="7" t="str">
        <f ca="1">IF(Team_Matches!$Q2484&lt;&gt;"",IF(Team_Matches!K2484=Team_Matches!K2486,"",IF(Team_Matches!K2484&gt;Team_Matches!K2486,MIN(Team_Matches!K2484,Team_Matches!K2486),-MIN(Team_Matches!K2484,Team_Matches!K2486))*IF(Team_Matches!$Q2484="W",1,-1)),"")</f>
        <v/>
      </c>
      <c r="J196" s="7" t="str">
        <f ca="1">IF(Team_Matches!$Q2484&lt;&gt;"",IF(Team_Matches!L2484=Team_Matches!L2486,"",IF(Team_Matches!L2484&gt;Team_Matches!L2486,MIN(Team_Matches!L2484,Team_Matches!L2486),-MIN(Team_Matches!L2484,Team_Matches!L2486))*IF(Team_Matches!$Q2484="W",1,-1)),"")</f>
        <v/>
      </c>
    </row>
    <row r="197" spans="1:10" x14ac:dyDescent="0.25">
      <c r="A197" s="55" t="e">
        <f>$B197&amp;";"&amp;VLOOKUP($B197,Players!$C$4:$G$132,5,FALSE)&amp;";"&amp;IF(ISERROR(VLOOKUP($B197,Players!$C$4:$G$132,2,FALSE)),0,VLOOKUP($B197,Players!$C$4:$G$132,2,FALSE))&amp;";"&amp;$C197&amp;";"&amp;VLOOKUP($C197,Players!$C$4:$G$132,5,FALSE)&amp;";"&amp;IF(ISERROR(VLOOKUP($C197,Players!$C$4:$G$132,2,FALSE)),0,VLOOKUP($C197,Players!$C$4:$G$132,2,FALSE))&amp;"|"</f>
        <v>#N/A</v>
      </c>
      <c r="B197" t="str">
        <f>IF(Team_Matches!$Q2514="W",Team_Matches!$B2514,IF(Team_Matches!$Q2516="W",Team_Matches!$B2516,""))</f>
        <v/>
      </c>
      <c r="C197" t="str">
        <f>IF(Team_Matches!$Q2514="L",Team_Matches!$B2514,IF(Team_Matches!$Q2516="L",Team_Matches!$B2516,""))</f>
        <v/>
      </c>
      <c r="D197" t="str">
        <f>CONCATENATE(Team_Matches!$B2508," vs ",Team_Matches!$K2508)</f>
        <v>C vs E</v>
      </c>
      <c r="E197" t="str">
        <f>Team_Matches!A2512</f>
        <v>1st Singles</v>
      </c>
      <c r="F197" s="7" t="str">
        <f>IF(Team_Matches!$Q2514&lt;&gt;"",IF(Team_Matches!H2514&gt;Team_Matches!H2516,MIN(Team_Matches!H2514,Team_Matches!H2516),-MIN(Team_Matches!H2514,Team_Matches!H2516))*IF(Team_Matches!$Q2514="W",1,-1),"")</f>
        <v/>
      </c>
      <c r="G197" s="7" t="str">
        <f>IF(Team_Matches!$Q2514&lt;&gt;"",IF(Team_Matches!I2514&gt;Team_Matches!I2516,MIN(Team_Matches!I2514,Team_Matches!I2516),-MIN(Team_Matches!I2514,Team_Matches!I2516))*IF(Team_Matches!$Q2514="W",1,-1),"")</f>
        <v/>
      </c>
      <c r="H197" s="7" t="str">
        <f>IF(Team_Matches!$Q2514&lt;&gt;"",IF(Team_Matches!J2514&gt;Team_Matches!J2516,MIN(Team_Matches!J2514,Team_Matches!J2516),-MIN(Team_Matches!J2514,Team_Matches!J2516))*IF(Team_Matches!$Q2514="W",1,-1),"")</f>
        <v/>
      </c>
      <c r="I197" s="7" t="str">
        <f>IF(Team_Matches!$Q2514&lt;&gt;"",IF(Team_Matches!K2514=Team_Matches!K2516,"",IF(Team_Matches!K2514&gt;Team_Matches!K2516,MIN(Team_Matches!K2514,Team_Matches!K2516),-MIN(Team_Matches!K2514,Team_Matches!K2516))*IF(Team_Matches!$Q2514="W",1,-1)),"")</f>
        <v/>
      </c>
      <c r="J197" s="7" t="str">
        <f>IF(Team_Matches!$Q2514&lt;&gt;"",IF(Team_Matches!L2514=Team_Matches!L2516,"",IF(Team_Matches!L2514&gt;Team_Matches!L2516,MIN(Team_Matches!L2514,Team_Matches!L2516),-MIN(Team_Matches!L2514,Team_Matches!L2516))*IF(Team_Matches!$Q2514="W",1,-1)),"")</f>
        <v/>
      </c>
    </row>
    <row r="198" spans="1:10" x14ac:dyDescent="0.25">
      <c r="A198" s="55" t="e">
        <f>$B198&amp;";"&amp;VLOOKUP($B198,Players!$C$4:$G$132,5,FALSE)&amp;";"&amp;IF(ISERROR(VLOOKUP($B198,Players!$C$4:$G$132,2,FALSE)),0,VLOOKUP($B198,Players!$C$4:$G$132,2,FALSE))&amp;";"&amp;$C198&amp;";"&amp;VLOOKUP($C198,Players!$C$4:$G$132,5,FALSE)&amp;";"&amp;IF(ISERROR(VLOOKUP($C198,Players!$C$4:$G$132,2,FALSE)),0,VLOOKUP($C198,Players!$C$4:$G$132,2,FALSE))&amp;"|"</f>
        <v>#N/A</v>
      </c>
      <c r="B198" t="str">
        <f>IF(Team_Matches!$Q2521="W",Team_Matches!$B2521,IF(Team_Matches!$Q2523="W",Team_Matches!$B2523,""))</f>
        <v/>
      </c>
      <c r="C198" t="str">
        <f>IF(Team_Matches!$Q2521="L",Team_Matches!$B2521,IF(Team_Matches!$Q2523="L",Team_Matches!$B2523,""))</f>
        <v/>
      </c>
      <c r="D198" t="str">
        <f>CONCATENATE(Team_Matches!$B2508," vs ",Team_Matches!$K2508)</f>
        <v>C vs E</v>
      </c>
      <c r="E198" t="str">
        <f>Team_Matches!$A2519</f>
        <v>2nd Singles</v>
      </c>
      <c r="F198" s="7" t="str">
        <f>IF(Team_Matches!$Q2521&lt;&gt;"",IF(Team_Matches!H2521&gt;Team_Matches!H2523,MIN(Team_Matches!H2521,Team_Matches!H2523),-MIN(Team_Matches!H2521,Team_Matches!H2523))*IF(Team_Matches!$Q2521="W",1,-1),"")</f>
        <v/>
      </c>
      <c r="G198" s="7" t="str">
        <f>IF(Team_Matches!$Q2521&lt;&gt;"",IF(Team_Matches!I2521&gt;Team_Matches!I2523,MIN(Team_Matches!I2521,Team_Matches!I2523),-MIN(Team_Matches!I2521,Team_Matches!I2523))*IF(Team_Matches!$Q2521="W",1,-1),"")</f>
        <v/>
      </c>
      <c r="H198" s="7" t="str">
        <f>IF(Team_Matches!$Q2521&lt;&gt;"",IF(Team_Matches!J2521&gt;Team_Matches!J2523,MIN(Team_Matches!J2521,Team_Matches!J2523),-MIN(Team_Matches!J2521,Team_Matches!J2523))*IF(Team_Matches!$Q2521="W",1,-1),"")</f>
        <v/>
      </c>
      <c r="I198" s="7" t="str">
        <f>IF(Team_Matches!$Q2521&lt;&gt;"",IF(Team_Matches!K2521=Team_Matches!K2523,"",IF(Team_Matches!K2521&gt;Team_Matches!K2523,MIN(Team_Matches!K2521,Team_Matches!K2523),-MIN(Team_Matches!K2521,Team_Matches!K2523))*IF(Team_Matches!$Q2521="W",1,-1)),"")</f>
        <v/>
      </c>
      <c r="J198" s="7" t="str">
        <f>IF(Team_Matches!$Q2521&lt;&gt;"",IF(Team_Matches!L2521=Team_Matches!L2523,"",IF(Team_Matches!L2521&gt;Team_Matches!L2523,MIN(Team_Matches!L2521,Team_Matches!L2523),-MIN(Team_Matches!L2521,Team_Matches!L2523))*IF(Team_Matches!$Q2521="W",1,-1)),"")</f>
        <v/>
      </c>
    </row>
    <row r="199" spans="1:10" x14ac:dyDescent="0.25">
      <c r="A199" s="55" t="e">
        <f>$B199&amp;";"&amp;VLOOKUP($B199,Players!$C$4:$G$132,5,FALSE)&amp;";"&amp;IF(ISERROR(VLOOKUP($B199,Players!$C$4:$G$132,2,FALSE)),0,VLOOKUP($B199,Players!$C$4:$G$132,2,FALSE))&amp;";"&amp;$C199&amp;";"&amp;VLOOKUP($C199,Players!$C$4:$G$132,5,FALSE)&amp;";"&amp;IF(ISERROR(VLOOKUP($C199,Players!$C$4:$G$132,2,FALSE)),0,VLOOKUP($C199,Players!$C$4:$G$132,2,FALSE))&amp;"|"</f>
        <v>#N/A</v>
      </c>
      <c r="B199" t="str">
        <f>IF(Team_Matches!$Q2528="W",Team_Matches!$B2528,IF(Team_Matches!$Q2530="W",Team_Matches!$B2530,""))</f>
        <v/>
      </c>
      <c r="C199" t="str">
        <f>IF(Team_Matches!$Q2528="L",Team_Matches!$B2528,IF(Team_Matches!$Q2530="L",Team_Matches!$B2530,""))</f>
        <v/>
      </c>
      <c r="D199" t="str">
        <f>CONCATENATE(Team_Matches!$B2508," vs ",Team_Matches!$K2508)</f>
        <v>C vs E</v>
      </c>
      <c r="E199" t="str">
        <f>Team_Matches!$A2526</f>
        <v>3rd Singles</v>
      </c>
      <c r="F199" s="7" t="str">
        <f>IF(Team_Matches!$Q2528&lt;&gt;"",IF(Team_Matches!H2528&gt;Team_Matches!H2530,MIN(Team_Matches!H2528,Team_Matches!H2530),-MIN(Team_Matches!H2528,Team_Matches!H2530))*IF(Team_Matches!$Q2528="W",1,-1),"")</f>
        <v/>
      </c>
      <c r="G199" s="7" t="str">
        <f>IF(Team_Matches!$Q2528&lt;&gt;"",IF(Team_Matches!I2528&gt;Team_Matches!I2530,MIN(Team_Matches!I2528,Team_Matches!I2530),-MIN(Team_Matches!I2528,Team_Matches!I2530))*IF(Team_Matches!$Q2528="W",1,-1),"")</f>
        <v/>
      </c>
      <c r="H199" s="7" t="str">
        <f>IF(Team_Matches!$Q2528&lt;&gt;"",IF(Team_Matches!J2528&gt;Team_Matches!J2530,MIN(Team_Matches!J2528,Team_Matches!J2530),-MIN(Team_Matches!J2528,Team_Matches!J2530))*IF(Team_Matches!$Q2528="W",1,-1),"")</f>
        <v/>
      </c>
      <c r="I199" s="7" t="str">
        <f>IF(Team_Matches!$Q2528&lt;&gt;"",IF(Team_Matches!K2528=Team_Matches!K2530,"",IF(Team_Matches!K2528&gt;Team_Matches!K2530,MIN(Team_Matches!K2528,Team_Matches!K2530),-MIN(Team_Matches!K2528,Team_Matches!K2530))*IF(Team_Matches!$Q2528="W",1,-1)),"")</f>
        <v/>
      </c>
      <c r="J199" s="7" t="str">
        <f>IF(Team_Matches!$Q2528&lt;&gt;"",IF(Team_Matches!L2528=Team_Matches!L2530,"",IF(Team_Matches!L2528&gt;Team_Matches!L2530,MIN(Team_Matches!L2528,Team_Matches!L2530),-MIN(Team_Matches!L2528,Team_Matches!L2530))*IF(Team_Matches!$Q2528="W",1,-1)),"")</f>
        <v/>
      </c>
    </row>
    <row r="200" spans="1:10" x14ac:dyDescent="0.25">
      <c r="A200" s="55" t="e">
        <f ca="1">$B200&amp;";"&amp;VLOOKUP($B200,Players!$C$4:$G$132,5,FALSE)&amp;";"&amp;IF(ISERROR(VLOOKUP($B200,Players!$C$4:$G$132,2,FALSE)),0,VLOOKUP($B200,Players!$C$4:$G$132,2,FALSE))&amp;";"&amp;$C200&amp;";"&amp;VLOOKUP($C200,Players!$C$4:$G$132,5,FALSE)&amp;";"&amp;IF(ISERROR(VLOOKUP($C200,Players!$C$4:$G$132,2,FALSE)),0,VLOOKUP($C200,Players!$C$4:$G$132,2,FALSE))&amp;"|"</f>
        <v>#N/A</v>
      </c>
      <c r="B200" t="str">
        <f ca="1">IF(Team_Matches!$Q2535="W",Team_Matches!$B2535,IF(Team_Matches!$Q2537="W",Team_Matches!$B2537,""))</f>
        <v/>
      </c>
      <c r="C200" t="str">
        <f ca="1">IF(Team_Matches!$Q2535="L",Team_Matches!$B2535,IF(Team_Matches!$Q2537="L",Team_Matches!$B2537,""))</f>
        <v/>
      </c>
      <c r="D200" t="str">
        <f>CONCATENATE(Team_Matches!$B2508," vs ",Team_Matches!$K2508)</f>
        <v>C vs E</v>
      </c>
      <c r="E200" t="str">
        <f>Team_Matches!$A2533</f>
        <v>4th Singles</v>
      </c>
      <c r="F200" s="7" t="str">
        <f ca="1">IF(Team_Matches!$Q2535&lt;&gt;"",IF(Team_Matches!H2535&gt;Team_Matches!H2537,MIN(Team_Matches!H2535,Team_Matches!H2537),-MIN(Team_Matches!H2535,Team_Matches!H2537))*IF(Team_Matches!$Q2535="W",1,-1),"")</f>
        <v/>
      </c>
      <c r="G200" s="7" t="str">
        <f ca="1">IF(Team_Matches!$Q2535&lt;&gt;"",IF(Team_Matches!I2535&gt;Team_Matches!I2537,MIN(Team_Matches!I2535,Team_Matches!I2537),-MIN(Team_Matches!I2535,Team_Matches!I2537))*IF(Team_Matches!$Q2535="W",1,-1),"")</f>
        <v/>
      </c>
      <c r="H200" s="7" t="str">
        <f ca="1">IF(Team_Matches!$Q2535&lt;&gt;"",IF(Team_Matches!J2535&gt;Team_Matches!J2537,MIN(Team_Matches!J2535,Team_Matches!J2537),-MIN(Team_Matches!J2535,Team_Matches!J2537))*IF(Team_Matches!$Q2535="W",1,-1),"")</f>
        <v/>
      </c>
      <c r="I200" s="7" t="str">
        <f ca="1">IF(Team_Matches!$Q2535&lt;&gt;"",IF(Team_Matches!K2535=Team_Matches!K2537,"",IF(Team_Matches!K2535&gt;Team_Matches!K2537,MIN(Team_Matches!K2535,Team_Matches!K2537),-MIN(Team_Matches!K2535,Team_Matches!K2537))*IF(Team_Matches!$Q2535="W",1,-1)),"")</f>
        <v/>
      </c>
      <c r="J200" s="7" t="str">
        <f ca="1">IF(Team_Matches!$Q2535&lt;&gt;"",IF(Team_Matches!L2535=Team_Matches!L2537,"",IF(Team_Matches!L2535&gt;Team_Matches!L2537,MIN(Team_Matches!L2535,Team_Matches!L2537),-MIN(Team_Matches!L2535,Team_Matches!L2537))*IF(Team_Matches!$Q2535="W",1,-1)),"")</f>
        <v/>
      </c>
    </row>
    <row r="201" spans="1:10" x14ac:dyDescent="0.25">
      <c r="A201" s="55" t="e">
        <f>$B201&amp;";"&amp;VLOOKUP($B201,Players!$C$4:$G$132,5,FALSE)&amp;";"&amp;IF(ISERROR(VLOOKUP($B201,Players!$C$4:$G$132,2,FALSE)),0,VLOOKUP($B201,Players!$C$4:$G$132,2,FALSE))&amp;";"&amp;$C201&amp;";"&amp;VLOOKUP($C201,Players!$C$4:$G$132,5,FALSE)&amp;";"&amp;IF(ISERROR(VLOOKUP($C201,Players!$C$4:$G$132,2,FALSE)),0,VLOOKUP($C201,Players!$C$4:$G$132,2,FALSE))&amp;"|"</f>
        <v>#N/A</v>
      </c>
      <c r="B201" t="str">
        <f>IF(Team_Matches!$Q2565="W",Team_Matches!$B2565,IF(Team_Matches!$Q2567="W",Team_Matches!$B2567,""))</f>
        <v/>
      </c>
      <c r="C201" t="str">
        <f>IF(Team_Matches!$Q2565="L",Team_Matches!$B2565,IF(Team_Matches!$Q2567="L",Team_Matches!$B2567,""))</f>
        <v/>
      </c>
      <c r="D201" t="str">
        <f>CONCATENATE(Team_Matches!$B2559," vs ",Team_Matches!$K2559)</f>
        <v>B vs F</v>
      </c>
      <c r="E201" t="str">
        <f>Team_Matches!A2563</f>
        <v>1st Singles</v>
      </c>
      <c r="F201" s="7" t="str">
        <f>IF(Team_Matches!$Q2565&lt;&gt;"",IF(Team_Matches!H2565&gt;Team_Matches!H2567,MIN(Team_Matches!H2565,Team_Matches!H2567),-MIN(Team_Matches!H2565,Team_Matches!H2567))*IF(Team_Matches!$Q2565="W",1,-1),"")</f>
        <v/>
      </c>
      <c r="G201" s="7" t="str">
        <f>IF(Team_Matches!$Q2565&lt;&gt;"",IF(Team_Matches!I2565&gt;Team_Matches!I2567,MIN(Team_Matches!I2565,Team_Matches!I2567),-MIN(Team_Matches!I2565,Team_Matches!I2567))*IF(Team_Matches!$Q2565="W",1,-1),"")</f>
        <v/>
      </c>
      <c r="H201" s="7" t="str">
        <f>IF(Team_Matches!$Q2565&lt;&gt;"",IF(Team_Matches!J2565&gt;Team_Matches!J2567,MIN(Team_Matches!J2565,Team_Matches!J2567),-MIN(Team_Matches!J2565,Team_Matches!J2567))*IF(Team_Matches!$Q2565="W",1,-1),"")</f>
        <v/>
      </c>
      <c r="I201" s="7" t="str">
        <f>IF(Team_Matches!$Q2565&lt;&gt;"",IF(Team_Matches!K2565=Team_Matches!K2567,"",IF(Team_Matches!K2565&gt;Team_Matches!K2567,MIN(Team_Matches!K2565,Team_Matches!K2567),-MIN(Team_Matches!K2565,Team_Matches!K2567))*IF(Team_Matches!$Q2565="W",1,-1)),"")</f>
        <v/>
      </c>
      <c r="J201" s="7" t="str">
        <f>IF(Team_Matches!$Q2565&lt;&gt;"",IF(Team_Matches!L2565=Team_Matches!L2567,"",IF(Team_Matches!L2565&gt;Team_Matches!L2567,MIN(Team_Matches!L2565,Team_Matches!L2567),-MIN(Team_Matches!L2565,Team_Matches!L2567))*IF(Team_Matches!$Q2565="W",1,-1)),"")</f>
        <v/>
      </c>
    </row>
    <row r="202" spans="1:10" x14ac:dyDescent="0.25">
      <c r="A202" s="55" t="e">
        <f>$B202&amp;";"&amp;VLOOKUP($B202,Players!$C$4:$G$132,5,FALSE)&amp;";"&amp;IF(ISERROR(VLOOKUP($B202,Players!$C$4:$G$132,2,FALSE)),0,VLOOKUP($B202,Players!$C$4:$G$132,2,FALSE))&amp;";"&amp;$C202&amp;";"&amp;VLOOKUP($C202,Players!$C$4:$G$132,5,FALSE)&amp;";"&amp;IF(ISERROR(VLOOKUP($C202,Players!$C$4:$G$132,2,FALSE)),0,VLOOKUP($C202,Players!$C$4:$G$132,2,FALSE))&amp;"|"</f>
        <v>#N/A</v>
      </c>
      <c r="B202" t="str">
        <f>IF(Team_Matches!$Q2572="W",Team_Matches!$B2572,IF(Team_Matches!$Q2574="W",Team_Matches!$B2574,""))</f>
        <v/>
      </c>
      <c r="C202" t="str">
        <f>IF(Team_Matches!$Q2572="L",Team_Matches!$B2572,IF(Team_Matches!$Q2574="L",Team_Matches!$B2574,""))</f>
        <v/>
      </c>
      <c r="D202" t="str">
        <f>CONCATENATE(Team_Matches!$B2559," vs ",Team_Matches!$K2559)</f>
        <v>B vs F</v>
      </c>
      <c r="E202" t="str">
        <f>Team_Matches!$A2570</f>
        <v>2nd Singles</v>
      </c>
      <c r="F202" s="7" t="str">
        <f>IF(Team_Matches!$Q2572&lt;&gt;"",IF(Team_Matches!H2572&gt;Team_Matches!H2574,MIN(Team_Matches!H2572,Team_Matches!H2574),-MIN(Team_Matches!H2572,Team_Matches!H2574))*IF(Team_Matches!$Q2572="W",1,-1),"")</f>
        <v/>
      </c>
      <c r="G202" s="7" t="str">
        <f>IF(Team_Matches!$Q2572&lt;&gt;"",IF(Team_Matches!I2572&gt;Team_Matches!I2574,MIN(Team_Matches!I2572,Team_Matches!I2574),-MIN(Team_Matches!I2572,Team_Matches!I2574))*IF(Team_Matches!$Q2572="W",1,-1),"")</f>
        <v/>
      </c>
      <c r="H202" s="7" t="str">
        <f>IF(Team_Matches!$Q2572&lt;&gt;"",IF(Team_Matches!J2572&gt;Team_Matches!J2574,MIN(Team_Matches!J2572,Team_Matches!J2574),-MIN(Team_Matches!J2572,Team_Matches!J2574))*IF(Team_Matches!$Q2572="W",1,-1),"")</f>
        <v/>
      </c>
      <c r="I202" s="7" t="str">
        <f>IF(Team_Matches!$Q2572&lt;&gt;"",IF(Team_Matches!K2572=Team_Matches!K2574,"",IF(Team_Matches!K2572&gt;Team_Matches!K2574,MIN(Team_Matches!K2572,Team_Matches!K2574),-MIN(Team_Matches!K2572,Team_Matches!K2574))*IF(Team_Matches!$Q2572="W",1,-1)),"")</f>
        <v/>
      </c>
      <c r="J202" s="7" t="str">
        <f>IF(Team_Matches!$Q2572&lt;&gt;"",IF(Team_Matches!L2572=Team_Matches!L2574,"",IF(Team_Matches!L2572&gt;Team_Matches!L2574,MIN(Team_Matches!L2572,Team_Matches!L2574),-MIN(Team_Matches!L2572,Team_Matches!L2574))*IF(Team_Matches!$Q2572="W",1,-1)),"")</f>
        <v/>
      </c>
    </row>
    <row r="203" spans="1:10" x14ac:dyDescent="0.25">
      <c r="A203" s="55" t="e">
        <f>$B203&amp;";"&amp;VLOOKUP($B203,Players!$C$4:$G$132,5,FALSE)&amp;";"&amp;IF(ISERROR(VLOOKUP($B203,Players!$C$4:$G$132,2,FALSE)),0,VLOOKUP($B203,Players!$C$4:$G$132,2,FALSE))&amp;";"&amp;$C203&amp;";"&amp;VLOOKUP($C203,Players!$C$4:$G$132,5,FALSE)&amp;";"&amp;IF(ISERROR(VLOOKUP($C203,Players!$C$4:$G$132,2,FALSE)),0,VLOOKUP($C203,Players!$C$4:$G$132,2,FALSE))&amp;"|"</f>
        <v>#N/A</v>
      </c>
      <c r="B203" t="str">
        <f>IF(Team_Matches!$Q2579="W",Team_Matches!$B2579,IF(Team_Matches!$Q2581="W",Team_Matches!$B2581,""))</f>
        <v/>
      </c>
      <c r="C203" t="str">
        <f>IF(Team_Matches!$Q2579="L",Team_Matches!$B2579,IF(Team_Matches!$Q2581="L",Team_Matches!$B2581,""))</f>
        <v/>
      </c>
      <c r="D203" t="str">
        <f>CONCATENATE(Team_Matches!$B2559," vs ",Team_Matches!$K2559)</f>
        <v>B vs F</v>
      </c>
      <c r="E203" t="str">
        <f>Team_Matches!$A2577</f>
        <v>3rd Singles</v>
      </c>
      <c r="F203" s="7" t="str">
        <f>IF(Team_Matches!$Q2579&lt;&gt;"",IF(Team_Matches!H2579&gt;Team_Matches!H2581,MIN(Team_Matches!H2579,Team_Matches!H2581),-MIN(Team_Matches!H2579,Team_Matches!H2581))*IF(Team_Matches!$Q2579="W",1,-1),"")</f>
        <v/>
      </c>
      <c r="G203" s="7" t="str">
        <f>IF(Team_Matches!$Q2579&lt;&gt;"",IF(Team_Matches!I2579&gt;Team_Matches!I2581,MIN(Team_Matches!I2579,Team_Matches!I2581),-MIN(Team_Matches!I2579,Team_Matches!I2581))*IF(Team_Matches!$Q2579="W",1,-1),"")</f>
        <v/>
      </c>
      <c r="H203" s="7" t="str">
        <f>IF(Team_Matches!$Q2579&lt;&gt;"",IF(Team_Matches!J2579&gt;Team_Matches!J2581,MIN(Team_Matches!J2579,Team_Matches!J2581),-MIN(Team_Matches!J2579,Team_Matches!J2581))*IF(Team_Matches!$Q2579="W",1,-1),"")</f>
        <v/>
      </c>
      <c r="I203" s="7" t="str">
        <f>IF(Team_Matches!$Q2579&lt;&gt;"",IF(Team_Matches!K2579=Team_Matches!K2581,"",IF(Team_Matches!K2579&gt;Team_Matches!K2581,MIN(Team_Matches!K2579,Team_Matches!K2581),-MIN(Team_Matches!K2579,Team_Matches!K2581))*IF(Team_Matches!$Q2579="W",1,-1)),"")</f>
        <v/>
      </c>
      <c r="J203" s="7" t="str">
        <f>IF(Team_Matches!$Q2579&lt;&gt;"",IF(Team_Matches!L2579=Team_Matches!L2581,"",IF(Team_Matches!L2579&gt;Team_Matches!L2581,MIN(Team_Matches!L2579,Team_Matches!L2581),-MIN(Team_Matches!L2579,Team_Matches!L2581))*IF(Team_Matches!$Q2579="W",1,-1)),"")</f>
        <v/>
      </c>
    </row>
    <row r="204" spans="1:10" x14ac:dyDescent="0.25">
      <c r="A204" s="55" t="e">
        <f ca="1">$B204&amp;";"&amp;VLOOKUP($B204,Players!$C$4:$G$132,5,FALSE)&amp;";"&amp;IF(ISERROR(VLOOKUP($B204,Players!$C$4:$G$132,2,FALSE)),0,VLOOKUP($B204,Players!$C$4:$G$132,2,FALSE))&amp;";"&amp;$C204&amp;";"&amp;VLOOKUP($C204,Players!$C$4:$G$132,5,FALSE)&amp;";"&amp;IF(ISERROR(VLOOKUP($C204,Players!$C$4:$G$132,2,FALSE)),0,VLOOKUP($C204,Players!$C$4:$G$132,2,FALSE))&amp;"|"</f>
        <v>#N/A</v>
      </c>
      <c r="B204" t="str">
        <f ca="1">IF(Team_Matches!$Q2586="W",Team_Matches!$B2586,IF(Team_Matches!$Q2588="W",Team_Matches!$B2588,""))</f>
        <v/>
      </c>
      <c r="C204" t="str">
        <f ca="1">IF(Team_Matches!$Q2586="L",Team_Matches!$B2586,IF(Team_Matches!$Q2588="L",Team_Matches!$B2588,""))</f>
        <v/>
      </c>
      <c r="D204" t="str">
        <f>CONCATENATE(Team_Matches!$B2559," vs ",Team_Matches!$K2559)</f>
        <v>B vs F</v>
      </c>
      <c r="E204" t="str">
        <f>Team_Matches!$A2584</f>
        <v>4th Singles</v>
      </c>
      <c r="F204" s="7" t="str">
        <f ca="1">IF(Team_Matches!$Q2586&lt;&gt;"",IF(Team_Matches!H2586&gt;Team_Matches!H2588,MIN(Team_Matches!H2586,Team_Matches!H2588),-MIN(Team_Matches!H2586,Team_Matches!H2588))*IF(Team_Matches!$Q2586="W",1,-1),"")</f>
        <v/>
      </c>
      <c r="G204" s="7" t="str">
        <f ca="1">IF(Team_Matches!$Q2586&lt;&gt;"",IF(Team_Matches!I2586&gt;Team_Matches!I2588,MIN(Team_Matches!I2586,Team_Matches!I2588),-MIN(Team_Matches!I2586,Team_Matches!I2588))*IF(Team_Matches!$Q2586="W",1,-1),"")</f>
        <v/>
      </c>
      <c r="H204" s="7" t="str">
        <f ca="1">IF(Team_Matches!$Q2586&lt;&gt;"",IF(Team_Matches!J2586&gt;Team_Matches!J2588,MIN(Team_Matches!J2586,Team_Matches!J2588),-MIN(Team_Matches!J2586,Team_Matches!J2588))*IF(Team_Matches!$Q2586="W",1,-1),"")</f>
        <v/>
      </c>
      <c r="I204" s="7" t="str">
        <f ca="1">IF(Team_Matches!$Q2586&lt;&gt;"",IF(Team_Matches!K2586=Team_Matches!K2588,"",IF(Team_Matches!K2586&gt;Team_Matches!K2588,MIN(Team_Matches!K2586,Team_Matches!K2588),-MIN(Team_Matches!K2586,Team_Matches!K2588))*IF(Team_Matches!$Q2586="W",1,-1)),"")</f>
        <v/>
      </c>
      <c r="J204" s="7" t="str">
        <f ca="1">IF(Team_Matches!$Q2586&lt;&gt;"",IF(Team_Matches!L2586=Team_Matches!L2588,"",IF(Team_Matches!L2586&gt;Team_Matches!L2588,MIN(Team_Matches!L2586,Team_Matches!L2588),-MIN(Team_Matches!L2586,Team_Matches!L2588))*IF(Team_Matches!$Q2586="W",1,-1)),"")</f>
        <v/>
      </c>
    </row>
    <row r="205" spans="1:10" x14ac:dyDescent="0.25">
      <c r="A205" s="55" t="e">
        <f>$B205&amp;";"&amp;VLOOKUP($B205,Players!$C$4:$G$132,5,FALSE)&amp;";"&amp;IF(ISERROR(VLOOKUP($B205,Players!$C$4:$G$132,2,FALSE)),0,VLOOKUP($B205,Players!$C$4:$G$132,2,FALSE))&amp;";"&amp;$C205&amp;";"&amp;VLOOKUP($C205,Players!$C$4:$G$132,5,FALSE)&amp;";"&amp;IF(ISERROR(VLOOKUP($C205,Players!$C$4:$G$132,2,FALSE)),0,VLOOKUP($C205,Players!$C$4:$G$132,2,FALSE))&amp;"|"</f>
        <v>#N/A</v>
      </c>
      <c r="B205" t="str">
        <f>IF(Team_Matches!$Q2616="W",Team_Matches!$B2616,IF(Team_Matches!$Q2618="W",Team_Matches!$B2618,""))</f>
        <v/>
      </c>
      <c r="C205" t="str">
        <f>IF(Team_Matches!$Q2616="L",Team_Matches!$B2616,IF(Team_Matches!$Q2618="L",Team_Matches!$B2618,""))</f>
        <v/>
      </c>
      <c r="D205" t="str">
        <f>CONCATENATE(Team_Matches!$B2610," vs ",Team_Matches!$K2610)</f>
        <v>G vs L</v>
      </c>
      <c r="E205" t="str">
        <f>Team_Matches!A2614</f>
        <v>1st Singles</v>
      </c>
      <c r="F205" s="7" t="str">
        <f>IF(Team_Matches!$Q2616&lt;&gt;"",IF(Team_Matches!H2616&gt;Team_Matches!H2618,MIN(Team_Matches!H2616,Team_Matches!H2618),-MIN(Team_Matches!H2616,Team_Matches!H2618))*IF(Team_Matches!$Q2616="W",1,-1),"")</f>
        <v/>
      </c>
      <c r="G205" s="7" t="str">
        <f>IF(Team_Matches!$Q2616&lt;&gt;"",IF(Team_Matches!I2616&gt;Team_Matches!I2618,MIN(Team_Matches!I2616,Team_Matches!I2618),-MIN(Team_Matches!I2616,Team_Matches!I2618))*IF(Team_Matches!$Q2616="W",1,-1),"")</f>
        <v/>
      </c>
      <c r="H205" s="7" t="str">
        <f>IF(Team_Matches!$Q2616&lt;&gt;"",IF(Team_Matches!J2616&gt;Team_Matches!J2618,MIN(Team_Matches!J2616,Team_Matches!J2618),-MIN(Team_Matches!J2616,Team_Matches!J2618))*IF(Team_Matches!$Q2616="W",1,-1),"")</f>
        <v/>
      </c>
      <c r="I205" s="7" t="str">
        <f>IF(Team_Matches!$Q2616&lt;&gt;"",IF(Team_Matches!K2616=Team_Matches!K2618,"",IF(Team_Matches!K2616&gt;Team_Matches!K2618,MIN(Team_Matches!K2616,Team_Matches!K2618),-MIN(Team_Matches!K2616,Team_Matches!K2618))*IF(Team_Matches!$Q2616="W",1,-1)),"")</f>
        <v/>
      </c>
      <c r="J205" s="7" t="str">
        <f>IF(Team_Matches!$Q2616&lt;&gt;"",IF(Team_Matches!L2616=Team_Matches!L2618,"",IF(Team_Matches!L2616&gt;Team_Matches!L2618,MIN(Team_Matches!L2616,Team_Matches!L2618),-MIN(Team_Matches!L2616,Team_Matches!L2618))*IF(Team_Matches!$Q2616="W",1,-1)),"")</f>
        <v/>
      </c>
    </row>
    <row r="206" spans="1:10" x14ac:dyDescent="0.25">
      <c r="A206" s="55" t="e">
        <f>$B206&amp;";"&amp;VLOOKUP($B206,Players!$C$4:$G$132,5,FALSE)&amp;";"&amp;IF(ISERROR(VLOOKUP($B206,Players!$C$4:$G$132,2,FALSE)),0,VLOOKUP($B206,Players!$C$4:$G$132,2,FALSE))&amp;";"&amp;$C206&amp;";"&amp;VLOOKUP($C206,Players!$C$4:$G$132,5,FALSE)&amp;";"&amp;IF(ISERROR(VLOOKUP($C206,Players!$C$4:$G$132,2,FALSE)),0,VLOOKUP($C206,Players!$C$4:$G$132,2,FALSE))&amp;"|"</f>
        <v>#N/A</v>
      </c>
      <c r="B206" t="str">
        <f>IF(Team_Matches!$Q2623="W",Team_Matches!$B2623,IF(Team_Matches!$Q2625="W",Team_Matches!$B2625,""))</f>
        <v/>
      </c>
      <c r="C206" t="str">
        <f>IF(Team_Matches!$Q2623="L",Team_Matches!$B2623,IF(Team_Matches!$Q2625="L",Team_Matches!$B2625,""))</f>
        <v/>
      </c>
      <c r="D206" t="str">
        <f>CONCATENATE(Team_Matches!$B2610," vs ",Team_Matches!$K2610)</f>
        <v>G vs L</v>
      </c>
      <c r="E206" t="str">
        <f>Team_Matches!$A2621</f>
        <v>2nd Singles</v>
      </c>
      <c r="F206" s="7" t="str">
        <f>IF(Team_Matches!$Q2623&lt;&gt;"",IF(Team_Matches!H2623&gt;Team_Matches!H2625,MIN(Team_Matches!H2623,Team_Matches!H2625),-MIN(Team_Matches!H2623,Team_Matches!H2625))*IF(Team_Matches!$Q2623="W",1,-1),"")</f>
        <v/>
      </c>
      <c r="G206" s="7" t="str">
        <f>IF(Team_Matches!$Q2623&lt;&gt;"",IF(Team_Matches!I2623&gt;Team_Matches!I2625,MIN(Team_Matches!I2623,Team_Matches!I2625),-MIN(Team_Matches!I2623,Team_Matches!I2625))*IF(Team_Matches!$Q2623="W",1,-1),"")</f>
        <v/>
      </c>
      <c r="H206" s="7" t="str">
        <f>IF(Team_Matches!$Q2623&lt;&gt;"",IF(Team_Matches!J2623&gt;Team_Matches!J2625,MIN(Team_Matches!J2623,Team_Matches!J2625),-MIN(Team_Matches!J2623,Team_Matches!J2625))*IF(Team_Matches!$Q2623="W",1,-1),"")</f>
        <v/>
      </c>
      <c r="I206" s="7" t="str">
        <f>IF(Team_Matches!$Q2623&lt;&gt;"",IF(Team_Matches!K2623=Team_Matches!K2625,"",IF(Team_Matches!K2623&gt;Team_Matches!K2625,MIN(Team_Matches!K2623,Team_Matches!K2625),-MIN(Team_Matches!K2623,Team_Matches!K2625))*IF(Team_Matches!$Q2623="W",1,-1)),"")</f>
        <v/>
      </c>
      <c r="J206" s="7" t="str">
        <f>IF(Team_Matches!$Q2623&lt;&gt;"",IF(Team_Matches!L2623=Team_Matches!L2625,"",IF(Team_Matches!L2623&gt;Team_Matches!L2625,MIN(Team_Matches!L2623,Team_Matches!L2625),-MIN(Team_Matches!L2623,Team_Matches!L2625))*IF(Team_Matches!$Q2623="W",1,-1)),"")</f>
        <v/>
      </c>
    </row>
    <row r="207" spans="1:10" x14ac:dyDescent="0.25">
      <c r="A207" s="55" t="e">
        <f>$B207&amp;";"&amp;VLOOKUP($B207,Players!$C$4:$G$132,5,FALSE)&amp;";"&amp;IF(ISERROR(VLOOKUP($B207,Players!$C$4:$G$132,2,FALSE)),0,VLOOKUP($B207,Players!$C$4:$G$132,2,FALSE))&amp;";"&amp;$C207&amp;";"&amp;VLOOKUP($C207,Players!$C$4:$G$132,5,FALSE)&amp;";"&amp;IF(ISERROR(VLOOKUP($C207,Players!$C$4:$G$132,2,FALSE)),0,VLOOKUP($C207,Players!$C$4:$G$132,2,FALSE))&amp;"|"</f>
        <v>#N/A</v>
      </c>
      <c r="B207" t="str">
        <f>IF(Team_Matches!$Q2630="W",Team_Matches!$B2630,IF(Team_Matches!$Q2632="W",Team_Matches!$B2632,""))</f>
        <v/>
      </c>
      <c r="C207" t="str">
        <f>IF(Team_Matches!$Q2630="L",Team_Matches!$B2630,IF(Team_Matches!$Q2632="L",Team_Matches!$B2632,""))</f>
        <v/>
      </c>
      <c r="D207" t="str">
        <f>CONCATENATE(Team_Matches!$B2610," vs ",Team_Matches!$K2610)</f>
        <v>G vs L</v>
      </c>
      <c r="E207" t="str">
        <f>Team_Matches!$A2628</f>
        <v>3rd Singles</v>
      </c>
      <c r="F207" s="7" t="str">
        <f>IF(Team_Matches!$Q2630&lt;&gt;"",IF(Team_Matches!H2630&gt;Team_Matches!H2632,MIN(Team_Matches!H2630,Team_Matches!H2632),-MIN(Team_Matches!H2630,Team_Matches!H2632))*IF(Team_Matches!$Q2630="W",1,-1),"")</f>
        <v/>
      </c>
      <c r="G207" s="7" t="str">
        <f>IF(Team_Matches!$Q2630&lt;&gt;"",IF(Team_Matches!I2630&gt;Team_Matches!I2632,MIN(Team_Matches!I2630,Team_Matches!I2632),-MIN(Team_Matches!I2630,Team_Matches!I2632))*IF(Team_Matches!$Q2630="W",1,-1),"")</f>
        <v/>
      </c>
      <c r="H207" s="7" t="str">
        <f>IF(Team_Matches!$Q2630&lt;&gt;"",IF(Team_Matches!J2630&gt;Team_Matches!J2632,MIN(Team_Matches!J2630,Team_Matches!J2632),-MIN(Team_Matches!J2630,Team_Matches!J2632))*IF(Team_Matches!$Q2630="W",1,-1),"")</f>
        <v/>
      </c>
      <c r="I207" s="7" t="str">
        <f>IF(Team_Matches!$Q2630&lt;&gt;"",IF(Team_Matches!K2630=Team_Matches!K2632,"",IF(Team_Matches!K2630&gt;Team_Matches!K2632,MIN(Team_Matches!K2630,Team_Matches!K2632),-MIN(Team_Matches!K2630,Team_Matches!K2632))*IF(Team_Matches!$Q2630="W",1,-1)),"")</f>
        <v/>
      </c>
      <c r="J207" s="7" t="str">
        <f>IF(Team_Matches!$Q2630&lt;&gt;"",IF(Team_Matches!L2630=Team_Matches!L2632,"",IF(Team_Matches!L2630&gt;Team_Matches!L2632,MIN(Team_Matches!L2630,Team_Matches!L2632),-MIN(Team_Matches!L2630,Team_Matches!L2632))*IF(Team_Matches!$Q2630="W",1,-1)),"")</f>
        <v/>
      </c>
    </row>
    <row r="208" spans="1:10" x14ac:dyDescent="0.25">
      <c r="A208" s="55" t="e">
        <f ca="1">$B208&amp;";"&amp;VLOOKUP($B208,Players!$C$4:$G$132,5,FALSE)&amp;";"&amp;IF(ISERROR(VLOOKUP($B208,Players!$C$4:$G$132,2,FALSE)),0,VLOOKUP($B208,Players!$C$4:$G$132,2,FALSE))&amp;";"&amp;$C208&amp;";"&amp;VLOOKUP($C208,Players!$C$4:$G$132,5,FALSE)&amp;";"&amp;IF(ISERROR(VLOOKUP($C208,Players!$C$4:$G$132,2,FALSE)),0,VLOOKUP($C208,Players!$C$4:$G$132,2,FALSE))&amp;"|"</f>
        <v>#N/A</v>
      </c>
      <c r="B208" t="str">
        <f ca="1">IF(Team_Matches!$Q2637="W",Team_Matches!$B2637,IF(Team_Matches!$Q2639="W",Team_Matches!$B2639,""))</f>
        <v/>
      </c>
      <c r="C208" t="str">
        <f ca="1">IF(Team_Matches!$Q2637="L",Team_Matches!$B2637,IF(Team_Matches!$Q2639="L",Team_Matches!$B2639,""))</f>
        <v/>
      </c>
      <c r="D208" t="str">
        <f>CONCATENATE(Team_Matches!$B2610," vs ",Team_Matches!$K2610)</f>
        <v>G vs L</v>
      </c>
      <c r="E208" t="str">
        <f>Team_Matches!$A2635</f>
        <v>4th Singles</v>
      </c>
      <c r="F208" s="7" t="str">
        <f ca="1">IF(Team_Matches!$Q2637&lt;&gt;"",IF(Team_Matches!H2637&gt;Team_Matches!H2639,MIN(Team_Matches!H2637,Team_Matches!H2639),-MIN(Team_Matches!H2637,Team_Matches!H2639))*IF(Team_Matches!$Q2637="W",1,-1),"")</f>
        <v/>
      </c>
      <c r="G208" s="7" t="str">
        <f ca="1">IF(Team_Matches!$Q2637&lt;&gt;"",IF(Team_Matches!I2637&gt;Team_Matches!I2639,MIN(Team_Matches!I2637,Team_Matches!I2639),-MIN(Team_Matches!I2637,Team_Matches!I2639))*IF(Team_Matches!$Q2637="W",1,-1),"")</f>
        <v/>
      </c>
      <c r="H208" s="7" t="str">
        <f ca="1">IF(Team_Matches!$Q2637&lt;&gt;"",IF(Team_Matches!J2637&gt;Team_Matches!J2639,MIN(Team_Matches!J2637,Team_Matches!J2639),-MIN(Team_Matches!J2637,Team_Matches!J2639))*IF(Team_Matches!$Q2637="W",1,-1),"")</f>
        <v/>
      </c>
      <c r="I208" s="7" t="str">
        <f ca="1">IF(Team_Matches!$Q2637&lt;&gt;"",IF(Team_Matches!K2637=Team_Matches!K2639,"",IF(Team_Matches!K2637&gt;Team_Matches!K2639,MIN(Team_Matches!K2637,Team_Matches!K2639),-MIN(Team_Matches!K2637,Team_Matches!K2639))*IF(Team_Matches!$Q2637="W",1,-1)),"")</f>
        <v/>
      </c>
      <c r="J208" s="7" t="str">
        <f ca="1">IF(Team_Matches!$Q2637&lt;&gt;"",IF(Team_Matches!L2637=Team_Matches!L2639,"",IF(Team_Matches!L2637&gt;Team_Matches!L2639,MIN(Team_Matches!L2637,Team_Matches!L2639),-MIN(Team_Matches!L2637,Team_Matches!L2639))*IF(Team_Matches!$Q2637="W",1,-1)),"")</f>
        <v/>
      </c>
    </row>
    <row r="209" spans="1:10" x14ac:dyDescent="0.25">
      <c r="A209" s="55" t="e">
        <f>$B209&amp;";"&amp;VLOOKUP($B209,Players!$C$4:$G$132,5,FALSE)&amp;";"&amp;IF(ISERROR(VLOOKUP($B209,Players!$C$4:$G$132,2,FALSE)),0,VLOOKUP($B209,Players!$C$4:$G$132,2,FALSE))&amp;";"&amp;$C209&amp;";"&amp;VLOOKUP($C209,Players!$C$4:$G$132,5,FALSE)&amp;";"&amp;IF(ISERROR(VLOOKUP($C209,Players!$C$4:$G$132,2,FALSE)),0,VLOOKUP($C209,Players!$C$4:$G$132,2,FALSE))&amp;"|"</f>
        <v>#N/A</v>
      </c>
      <c r="B209" t="str">
        <f>IF(Team_Matches!$Q2667="W",Team_Matches!$B2667,IF(Team_Matches!$Q2669="W",Team_Matches!$B2669,""))</f>
        <v/>
      </c>
      <c r="C209" t="str">
        <f>IF(Team_Matches!$Q2667="L",Team_Matches!$B2667,IF(Team_Matches!$Q2669="L",Team_Matches!$B2669,""))</f>
        <v/>
      </c>
      <c r="D209" t="str">
        <f>CONCATENATE(Team_Matches!$B2661," vs ",Team_Matches!$K2661)</f>
        <v>H vs K</v>
      </c>
      <c r="E209" t="str">
        <f>Team_Matches!A2665</f>
        <v>1st Singles</v>
      </c>
      <c r="F209" s="7" t="str">
        <f>IF(Team_Matches!$Q2667&lt;&gt;"",IF(Team_Matches!H2667&gt;Team_Matches!H2669,MIN(Team_Matches!H2667,Team_Matches!H2669),-MIN(Team_Matches!H2667,Team_Matches!H2669))*IF(Team_Matches!$Q2667="W",1,-1),"")</f>
        <v/>
      </c>
      <c r="G209" s="7" t="str">
        <f>IF(Team_Matches!$Q2667&lt;&gt;"",IF(Team_Matches!I2667&gt;Team_Matches!I2669,MIN(Team_Matches!I2667,Team_Matches!I2669),-MIN(Team_Matches!I2667,Team_Matches!I2669))*IF(Team_Matches!$Q2667="W",1,-1),"")</f>
        <v/>
      </c>
      <c r="H209" s="7" t="str">
        <f>IF(Team_Matches!$Q2667&lt;&gt;"",IF(Team_Matches!J2667&gt;Team_Matches!J2669,MIN(Team_Matches!J2667,Team_Matches!J2669),-MIN(Team_Matches!J2667,Team_Matches!J2669))*IF(Team_Matches!$Q2667="W",1,-1),"")</f>
        <v/>
      </c>
      <c r="I209" s="7" t="str">
        <f>IF(Team_Matches!$Q2667&lt;&gt;"",IF(Team_Matches!K2667=Team_Matches!K2669,"",IF(Team_Matches!K2667&gt;Team_Matches!K2669,MIN(Team_Matches!K2667,Team_Matches!K2669),-MIN(Team_Matches!K2667,Team_Matches!K2669))*IF(Team_Matches!$Q2667="W",1,-1)),"")</f>
        <v/>
      </c>
      <c r="J209" s="7" t="str">
        <f>IF(Team_Matches!$Q2667&lt;&gt;"",IF(Team_Matches!L2667=Team_Matches!L2669,"",IF(Team_Matches!L2667&gt;Team_Matches!L2669,MIN(Team_Matches!L2667,Team_Matches!L2669),-MIN(Team_Matches!L2667,Team_Matches!L2669))*IF(Team_Matches!$Q2667="W",1,-1)),"")</f>
        <v/>
      </c>
    </row>
    <row r="210" spans="1:10" x14ac:dyDescent="0.25">
      <c r="A210" s="55" t="e">
        <f>$B210&amp;";"&amp;VLOOKUP($B210,Players!$C$4:$G$132,5,FALSE)&amp;";"&amp;IF(ISERROR(VLOOKUP($B210,Players!$C$4:$G$132,2,FALSE)),0,VLOOKUP($B210,Players!$C$4:$G$132,2,FALSE))&amp;";"&amp;$C210&amp;";"&amp;VLOOKUP($C210,Players!$C$4:$G$132,5,FALSE)&amp;";"&amp;IF(ISERROR(VLOOKUP($C210,Players!$C$4:$G$132,2,FALSE)),0,VLOOKUP($C210,Players!$C$4:$G$132,2,FALSE))&amp;"|"</f>
        <v>#N/A</v>
      </c>
      <c r="B210" t="str">
        <f>IF(Team_Matches!$Q2674="W",Team_Matches!$B2674,IF(Team_Matches!$Q2676="W",Team_Matches!$B2676,""))</f>
        <v/>
      </c>
      <c r="C210" t="str">
        <f>IF(Team_Matches!$Q2674="L",Team_Matches!$B2674,IF(Team_Matches!$Q2676="L",Team_Matches!$B2676,""))</f>
        <v/>
      </c>
      <c r="D210" t="str">
        <f>CONCATENATE(Team_Matches!$B2661," vs ",Team_Matches!$K2661)</f>
        <v>H vs K</v>
      </c>
      <c r="E210" t="str">
        <f>Team_Matches!$A2672</f>
        <v>2nd Singles</v>
      </c>
      <c r="F210" s="7" t="str">
        <f>IF(Team_Matches!$Q2674&lt;&gt;"",IF(Team_Matches!H2674&gt;Team_Matches!H2676,MIN(Team_Matches!H2674,Team_Matches!H2676),-MIN(Team_Matches!H2674,Team_Matches!H2676))*IF(Team_Matches!$Q2674="W",1,-1),"")</f>
        <v/>
      </c>
      <c r="G210" s="7" t="str">
        <f>IF(Team_Matches!$Q2674&lt;&gt;"",IF(Team_Matches!I2674&gt;Team_Matches!I2676,MIN(Team_Matches!I2674,Team_Matches!I2676),-MIN(Team_Matches!I2674,Team_Matches!I2676))*IF(Team_Matches!$Q2674="W",1,-1),"")</f>
        <v/>
      </c>
      <c r="H210" s="7" t="str">
        <f>IF(Team_Matches!$Q2674&lt;&gt;"",IF(Team_Matches!J2674&gt;Team_Matches!J2676,MIN(Team_Matches!J2674,Team_Matches!J2676),-MIN(Team_Matches!J2674,Team_Matches!J2676))*IF(Team_Matches!$Q2674="W",1,-1),"")</f>
        <v/>
      </c>
      <c r="I210" s="7" t="str">
        <f>IF(Team_Matches!$Q2674&lt;&gt;"",IF(Team_Matches!K2674=Team_Matches!K2676,"",IF(Team_Matches!K2674&gt;Team_Matches!K2676,MIN(Team_Matches!K2674,Team_Matches!K2676),-MIN(Team_Matches!K2674,Team_Matches!K2676))*IF(Team_Matches!$Q2674="W",1,-1)),"")</f>
        <v/>
      </c>
      <c r="J210" s="7" t="str">
        <f>IF(Team_Matches!$Q2674&lt;&gt;"",IF(Team_Matches!L2674=Team_Matches!L2676,"",IF(Team_Matches!L2674&gt;Team_Matches!L2676,MIN(Team_Matches!L2674,Team_Matches!L2676),-MIN(Team_Matches!L2674,Team_Matches!L2676))*IF(Team_Matches!$Q2674="W",1,-1)),"")</f>
        <v/>
      </c>
    </row>
    <row r="211" spans="1:10" x14ac:dyDescent="0.25">
      <c r="A211" s="55" t="e">
        <f>$B211&amp;";"&amp;VLOOKUP($B211,Players!$C$4:$G$132,5,FALSE)&amp;";"&amp;IF(ISERROR(VLOOKUP($B211,Players!$C$4:$G$132,2,FALSE)),0,VLOOKUP($B211,Players!$C$4:$G$132,2,FALSE))&amp;";"&amp;$C211&amp;";"&amp;VLOOKUP($C211,Players!$C$4:$G$132,5,FALSE)&amp;";"&amp;IF(ISERROR(VLOOKUP($C211,Players!$C$4:$G$132,2,FALSE)),0,VLOOKUP($C211,Players!$C$4:$G$132,2,FALSE))&amp;"|"</f>
        <v>#N/A</v>
      </c>
      <c r="B211" t="str">
        <f>IF(Team_Matches!$Q2681="W",Team_Matches!$B2681,IF(Team_Matches!$Q2683="W",Team_Matches!$B2683,""))</f>
        <v/>
      </c>
      <c r="C211" t="str">
        <f>IF(Team_Matches!$Q2681="L",Team_Matches!$B2681,IF(Team_Matches!$Q2683="L",Team_Matches!$B2683,""))</f>
        <v/>
      </c>
      <c r="D211" t="str">
        <f>CONCATENATE(Team_Matches!$B2661," vs ",Team_Matches!$K2661)</f>
        <v>H vs K</v>
      </c>
      <c r="E211" t="str">
        <f>Team_Matches!$A2679</f>
        <v>3rd Singles</v>
      </c>
      <c r="F211" s="7" t="str">
        <f>IF(Team_Matches!$Q2681&lt;&gt;"",IF(Team_Matches!H2681&gt;Team_Matches!H2683,MIN(Team_Matches!H2681,Team_Matches!H2683),-MIN(Team_Matches!H2681,Team_Matches!H2683))*IF(Team_Matches!$Q2681="W",1,-1),"")</f>
        <v/>
      </c>
      <c r="G211" s="7" t="str">
        <f>IF(Team_Matches!$Q2681&lt;&gt;"",IF(Team_Matches!I2681&gt;Team_Matches!I2683,MIN(Team_Matches!I2681,Team_Matches!I2683),-MIN(Team_Matches!I2681,Team_Matches!I2683))*IF(Team_Matches!$Q2681="W",1,-1),"")</f>
        <v/>
      </c>
      <c r="H211" s="7" t="str">
        <f>IF(Team_Matches!$Q2681&lt;&gt;"",IF(Team_Matches!J2681&gt;Team_Matches!J2683,MIN(Team_Matches!J2681,Team_Matches!J2683),-MIN(Team_Matches!J2681,Team_Matches!J2683))*IF(Team_Matches!$Q2681="W",1,-1),"")</f>
        <v/>
      </c>
      <c r="I211" s="7" t="str">
        <f>IF(Team_Matches!$Q2681&lt;&gt;"",IF(Team_Matches!K2681=Team_Matches!K2683,"",IF(Team_Matches!K2681&gt;Team_Matches!K2683,MIN(Team_Matches!K2681,Team_Matches!K2683),-MIN(Team_Matches!K2681,Team_Matches!K2683))*IF(Team_Matches!$Q2681="W",1,-1)),"")</f>
        <v/>
      </c>
      <c r="J211" s="7" t="str">
        <f>IF(Team_Matches!$Q2681&lt;&gt;"",IF(Team_Matches!L2681=Team_Matches!L2683,"",IF(Team_Matches!L2681&gt;Team_Matches!L2683,MIN(Team_Matches!L2681,Team_Matches!L2683),-MIN(Team_Matches!L2681,Team_Matches!L2683))*IF(Team_Matches!$Q2681="W",1,-1)),"")</f>
        <v/>
      </c>
    </row>
    <row r="212" spans="1:10" x14ac:dyDescent="0.25">
      <c r="A212" s="55" t="e">
        <f ca="1">$B212&amp;";"&amp;VLOOKUP($B212,Players!$C$4:$G$132,5,FALSE)&amp;";"&amp;IF(ISERROR(VLOOKUP($B212,Players!$C$4:$G$132,2,FALSE)),0,VLOOKUP($B212,Players!$C$4:$G$132,2,FALSE))&amp;";"&amp;$C212&amp;";"&amp;VLOOKUP($C212,Players!$C$4:$G$132,5,FALSE)&amp;";"&amp;IF(ISERROR(VLOOKUP($C212,Players!$C$4:$G$132,2,FALSE)),0,VLOOKUP($C212,Players!$C$4:$G$132,2,FALSE))&amp;"|"</f>
        <v>#N/A</v>
      </c>
      <c r="B212" t="str">
        <f ca="1">IF(Team_Matches!$Q2688="W",Team_Matches!$B2688,IF(Team_Matches!$Q2690="W",Team_Matches!$B2690,""))</f>
        <v/>
      </c>
      <c r="C212" t="str">
        <f ca="1">IF(Team_Matches!$Q2688="L",Team_Matches!$B2688,IF(Team_Matches!$Q2690="L",Team_Matches!$B2690,""))</f>
        <v/>
      </c>
      <c r="D212" t="str">
        <f>CONCATENATE(Team_Matches!$B2661," vs ",Team_Matches!$K2661)</f>
        <v>H vs K</v>
      </c>
      <c r="E212" t="str">
        <f>Team_Matches!$A2686</f>
        <v>4th Singles</v>
      </c>
      <c r="F212" s="7" t="str">
        <f ca="1">IF(Team_Matches!$Q2688&lt;&gt;"",IF(Team_Matches!H2688&gt;Team_Matches!H2690,MIN(Team_Matches!H2688,Team_Matches!H2690),-MIN(Team_Matches!H2688,Team_Matches!H2690))*IF(Team_Matches!$Q2688="W",1,-1),"")</f>
        <v/>
      </c>
      <c r="G212" s="7" t="str">
        <f ca="1">IF(Team_Matches!$Q2688&lt;&gt;"",IF(Team_Matches!I2688&gt;Team_Matches!I2690,MIN(Team_Matches!I2688,Team_Matches!I2690),-MIN(Team_Matches!I2688,Team_Matches!I2690))*IF(Team_Matches!$Q2688="W",1,-1),"")</f>
        <v/>
      </c>
      <c r="H212" s="7" t="str">
        <f ca="1">IF(Team_Matches!$Q2688&lt;&gt;"",IF(Team_Matches!J2688&gt;Team_Matches!J2690,MIN(Team_Matches!J2688,Team_Matches!J2690),-MIN(Team_Matches!J2688,Team_Matches!J2690))*IF(Team_Matches!$Q2688="W",1,-1),"")</f>
        <v/>
      </c>
      <c r="I212" s="7" t="str">
        <f ca="1">IF(Team_Matches!$Q2688&lt;&gt;"",IF(Team_Matches!K2688=Team_Matches!K2690,"",IF(Team_Matches!K2688&gt;Team_Matches!K2690,MIN(Team_Matches!K2688,Team_Matches!K2690),-MIN(Team_Matches!K2688,Team_Matches!K2690))*IF(Team_Matches!$Q2688="W",1,-1)),"")</f>
        <v/>
      </c>
      <c r="J212" s="7" t="str">
        <f ca="1">IF(Team_Matches!$Q2688&lt;&gt;"",IF(Team_Matches!L2688=Team_Matches!L2690,"",IF(Team_Matches!L2688&gt;Team_Matches!L2690,MIN(Team_Matches!L2688,Team_Matches!L2690),-MIN(Team_Matches!L2688,Team_Matches!L2690))*IF(Team_Matches!$Q2688="W",1,-1)),"")</f>
        <v/>
      </c>
    </row>
    <row r="213" spans="1:10" x14ac:dyDescent="0.25">
      <c r="A213" s="55" t="e">
        <f>$B213&amp;";"&amp;VLOOKUP($B213,Players!$C$4:$G$132,5,FALSE)&amp;";"&amp;IF(ISERROR(VLOOKUP($B213,Players!$C$4:$G$132,2,FALSE)),0,VLOOKUP($B213,Players!$C$4:$G$132,2,FALSE))&amp;";"&amp;$C213&amp;";"&amp;VLOOKUP($C213,Players!$C$4:$G$132,5,FALSE)&amp;";"&amp;IF(ISERROR(VLOOKUP($C213,Players!$C$4:$G$132,2,FALSE)),0,VLOOKUP($C213,Players!$C$4:$G$132,2,FALSE))&amp;"|"</f>
        <v>#N/A</v>
      </c>
      <c r="B213" t="str">
        <f>IF(Team_Matches!$Q2718="W",Team_Matches!$B2718,IF(Team_Matches!$Q2720="W",Team_Matches!$B2720,""))</f>
        <v/>
      </c>
      <c r="C213" t="str">
        <f>IF(Team_Matches!$Q2718="L",Team_Matches!$B2718,IF(Team_Matches!$Q2720="L",Team_Matches!$B2720,""))</f>
        <v/>
      </c>
      <c r="D213" t="str">
        <f>CONCATENATE(Team_Matches!$B2712," vs ",Team_Matches!$K2712)</f>
        <v>I vs J</v>
      </c>
      <c r="E213" t="str">
        <f>Team_Matches!A2716</f>
        <v>1st Singles</v>
      </c>
      <c r="F213" s="7" t="str">
        <f>IF(Team_Matches!$Q2718&lt;&gt;"",IF(Team_Matches!H2718&gt;Team_Matches!H2720,MIN(Team_Matches!H2718,Team_Matches!H2720),-MIN(Team_Matches!H2718,Team_Matches!H2720))*IF(Team_Matches!$Q2718="W",1,-1),"")</f>
        <v/>
      </c>
      <c r="G213" s="7" t="str">
        <f>IF(Team_Matches!$Q2718&lt;&gt;"",IF(Team_Matches!I2718&gt;Team_Matches!I2720,MIN(Team_Matches!I2718,Team_Matches!I2720),-MIN(Team_Matches!I2718,Team_Matches!I2720))*IF(Team_Matches!$Q2718="W",1,-1),"")</f>
        <v/>
      </c>
      <c r="H213" s="7" t="str">
        <f>IF(Team_Matches!$Q2718&lt;&gt;"",IF(Team_Matches!J2718&gt;Team_Matches!J2720,MIN(Team_Matches!J2718,Team_Matches!J2720),-MIN(Team_Matches!J2718,Team_Matches!J2720))*IF(Team_Matches!$Q2718="W",1,-1),"")</f>
        <v/>
      </c>
      <c r="I213" s="7" t="str">
        <f>IF(Team_Matches!$Q2718&lt;&gt;"",IF(Team_Matches!K2718=Team_Matches!K2720,"",IF(Team_Matches!K2718&gt;Team_Matches!K2720,MIN(Team_Matches!K2718,Team_Matches!K2720),-MIN(Team_Matches!K2718,Team_Matches!K2720))*IF(Team_Matches!$Q2718="W",1,-1)),"")</f>
        <v/>
      </c>
      <c r="J213" s="7" t="str">
        <f>IF(Team_Matches!$Q2718&lt;&gt;"",IF(Team_Matches!L2718=Team_Matches!L2720,"",IF(Team_Matches!L2718&gt;Team_Matches!L2720,MIN(Team_Matches!L2718,Team_Matches!L2720),-MIN(Team_Matches!L2718,Team_Matches!L2720))*IF(Team_Matches!$Q2718="W",1,-1)),"")</f>
        <v/>
      </c>
    </row>
    <row r="214" spans="1:10" x14ac:dyDescent="0.25">
      <c r="A214" s="55" t="e">
        <f>$B214&amp;";"&amp;VLOOKUP($B214,Players!$C$4:$G$132,5,FALSE)&amp;";"&amp;IF(ISERROR(VLOOKUP($B214,Players!$C$4:$G$132,2,FALSE)),0,VLOOKUP($B214,Players!$C$4:$G$132,2,FALSE))&amp;";"&amp;$C214&amp;";"&amp;VLOOKUP($C214,Players!$C$4:$G$132,5,FALSE)&amp;";"&amp;IF(ISERROR(VLOOKUP($C214,Players!$C$4:$G$132,2,FALSE)),0,VLOOKUP($C214,Players!$C$4:$G$132,2,FALSE))&amp;"|"</f>
        <v>#N/A</v>
      </c>
      <c r="B214" t="str">
        <f>IF(Team_Matches!$Q2725="W",Team_Matches!$B2725,IF(Team_Matches!$Q2727="W",Team_Matches!$B2727,""))</f>
        <v/>
      </c>
      <c r="C214" t="str">
        <f>IF(Team_Matches!$Q2725="L",Team_Matches!$B2725,IF(Team_Matches!$Q2727="L",Team_Matches!$B2727,""))</f>
        <v/>
      </c>
      <c r="D214" t="str">
        <f>CONCATENATE(Team_Matches!$B2712," vs ",Team_Matches!$K2712)</f>
        <v>I vs J</v>
      </c>
      <c r="E214" t="str">
        <f>Team_Matches!$A2723</f>
        <v>2nd Singles</v>
      </c>
      <c r="F214" s="7" t="str">
        <f>IF(Team_Matches!$Q2725&lt;&gt;"",IF(Team_Matches!H2725&gt;Team_Matches!H2727,MIN(Team_Matches!H2725,Team_Matches!H2727),-MIN(Team_Matches!H2725,Team_Matches!H2727))*IF(Team_Matches!$Q2725="W",1,-1),"")</f>
        <v/>
      </c>
      <c r="G214" s="7" t="str">
        <f>IF(Team_Matches!$Q2725&lt;&gt;"",IF(Team_Matches!I2725&gt;Team_Matches!I2727,MIN(Team_Matches!I2725,Team_Matches!I2727),-MIN(Team_Matches!I2725,Team_Matches!I2727))*IF(Team_Matches!$Q2725="W",1,-1),"")</f>
        <v/>
      </c>
      <c r="H214" s="7" t="str">
        <f>IF(Team_Matches!$Q2725&lt;&gt;"",IF(Team_Matches!J2725&gt;Team_Matches!J2727,MIN(Team_Matches!J2725,Team_Matches!J2727),-MIN(Team_Matches!J2725,Team_Matches!J2727))*IF(Team_Matches!$Q2725="W",1,-1),"")</f>
        <v/>
      </c>
      <c r="I214" s="7" t="str">
        <f>IF(Team_Matches!$Q2725&lt;&gt;"",IF(Team_Matches!K2725=Team_Matches!K2727,"",IF(Team_Matches!K2725&gt;Team_Matches!K2727,MIN(Team_Matches!K2725,Team_Matches!K2727),-MIN(Team_Matches!K2725,Team_Matches!K2727))*IF(Team_Matches!$Q2725="W",1,-1)),"")</f>
        <v/>
      </c>
      <c r="J214" s="7" t="str">
        <f>IF(Team_Matches!$Q2725&lt;&gt;"",IF(Team_Matches!L2725=Team_Matches!L2727,"",IF(Team_Matches!L2725&gt;Team_Matches!L2727,MIN(Team_Matches!L2725,Team_Matches!L2727),-MIN(Team_Matches!L2725,Team_Matches!L2727))*IF(Team_Matches!$Q2725="W",1,-1)),"")</f>
        <v/>
      </c>
    </row>
    <row r="215" spans="1:10" x14ac:dyDescent="0.25">
      <c r="A215" s="55" t="e">
        <f>$B215&amp;";"&amp;VLOOKUP($B215,Players!$C$4:$G$132,5,FALSE)&amp;";"&amp;IF(ISERROR(VLOOKUP($B215,Players!$C$4:$G$132,2,FALSE)),0,VLOOKUP($B215,Players!$C$4:$G$132,2,FALSE))&amp;";"&amp;$C215&amp;";"&amp;VLOOKUP($C215,Players!$C$4:$G$132,5,FALSE)&amp;";"&amp;IF(ISERROR(VLOOKUP($C215,Players!$C$4:$G$132,2,FALSE)),0,VLOOKUP($C215,Players!$C$4:$G$132,2,FALSE))&amp;"|"</f>
        <v>#N/A</v>
      </c>
      <c r="B215" t="str">
        <f>IF(Team_Matches!$Q2732="W",Team_Matches!$B2732,IF(Team_Matches!$Q2734="W",Team_Matches!$B2734,""))</f>
        <v/>
      </c>
      <c r="C215" t="str">
        <f>IF(Team_Matches!$Q2732="L",Team_Matches!$B2732,IF(Team_Matches!$Q2734="L",Team_Matches!$B2734,""))</f>
        <v/>
      </c>
      <c r="D215" t="str">
        <f>CONCATENATE(Team_Matches!$B2712," vs ",Team_Matches!$K2712)</f>
        <v>I vs J</v>
      </c>
      <c r="E215" t="str">
        <f>Team_Matches!$A2730</f>
        <v>3rd Singles</v>
      </c>
      <c r="F215" s="7" t="str">
        <f>IF(Team_Matches!$Q2732&lt;&gt;"",IF(Team_Matches!H2732&gt;Team_Matches!H2734,MIN(Team_Matches!H2732,Team_Matches!H2734),-MIN(Team_Matches!H2732,Team_Matches!H2734))*IF(Team_Matches!$Q2732="W",1,-1),"")</f>
        <v/>
      </c>
      <c r="G215" s="7" t="str">
        <f>IF(Team_Matches!$Q2732&lt;&gt;"",IF(Team_Matches!I2732&gt;Team_Matches!I2734,MIN(Team_Matches!I2732,Team_Matches!I2734),-MIN(Team_Matches!I2732,Team_Matches!I2734))*IF(Team_Matches!$Q2732="W",1,-1),"")</f>
        <v/>
      </c>
      <c r="H215" s="7" t="str">
        <f>IF(Team_Matches!$Q2732&lt;&gt;"",IF(Team_Matches!J2732&gt;Team_Matches!J2734,MIN(Team_Matches!J2732,Team_Matches!J2734),-MIN(Team_Matches!J2732,Team_Matches!J2734))*IF(Team_Matches!$Q2732="W",1,-1),"")</f>
        <v/>
      </c>
      <c r="I215" s="7" t="str">
        <f>IF(Team_Matches!$Q2732&lt;&gt;"",IF(Team_Matches!K2732=Team_Matches!K2734,"",IF(Team_Matches!K2732&gt;Team_Matches!K2734,MIN(Team_Matches!K2732,Team_Matches!K2734),-MIN(Team_Matches!K2732,Team_Matches!K2734))*IF(Team_Matches!$Q2732="W",1,-1)),"")</f>
        <v/>
      </c>
      <c r="J215" s="7" t="str">
        <f>IF(Team_Matches!$Q2732&lt;&gt;"",IF(Team_Matches!L2732=Team_Matches!L2734,"",IF(Team_Matches!L2732&gt;Team_Matches!L2734,MIN(Team_Matches!L2732,Team_Matches!L2734),-MIN(Team_Matches!L2732,Team_Matches!L2734))*IF(Team_Matches!$Q2732="W",1,-1)),"")</f>
        <v/>
      </c>
    </row>
    <row r="216" spans="1:10" x14ac:dyDescent="0.25">
      <c r="A216" s="55" t="e">
        <f ca="1">$B216&amp;";"&amp;VLOOKUP($B216,Players!$C$4:$G$132,5,FALSE)&amp;";"&amp;IF(ISERROR(VLOOKUP($B216,Players!$C$4:$G$132,2,FALSE)),0,VLOOKUP($B216,Players!$C$4:$G$132,2,FALSE))&amp;";"&amp;$C216&amp;";"&amp;VLOOKUP($C216,Players!$C$4:$G$132,5,FALSE)&amp;";"&amp;IF(ISERROR(VLOOKUP($C216,Players!$C$4:$G$132,2,FALSE)),0,VLOOKUP($C216,Players!$C$4:$G$132,2,FALSE))&amp;"|"</f>
        <v>#N/A</v>
      </c>
      <c r="B216" t="str">
        <f ca="1">IF(Team_Matches!$Q2739="W",Team_Matches!$B2739,IF(Team_Matches!$Q2741="W",Team_Matches!$B2741,""))</f>
        <v/>
      </c>
      <c r="C216" t="str">
        <f ca="1">IF(Team_Matches!$Q2739="L",Team_Matches!$B2739,IF(Team_Matches!$Q2741="L",Team_Matches!$B2741,""))</f>
        <v/>
      </c>
      <c r="D216" t="str">
        <f>CONCATENATE(Team_Matches!$B2712," vs ",Team_Matches!$K2712)</f>
        <v>I vs J</v>
      </c>
      <c r="E216" t="str">
        <f>Team_Matches!$A2737</f>
        <v>4th Singles</v>
      </c>
      <c r="F216" s="7" t="str">
        <f ca="1">IF(Team_Matches!$Q2739&lt;&gt;"",IF(Team_Matches!H2739&gt;Team_Matches!H2741,MIN(Team_Matches!H2739,Team_Matches!H2741),-MIN(Team_Matches!H2739,Team_Matches!H2741))*IF(Team_Matches!$Q2739="W",1,-1),"")</f>
        <v/>
      </c>
      <c r="G216" s="7" t="str">
        <f ca="1">IF(Team_Matches!$Q2739&lt;&gt;"",IF(Team_Matches!I2739&gt;Team_Matches!I2741,MIN(Team_Matches!I2739,Team_Matches!I2741),-MIN(Team_Matches!I2739,Team_Matches!I2741))*IF(Team_Matches!$Q2739="W",1,-1),"")</f>
        <v/>
      </c>
      <c r="H216" s="7" t="str">
        <f ca="1">IF(Team_Matches!$Q2739&lt;&gt;"",IF(Team_Matches!J2739&gt;Team_Matches!J2741,MIN(Team_Matches!J2739,Team_Matches!J2741),-MIN(Team_Matches!J2739,Team_Matches!J2741))*IF(Team_Matches!$Q2739="W",1,-1),"")</f>
        <v/>
      </c>
      <c r="I216" s="7" t="str">
        <f ca="1">IF(Team_Matches!$Q2739&lt;&gt;"",IF(Team_Matches!K2739=Team_Matches!K2741,"",IF(Team_Matches!K2739&gt;Team_Matches!K2741,MIN(Team_Matches!K2739,Team_Matches!K2741),-MIN(Team_Matches!K2739,Team_Matches!K2741))*IF(Team_Matches!$Q2739="W",1,-1)),"")</f>
        <v/>
      </c>
      <c r="J216" s="7" t="str">
        <f ca="1">IF(Team_Matches!$Q2739&lt;&gt;"",IF(Team_Matches!L2739=Team_Matches!L2741,"",IF(Team_Matches!L2739&gt;Team_Matches!L2741,MIN(Team_Matches!L2739,Team_Matches!L2741),-MIN(Team_Matches!L2739,Team_Matches!L2741))*IF(Team_Matches!$Q2739="W",1,-1)),"")</f>
        <v/>
      </c>
    </row>
    <row r="217" spans="1:10" x14ac:dyDescent="0.25">
      <c r="A217" s="55" t="e">
        <f>$B217&amp;";"&amp;VLOOKUP($B217,Players!$C$4:$G$132,5,FALSE)&amp;";"&amp;IF(ISERROR(VLOOKUP($B217,Players!$C$4:$G$132,2,FALSE)),0,VLOOKUP($B217,Players!$C$4:$G$132,2,FALSE))&amp;";"&amp;$C217&amp;";"&amp;VLOOKUP($C217,Players!$C$4:$G$132,5,FALSE)&amp;";"&amp;IF(ISERROR(VLOOKUP($C217,Players!$C$4:$G$132,2,FALSE)),0,VLOOKUP($C217,Players!$C$4:$G$132,2,FALSE))&amp;"|"</f>
        <v>#N/A</v>
      </c>
      <c r="B217" t="str">
        <f>IF(Team_Matches!$Q2769="W",Team_Matches!$B2769,IF(Team_Matches!$Q2771="W",Team_Matches!$B2771,""))</f>
        <v/>
      </c>
      <c r="C217" t="str">
        <f>IF(Team_Matches!$Q2769="L",Team_Matches!$B2769,IF(Team_Matches!$Q2771="L",Team_Matches!$B2771,""))</f>
        <v/>
      </c>
      <c r="D217" t="str">
        <f>CONCATENATE(Team_Matches!$B2763," vs ",Team_Matches!$K2763)</f>
        <v>A vs C</v>
      </c>
      <c r="E217" t="str">
        <f>Team_Matches!A2767</f>
        <v>1st Singles</v>
      </c>
      <c r="F217" s="7" t="str">
        <f>IF(Team_Matches!$Q2769&lt;&gt;"",IF(Team_Matches!H2769&gt;Team_Matches!H2771,MIN(Team_Matches!H2769,Team_Matches!H2771),-MIN(Team_Matches!H2769,Team_Matches!H2771))*IF(Team_Matches!$Q2769="W",1,-1),"")</f>
        <v/>
      </c>
      <c r="G217" s="7" t="str">
        <f>IF(Team_Matches!$Q2769&lt;&gt;"",IF(Team_Matches!I2769&gt;Team_Matches!I2771,MIN(Team_Matches!I2769,Team_Matches!I2771),-MIN(Team_Matches!I2769,Team_Matches!I2771))*IF(Team_Matches!$Q2769="W",1,-1),"")</f>
        <v/>
      </c>
      <c r="H217" s="7" t="str">
        <f>IF(Team_Matches!$Q2769&lt;&gt;"",IF(Team_Matches!J2769&gt;Team_Matches!J2771,MIN(Team_Matches!J2769,Team_Matches!J2771),-MIN(Team_Matches!J2769,Team_Matches!J2771))*IF(Team_Matches!$Q2769="W",1,-1),"")</f>
        <v/>
      </c>
      <c r="I217" s="7" t="str">
        <f>IF(Team_Matches!$Q2769&lt;&gt;"",IF(Team_Matches!K2769=Team_Matches!K2771,"",IF(Team_Matches!K2769&gt;Team_Matches!K2771,MIN(Team_Matches!K2769,Team_Matches!K2771),-MIN(Team_Matches!K2769,Team_Matches!K2771))*IF(Team_Matches!$Q2769="W",1,-1)),"")</f>
        <v/>
      </c>
      <c r="J217" s="7" t="str">
        <f>IF(Team_Matches!$Q2769&lt;&gt;"",IF(Team_Matches!L2769=Team_Matches!L2771,"",IF(Team_Matches!L2769&gt;Team_Matches!L2771,MIN(Team_Matches!L2769,Team_Matches!L2771),-MIN(Team_Matches!L2769,Team_Matches!L2771))*IF(Team_Matches!$Q2769="W",1,-1)),"")</f>
        <v/>
      </c>
    </row>
    <row r="218" spans="1:10" x14ac:dyDescent="0.25">
      <c r="A218" s="55" t="e">
        <f>$B218&amp;";"&amp;VLOOKUP($B218,Players!$C$4:$G$132,5,FALSE)&amp;";"&amp;IF(ISERROR(VLOOKUP($B218,Players!$C$4:$G$132,2,FALSE)),0,VLOOKUP($B218,Players!$C$4:$G$132,2,FALSE))&amp;";"&amp;$C218&amp;";"&amp;VLOOKUP($C218,Players!$C$4:$G$132,5,FALSE)&amp;";"&amp;IF(ISERROR(VLOOKUP($C218,Players!$C$4:$G$132,2,FALSE)),0,VLOOKUP($C218,Players!$C$4:$G$132,2,FALSE))&amp;"|"</f>
        <v>#N/A</v>
      </c>
      <c r="B218" t="str">
        <f>IF(Team_Matches!$Q2776="W",Team_Matches!$B2776,IF(Team_Matches!$Q2778="W",Team_Matches!$B2778,""))</f>
        <v/>
      </c>
      <c r="C218" t="str">
        <f>IF(Team_Matches!$Q2776="L",Team_Matches!$B2776,IF(Team_Matches!$Q2778="L",Team_Matches!$B2778,""))</f>
        <v/>
      </c>
      <c r="D218" t="str">
        <f>CONCATENATE(Team_Matches!$B2763," vs ",Team_Matches!$K2763)</f>
        <v>A vs C</v>
      </c>
      <c r="E218" t="str">
        <f>Team_Matches!$A2774</f>
        <v>2nd Singles</v>
      </c>
      <c r="F218" s="7" t="str">
        <f>IF(Team_Matches!$Q2776&lt;&gt;"",IF(Team_Matches!H2776&gt;Team_Matches!H2778,MIN(Team_Matches!H2776,Team_Matches!H2778),-MIN(Team_Matches!H2776,Team_Matches!H2778))*IF(Team_Matches!$Q2776="W",1,-1),"")</f>
        <v/>
      </c>
      <c r="G218" s="7" t="str">
        <f>IF(Team_Matches!$Q2776&lt;&gt;"",IF(Team_Matches!I2776&gt;Team_Matches!I2778,MIN(Team_Matches!I2776,Team_Matches!I2778),-MIN(Team_Matches!I2776,Team_Matches!I2778))*IF(Team_Matches!$Q2776="W",1,-1),"")</f>
        <v/>
      </c>
      <c r="H218" s="7" t="str">
        <f>IF(Team_Matches!$Q2776&lt;&gt;"",IF(Team_Matches!J2776&gt;Team_Matches!J2778,MIN(Team_Matches!J2776,Team_Matches!J2778),-MIN(Team_Matches!J2776,Team_Matches!J2778))*IF(Team_Matches!$Q2776="W",1,-1),"")</f>
        <v/>
      </c>
      <c r="I218" s="7" t="str">
        <f>IF(Team_Matches!$Q2776&lt;&gt;"",IF(Team_Matches!K2776=Team_Matches!K2778,"",IF(Team_Matches!K2776&gt;Team_Matches!K2778,MIN(Team_Matches!K2776,Team_Matches!K2778),-MIN(Team_Matches!K2776,Team_Matches!K2778))*IF(Team_Matches!$Q2776="W",1,-1)),"")</f>
        <v/>
      </c>
      <c r="J218" s="7" t="str">
        <f>IF(Team_Matches!$Q2776&lt;&gt;"",IF(Team_Matches!L2776=Team_Matches!L2778,"",IF(Team_Matches!L2776&gt;Team_Matches!L2778,MIN(Team_Matches!L2776,Team_Matches!L2778),-MIN(Team_Matches!L2776,Team_Matches!L2778))*IF(Team_Matches!$Q2776="W",1,-1)),"")</f>
        <v/>
      </c>
    </row>
    <row r="219" spans="1:10" x14ac:dyDescent="0.25">
      <c r="A219" s="55" t="e">
        <f>$B219&amp;";"&amp;VLOOKUP($B219,Players!$C$4:$G$132,5,FALSE)&amp;";"&amp;IF(ISERROR(VLOOKUP($B219,Players!$C$4:$G$132,2,FALSE)),0,VLOOKUP($B219,Players!$C$4:$G$132,2,FALSE))&amp;";"&amp;$C219&amp;";"&amp;VLOOKUP($C219,Players!$C$4:$G$132,5,FALSE)&amp;";"&amp;IF(ISERROR(VLOOKUP($C219,Players!$C$4:$G$132,2,FALSE)),0,VLOOKUP($C219,Players!$C$4:$G$132,2,FALSE))&amp;"|"</f>
        <v>#N/A</v>
      </c>
      <c r="B219" t="str">
        <f>IF(Team_Matches!$Q2783="W",Team_Matches!$B2783,IF(Team_Matches!$Q2785="W",Team_Matches!$B2785,""))</f>
        <v/>
      </c>
      <c r="C219" t="str">
        <f>IF(Team_Matches!$Q2783="L",Team_Matches!$B2783,IF(Team_Matches!$Q2785="L",Team_Matches!$B2785,""))</f>
        <v/>
      </c>
      <c r="D219" t="str">
        <f>CONCATENATE(Team_Matches!$B2763," vs ",Team_Matches!$K2763)</f>
        <v>A vs C</v>
      </c>
      <c r="E219" t="str">
        <f>Team_Matches!$A2781</f>
        <v>3rd Singles</v>
      </c>
      <c r="F219" s="7" t="str">
        <f>IF(Team_Matches!$Q2783&lt;&gt;"",IF(Team_Matches!H2783&gt;Team_Matches!H2785,MIN(Team_Matches!H2783,Team_Matches!H2785),-MIN(Team_Matches!H2783,Team_Matches!H2785))*IF(Team_Matches!$Q2783="W",1,-1),"")</f>
        <v/>
      </c>
      <c r="G219" s="7" t="str">
        <f>IF(Team_Matches!$Q2783&lt;&gt;"",IF(Team_Matches!I2783&gt;Team_Matches!I2785,MIN(Team_Matches!I2783,Team_Matches!I2785),-MIN(Team_Matches!I2783,Team_Matches!I2785))*IF(Team_Matches!$Q2783="W",1,-1),"")</f>
        <v/>
      </c>
      <c r="H219" s="7" t="str">
        <f>IF(Team_Matches!$Q2783&lt;&gt;"",IF(Team_Matches!J2783&gt;Team_Matches!J2785,MIN(Team_Matches!J2783,Team_Matches!J2785),-MIN(Team_Matches!J2783,Team_Matches!J2785))*IF(Team_Matches!$Q2783="W",1,-1),"")</f>
        <v/>
      </c>
      <c r="I219" s="7" t="str">
        <f>IF(Team_Matches!$Q2783&lt;&gt;"",IF(Team_Matches!K2783=Team_Matches!K2785,"",IF(Team_Matches!K2783&gt;Team_Matches!K2785,MIN(Team_Matches!K2783,Team_Matches!K2785),-MIN(Team_Matches!K2783,Team_Matches!K2785))*IF(Team_Matches!$Q2783="W",1,-1)),"")</f>
        <v/>
      </c>
      <c r="J219" s="7" t="str">
        <f>IF(Team_Matches!$Q2783&lt;&gt;"",IF(Team_Matches!L2783=Team_Matches!L2785,"",IF(Team_Matches!L2783&gt;Team_Matches!L2785,MIN(Team_Matches!L2783,Team_Matches!L2785),-MIN(Team_Matches!L2783,Team_Matches!L2785))*IF(Team_Matches!$Q2783="W",1,-1)),"")</f>
        <v/>
      </c>
    </row>
    <row r="220" spans="1:10" x14ac:dyDescent="0.25">
      <c r="A220" s="55" t="e">
        <f ca="1">$B220&amp;";"&amp;VLOOKUP($B220,Players!$C$4:$G$132,5,FALSE)&amp;";"&amp;IF(ISERROR(VLOOKUP($B220,Players!$C$4:$G$132,2,FALSE)),0,VLOOKUP($B220,Players!$C$4:$G$132,2,FALSE))&amp;";"&amp;$C220&amp;";"&amp;VLOOKUP($C220,Players!$C$4:$G$132,5,FALSE)&amp;";"&amp;IF(ISERROR(VLOOKUP($C220,Players!$C$4:$G$132,2,FALSE)),0,VLOOKUP($C220,Players!$C$4:$G$132,2,FALSE))&amp;"|"</f>
        <v>#N/A</v>
      </c>
      <c r="B220" t="str">
        <f ca="1">IF(Team_Matches!$Q2790="W",Team_Matches!$B2790,IF(Team_Matches!$Q2792="W",Team_Matches!$B2792,""))</f>
        <v/>
      </c>
      <c r="C220" t="str">
        <f ca="1">IF(Team_Matches!$Q2790="L",Team_Matches!$B2790,IF(Team_Matches!$Q2792="L",Team_Matches!$B2792,""))</f>
        <v/>
      </c>
      <c r="D220" t="str">
        <f>CONCATENATE(Team_Matches!$B2763," vs ",Team_Matches!$K2763)</f>
        <v>A vs C</v>
      </c>
      <c r="E220" t="str">
        <f>Team_Matches!$A2788</f>
        <v>4th Singles</v>
      </c>
      <c r="F220" s="7" t="str">
        <f ca="1">IF(Team_Matches!$Q2790&lt;&gt;"",IF(Team_Matches!H2790&gt;Team_Matches!H2792,MIN(Team_Matches!H2790,Team_Matches!H2792),-MIN(Team_Matches!H2790,Team_Matches!H2792))*IF(Team_Matches!$Q2790="W",1,-1),"")</f>
        <v/>
      </c>
      <c r="G220" s="7" t="str">
        <f ca="1">IF(Team_Matches!$Q2790&lt;&gt;"",IF(Team_Matches!I2790&gt;Team_Matches!I2792,MIN(Team_Matches!I2790,Team_Matches!I2792),-MIN(Team_Matches!I2790,Team_Matches!I2792))*IF(Team_Matches!$Q2790="W",1,-1),"")</f>
        <v/>
      </c>
      <c r="H220" s="7" t="str">
        <f ca="1">IF(Team_Matches!$Q2790&lt;&gt;"",IF(Team_Matches!J2790&gt;Team_Matches!J2792,MIN(Team_Matches!J2790,Team_Matches!J2792),-MIN(Team_Matches!J2790,Team_Matches!J2792))*IF(Team_Matches!$Q2790="W",1,-1),"")</f>
        <v/>
      </c>
      <c r="I220" s="7" t="str">
        <f ca="1">IF(Team_Matches!$Q2790&lt;&gt;"",IF(Team_Matches!K2790=Team_Matches!K2792,"",IF(Team_Matches!K2790&gt;Team_Matches!K2792,MIN(Team_Matches!K2790,Team_Matches!K2792),-MIN(Team_Matches!K2790,Team_Matches!K2792))*IF(Team_Matches!$Q2790="W",1,-1)),"")</f>
        <v/>
      </c>
      <c r="J220" s="7" t="str">
        <f ca="1">IF(Team_Matches!$Q2790&lt;&gt;"",IF(Team_Matches!L2790=Team_Matches!L2792,"",IF(Team_Matches!L2790&gt;Team_Matches!L2792,MIN(Team_Matches!L2790,Team_Matches!L2792),-MIN(Team_Matches!L2790,Team_Matches!L2792))*IF(Team_Matches!$Q2790="W",1,-1)),"")</f>
        <v/>
      </c>
    </row>
    <row r="221" spans="1:10" x14ac:dyDescent="0.25">
      <c r="A221" s="55" t="e">
        <f>$B221&amp;";"&amp;VLOOKUP($B221,Players!$C$4:$G$132,5,FALSE)&amp;";"&amp;IF(ISERROR(VLOOKUP($B221,Players!$C$4:$G$132,2,FALSE)),0,VLOOKUP($B221,Players!$C$4:$G$132,2,FALSE))&amp;";"&amp;$C221&amp;";"&amp;VLOOKUP($C221,Players!$C$4:$G$132,5,FALSE)&amp;";"&amp;IF(ISERROR(VLOOKUP($C221,Players!$C$4:$G$132,2,FALSE)),0,VLOOKUP($C221,Players!$C$4:$G$132,2,FALSE))&amp;"|"</f>
        <v>#N/A</v>
      </c>
      <c r="B221" t="str">
        <f>IF(Team_Matches!$Q2820="W",Team_Matches!$B2820,IF(Team_Matches!$Q2822="W",Team_Matches!$B2822,""))</f>
        <v/>
      </c>
      <c r="C221" t="str">
        <f>IF(Team_Matches!$Q2820="L",Team_Matches!$B2820,IF(Team_Matches!$Q2822="L",Team_Matches!$B2822,""))</f>
        <v/>
      </c>
      <c r="D221" t="str">
        <f>CONCATENATE(Team_Matches!$B2814," vs ",Team_Matches!$K2814)</f>
        <v>B vs D</v>
      </c>
      <c r="E221" t="str">
        <f>Team_Matches!A2818</f>
        <v>1st Singles</v>
      </c>
      <c r="F221" s="7" t="str">
        <f>IF(Team_Matches!$Q2820&lt;&gt;"",IF(Team_Matches!H2820&gt;Team_Matches!H2822,MIN(Team_Matches!H2820,Team_Matches!H2822),-MIN(Team_Matches!H2820,Team_Matches!H2822))*IF(Team_Matches!$Q2820="W",1,-1),"")</f>
        <v/>
      </c>
      <c r="G221" s="7" t="str">
        <f>IF(Team_Matches!$Q2820&lt;&gt;"",IF(Team_Matches!I2820&gt;Team_Matches!I2822,MIN(Team_Matches!I2820,Team_Matches!I2822),-MIN(Team_Matches!I2820,Team_Matches!I2822))*IF(Team_Matches!$Q2820="W",1,-1),"")</f>
        <v/>
      </c>
      <c r="H221" s="7" t="str">
        <f>IF(Team_Matches!$Q2820&lt;&gt;"",IF(Team_Matches!J2820&gt;Team_Matches!J2822,MIN(Team_Matches!J2820,Team_Matches!J2822),-MIN(Team_Matches!J2820,Team_Matches!J2822))*IF(Team_Matches!$Q2820="W",1,-1),"")</f>
        <v/>
      </c>
      <c r="I221" s="7" t="str">
        <f>IF(Team_Matches!$Q2820&lt;&gt;"",IF(Team_Matches!K2820=Team_Matches!K2822,"",IF(Team_Matches!K2820&gt;Team_Matches!K2822,MIN(Team_Matches!K2820,Team_Matches!K2822),-MIN(Team_Matches!K2820,Team_Matches!K2822))*IF(Team_Matches!$Q2820="W",1,-1)),"")</f>
        <v/>
      </c>
      <c r="J221" s="7" t="str">
        <f>IF(Team_Matches!$Q2820&lt;&gt;"",IF(Team_Matches!L2820=Team_Matches!L2822,"",IF(Team_Matches!L2820&gt;Team_Matches!L2822,MIN(Team_Matches!L2820,Team_Matches!L2822),-MIN(Team_Matches!L2820,Team_Matches!L2822))*IF(Team_Matches!$Q2820="W",1,-1)),"")</f>
        <v/>
      </c>
    </row>
    <row r="222" spans="1:10" x14ac:dyDescent="0.25">
      <c r="A222" s="55" t="e">
        <f>$B222&amp;";"&amp;VLOOKUP($B222,Players!$C$4:$G$132,5,FALSE)&amp;";"&amp;IF(ISERROR(VLOOKUP($B222,Players!$C$4:$G$132,2,FALSE)),0,VLOOKUP($B222,Players!$C$4:$G$132,2,FALSE))&amp;";"&amp;$C222&amp;";"&amp;VLOOKUP($C222,Players!$C$4:$G$132,5,FALSE)&amp;";"&amp;IF(ISERROR(VLOOKUP($C222,Players!$C$4:$G$132,2,FALSE)),0,VLOOKUP($C222,Players!$C$4:$G$132,2,FALSE))&amp;"|"</f>
        <v>#N/A</v>
      </c>
      <c r="B222" t="str">
        <f>IF(Team_Matches!$Q2827="W",Team_Matches!$B2827,IF(Team_Matches!$Q2829="W",Team_Matches!$B2829,""))</f>
        <v/>
      </c>
      <c r="C222" t="str">
        <f>IF(Team_Matches!$Q2827="L",Team_Matches!$B2827,IF(Team_Matches!$Q2829="L",Team_Matches!$B2829,""))</f>
        <v/>
      </c>
      <c r="D222" t="str">
        <f>CONCATENATE(Team_Matches!$B2814," vs ",Team_Matches!$K2814)</f>
        <v>B vs D</v>
      </c>
      <c r="E222" t="str">
        <f>Team_Matches!$A2825</f>
        <v>2nd Singles</v>
      </c>
      <c r="F222" s="7" t="str">
        <f>IF(Team_Matches!$Q2827&lt;&gt;"",IF(Team_Matches!H2827&gt;Team_Matches!H2829,MIN(Team_Matches!H2827,Team_Matches!H2829),-MIN(Team_Matches!H2827,Team_Matches!H2829))*IF(Team_Matches!$Q2827="W",1,-1),"")</f>
        <v/>
      </c>
      <c r="G222" s="7" t="str">
        <f>IF(Team_Matches!$Q2827&lt;&gt;"",IF(Team_Matches!I2827&gt;Team_Matches!I2829,MIN(Team_Matches!I2827,Team_Matches!I2829),-MIN(Team_Matches!I2827,Team_Matches!I2829))*IF(Team_Matches!$Q2827="W",1,-1),"")</f>
        <v/>
      </c>
      <c r="H222" s="7" t="str">
        <f>IF(Team_Matches!$Q2827&lt;&gt;"",IF(Team_Matches!J2827&gt;Team_Matches!J2829,MIN(Team_Matches!J2827,Team_Matches!J2829),-MIN(Team_Matches!J2827,Team_Matches!J2829))*IF(Team_Matches!$Q2827="W",1,-1),"")</f>
        <v/>
      </c>
      <c r="I222" s="7" t="str">
        <f>IF(Team_Matches!$Q2827&lt;&gt;"",IF(Team_Matches!K2827=Team_Matches!K2829,"",IF(Team_Matches!K2827&gt;Team_Matches!K2829,MIN(Team_Matches!K2827,Team_Matches!K2829),-MIN(Team_Matches!K2827,Team_Matches!K2829))*IF(Team_Matches!$Q2827="W",1,-1)),"")</f>
        <v/>
      </c>
      <c r="J222" s="7" t="str">
        <f>IF(Team_Matches!$Q2827&lt;&gt;"",IF(Team_Matches!L2827=Team_Matches!L2829,"",IF(Team_Matches!L2827&gt;Team_Matches!L2829,MIN(Team_Matches!L2827,Team_Matches!L2829),-MIN(Team_Matches!L2827,Team_Matches!L2829))*IF(Team_Matches!$Q2827="W",1,-1)),"")</f>
        <v/>
      </c>
    </row>
    <row r="223" spans="1:10" x14ac:dyDescent="0.25">
      <c r="A223" s="55" t="e">
        <f>$B223&amp;";"&amp;VLOOKUP($B223,Players!$C$4:$G$132,5,FALSE)&amp;";"&amp;IF(ISERROR(VLOOKUP($B223,Players!$C$4:$G$132,2,FALSE)),0,VLOOKUP($B223,Players!$C$4:$G$132,2,FALSE))&amp;";"&amp;$C223&amp;";"&amp;VLOOKUP($C223,Players!$C$4:$G$132,5,FALSE)&amp;";"&amp;IF(ISERROR(VLOOKUP($C223,Players!$C$4:$G$132,2,FALSE)),0,VLOOKUP($C223,Players!$C$4:$G$132,2,FALSE))&amp;"|"</f>
        <v>#N/A</v>
      </c>
      <c r="B223" t="str">
        <f>IF(Team_Matches!$Q2834="W",Team_Matches!$B2834,IF(Team_Matches!$Q2836="W",Team_Matches!$B2836,""))</f>
        <v/>
      </c>
      <c r="C223" t="str">
        <f>IF(Team_Matches!$Q2834="L",Team_Matches!$B2834,IF(Team_Matches!$Q2836="L",Team_Matches!$B2836,""))</f>
        <v/>
      </c>
      <c r="D223" t="str">
        <f>CONCATENATE(Team_Matches!$B2814," vs ",Team_Matches!$K2814)</f>
        <v>B vs D</v>
      </c>
      <c r="E223" t="str">
        <f>Team_Matches!$A2832</f>
        <v>3rd Singles</v>
      </c>
      <c r="F223" s="7" t="str">
        <f>IF(Team_Matches!$Q2834&lt;&gt;"",IF(Team_Matches!H2834&gt;Team_Matches!H2836,MIN(Team_Matches!H2834,Team_Matches!H2836),-MIN(Team_Matches!H2834,Team_Matches!H2836))*IF(Team_Matches!$Q2834="W",1,-1),"")</f>
        <v/>
      </c>
      <c r="G223" s="7" t="str">
        <f>IF(Team_Matches!$Q2834&lt;&gt;"",IF(Team_Matches!I2834&gt;Team_Matches!I2836,MIN(Team_Matches!I2834,Team_Matches!I2836),-MIN(Team_Matches!I2834,Team_Matches!I2836))*IF(Team_Matches!$Q2834="W",1,-1),"")</f>
        <v/>
      </c>
      <c r="H223" s="7" t="str">
        <f>IF(Team_Matches!$Q2834&lt;&gt;"",IF(Team_Matches!J2834&gt;Team_Matches!J2836,MIN(Team_Matches!J2834,Team_Matches!J2836),-MIN(Team_Matches!J2834,Team_Matches!J2836))*IF(Team_Matches!$Q2834="W",1,-1),"")</f>
        <v/>
      </c>
      <c r="I223" s="7" t="str">
        <f>IF(Team_Matches!$Q2834&lt;&gt;"",IF(Team_Matches!K2834=Team_Matches!K2836,"",IF(Team_Matches!K2834&gt;Team_Matches!K2836,MIN(Team_Matches!K2834,Team_Matches!K2836),-MIN(Team_Matches!K2834,Team_Matches!K2836))*IF(Team_Matches!$Q2834="W",1,-1)),"")</f>
        <v/>
      </c>
      <c r="J223" s="7" t="str">
        <f>IF(Team_Matches!$Q2834&lt;&gt;"",IF(Team_Matches!L2834=Team_Matches!L2836,"",IF(Team_Matches!L2834&gt;Team_Matches!L2836,MIN(Team_Matches!L2834,Team_Matches!L2836),-MIN(Team_Matches!L2834,Team_Matches!L2836))*IF(Team_Matches!$Q2834="W",1,-1)),"")</f>
        <v/>
      </c>
    </row>
    <row r="224" spans="1:10" x14ac:dyDescent="0.25">
      <c r="A224" s="55" t="e">
        <f ca="1">$B224&amp;";"&amp;VLOOKUP($B224,Players!$C$4:$G$132,5,FALSE)&amp;";"&amp;IF(ISERROR(VLOOKUP($B224,Players!$C$4:$G$132,2,FALSE)),0,VLOOKUP($B224,Players!$C$4:$G$132,2,FALSE))&amp;";"&amp;$C224&amp;";"&amp;VLOOKUP($C224,Players!$C$4:$G$132,5,FALSE)&amp;";"&amp;IF(ISERROR(VLOOKUP($C224,Players!$C$4:$G$132,2,FALSE)),0,VLOOKUP($C224,Players!$C$4:$G$132,2,FALSE))&amp;"|"</f>
        <v>#N/A</v>
      </c>
      <c r="B224" t="str">
        <f ca="1">IF(Team_Matches!$Q2841="W",Team_Matches!$B2841,IF(Team_Matches!$Q2843="W",Team_Matches!$B2843,""))</f>
        <v/>
      </c>
      <c r="C224" t="str">
        <f ca="1">IF(Team_Matches!$Q2841="L",Team_Matches!$B2841,IF(Team_Matches!$Q2843="L",Team_Matches!$B2843,""))</f>
        <v/>
      </c>
      <c r="D224" t="str">
        <f>CONCATENATE(Team_Matches!$B2814," vs ",Team_Matches!$K2814)</f>
        <v>B vs D</v>
      </c>
      <c r="E224" t="str">
        <f>Team_Matches!$A2839</f>
        <v>4th Singles</v>
      </c>
      <c r="F224" s="7" t="str">
        <f ca="1">IF(Team_Matches!$Q2841&lt;&gt;"",IF(Team_Matches!H2841&gt;Team_Matches!H2843,MIN(Team_Matches!H2841,Team_Matches!H2843),-MIN(Team_Matches!H2841,Team_Matches!H2843))*IF(Team_Matches!$Q2841="W",1,-1),"")</f>
        <v/>
      </c>
      <c r="G224" s="7" t="str">
        <f ca="1">IF(Team_Matches!$Q2841&lt;&gt;"",IF(Team_Matches!I2841&gt;Team_Matches!I2843,MIN(Team_Matches!I2841,Team_Matches!I2843),-MIN(Team_Matches!I2841,Team_Matches!I2843))*IF(Team_Matches!$Q2841="W",1,-1),"")</f>
        <v/>
      </c>
      <c r="H224" s="7" t="str">
        <f ca="1">IF(Team_Matches!$Q2841&lt;&gt;"",IF(Team_Matches!J2841&gt;Team_Matches!J2843,MIN(Team_Matches!J2841,Team_Matches!J2843),-MIN(Team_Matches!J2841,Team_Matches!J2843))*IF(Team_Matches!$Q2841="W",1,-1),"")</f>
        <v/>
      </c>
      <c r="I224" s="7" t="str">
        <f ca="1">IF(Team_Matches!$Q2841&lt;&gt;"",IF(Team_Matches!K2841=Team_Matches!K2843,"",IF(Team_Matches!K2841&gt;Team_Matches!K2843,MIN(Team_Matches!K2841,Team_Matches!K2843),-MIN(Team_Matches!K2841,Team_Matches!K2843))*IF(Team_Matches!$Q2841="W",1,-1)),"")</f>
        <v/>
      </c>
      <c r="J224" s="7" t="str">
        <f ca="1">IF(Team_Matches!$Q2841&lt;&gt;"",IF(Team_Matches!L2841=Team_Matches!L2843,"",IF(Team_Matches!L2841&gt;Team_Matches!L2843,MIN(Team_Matches!L2841,Team_Matches!L2843),-MIN(Team_Matches!L2841,Team_Matches!L2843))*IF(Team_Matches!$Q2841="W",1,-1)),"")</f>
        <v/>
      </c>
    </row>
    <row r="225" spans="1:10" x14ac:dyDescent="0.25">
      <c r="A225" s="55" t="e">
        <f>$B225&amp;";"&amp;VLOOKUP($B225,Players!$C$4:$G$132,5,FALSE)&amp;";"&amp;IF(ISERROR(VLOOKUP($B225,Players!$C$4:$G$132,2,FALSE)),0,VLOOKUP($B225,Players!$C$4:$G$132,2,FALSE))&amp;";"&amp;$C225&amp;";"&amp;VLOOKUP($C225,Players!$C$4:$G$132,5,FALSE)&amp;";"&amp;IF(ISERROR(VLOOKUP($C225,Players!$C$4:$G$132,2,FALSE)),0,VLOOKUP($C225,Players!$C$4:$G$132,2,FALSE))&amp;"|"</f>
        <v>#N/A</v>
      </c>
      <c r="B225" t="str">
        <f>IF(Team_Matches!$Q2871="W",Team_Matches!$B2871,IF(Team_Matches!$Q2873="W",Team_Matches!$B2873,""))</f>
        <v/>
      </c>
      <c r="C225" t="str">
        <f>IF(Team_Matches!$Q2871="L",Team_Matches!$B2871,IF(Team_Matches!$Q2873="L",Team_Matches!$B2873,""))</f>
        <v/>
      </c>
      <c r="D225" t="str">
        <f>CONCATENATE(Team_Matches!$B2865," vs ",Team_Matches!$K2865)</f>
        <v>E vs L</v>
      </c>
      <c r="E225" t="str">
        <f>Team_Matches!A2869</f>
        <v>1st Singles</v>
      </c>
      <c r="F225" s="7" t="str">
        <f>IF(Team_Matches!$Q2871&lt;&gt;"",IF(Team_Matches!H2871&gt;Team_Matches!H2873,MIN(Team_Matches!H2871,Team_Matches!H2873),-MIN(Team_Matches!H2871,Team_Matches!H2873))*IF(Team_Matches!$Q2871="W",1,-1),"")</f>
        <v/>
      </c>
      <c r="G225" s="7" t="str">
        <f>IF(Team_Matches!$Q2871&lt;&gt;"",IF(Team_Matches!I2871&gt;Team_Matches!I2873,MIN(Team_Matches!I2871,Team_Matches!I2873),-MIN(Team_Matches!I2871,Team_Matches!I2873))*IF(Team_Matches!$Q2871="W",1,-1),"")</f>
        <v/>
      </c>
      <c r="H225" s="7" t="str">
        <f>IF(Team_Matches!$Q2871&lt;&gt;"",IF(Team_Matches!J2871&gt;Team_Matches!J2873,MIN(Team_Matches!J2871,Team_Matches!J2873),-MIN(Team_Matches!J2871,Team_Matches!J2873))*IF(Team_Matches!$Q2871="W",1,-1),"")</f>
        <v/>
      </c>
      <c r="I225" s="7" t="str">
        <f>IF(Team_Matches!$Q2871&lt;&gt;"",IF(Team_Matches!K2871=Team_Matches!K2873,"",IF(Team_Matches!K2871&gt;Team_Matches!K2873,MIN(Team_Matches!K2871,Team_Matches!K2873),-MIN(Team_Matches!K2871,Team_Matches!K2873))*IF(Team_Matches!$Q2871="W",1,-1)),"")</f>
        <v/>
      </c>
      <c r="J225" s="7" t="str">
        <f>IF(Team_Matches!$Q2871&lt;&gt;"",IF(Team_Matches!L2871=Team_Matches!L2873,"",IF(Team_Matches!L2871&gt;Team_Matches!L2873,MIN(Team_Matches!L2871,Team_Matches!L2873),-MIN(Team_Matches!L2871,Team_Matches!L2873))*IF(Team_Matches!$Q2871="W",1,-1)),"")</f>
        <v/>
      </c>
    </row>
    <row r="226" spans="1:10" x14ac:dyDescent="0.25">
      <c r="A226" s="55" t="e">
        <f>$B226&amp;";"&amp;VLOOKUP($B226,Players!$C$4:$G$132,5,FALSE)&amp;";"&amp;IF(ISERROR(VLOOKUP($B226,Players!$C$4:$G$132,2,FALSE)),0,VLOOKUP($B226,Players!$C$4:$G$132,2,FALSE))&amp;";"&amp;$C226&amp;";"&amp;VLOOKUP($C226,Players!$C$4:$G$132,5,FALSE)&amp;";"&amp;IF(ISERROR(VLOOKUP($C226,Players!$C$4:$G$132,2,FALSE)),0,VLOOKUP($C226,Players!$C$4:$G$132,2,FALSE))&amp;"|"</f>
        <v>#N/A</v>
      </c>
      <c r="B226" t="str">
        <f>IF(Team_Matches!$Q2878="W",Team_Matches!$B2878,IF(Team_Matches!$Q2880="W",Team_Matches!$B2880,""))</f>
        <v/>
      </c>
      <c r="C226" t="str">
        <f>IF(Team_Matches!$Q2878="L",Team_Matches!$B2878,IF(Team_Matches!$Q2880="L",Team_Matches!$B2880,""))</f>
        <v/>
      </c>
      <c r="D226" t="str">
        <f>CONCATENATE(Team_Matches!$B2865," vs ",Team_Matches!$K2865)</f>
        <v>E vs L</v>
      </c>
      <c r="E226" t="str">
        <f>Team_Matches!$A2876</f>
        <v>2nd Singles</v>
      </c>
      <c r="F226" s="7" t="str">
        <f>IF(Team_Matches!$Q2878&lt;&gt;"",IF(Team_Matches!H2878&gt;Team_Matches!H2880,MIN(Team_Matches!H2878,Team_Matches!H2880),-MIN(Team_Matches!H2878,Team_Matches!H2880))*IF(Team_Matches!$Q2878="W",1,-1),"")</f>
        <v/>
      </c>
      <c r="G226" s="7" t="str">
        <f>IF(Team_Matches!$Q2878&lt;&gt;"",IF(Team_Matches!I2878&gt;Team_Matches!I2880,MIN(Team_Matches!I2878,Team_Matches!I2880),-MIN(Team_Matches!I2878,Team_Matches!I2880))*IF(Team_Matches!$Q2878="W",1,-1),"")</f>
        <v/>
      </c>
      <c r="H226" s="7" t="str">
        <f>IF(Team_Matches!$Q2878&lt;&gt;"",IF(Team_Matches!J2878&gt;Team_Matches!J2880,MIN(Team_Matches!J2878,Team_Matches!J2880),-MIN(Team_Matches!J2878,Team_Matches!J2880))*IF(Team_Matches!$Q2878="W",1,-1),"")</f>
        <v/>
      </c>
      <c r="I226" s="7" t="str">
        <f>IF(Team_Matches!$Q2878&lt;&gt;"",IF(Team_Matches!K2878=Team_Matches!K2880,"",IF(Team_Matches!K2878&gt;Team_Matches!K2880,MIN(Team_Matches!K2878,Team_Matches!K2880),-MIN(Team_Matches!K2878,Team_Matches!K2880))*IF(Team_Matches!$Q2878="W",1,-1)),"")</f>
        <v/>
      </c>
      <c r="J226" s="7" t="str">
        <f>IF(Team_Matches!$Q2878&lt;&gt;"",IF(Team_Matches!L2878=Team_Matches!L2880,"",IF(Team_Matches!L2878&gt;Team_Matches!L2880,MIN(Team_Matches!L2878,Team_Matches!L2880),-MIN(Team_Matches!L2878,Team_Matches!L2880))*IF(Team_Matches!$Q2878="W",1,-1)),"")</f>
        <v/>
      </c>
    </row>
    <row r="227" spans="1:10" x14ac:dyDescent="0.25">
      <c r="A227" s="55" t="e">
        <f>$B227&amp;";"&amp;VLOOKUP($B227,Players!$C$4:$G$132,5,FALSE)&amp;";"&amp;IF(ISERROR(VLOOKUP($B227,Players!$C$4:$G$132,2,FALSE)),0,VLOOKUP($B227,Players!$C$4:$G$132,2,FALSE))&amp;";"&amp;$C227&amp;";"&amp;VLOOKUP($C227,Players!$C$4:$G$132,5,FALSE)&amp;";"&amp;IF(ISERROR(VLOOKUP($C227,Players!$C$4:$G$132,2,FALSE)),0,VLOOKUP($C227,Players!$C$4:$G$132,2,FALSE))&amp;"|"</f>
        <v>#N/A</v>
      </c>
      <c r="B227" t="str">
        <f>IF(Team_Matches!$Q2885="W",Team_Matches!$B2885,IF(Team_Matches!$Q2887="W",Team_Matches!$B2887,""))</f>
        <v/>
      </c>
      <c r="C227" t="str">
        <f>IF(Team_Matches!$Q2885="L",Team_Matches!$B2885,IF(Team_Matches!$Q2887="L",Team_Matches!$B2887,""))</f>
        <v/>
      </c>
      <c r="D227" t="str">
        <f>CONCATENATE(Team_Matches!$B2865," vs ",Team_Matches!$K2865)</f>
        <v>E vs L</v>
      </c>
      <c r="E227" t="str">
        <f>Team_Matches!$A2883</f>
        <v>3rd Singles</v>
      </c>
      <c r="F227" s="7" t="str">
        <f>IF(Team_Matches!$Q2885&lt;&gt;"",IF(Team_Matches!H2885&gt;Team_Matches!H2887,MIN(Team_Matches!H2885,Team_Matches!H2887),-MIN(Team_Matches!H2885,Team_Matches!H2887))*IF(Team_Matches!$Q2885="W",1,-1),"")</f>
        <v/>
      </c>
      <c r="G227" s="7" t="str">
        <f>IF(Team_Matches!$Q2885&lt;&gt;"",IF(Team_Matches!I2885&gt;Team_Matches!I2887,MIN(Team_Matches!I2885,Team_Matches!I2887),-MIN(Team_Matches!I2885,Team_Matches!I2887))*IF(Team_Matches!$Q2885="W",1,-1),"")</f>
        <v/>
      </c>
      <c r="H227" s="7" t="str">
        <f>IF(Team_Matches!$Q2885&lt;&gt;"",IF(Team_Matches!J2885&gt;Team_Matches!J2887,MIN(Team_Matches!J2885,Team_Matches!J2887),-MIN(Team_Matches!J2885,Team_Matches!J2887))*IF(Team_Matches!$Q2885="W",1,-1),"")</f>
        <v/>
      </c>
      <c r="I227" s="7" t="str">
        <f>IF(Team_Matches!$Q2885&lt;&gt;"",IF(Team_Matches!K2885=Team_Matches!K2887,"",IF(Team_Matches!K2885&gt;Team_Matches!K2887,MIN(Team_Matches!K2885,Team_Matches!K2887),-MIN(Team_Matches!K2885,Team_Matches!K2887))*IF(Team_Matches!$Q2885="W",1,-1)),"")</f>
        <v/>
      </c>
      <c r="J227" s="7" t="str">
        <f>IF(Team_Matches!$Q2885&lt;&gt;"",IF(Team_Matches!L2885=Team_Matches!L2887,"",IF(Team_Matches!L2885&gt;Team_Matches!L2887,MIN(Team_Matches!L2885,Team_Matches!L2887),-MIN(Team_Matches!L2885,Team_Matches!L2887))*IF(Team_Matches!$Q2885="W",1,-1)),"")</f>
        <v/>
      </c>
    </row>
    <row r="228" spans="1:10" x14ac:dyDescent="0.25">
      <c r="A228" s="55" t="e">
        <f ca="1">$B228&amp;";"&amp;VLOOKUP($B228,Players!$C$4:$G$132,5,FALSE)&amp;";"&amp;IF(ISERROR(VLOOKUP($B228,Players!$C$4:$G$132,2,FALSE)),0,VLOOKUP($B228,Players!$C$4:$G$132,2,FALSE))&amp;";"&amp;$C228&amp;";"&amp;VLOOKUP($C228,Players!$C$4:$G$132,5,FALSE)&amp;";"&amp;IF(ISERROR(VLOOKUP($C228,Players!$C$4:$G$132,2,FALSE)),0,VLOOKUP($C228,Players!$C$4:$G$132,2,FALSE))&amp;"|"</f>
        <v>#N/A</v>
      </c>
      <c r="B228" t="str">
        <f ca="1">IF(Team_Matches!$Q2892="W",Team_Matches!$B2892,IF(Team_Matches!$Q2894="W",Team_Matches!$B2894,""))</f>
        <v/>
      </c>
      <c r="C228" t="str">
        <f ca="1">IF(Team_Matches!$Q2892="L",Team_Matches!$B2892,IF(Team_Matches!$Q2894="L",Team_Matches!$B2894,""))</f>
        <v/>
      </c>
      <c r="D228" t="str">
        <f>CONCATENATE(Team_Matches!$B2865," vs ",Team_Matches!$K2865)</f>
        <v>E vs L</v>
      </c>
      <c r="E228" t="str">
        <f>Team_Matches!$A2890</f>
        <v>4th Singles</v>
      </c>
      <c r="F228" s="7" t="str">
        <f ca="1">IF(Team_Matches!$Q2892&lt;&gt;"",IF(Team_Matches!H2892&gt;Team_Matches!H2894,MIN(Team_Matches!H2892,Team_Matches!H2894),-MIN(Team_Matches!H2892,Team_Matches!H2894))*IF(Team_Matches!$Q2892="W",1,-1),"")</f>
        <v/>
      </c>
      <c r="G228" s="7" t="str">
        <f ca="1">IF(Team_Matches!$Q2892&lt;&gt;"",IF(Team_Matches!I2892&gt;Team_Matches!I2894,MIN(Team_Matches!I2892,Team_Matches!I2894),-MIN(Team_Matches!I2892,Team_Matches!I2894))*IF(Team_Matches!$Q2892="W",1,-1),"")</f>
        <v/>
      </c>
      <c r="H228" s="7" t="str">
        <f ca="1">IF(Team_Matches!$Q2892&lt;&gt;"",IF(Team_Matches!J2892&gt;Team_Matches!J2894,MIN(Team_Matches!J2892,Team_Matches!J2894),-MIN(Team_Matches!J2892,Team_Matches!J2894))*IF(Team_Matches!$Q2892="W",1,-1),"")</f>
        <v/>
      </c>
      <c r="I228" s="7" t="str">
        <f ca="1">IF(Team_Matches!$Q2892&lt;&gt;"",IF(Team_Matches!K2892=Team_Matches!K2894,"",IF(Team_Matches!K2892&gt;Team_Matches!K2894,MIN(Team_Matches!K2892,Team_Matches!K2894),-MIN(Team_Matches!K2892,Team_Matches!K2894))*IF(Team_Matches!$Q2892="W",1,-1)),"")</f>
        <v/>
      </c>
      <c r="J228" s="7" t="str">
        <f ca="1">IF(Team_Matches!$Q2892&lt;&gt;"",IF(Team_Matches!L2892=Team_Matches!L2894,"",IF(Team_Matches!L2892&gt;Team_Matches!L2894,MIN(Team_Matches!L2892,Team_Matches!L2894),-MIN(Team_Matches!L2892,Team_Matches!L2894))*IF(Team_Matches!$Q2892="W",1,-1)),"")</f>
        <v/>
      </c>
    </row>
    <row r="229" spans="1:10" x14ac:dyDescent="0.25">
      <c r="A229" s="55" t="e">
        <f>$B229&amp;";"&amp;VLOOKUP($B229,Players!$C$4:$G$132,5,FALSE)&amp;";"&amp;IF(ISERROR(VLOOKUP($B229,Players!$C$4:$G$132,2,FALSE)),0,VLOOKUP($B229,Players!$C$4:$G$132,2,FALSE))&amp;";"&amp;$C229&amp;";"&amp;VLOOKUP($C229,Players!$C$4:$G$132,5,FALSE)&amp;";"&amp;IF(ISERROR(VLOOKUP($C229,Players!$C$4:$G$132,2,FALSE)),0,VLOOKUP($C229,Players!$C$4:$G$132,2,FALSE))&amp;"|"</f>
        <v>#N/A</v>
      </c>
      <c r="B229" t="str">
        <f>IF(Team_Matches!$Q2922="W",Team_Matches!$B2922,IF(Team_Matches!$Q2924="W",Team_Matches!$B2924,""))</f>
        <v/>
      </c>
      <c r="C229" t="str">
        <f>IF(Team_Matches!$Q2922="L",Team_Matches!$B2922,IF(Team_Matches!$Q2924="L",Team_Matches!$B2924,""))</f>
        <v/>
      </c>
      <c r="D229" t="str">
        <f>CONCATENATE(Team_Matches!$B2916," vs ",Team_Matches!$K2916)</f>
        <v>F vs K</v>
      </c>
      <c r="E229" t="str">
        <f>Team_Matches!A2920</f>
        <v>1st Singles</v>
      </c>
      <c r="F229" s="7" t="str">
        <f>IF(Team_Matches!$Q2922&lt;&gt;"",IF(Team_Matches!H2922&gt;Team_Matches!H2924,MIN(Team_Matches!H2922,Team_Matches!H2924),-MIN(Team_Matches!H2922,Team_Matches!H2924))*IF(Team_Matches!$Q2922="W",1,-1),"")</f>
        <v/>
      </c>
      <c r="G229" s="7" t="str">
        <f>IF(Team_Matches!$Q2922&lt;&gt;"",IF(Team_Matches!I2922&gt;Team_Matches!I2924,MIN(Team_Matches!I2922,Team_Matches!I2924),-MIN(Team_Matches!I2922,Team_Matches!I2924))*IF(Team_Matches!$Q2922="W",1,-1),"")</f>
        <v/>
      </c>
      <c r="H229" s="7" t="str">
        <f>IF(Team_Matches!$Q2922&lt;&gt;"",IF(Team_Matches!J2922&gt;Team_Matches!J2924,MIN(Team_Matches!J2922,Team_Matches!J2924),-MIN(Team_Matches!J2922,Team_Matches!J2924))*IF(Team_Matches!$Q2922="W",1,-1),"")</f>
        <v/>
      </c>
      <c r="I229" s="7" t="str">
        <f>IF(Team_Matches!$Q2922&lt;&gt;"",IF(Team_Matches!K2922=Team_Matches!K2924,"",IF(Team_Matches!K2922&gt;Team_Matches!K2924,MIN(Team_Matches!K2922,Team_Matches!K2924),-MIN(Team_Matches!K2922,Team_Matches!K2924))*IF(Team_Matches!$Q2922="W",1,-1)),"")</f>
        <v/>
      </c>
      <c r="J229" s="7" t="str">
        <f>IF(Team_Matches!$Q2922&lt;&gt;"",IF(Team_Matches!L2922=Team_Matches!L2924,"",IF(Team_Matches!L2922&gt;Team_Matches!L2924,MIN(Team_Matches!L2922,Team_Matches!L2924),-MIN(Team_Matches!L2922,Team_Matches!L2924))*IF(Team_Matches!$Q2922="W",1,-1)),"")</f>
        <v/>
      </c>
    </row>
    <row r="230" spans="1:10" x14ac:dyDescent="0.25">
      <c r="A230" s="55" t="e">
        <f>$B230&amp;";"&amp;VLOOKUP($B230,Players!$C$4:$G$132,5,FALSE)&amp;";"&amp;IF(ISERROR(VLOOKUP($B230,Players!$C$4:$G$132,2,FALSE)),0,VLOOKUP($B230,Players!$C$4:$G$132,2,FALSE))&amp;";"&amp;$C230&amp;";"&amp;VLOOKUP($C230,Players!$C$4:$G$132,5,FALSE)&amp;";"&amp;IF(ISERROR(VLOOKUP($C230,Players!$C$4:$G$132,2,FALSE)),0,VLOOKUP($C230,Players!$C$4:$G$132,2,FALSE))&amp;"|"</f>
        <v>#N/A</v>
      </c>
      <c r="B230" t="str">
        <f>IF(Team_Matches!$Q2929="W",Team_Matches!$B2929,IF(Team_Matches!$Q2931="W",Team_Matches!$B2931,""))</f>
        <v/>
      </c>
      <c r="C230" t="str">
        <f>IF(Team_Matches!$Q2929="L",Team_Matches!$B2929,IF(Team_Matches!$Q2931="L",Team_Matches!$B2931,""))</f>
        <v/>
      </c>
      <c r="D230" t="str">
        <f>CONCATENATE(Team_Matches!$B2916," vs ",Team_Matches!$K2916)</f>
        <v>F vs K</v>
      </c>
      <c r="E230" t="str">
        <f>Team_Matches!$A2927</f>
        <v>2nd Singles</v>
      </c>
      <c r="F230" s="7" t="str">
        <f>IF(Team_Matches!$Q2929&lt;&gt;"",IF(Team_Matches!H2929&gt;Team_Matches!H2931,MIN(Team_Matches!H2929,Team_Matches!H2931),-MIN(Team_Matches!H2929,Team_Matches!H2931))*IF(Team_Matches!$Q2929="W",1,-1),"")</f>
        <v/>
      </c>
      <c r="G230" s="7" t="str">
        <f>IF(Team_Matches!$Q2929&lt;&gt;"",IF(Team_Matches!I2929&gt;Team_Matches!I2931,MIN(Team_Matches!I2929,Team_Matches!I2931),-MIN(Team_Matches!I2929,Team_Matches!I2931))*IF(Team_Matches!$Q2929="W",1,-1),"")</f>
        <v/>
      </c>
      <c r="H230" s="7" t="str">
        <f>IF(Team_Matches!$Q2929&lt;&gt;"",IF(Team_Matches!J2929&gt;Team_Matches!J2931,MIN(Team_Matches!J2929,Team_Matches!J2931),-MIN(Team_Matches!J2929,Team_Matches!J2931))*IF(Team_Matches!$Q2929="W",1,-1),"")</f>
        <v/>
      </c>
      <c r="I230" s="7" t="str">
        <f>IF(Team_Matches!$Q2929&lt;&gt;"",IF(Team_Matches!K2929=Team_Matches!K2931,"",IF(Team_Matches!K2929&gt;Team_Matches!K2931,MIN(Team_Matches!K2929,Team_Matches!K2931),-MIN(Team_Matches!K2929,Team_Matches!K2931))*IF(Team_Matches!$Q2929="W",1,-1)),"")</f>
        <v/>
      </c>
      <c r="J230" s="7" t="str">
        <f>IF(Team_Matches!$Q2929&lt;&gt;"",IF(Team_Matches!L2929=Team_Matches!L2931,"",IF(Team_Matches!L2929&gt;Team_Matches!L2931,MIN(Team_Matches!L2929,Team_Matches!L2931),-MIN(Team_Matches!L2929,Team_Matches!L2931))*IF(Team_Matches!$Q2929="W",1,-1)),"")</f>
        <v/>
      </c>
    </row>
    <row r="231" spans="1:10" x14ac:dyDescent="0.25">
      <c r="A231" s="55" t="e">
        <f>$B231&amp;";"&amp;VLOOKUP($B231,Players!$C$4:$G$132,5,FALSE)&amp;";"&amp;IF(ISERROR(VLOOKUP($B231,Players!$C$4:$G$132,2,FALSE)),0,VLOOKUP($B231,Players!$C$4:$G$132,2,FALSE))&amp;";"&amp;$C231&amp;";"&amp;VLOOKUP($C231,Players!$C$4:$G$132,5,FALSE)&amp;";"&amp;IF(ISERROR(VLOOKUP($C231,Players!$C$4:$G$132,2,FALSE)),0,VLOOKUP($C231,Players!$C$4:$G$132,2,FALSE))&amp;"|"</f>
        <v>#N/A</v>
      </c>
      <c r="B231" t="str">
        <f>IF(Team_Matches!$Q2936="W",Team_Matches!$B2936,IF(Team_Matches!$Q2938="W",Team_Matches!$B2938,""))</f>
        <v/>
      </c>
      <c r="C231" t="str">
        <f>IF(Team_Matches!$Q2936="L",Team_Matches!$B2936,IF(Team_Matches!$Q2938="L",Team_Matches!$B2938,""))</f>
        <v/>
      </c>
      <c r="D231" t="str">
        <f>CONCATENATE(Team_Matches!$B2916," vs ",Team_Matches!$K2916)</f>
        <v>F vs K</v>
      </c>
      <c r="E231" t="str">
        <f>Team_Matches!$A2934</f>
        <v>3rd Singles</v>
      </c>
      <c r="F231" s="7" t="str">
        <f>IF(Team_Matches!$Q2936&lt;&gt;"",IF(Team_Matches!H2936&gt;Team_Matches!H2938,MIN(Team_Matches!H2936,Team_Matches!H2938),-MIN(Team_Matches!H2936,Team_Matches!H2938))*IF(Team_Matches!$Q2936="W",1,-1),"")</f>
        <v/>
      </c>
      <c r="G231" s="7" t="str">
        <f>IF(Team_Matches!$Q2936&lt;&gt;"",IF(Team_Matches!I2936&gt;Team_Matches!I2938,MIN(Team_Matches!I2936,Team_Matches!I2938),-MIN(Team_Matches!I2936,Team_Matches!I2938))*IF(Team_Matches!$Q2936="W",1,-1),"")</f>
        <v/>
      </c>
      <c r="H231" s="7" t="str">
        <f>IF(Team_Matches!$Q2936&lt;&gt;"",IF(Team_Matches!J2936&gt;Team_Matches!J2938,MIN(Team_Matches!J2936,Team_Matches!J2938),-MIN(Team_Matches!J2936,Team_Matches!J2938))*IF(Team_Matches!$Q2936="W",1,-1),"")</f>
        <v/>
      </c>
      <c r="I231" s="7" t="str">
        <f>IF(Team_Matches!$Q2936&lt;&gt;"",IF(Team_Matches!K2936=Team_Matches!K2938,"",IF(Team_Matches!K2936&gt;Team_Matches!K2938,MIN(Team_Matches!K2936,Team_Matches!K2938),-MIN(Team_Matches!K2936,Team_Matches!K2938))*IF(Team_Matches!$Q2936="W",1,-1)),"")</f>
        <v/>
      </c>
      <c r="J231" s="7" t="str">
        <f>IF(Team_Matches!$Q2936&lt;&gt;"",IF(Team_Matches!L2936=Team_Matches!L2938,"",IF(Team_Matches!L2936&gt;Team_Matches!L2938,MIN(Team_Matches!L2936,Team_Matches!L2938),-MIN(Team_Matches!L2936,Team_Matches!L2938))*IF(Team_Matches!$Q2936="W",1,-1)),"")</f>
        <v/>
      </c>
    </row>
    <row r="232" spans="1:10" x14ac:dyDescent="0.25">
      <c r="A232" s="55" t="e">
        <f ca="1">$B232&amp;";"&amp;VLOOKUP($B232,Players!$C$4:$G$132,5,FALSE)&amp;";"&amp;IF(ISERROR(VLOOKUP($B232,Players!$C$4:$G$132,2,FALSE)),0,VLOOKUP($B232,Players!$C$4:$G$132,2,FALSE))&amp;";"&amp;$C232&amp;";"&amp;VLOOKUP($C232,Players!$C$4:$G$132,5,FALSE)&amp;";"&amp;IF(ISERROR(VLOOKUP($C232,Players!$C$4:$G$132,2,FALSE)),0,VLOOKUP($C232,Players!$C$4:$G$132,2,FALSE))&amp;"|"</f>
        <v>#N/A</v>
      </c>
      <c r="B232" t="str">
        <f ca="1">IF(Team_Matches!$Q2943="W",Team_Matches!$B2943,IF(Team_Matches!$Q2945="W",Team_Matches!$B2945,""))</f>
        <v/>
      </c>
      <c r="C232" t="str">
        <f ca="1">IF(Team_Matches!$Q2943="L",Team_Matches!$B2943,IF(Team_Matches!$Q2945="L",Team_Matches!$B2945,""))</f>
        <v/>
      </c>
      <c r="D232" t="str">
        <f>CONCATENATE(Team_Matches!$B2916," vs ",Team_Matches!$K2916)</f>
        <v>F vs K</v>
      </c>
      <c r="E232" t="str">
        <f>Team_Matches!$A2941</f>
        <v>4th Singles</v>
      </c>
      <c r="F232" s="7" t="str">
        <f ca="1">IF(Team_Matches!$Q2943&lt;&gt;"",IF(Team_Matches!H2943&gt;Team_Matches!H2945,MIN(Team_Matches!H2943,Team_Matches!H2945),-MIN(Team_Matches!H2943,Team_Matches!H2945))*IF(Team_Matches!$Q2943="W",1,-1),"")</f>
        <v/>
      </c>
      <c r="G232" s="7" t="str">
        <f ca="1">IF(Team_Matches!$Q2943&lt;&gt;"",IF(Team_Matches!I2943&gt;Team_Matches!I2945,MIN(Team_Matches!I2943,Team_Matches!I2945),-MIN(Team_Matches!I2943,Team_Matches!I2945))*IF(Team_Matches!$Q2943="W",1,-1),"")</f>
        <v/>
      </c>
      <c r="H232" s="7" t="str">
        <f ca="1">IF(Team_Matches!$Q2943&lt;&gt;"",IF(Team_Matches!J2943&gt;Team_Matches!J2945,MIN(Team_Matches!J2943,Team_Matches!J2945),-MIN(Team_Matches!J2943,Team_Matches!J2945))*IF(Team_Matches!$Q2943="W",1,-1),"")</f>
        <v/>
      </c>
      <c r="I232" s="7" t="str">
        <f ca="1">IF(Team_Matches!$Q2943&lt;&gt;"",IF(Team_Matches!K2943=Team_Matches!K2945,"",IF(Team_Matches!K2943&gt;Team_Matches!K2945,MIN(Team_Matches!K2943,Team_Matches!K2945),-MIN(Team_Matches!K2943,Team_Matches!K2945))*IF(Team_Matches!$Q2943="W",1,-1)),"")</f>
        <v/>
      </c>
      <c r="J232" s="7" t="str">
        <f ca="1">IF(Team_Matches!$Q2943&lt;&gt;"",IF(Team_Matches!L2943=Team_Matches!L2945,"",IF(Team_Matches!L2943&gt;Team_Matches!L2945,MIN(Team_Matches!L2943,Team_Matches!L2945),-MIN(Team_Matches!L2943,Team_Matches!L2945))*IF(Team_Matches!$Q2943="W",1,-1)),"")</f>
        <v/>
      </c>
    </row>
    <row r="233" spans="1:10" x14ac:dyDescent="0.25">
      <c r="A233" s="55" t="e">
        <f>$B233&amp;";"&amp;VLOOKUP($B233,Players!$C$4:$G$132,5,FALSE)&amp;";"&amp;IF(ISERROR(VLOOKUP($B233,Players!$C$4:$G$132,2,FALSE)),0,VLOOKUP($B233,Players!$C$4:$G$132,2,FALSE))&amp;";"&amp;$C233&amp;";"&amp;VLOOKUP($C233,Players!$C$4:$G$132,5,FALSE)&amp;";"&amp;IF(ISERROR(VLOOKUP($C233,Players!$C$4:$G$132,2,FALSE)),0,VLOOKUP($C233,Players!$C$4:$G$132,2,FALSE))&amp;"|"</f>
        <v>#N/A</v>
      </c>
      <c r="B233" t="str">
        <f>IF(Team_Matches!$Q2973="W",Team_Matches!$B2973,IF(Team_Matches!$Q2975="W",Team_Matches!$B2975,""))</f>
        <v/>
      </c>
      <c r="C233" t="str">
        <f>IF(Team_Matches!$Q2973="L",Team_Matches!$B2973,IF(Team_Matches!$Q2975="L",Team_Matches!$B2975,""))</f>
        <v/>
      </c>
      <c r="D233" t="str">
        <f>CONCATENATE(Team_Matches!$B2967," vs ",Team_Matches!$K2967)</f>
        <v>G vs J</v>
      </c>
      <c r="E233" t="str">
        <f>Team_Matches!A2971</f>
        <v>1st Singles</v>
      </c>
      <c r="F233" s="7" t="str">
        <f>IF(Team_Matches!$Q2973&lt;&gt;"",IF(Team_Matches!H2973&gt;Team_Matches!H2975,MIN(Team_Matches!H2973,Team_Matches!H2975),-MIN(Team_Matches!H2973,Team_Matches!H2975))*IF(Team_Matches!$Q2973="W",1,-1),"")</f>
        <v/>
      </c>
      <c r="G233" s="7" t="str">
        <f>IF(Team_Matches!$Q2973&lt;&gt;"",IF(Team_Matches!I2973&gt;Team_Matches!I2975,MIN(Team_Matches!I2973,Team_Matches!I2975),-MIN(Team_Matches!I2973,Team_Matches!I2975))*IF(Team_Matches!$Q2973="W",1,-1),"")</f>
        <v/>
      </c>
      <c r="H233" s="7" t="str">
        <f>IF(Team_Matches!$Q2973&lt;&gt;"",IF(Team_Matches!J2973&gt;Team_Matches!J2975,MIN(Team_Matches!J2973,Team_Matches!J2975),-MIN(Team_Matches!J2973,Team_Matches!J2975))*IF(Team_Matches!$Q2973="W",1,-1),"")</f>
        <v/>
      </c>
      <c r="I233" s="7" t="str">
        <f>IF(Team_Matches!$Q2973&lt;&gt;"",IF(Team_Matches!K2973=Team_Matches!K2975,"",IF(Team_Matches!K2973&gt;Team_Matches!K2975,MIN(Team_Matches!K2973,Team_Matches!K2975),-MIN(Team_Matches!K2973,Team_Matches!K2975))*IF(Team_Matches!$Q2973="W",1,-1)),"")</f>
        <v/>
      </c>
      <c r="J233" s="7" t="str">
        <f>IF(Team_Matches!$Q2973&lt;&gt;"",IF(Team_Matches!L2973=Team_Matches!L2975,"",IF(Team_Matches!L2973&gt;Team_Matches!L2975,MIN(Team_Matches!L2973,Team_Matches!L2975),-MIN(Team_Matches!L2973,Team_Matches!L2975))*IF(Team_Matches!$Q2973="W",1,-1)),"")</f>
        <v/>
      </c>
    </row>
    <row r="234" spans="1:10" x14ac:dyDescent="0.25">
      <c r="A234" s="55" t="e">
        <f>$B234&amp;";"&amp;VLOOKUP($B234,Players!$C$4:$G$132,5,FALSE)&amp;";"&amp;IF(ISERROR(VLOOKUP($B234,Players!$C$4:$G$132,2,FALSE)),0,VLOOKUP($B234,Players!$C$4:$G$132,2,FALSE))&amp;";"&amp;$C234&amp;";"&amp;VLOOKUP($C234,Players!$C$4:$G$132,5,FALSE)&amp;";"&amp;IF(ISERROR(VLOOKUP($C234,Players!$C$4:$G$132,2,FALSE)),0,VLOOKUP($C234,Players!$C$4:$G$132,2,FALSE))&amp;"|"</f>
        <v>#N/A</v>
      </c>
      <c r="B234" t="str">
        <f>IF(Team_Matches!$Q2980="W",Team_Matches!$B2980,IF(Team_Matches!$Q2982="W",Team_Matches!$B2982,""))</f>
        <v/>
      </c>
      <c r="C234" t="str">
        <f>IF(Team_Matches!$Q2980="L",Team_Matches!$B2980,IF(Team_Matches!$Q2982="L",Team_Matches!$B2982,""))</f>
        <v/>
      </c>
      <c r="D234" t="str">
        <f>CONCATENATE(Team_Matches!$B2967," vs ",Team_Matches!$K2967)</f>
        <v>G vs J</v>
      </c>
      <c r="E234" t="str">
        <f>Team_Matches!$A2978</f>
        <v>2nd Singles</v>
      </c>
      <c r="F234" s="7" t="str">
        <f>IF(Team_Matches!$Q2980&lt;&gt;"",IF(Team_Matches!H2980&gt;Team_Matches!H2982,MIN(Team_Matches!H2980,Team_Matches!H2982),-MIN(Team_Matches!H2980,Team_Matches!H2982))*IF(Team_Matches!$Q2980="W",1,-1),"")</f>
        <v/>
      </c>
      <c r="G234" s="7" t="str">
        <f>IF(Team_Matches!$Q2980&lt;&gt;"",IF(Team_Matches!I2980&gt;Team_Matches!I2982,MIN(Team_Matches!I2980,Team_Matches!I2982),-MIN(Team_Matches!I2980,Team_Matches!I2982))*IF(Team_Matches!$Q2980="W",1,-1),"")</f>
        <v/>
      </c>
      <c r="H234" s="7" t="str">
        <f>IF(Team_Matches!$Q2980&lt;&gt;"",IF(Team_Matches!J2980&gt;Team_Matches!J2982,MIN(Team_Matches!J2980,Team_Matches!J2982),-MIN(Team_Matches!J2980,Team_Matches!J2982))*IF(Team_Matches!$Q2980="W",1,-1),"")</f>
        <v/>
      </c>
      <c r="I234" s="7" t="str">
        <f>IF(Team_Matches!$Q2980&lt;&gt;"",IF(Team_Matches!K2980=Team_Matches!K2982,"",IF(Team_Matches!K2980&gt;Team_Matches!K2982,MIN(Team_Matches!K2980,Team_Matches!K2982),-MIN(Team_Matches!K2980,Team_Matches!K2982))*IF(Team_Matches!$Q2980="W",1,-1)),"")</f>
        <v/>
      </c>
      <c r="J234" s="7" t="str">
        <f>IF(Team_Matches!$Q2980&lt;&gt;"",IF(Team_Matches!L2980=Team_Matches!L2982,"",IF(Team_Matches!L2980&gt;Team_Matches!L2982,MIN(Team_Matches!L2980,Team_Matches!L2982),-MIN(Team_Matches!L2980,Team_Matches!L2982))*IF(Team_Matches!$Q2980="W",1,-1)),"")</f>
        <v/>
      </c>
    </row>
    <row r="235" spans="1:10" x14ac:dyDescent="0.25">
      <c r="A235" s="55" t="e">
        <f>$B235&amp;";"&amp;VLOOKUP($B235,Players!$C$4:$G$132,5,FALSE)&amp;";"&amp;IF(ISERROR(VLOOKUP($B235,Players!$C$4:$G$132,2,FALSE)),0,VLOOKUP($B235,Players!$C$4:$G$132,2,FALSE))&amp;";"&amp;$C235&amp;";"&amp;VLOOKUP($C235,Players!$C$4:$G$132,5,FALSE)&amp;";"&amp;IF(ISERROR(VLOOKUP($C235,Players!$C$4:$G$132,2,FALSE)),0,VLOOKUP($C235,Players!$C$4:$G$132,2,FALSE))&amp;"|"</f>
        <v>#N/A</v>
      </c>
      <c r="B235" t="str">
        <f>IF(Team_Matches!$Q2987="W",Team_Matches!$B2987,IF(Team_Matches!$Q2989="W",Team_Matches!$B2989,""))</f>
        <v/>
      </c>
      <c r="C235" t="str">
        <f>IF(Team_Matches!$Q2987="L",Team_Matches!$B2987,IF(Team_Matches!$Q2989="L",Team_Matches!$B2989,""))</f>
        <v/>
      </c>
      <c r="D235" t="str">
        <f>CONCATENATE(Team_Matches!$B2967," vs ",Team_Matches!$K2967)</f>
        <v>G vs J</v>
      </c>
      <c r="E235" t="str">
        <f>Team_Matches!$A2985</f>
        <v>3rd Singles</v>
      </c>
      <c r="F235" s="7" t="str">
        <f>IF(Team_Matches!$Q2987&lt;&gt;"",IF(Team_Matches!H2987&gt;Team_Matches!H2989,MIN(Team_Matches!H2987,Team_Matches!H2989),-MIN(Team_Matches!H2987,Team_Matches!H2989))*IF(Team_Matches!$Q2987="W",1,-1),"")</f>
        <v/>
      </c>
      <c r="G235" s="7" t="str">
        <f>IF(Team_Matches!$Q2987&lt;&gt;"",IF(Team_Matches!I2987&gt;Team_Matches!I2989,MIN(Team_Matches!I2987,Team_Matches!I2989),-MIN(Team_Matches!I2987,Team_Matches!I2989))*IF(Team_Matches!$Q2987="W",1,-1),"")</f>
        <v/>
      </c>
      <c r="H235" s="7" t="str">
        <f>IF(Team_Matches!$Q2987&lt;&gt;"",IF(Team_Matches!J2987&gt;Team_Matches!J2989,MIN(Team_Matches!J2987,Team_Matches!J2989),-MIN(Team_Matches!J2987,Team_Matches!J2989))*IF(Team_Matches!$Q2987="W",1,-1),"")</f>
        <v/>
      </c>
      <c r="I235" s="7" t="str">
        <f>IF(Team_Matches!$Q2987&lt;&gt;"",IF(Team_Matches!K2987=Team_Matches!K2989,"",IF(Team_Matches!K2987&gt;Team_Matches!K2989,MIN(Team_Matches!K2987,Team_Matches!K2989),-MIN(Team_Matches!K2987,Team_Matches!K2989))*IF(Team_Matches!$Q2987="W",1,-1)),"")</f>
        <v/>
      </c>
      <c r="J235" s="7" t="str">
        <f>IF(Team_Matches!$Q2987&lt;&gt;"",IF(Team_Matches!L2987=Team_Matches!L2989,"",IF(Team_Matches!L2987&gt;Team_Matches!L2989,MIN(Team_Matches!L2987,Team_Matches!L2989),-MIN(Team_Matches!L2987,Team_Matches!L2989))*IF(Team_Matches!$Q2987="W",1,-1)),"")</f>
        <v/>
      </c>
    </row>
    <row r="236" spans="1:10" x14ac:dyDescent="0.25">
      <c r="A236" s="55" t="e">
        <f ca="1">$B236&amp;";"&amp;VLOOKUP($B236,Players!$C$4:$G$132,5,FALSE)&amp;";"&amp;IF(ISERROR(VLOOKUP($B236,Players!$C$4:$G$132,2,FALSE)),0,VLOOKUP($B236,Players!$C$4:$G$132,2,FALSE))&amp;";"&amp;$C236&amp;";"&amp;VLOOKUP($C236,Players!$C$4:$G$132,5,FALSE)&amp;";"&amp;IF(ISERROR(VLOOKUP($C236,Players!$C$4:$G$132,2,FALSE)),0,VLOOKUP($C236,Players!$C$4:$G$132,2,FALSE))&amp;"|"</f>
        <v>#N/A</v>
      </c>
      <c r="B236" t="str">
        <f ca="1">IF(Team_Matches!$Q2994="W",Team_Matches!$B2994,IF(Team_Matches!$Q2996="W",Team_Matches!$B2996,""))</f>
        <v/>
      </c>
      <c r="C236" t="str">
        <f ca="1">IF(Team_Matches!$Q2994="L",Team_Matches!$B2994,IF(Team_Matches!$Q2996="L",Team_Matches!$B2996,""))</f>
        <v/>
      </c>
      <c r="D236" t="str">
        <f>CONCATENATE(Team_Matches!$B2967," vs ",Team_Matches!$K2967)</f>
        <v>G vs J</v>
      </c>
      <c r="E236" t="str">
        <f>Team_Matches!$A2992</f>
        <v>4th Singles</v>
      </c>
      <c r="F236" s="7" t="str">
        <f ca="1">IF(Team_Matches!$Q2994&lt;&gt;"",IF(Team_Matches!H2994&gt;Team_Matches!H2996,MIN(Team_Matches!H2994,Team_Matches!H2996),-MIN(Team_Matches!H2994,Team_Matches!H2996))*IF(Team_Matches!$Q2994="W",1,-1),"")</f>
        <v/>
      </c>
      <c r="G236" s="7" t="str">
        <f ca="1">IF(Team_Matches!$Q2994&lt;&gt;"",IF(Team_Matches!I2994&gt;Team_Matches!I2996,MIN(Team_Matches!I2994,Team_Matches!I2996),-MIN(Team_Matches!I2994,Team_Matches!I2996))*IF(Team_Matches!$Q2994="W",1,-1),"")</f>
        <v/>
      </c>
      <c r="H236" s="7" t="str">
        <f ca="1">IF(Team_Matches!$Q2994&lt;&gt;"",IF(Team_Matches!J2994&gt;Team_Matches!J2996,MIN(Team_Matches!J2994,Team_Matches!J2996),-MIN(Team_Matches!J2994,Team_Matches!J2996))*IF(Team_Matches!$Q2994="W",1,-1),"")</f>
        <v/>
      </c>
      <c r="I236" s="7" t="str">
        <f ca="1">IF(Team_Matches!$Q2994&lt;&gt;"",IF(Team_Matches!K2994=Team_Matches!K2996,"",IF(Team_Matches!K2994&gt;Team_Matches!K2996,MIN(Team_Matches!K2994,Team_Matches!K2996),-MIN(Team_Matches!K2994,Team_Matches!K2996))*IF(Team_Matches!$Q2994="W",1,-1)),"")</f>
        <v/>
      </c>
      <c r="J236" s="7" t="str">
        <f ca="1">IF(Team_Matches!$Q2994&lt;&gt;"",IF(Team_Matches!L2994=Team_Matches!L2996,"",IF(Team_Matches!L2994&gt;Team_Matches!L2996,MIN(Team_Matches!L2994,Team_Matches!L2996),-MIN(Team_Matches!L2994,Team_Matches!L2996))*IF(Team_Matches!$Q2994="W",1,-1)),"")</f>
        <v/>
      </c>
    </row>
    <row r="237" spans="1:10" x14ac:dyDescent="0.25">
      <c r="A237" s="55" t="e">
        <f>$B237&amp;";"&amp;VLOOKUP($B237,Players!$C$4:$G$132,5,FALSE)&amp;";"&amp;IF(ISERROR(VLOOKUP($B237,Players!$C$4:$G$132,2,FALSE)),0,VLOOKUP($B237,Players!$C$4:$G$132,2,FALSE))&amp;";"&amp;$C237&amp;";"&amp;VLOOKUP($C237,Players!$C$4:$G$132,5,FALSE)&amp;";"&amp;IF(ISERROR(VLOOKUP($C237,Players!$C$4:$G$132,2,FALSE)),0,VLOOKUP($C237,Players!$C$4:$G$132,2,FALSE))&amp;"|"</f>
        <v>#N/A</v>
      </c>
      <c r="B237" t="str">
        <f>IF(Team_Matches!$Q3024="W",Team_Matches!$B3024,IF(Team_Matches!$Q3026="W",Team_Matches!$B3026,""))</f>
        <v/>
      </c>
      <c r="C237" t="str">
        <f>IF(Team_Matches!$Q3024="L",Team_Matches!$B3024,IF(Team_Matches!$Q3026="L",Team_Matches!$B3026,""))</f>
        <v/>
      </c>
      <c r="D237" t="str">
        <f>CONCATENATE(Team_Matches!$B3018," vs ",Team_Matches!$K3018)</f>
        <v>H vs I</v>
      </c>
      <c r="E237" t="str">
        <f>Team_Matches!A3022</f>
        <v>1st Singles</v>
      </c>
      <c r="F237" s="7" t="str">
        <f>IF(Team_Matches!$Q3024&lt;&gt;"",IF(Team_Matches!H3024&gt;Team_Matches!H3026,MIN(Team_Matches!H3024,Team_Matches!H3026),-MIN(Team_Matches!H3024,Team_Matches!H3026))*IF(Team_Matches!$Q3024="W",1,-1),"")</f>
        <v/>
      </c>
      <c r="G237" s="7" t="str">
        <f>IF(Team_Matches!$Q3024&lt;&gt;"",IF(Team_Matches!I3024&gt;Team_Matches!I3026,MIN(Team_Matches!I3024,Team_Matches!I3026),-MIN(Team_Matches!I3024,Team_Matches!I3026))*IF(Team_Matches!$Q3024="W",1,-1),"")</f>
        <v/>
      </c>
      <c r="H237" s="7" t="str">
        <f>IF(Team_Matches!$Q3024&lt;&gt;"",IF(Team_Matches!J3024&gt;Team_Matches!J3026,MIN(Team_Matches!J3024,Team_Matches!J3026),-MIN(Team_Matches!J3024,Team_Matches!J3026))*IF(Team_Matches!$Q3024="W",1,-1),"")</f>
        <v/>
      </c>
      <c r="I237" s="7" t="str">
        <f>IF(Team_Matches!$Q3024&lt;&gt;"",IF(Team_Matches!K3024=Team_Matches!K3026,"",IF(Team_Matches!K3024&gt;Team_Matches!K3026,MIN(Team_Matches!K3024,Team_Matches!K3026),-MIN(Team_Matches!K3024,Team_Matches!K3026))*IF(Team_Matches!$Q3024="W",1,-1)),"")</f>
        <v/>
      </c>
      <c r="J237" s="7" t="str">
        <f>IF(Team_Matches!$Q3024&lt;&gt;"",IF(Team_Matches!L3024=Team_Matches!L3026,"",IF(Team_Matches!L3024&gt;Team_Matches!L3026,MIN(Team_Matches!L3024,Team_Matches!L3026),-MIN(Team_Matches!L3024,Team_Matches!L3026))*IF(Team_Matches!$Q3024="W",1,-1)),"")</f>
        <v/>
      </c>
    </row>
    <row r="238" spans="1:10" x14ac:dyDescent="0.25">
      <c r="A238" s="55" t="e">
        <f>$B238&amp;";"&amp;VLOOKUP($B238,Players!$C$4:$G$132,5,FALSE)&amp;";"&amp;IF(ISERROR(VLOOKUP($B238,Players!$C$4:$G$132,2,FALSE)),0,VLOOKUP($B238,Players!$C$4:$G$132,2,FALSE))&amp;";"&amp;$C238&amp;";"&amp;VLOOKUP($C238,Players!$C$4:$G$132,5,FALSE)&amp;";"&amp;IF(ISERROR(VLOOKUP($C238,Players!$C$4:$G$132,2,FALSE)),0,VLOOKUP($C238,Players!$C$4:$G$132,2,FALSE))&amp;"|"</f>
        <v>#N/A</v>
      </c>
      <c r="B238" t="str">
        <f>IF(Team_Matches!$Q3031="W",Team_Matches!$B3031,IF(Team_Matches!$Q3033="W",Team_Matches!$B3033,""))</f>
        <v/>
      </c>
      <c r="C238" t="str">
        <f>IF(Team_Matches!$Q3031="L",Team_Matches!$B3031,IF(Team_Matches!$Q3033="L",Team_Matches!$B3033,""))</f>
        <v/>
      </c>
      <c r="D238" t="str">
        <f>CONCATENATE(Team_Matches!$B3018," vs ",Team_Matches!$K3018)</f>
        <v>H vs I</v>
      </c>
      <c r="E238" t="str">
        <f>Team_Matches!$A3029</f>
        <v>2nd Singles</v>
      </c>
      <c r="F238" s="7" t="str">
        <f>IF(Team_Matches!$Q3031&lt;&gt;"",IF(Team_Matches!H3031&gt;Team_Matches!H3033,MIN(Team_Matches!H3031,Team_Matches!H3033),-MIN(Team_Matches!H3031,Team_Matches!H3033))*IF(Team_Matches!$Q3031="W",1,-1),"")</f>
        <v/>
      </c>
      <c r="G238" s="7" t="str">
        <f>IF(Team_Matches!$Q3031&lt;&gt;"",IF(Team_Matches!I3031&gt;Team_Matches!I3033,MIN(Team_Matches!I3031,Team_Matches!I3033),-MIN(Team_Matches!I3031,Team_Matches!I3033))*IF(Team_Matches!$Q3031="W",1,-1),"")</f>
        <v/>
      </c>
      <c r="H238" s="7" t="str">
        <f>IF(Team_Matches!$Q3031&lt;&gt;"",IF(Team_Matches!J3031&gt;Team_Matches!J3033,MIN(Team_Matches!J3031,Team_Matches!J3033),-MIN(Team_Matches!J3031,Team_Matches!J3033))*IF(Team_Matches!$Q3031="W",1,-1),"")</f>
        <v/>
      </c>
      <c r="I238" s="7" t="str">
        <f>IF(Team_Matches!$Q3031&lt;&gt;"",IF(Team_Matches!K3031=Team_Matches!K3033,"",IF(Team_Matches!K3031&gt;Team_Matches!K3033,MIN(Team_Matches!K3031,Team_Matches!K3033),-MIN(Team_Matches!K3031,Team_Matches!K3033))*IF(Team_Matches!$Q3031="W",1,-1)),"")</f>
        <v/>
      </c>
      <c r="J238" s="7" t="str">
        <f>IF(Team_Matches!$Q3031&lt;&gt;"",IF(Team_Matches!L3031=Team_Matches!L3033,"",IF(Team_Matches!L3031&gt;Team_Matches!L3033,MIN(Team_Matches!L3031,Team_Matches!L3033),-MIN(Team_Matches!L3031,Team_Matches!L3033))*IF(Team_Matches!$Q3031="W",1,-1)),"")</f>
        <v/>
      </c>
    </row>
    <row r="239" spans="1:10" x14ac:dyDescent="0.25">
      <c r="A239" s="55" t="e">
        <f>$B239&amp;";"&amp;VLOOKUP($B239,Players!$C$4:$G$132,5,FALSE)&amp;";"&amp;IF(ISERROR(VLOOKUP($B239,Players!$C$4:$G$132,2,FALSE)),0,VLOOKUP($B239,Players!$C$4:$G$132,2,FALSE))&amp;";"&amp;$C239&amp;";"&amp;VLOOKUP($C239,Players!$C$4:$G$132,5,FALSE)&amp;";"&amp;IF(ISERROR(VLOOKUP($C239,Players!$C$4:$G$132,2,FALSE)),0,VLOOKUP($C239,Players!$C$4:$G$132,2,FALSE))&amp;"|"</f>
        <v>#N/A</v>
      </c>
      <c r="B239" t="str">
        <f>IF(Team_Matches!$Q3038="W",Team_Matches!$B3038,IF(Team_Matches!$Q3040="W",Team_Matches!$B3040,""))</f>
        <v/>
      </c>
      <c r="C239" t="str">
        <f>IF(Team_Matches!$Q3038="L",Team_Matches!$B3038,IF(Team_Matches!$Q3040="L",Team_Matches!$B3040,""))</f>
        <v/>
      </c>
      <c r="D239" t="str">
        <f>CONCATENATE(Team_Matches!$B3018," vs ",Team_Matches!$K3018)</f>
        <v>H vs I</v>
      </c>
      <c r="E239" t="str">
        <f>Team_Matches!$A3036</f>
        <v>3rd Singles</v>
      </c>
      <c r="F239" s="7" t="str">
        <f>IF(Team_Matches!$Q3038&lt;&gt;"",IF(Team_Matches!H3038&gt;Team_Matches!H3040,MIN(Team_Matches!H3038,Team_Matches!H3040),-MIN(Team_Matches!H3038,Team_Matches!H3040))*IF(Team_Matches!$Q3038="W",1,-1),"")</f>
        <v/>
      </c>
      <c r="G239" s="7" t="str">
        <f>IF(Team_Matches!$Q3038&lt;&gt;"",IF(Team_Matches!I3038&gt;Team_Matches!I3040,MIN(Team_Matches!I3038,Team_Matches!I3040),-MIN(Team_Matches!I3038,Team_Matches!I3040))*IF(Team_Matches!$Q3038="W",1,-1),"")</f>
        <v/>
      </c>
      <c r="H239" s="7" t="str">
        <f>IF(Team_Matches!$Q3038&lt;&gt;"",IF(Team_Matches!J3038&gt;Team_Matches!J3040,MIN(Team_Matches!J3038,Team_Matches!J3040),-MIN(Team_Matches!J3038,Team_Matches!J3040))*IF(Team_Matches!$Q3038="W",1,-1),"")</f>
        <v/>
      </c>
      <c r="I239" s="7" t="str">
        <f>IF(Team_Matches!$Q3038&lt;&gt;"",IF(Team_Matches!K3038=Team_Matches!K3040,"",IF(Team_Matches!K3038&gt;Team_Matches!K3040,MIN(Team_Matches!K3038,Team_Matches!K3040),-MIN(Team_Matches!K3038,Team_Matches!K3040))*IF(Team_Matches!$Q3038="W",1,-1)),"")</f>
        <v/>
      </c>
      <c r="J239" s="7" t="str">
        <f>IF(Team_Matches!$Q3038&lt;&gt;"",IF(Team_Matches!L3038=Team_Matches!L3040,"",IF(Team_Matches!L3038&gt;Team_Matches!L3040,MIN(Team_Matches!L3038,Team_Matches!L3040),-MIN(Team_Matches!L3038,Team_Matches!L3040))*IF(Team_Matches!$Q3038="W",1,-1)),"")</f>
        <v/>
      </c>
    </row>
    <row r="240" spans="1:10" x14ac:dyDescent="0.25">
      <c r="A240" s="55" t="e">
        <f ca="1">$B240&amp;";"&amp;VLOOKUP($B240,Players!$C$4:$G$132,5,FALSE)&amp;";"&amp;IF(ISERROR(VLOOKUP($B240,Players!$C$4:$G$132,2,FALSE)),0,VLOOKUP($B240,Players!$C$4:$G$132,2,FALSE))&amp;";"&amp;$C240&amp;";"&amp;VLOOKUP($C240,Players!$C$4:$G$132,5,FALSE)&amp;";"&amp;IF(ISERROR(VLOOKUP($C240,Players!$C$4:$G$132,2,FALSE)),0,VLOOKUP($C240,Players!$C$4:$G$132,2,FALSE))&amp;"|"</f>
        <v>#N/A</v>
      </c>
      <c r="B240" t="str">
        <f ca="1">IF(Team_Matches!$Q3045="W",Team_Matches!$B3045,IF(Team_Matches!$Q3047="W",Team_Matches!$B3047,""))</f>
        <v/>
      </c>
      <c r="C240" t="str">
        <f ca="1">IF(Team_Matches!$Q3045="L",Team_Matches!$B3045,IF(Team_Matches!$Q3047="L",Team_Matches!$B3047,""))</f>
        <v/>
      </c>
      <c r="D240" t="str">
        <f>CONCATENATE(Team_Matches!$B3018," vs ",Team_Matches!$K3018)</f>
        <v>H vs I</v>
      </c>
      <c r="E240" t="str">
        <f>Team_Matches!$A3043</f>
        <v>4th Singles</v>
      </c>
      <c r="F240" s="7" t="str">
        <f ca="1">IF(Team_Matches!$Q3045&lt;&gt;"",IF(Team_Matches!H3045&gt;Team_Matches!H3047,MIN(Team_Matches!H3045,Team_Matches!H3047),-MIN(Team_Matches!H3045,Team_Matches!H3047))*IF(Team_Matches!$Q3045="W",1,-1),"")</f>
        <v/>
      </c>
      <c r="G240" s="7" t="str">
        <f ca="1">IF(Team_Matches!$Q3045&lt;&gt;"",IF(Team_Matches!I3045&gt;Team_Matches!I3047,MIN(Team_Matches!I3045,Team_Matches!I3047),-MIN(Team_Matches!I3045,Team_Matches!I3047))*IF(Team_Matches!$Q3045="W",1,-1),"")</f>
        <v/>
      </c>
      <c r="H240" s="7" t="str">
        <f ca="1">IF(Team_Matches!$Q3045&lt;&gt;"",IF(Team_Matches!J3045&gt;Team_Matches!J3047,MIN(Team_Matches!J3045,Team_Matches!J3047),-MIN(Team_Matches!J3045,Team_Matches!J3047))*IF(Team_Matches!$Q3045="W",1,-1),"")</f>
        <v/>
      </c>
      <c r="I240" s="7" t="str">
        <f ca="1">IF(Team_Matches!$Q3045&lt;&gt;"",IF(Team_Matches!K3045=Team_Matches!K3047,"",IF(Team_Matches!K3045&gt;Team_Matches!K3047,MIN(Team_Matches!K3045,Team_Matches!K3047),-MIN(Team_Matches!K3045,Team_Matches!K3047))*IF(Team_Matches!$Q3045="W",1,-1)),"")</f>
        <v/>
      </c>
      <c r="J240" s="7" t="str">
        <f ca="1">IF(Team_Matches!$Q3045&lt;&gt;"",IF(Team_Matches!L3045=Team_Matches!L3047,"",IF(Team_Matches!L3045&gt;Team_Matches!L3047,MIN(Team_Matches!L3045,Team_Matches!L3047),-MIN(Team_Matches!L3045,Team_Matches!L3047))*IF(Team_Matches!$Q3045="W",1,-1)),"")</f>
        <v/>
      </c>
    </row>
    <row r="241" spans="1:10" x14ac:dyDescent="0.25">
      <c r="A241" s="55" t="e">
        <f>$B241&amp;";"&amp;VLOOKUP($B241,Players!$C$4:$G$132,5,FALSE)&amp;";"&amp;IF(ISERROR(VLOOKUP($B241,Players!$C$4:$G$132,2,FALSE)),0,VLOOKUP($B241,Players!$C$4:$G$132,2,FALSE))&amp;";"&amp;$C241&amp;";"&amp;VLOOKUP($C241,Players!$C$4:$G$132,5,FALSE)&amp;";"&amp;IF(ISERROR(VLOOKUP($C241,Players!$C$4:$G$132,2,FALSE)),0,VLOOKUP($C241,Players!$C$4:$G$132,2,FALSE))&amp;"|"</f>
        <v>#N/A</v>
      </c>
      <c r="B241" t="str">
        <f>IF(Team_Matches!$Q3075="W",Team_Matches!$B3075,IF(Team_Matches!$Q3077="W",Team_Matches!$B3077,""))</f>
        <v/>
      </c>
      <c r="C241" t="str">
        <f>IF(Team_Matches!$Q3075="L",Team_Matches!$B3075,IF(Team_Matches!$Q3077="L",Team_Matches!$B3077,""))</f>
        <v/>
      </c>
      <c r="D241" t="str">
        <f>CONCATENATE(Team_Matches!$B3069," vs ",Team_Matches!$K3069)</f>
        <v>A vs H</v>
      </c>
      <c r="E241" t="str">
        <f>Team_Matches!A3073</f>
        <v>1st Singles</v>
      </c>
      <c r="F241" s="7" t="str">
        <f>IF(Team_Matches!$Q3075&lt;&gt;"",IF(Team_Matches!H3075&gt;Team_Matches!H3077,MIN(Team_Matches!H3075,Team_Matches!H3077),-MIN(Team_Matches!H3075,Team_Matches!H3077))*IF(Team_Matches!$Q3075="W",1,-1),"")</f>
        <v/>
      </c>
      <c r="G241" s="7" t="str">
        <f>IF(Team_Matches!$Q3075&lt;&gt;"",IF(Team_Matches!I3075&gt;Team_Matches!I3077,MIN(Team_Matches!I3075,Team_Matches!I3077),-MIN(Team_Matches!I3075,Team_Matches!I3077))*IF(Team_Matches!$Q3075="W",1,-1),"")</f>
        <v/>
      </c>
      <c r="H241" s="7" t="str">
        <f>IF(Team_Matches!$Q3075&lt;&gt;"",IF(Team_Matches!J3075&gt;Team_Matches!J3077,MIN(Team_Matches!J3075,Team_Matches!J3077),-MIN(Team_Matches!J3075,Team_Matches!J3077))*IF(Team_Matches!$Q3075="W",1,-1),"")</f>
        <v/>
      </c>
      <c r="I241" s="7" t="str">
        <f>IF(Team_Matches!$Q3075&lt;&gt;"",IF(Team_Matches!K3075=Team_Matches!K3077,"",IF(Team_Matches!K3075&gt;Team_Matches!K3077,MIN(Team_Matches!K3075,Team_Matches!K3077),-MIN(Team_Matches!K3075,Team_Matches!K3077))*IF(Team_Matches!$Q3075="W",1,-1)),"")</f>
        <v/>
      </c>
      <c r="J241" s="7" t="str">
        <f>IF(Team_Matches!$Q3075&lt;&gt;"",IF(Team_Matches!L3075=Team_Matches!L3077,"",IF(Team_Matches!L3075&gt;Team_Matches!L3077,MIN(Team_Matches!L3075,Team_Matches!L3077),-MIN(Team_Matches!L3075,Team_Matches!L3077))*IF(Team_Matches!$Q3075="W",1,-1)),"")</f>
        <v/>
      </c>
    </row>
    <row r="242" spans="1:10" x14ac:dyDescent="0.25">
      <c r="A242" s="55" t="e">
        <f>$B242&amp;";"&amp;VLOOKUP($B242,Players!$C$4:$G$132,5,FALSE)&amp;";"&amp;IF(ISERROR(VLOOKUP($B242,Players!$C$4:$G$132,2,FALSE)),0,VLOOKUP($B242,Players!$C$4:$G$132,2,FALSE))&amp;";"&amp;$C242&amp;";"&amp;VLOOKUP($C242,Players!$C$4:$G$132,5,FALSE)&amp;";"&amp;IF(ISERROR(VLOOKUP($C242,Players!$C$4:$G$132,2,FALSE)),0,VLOOKUP($C242,Players!$C$4:$G$132,2,FALSE))&amp;"|"</f>
        <v>#N/A</v>
      </c>
      <c r="B242" t="str">
        <f>IF(Team_Matches!$Q3082="W",Team_Matches!$B3082,IF(Team_Matches!$Q3084="W",Team_Matches!$B3084,""))</f>
        <v/>
      </c>
      <c r="C242" t="str">
        <f>IF(Team_Matches!$Q3082="L",Team_Matches!$B3082,IF(Team_Matches!$Q3084="L",Team_Matches!$B3084,""))</f>
        <v/>
      </c>
      <c r="D242" t="str">
        <f>CONCATENATE(Team_Matches!$B3069," vs ",Team_Matches!$K3069)</f>
        <v>A vs H</v>
      </c>
      <c r="E242" t="str">
        <f>Team_Matches!$A3080</f>
        <v>2nd Singles</v>
      </c>
      <c r="F242" s="7" t="str">
        <f>IF(Team_Matches!$Q3082&lt;&gt;"",IF(Team_Matches!H3082&gt;Team_Matches!H3084,MIN(Team_Matches!H3082,Team_Matches!H3084),-MIN(Team_Matches!H3082,Team_Matches!H3084))*IF(Team_Matches!$Q3082="W",1,-1),"")</f>
        <v/>
      </c>
      <c r="G242" s="7" t="str">
        <f>IF(Team_Matches!$Q3082&lt;&gt;"",IF(Team_Matches!I3082&gt;Team_Matches!I3084,MIN(Team_Matches!I3082,Team_Matches!I3084),-MIN(Team_Matches!I3082,Team_Matches!I3084))*IF(Team_Matches!$Q3082="W",1,-1),"")</f>
        <v/>
      </c>
      <c r="H242" s="7" t="str">
        <f>IF(Team_Matches!$Q3082&lt;&gt;"",IF(Team_Matches!J3082&gt;Team_Matches!J3084,MIN(Team_Matches!J3082,Team_Matches!J3084),-MIN(Team_Matches!J3082,Team_Matches!J3084))*IF(Team_Matches!$Q3082="W",1,-1),"")</f>
        <v/>
      </c>
      <c r="I242" s="7" t="str">
        <f>IF(Team_Matches!$Q3082&lt;&gt;"",IF(Team_Matches!K3082=Team_Matches!K3084,"",IF(Team_Matches!K3082&gt;Team_Matches!K3084,MIN(Team_Matches!K3082,Team_Matches!K3084),-MIN(Team_Matches!K3082,Team_Matches!K3084))*IF(Team_Matches!$Q3082="W",1,-1)),"")</f>
        <v/>
      </c>
      <c r="J242" s="7" t="str">
        <f>IF(Team_Matches!$Q3082&lt;&gt;"",IF(Team_Matches!L3082=Team_Matches!L3084,"",IF(Team_Matches!L3082&gt;Team_Matches!L3084,MIN(Team_Matches!L3082,Team_Matches!L3084),-MIN(Team_Matches!L3082,Team_Matches!L3084))*IF(Team_Matches!$Q3082="W",1,-1)),"")</f>
        <v/>
      </c>
    </row>
    <row r="243" spans="1:10" x14ac:dyDescent="0.25">
      <c r="A243" s="55" t="e">
        <f>$B243&amp;";"&amp;VLOOKUP($B243,Players!$C$4:$G$132,5,FALSE)&amp;";"&amp;IF(ISERROR(VLOOKUP($B243,Players!$C$4:$G$132,2,FALSE)),0,VLOOKUP($B243,Players!$C$4:$G$132,2,FALSE))&amp;";"&amp;$C243&amp;";"&amp;VLOOKUP($C243,Players!$C$4:$G$132,5,FALSE)&amp;";"&amp;IF(ISERROR(VLOOKUP($C243,Players!$C$4:$G$132,2,FALSE)),0,VLOOKUP($C243,Players!$C$4:$G$132,2,FALSE))&amp;"|"</f>
        <v>#N/A</v>
      </c>
      <c r="B243" t="str">
        <f>IF(Team_Matches!$Q3089="W",Team_Matches!$B3089,IF(Team_Matches!$Q3091="W",Team_Matches!$B3091,""))</f>
        <v/>
      </c>
      <c r="C243" t="str">
        <f>IF(Team_Matches!$Q3089="L",Team_Matches!$B3089,IF(Team_Matches!$Q3091="L",Team_Matches!$B3091,""))</f>
        <v/>
      </c>
      <c r="D243" t="str">
        <f>CONCATENATE(Team_Matches!$B3069," vs ",Team_Matches!$K3069)</f>
        <v>A vs H</v>
      </c>
      <c r="E243" t="str">
        <f>Team_Matches!$A3087</f>
        <v>3rd Singles</v>
      </c>
      <c r="F243" s="7" t="str">
        <f>IF(Team_Matches!$Q3089&lt;&gt;"",IF(Team_Matches!H3089&gt;Team_Matches!H3091,MIN(Team_Matches!H3089,Team_Matches!H3091),-MIN(Team_Matches!H3089,Team_Matches!H3091))*IF(Team_Matches!$Q3089="W",1,-1),"")</f>
        <v/>
      </c>
      <c r="G243" s="7" t="str">
        <f>IF(Team_Matches!$Q3089&lt;&gt;"",IF(Team_Matches!I3089&gt;Team_Matches!I3091,MIN(Team_Matches!I3089,Team_Matches!I3091),-MIN(Team_Matches!I3089,Team_Matches!I3091))*IF(Team_Matches!$Q3089="W",1,-1),"")</f>
        <v/>
      </c>
      <c r="H243" s="7" t="str">
        <f>IF(Team_Matches!$Q3089&lt;&gt;"",IF(Team_Matches!J3089&gt;Team_Matches!J3091,MIN(Team_Matches!J3089,Team_Matches!J3091),-MIN(Team_Matches!J3089,Team_Matches!J3091))*IF(Team_Matches!$Q3089="W",1,-1),"")</f>
        <v/>
      </c>
      <c r="I243" s="7" t="str">
        <f>IF(Team_Matches!$Q3089&lt;&gt;"",IF(Team_Matches!K3089=Team_Matches!K3091,"",IF(Team_Matches!K3089&gt;Team_Matches!K3091,MIN(Team_Matches!K3089,Team_Matches!K3091),-MIN(Team_Matches!K3089,Team_Matches!K3091))*IF(Team_Matches!$Q3089="W",1,-1)),"")</f>
        <v/>
      </c>
      <c r="J243" s="7" t="str">
        <f>IF(Team_Matches!$Q3089&lt;&gt;"",IF(Team_Matches!L3089=Team_Matches!L3091,"",IF(Team_Matches!L3089&gt;Team_Matches!L3091,MIN(Team_Matches!L3089,Team_Matches!L3091),-MIN(Team_Matches!L3089,Team_Matches!L3091))*IF(Team_Matches!$Q3089="W",1,-1)),"")</f>
        <v/>
      </c>
    </row>
    <row r="244" spans="1:10" x14ac:dyDescent="0.25">
      <c r="A244" s="55" t="e">
        <f ca="1">$B244&amp;";"&amp;VLOOKUP($B244,Players!$C$4:$G$132,5,FALSE)&amp;";"&amp;IF(ISERROR(VLOOKUP($B244,Players!$C$4:$G$132,2,FALSE)),0,VLOOKUP($B244,Players!$C$4:$G$132,2,FALSE))&amp;";"&amp;$C244&amp;";"&amp;VLOOKUP($C244,Players!$C$4:$G$132,5,FALSE)&amp;";"&amp;IF(ISERROR(VLOOKUP($C244,Players!$C$4:$G$132,2,FALSE)),0,VLOOKUP($C244,Players!$C$4:$G$132,2,FALSE))&amp;"|"</f>
        <v>#N/A</v>
      </c>
      <c r="B244" t="str">
        <f ca="1">IF(Team_Matches!$Q3096="W",Team_Matches!$B3096,IF(Team_Matches!$Q3098="W",Team_Matches!$B3098,""))</f>
        <v/>
      </c>
      <c r="C244" t="str">
        <f ca="1">IF(Team_Matches!$Q3096="L",Team_Matches!$B3096,IF(Team_Matches!$Q3098="L",Team_Matches!$B3098,""))</f>
        <v/>
      </c>
      <c r="D244" t="str">
        <f>CONCATENATE(Team_Matches!$B3069," vs ",Team_Matches!$K3069)</f>
        <v>A vs H</v>
      </c>
      <c r="E244" t="str">
        <f>Team_Matches!$A3094</f>
        <v>4th Singles</v>
      </c>
      <c r="F244" s="7" t="str">
        <f ca="1">IF(Team_Matches!$Q3096&lt;&gt;"",IF(Team_Matches!H3096&gt;Team_Matches!H3098,MIN(Team_Matches!H3096,Team_Matches!H3098),-MIN(Team_Matches!H3096,Team_Matches!H3098))*IF(Team_Matches!$Q3096="W",1,-1),"")</f>
        <v/>
      </c>
      <c r="G244" s="7" t="str">
        <f ca="1">IF(Team_Matches!$Q3096&lt;&gt;"",IF(Team_Matches!I3096&gt;Team_Matches!I3098,MIN(Team_Matches!I3096,Team_Matches!I3098),-MIN(Team_Matches!I3096,Team_Matches!I3098))*IF(Team_Matches!$Q3096="W",1,-1),"")</f>
        <v/>
      </c>
      <c r="H244" s="7" t="str">
        <f ca="1">IF(Team_Matches!$Q3096&lt;&gt;"",IF(Team_Matches!J3096&gt;Team_Matches!J3098,MIN(Team_Matches!J3096,Team_Matches!J3098),-MIN(Team_Matches!J3096,Team_Matches!J3098))*IF(Team_Matches!$Q3096="W",1,-1),"")</f>
        <v/>
      </c>
      <c r="I244" s="7" t="str">
        <f ca="1">IF(Team_Matches!$Q3096&lt;&gt;"",IF(Team_Matches!K3096=Team_Matches!K3098,"",IF(Team_Matches!K3096&gt;Team_Matches!K3098,MIN(Team_Matches!K3096,Team_Matches!K3098),-MIN(Team_Matches!K3096,Team_Matches!K3098))*IF(Team_Matches!$Q3096="W",1,-1)),"")</f>
        <v/>
      </c>
      <c r="J244" s="7" t="str">
        <f ca="1">IF(Team_Matches!$Q3096&lt;&gt;"",IF(Team_Matches!L3096=Team_Matches!L3098,"",IF(Team_Matches!L3096&gt;Team_Matches!L3098,MIN(Team_Matches!L3096,Team_Matches!L3098),-MIN(Team_Matches!L3096,Team_Matches!L3098))*IF(Team_Matches!$Q3096="W",1,-1)),"")</f>
        <v/>
      </c>
    </row>
    <row r="245" spans="1:10" x14ac:dyDescent="0.25">
      <c r="A245" s="55" t="e">
        <f>$B245&amp;";"&amp;VLOOKUP($B245,Players!$C$4:$G$132,5,FALSE)&amp;";"&amp;IF(ISERROR(VLOOKUP($B245,Players!$C$4:$G$132,2,FALSE)),0,VLOOKUP($B245,Players!$C$4:$G$132,2,FALSE))&amp;";"&amp;$C245&amp;";"&amp;VLOOKUP($C245,Players!$C$4:$G$132,5,FALSE)&amp;";"&amp;IF(ISERROR(VLOOKUP($C245,Players!$C$4:$G$132,2,FALSE)),0,VLOOKUP($C245,Players!$C$4:$G$132,2,FALSE))&amp;"|"</f>
        <v>#N/A</v>
      </c>
      <c r="B245" t="str">
        <f>IF(Team_Matches!$Q3126="W",Team_Matches!$B3126,IF(Team_Matches!$Q3128="W",Team_Matches!$B3128,""))</f>
        <v/>
      </c>
      <c r="C245" t="str">
        <f>IF(Team_Matches!$Q3126="L",Team_Matches!$B3126,IF(Team_Matches!$Q3128="L",Team_Matches!$B3128,""))</f>
        <v/>
      </c>
      <c r="D245" t="str">
        <f>CONCATENATE(Team_Matches!$B3120," vs ",Team_Matches!$K3120)</f>
        <v>G vs I</v>
      </c>
      <c r="E245" t="str">
        <f>Team_Matches!A3124</f>
        <v>1st Singles</v>
      </c>
      <c r="F245" s="7" t="str">
        <f>IF(Team_Matches!$Q3126&lt;&gt;"",IF(Team_Matches!H3126&gt;Team_Matches!H3128,MIN(Team_Matches!H3126,Team_Matches!H3128),-MIN(Team_Matches!H3126,Team_Matches!H3128))*IF(Team_Matches!$Q3126="W",1,-1),"")</f>
        <v/>
      </c>
      <c r="G245" s="7" t="str">
        <f>IF(Team_Matches!$Q3126&lt;&gt;"",IF(Team_Matches!I3126&gt;Team_Matches!I3128,MIN(Team_Matches!I3126,Team_Matches!I3128),-MIN(Team_Matches!I3126,Team_Matches!I3128))*IF(Team_Matches!$Q3126="W",1,-1),"")</f>
        <v/>
      </c>
      <c r="H245" s="7" t="str">
        <f>IF(Team_Matches!$Q3126&lt;&gt;"",IF(Team_Matches!J3126&gt;Team_Matches!J3128,MIN(Team_Matches!J3126,Team_Matches!J3128),-MIN(Team_Matches!J3126,Team_Matches!J3128))*IF(Team_Matches!$Q3126="W",1,-1),"")</f>
        <v/>
      </c>
      <c r="I245" s="7" t="str">
        <f>IF(Team_Matches!$Q3126&lt;&gt;"",IF(Team_Matches!K3126=Team_Matches!K3128,"",IF(Team_Matches!K3126&gt;Team_Matches!K3128,MIN(Team_Matches!K3126,Team_Matches!K3128),-MIN(Team_Matches!K3126,Team_Matches!K3128))*IF(Team_Matches!$Q3126="W",1,-1)),"")</f>
        <v/>
      </c>
      <c r="J245" s="7" t="str">
        <f>IF(Team_Matches!$Q3126&lt;&gt;"",IF(Team_Matches!L3126=Team_Matches!L3128,"",IF(Team_Matches!L3126&gt;Team_Matches!L3128,MIN(Team_Matches!L3126,Team_Matches!L3128),-MIN(Team_Matches!L3126,Team_Matches!L3128))*IF(Team_Matches!$Q3126="W",1,-1)),"")</f>
        <v/>
      </c>
    </row>
    <row r="246" spans="1:10" x14ac:dyDescent="0.25">
      <c r="A246" s="55" t="e">
        <f>$B246&amp;";"&amp;VLOOKUP($B246,Players!$C$4:$G$132,5,FALSE)&amp;";"&amp;IF(ISERROR(VLOOKUP($B246,Players!$C$4:$G$132,2,FALSE)),0,VLOOKUP($B246,Players!$C$4:$G$132,2,FALSE))&amp;";"&amp;$C246&amp;";"&amp;VLOOKUP($C246,Players!$C$4:$G$132,5,FALSE)&amp;";"&amp;IF(ISERROR(VLOOKUP($C246,Players!$C$4:$G$132,2,FALSE)),0,VLOOKUP($C246,Players!$C$4:$G$132,2,FALSE))&amp;"|"</f>
        <v>#N/A</v>
      </c>
      <c r="B246" t="str">
        <f>IF(Team_Matches!$Q3133="W",Team_Matches!$B3133,IF(Team_Matches!$Q3135="W",Team_Matches!$B3135,""))</f>
        <v/>
      </c>
      <c r="C246" t="str">
        <f>IF(Team_Matches!$Q3133="L",Team_Matches!$B3133,IF(Team_Matches!$Q3135="L",Team_Matches!$B3135,""))</f>
        <v/>
      </c>
      <c r="D246" t="str">
        <f>CONCATENATE(Team_Matches!$B3120," vs ",Team_Matches!$K3120)</f>
        <v>G vs I</v>
      </c>
      <c r="E246" t="str">
        <f>Team_Matches!$A3131</f>
        <v>2nd Singles</v>
      </c>
      <c r="F246" s="7" t="str">
        <f>IF(Team_Matches!$Q3133&lt;&gt;"",IF(Team_Matches!H3133&gt;Team_Matches!H3135,MIN(Team_Matches!H3133,Team_Matches!H3135),-MIN(Team_Matches!H3133,Team_Matches!H3135))*IF(Team_Matches!$Q3133="W",1,-1),"")</f>
        <v/>
      </c>
      <c r="G246" s="7" t="str">
        <f>IF(Team_Matches!$Q3133&lt;&gt;"",IF(Team_Matches!I3133&gt;Team_Matches!I3135,MIN(Team_Matches!I3133,Team_Matches!I3135),-MIN(Team_Matches!I3133,Team_Matches!I3135))*IF(Team_Matches!$Q3133="W",1,-1),"")</f>
        <v/>
      </c>
      <c r="H246" s="7" t="str">
        <f>IF(Team_Matches!$Q3133&lt;&gt;"",IF(Team_Matches!J3133&gt;Team_Matches!J3135,MIN(Team_Matches!J3133,Team_Matches!J3135),-MIN(Team_Matches!J3133,Team_Matches!J3135))*IF(Team_Matches!$Q3133="W",1,-1),"")</f>
        <v/>
      </c>
      <c r="I246" s="7" t="str">
        <f>IF(Team_Matches!$Q3133&lt;&gt;"",IF(Team_Matches!K3133=Team_Matches!K3135,"",IF(Team_Matches!K3133&gt;Team_Matches!K3135,MIN(Team_Matches!K3133,Team_Matches!K3135),-MIN(Team_Matches!K3133,Team_Matches!K3135))*IF(Team_Matches!$Q3133="W",1,-1)),"")</f>
        <v/>
      </c>
      <c r="J246" s="7" t="str">
        <f>IF(Team_Matches!$Q3133&lt;&gt;"",IF(Team_Matches!L3133=Team_Matches!L3135,"",IF(Team_Matches!L3133&gt;Team_Matches!L3135,MIN(Team_Matches!L3133,Team_Matches!L3135),-MIN(Team_Matches!L3133,Team_Matches!L3135))*IF(Team_Matches!$Q3133="W",1,-1)),"")</f>
        <v/>
      </c>
    </row>
    <row r="247" spans="1:10" x14ac:dyDescent="0.25">
      <c r="A247" s="55" t="e">
        <f>$B247&amp;";"&amp;VLOOKUP($B247,Players!$C$4:$G$132,5,FALSE)&amp;";"&amp;IF(ISERROR(VLOOKUP($B247,Players!$C$4:$G$132,2,FALSE)),0,VLOOKUP($B247,Players!$C$4:$G$132,2,FALSE))&amp;";"&amp;$C247&amp;";"&amp;VLOOKUP($C247,Players!$C$4:$G$132,5,FALSE)&amp;";"&amp;IF(ISERROR(VLOOKUP($C247,Players!$C$4:$G$132,2,FALSE)),0,VLOOKUP($C247,Players!$C$4:$G$132,2,FALSE))&amp;"|"</f>
        <v>#N/A</v>
      </c>
      <c r="B247" t="str">
        <f>IF(Team_Matches!$Q3140="W",Team_Matches!$B3140,IF(Team_Matches!$Q3142="W",Team_Matches!$B3142,""))</f>
        <v/>
      </c>
      <c r="C247" t="str">
        <f>IF(Team_Matches!$Q3140="L",Team_Matches!$B3140,IF(Team_Matches!$Q3142="L",Team_Matches!$B3142,""))</f>
        <v/>
      </c>
      <c r="D247" t="str">
        <f>CONCATENATE(Team_Matches!$B3120," vs ",Team_Matches!$K3120)</f>
        <v>G vs I</v>
      </c>
      <c r="E247" t="str">
        <f>Team_Matches!$A3138</f>
        <v>3rd Singles</v>
      </c>
      <c r="F247" s="7" t="str">
        <f>IF(Team_Matches!$Q3140&lt;&gt;"",IF(Team_Matches!H3140&gt;Team_Matches!H3142,MIN(Team_Matches!H3140,Team_Matches!H3142),-MIN(Team_Matches!H3140,Team_Matches!H3142))*IF(Team_Matches!$Q3140="W",1,-1),"")</f>
        <v/>
      </c>
      <c r="G247" s="7" t="str">
        <f>IF(Team_Matches!$Q3140&lt;&gt;"",IF(Team_Matches!I3140&gt;Team_Matches!I3142,MIN(Team_Matches!I3140,Team_Matches!I3142),-MIN(Team_Matches!I3140,Team_Matches!I3142))*IF(Team_Matches!$Q3140="W",1,-1),"")</f>
        <v/>
      </c>
      <c r="H247" s="7" t="str">
        <f>IF(Team_Matches!$Q3140&lt;&gt;"",IF(Team_Matches!J3140&gt;Team_Matches!J3142,MIN(Team_Matches!J3140,Team_Matches!J3142),-MIN(Team_Matches!J3140,Team_Matches!J3142))*IF(Team_Matches!$Q3140="W",1,-1),"")</f>
        <v/>
      </c>
      <c r="I247" s="7" t="str">
        <f>IF(Team_Matches!$Q3140&lt;&gt;"",IF(Team_Matches!K3140=Team_Matches!K3142,"",IF(Team_Matches!K3140&gt;Team_Matches!K3142,MIN(Team_Matches!K3140,Team_Matches!K3142),-MIN(Team_Matches!K3140,Team_Matches!K3142))*IF(Team_Matches!$Q3140="W",1,-1)),"")</f>
        <v/>
      </c>
      <c r="J247" s="7" t="str">
        <f>IF(Team_Matches!$Q3140&lt;&gt;"",IF(Team_Matches!L3140=Team_Matches!L3142,"",IF(Team_Matches!L3140&gt;Team_Matches!L3142,MIN(Team_Matches!L3140,Team_Matches!L3142),-MIN(Team_Matches!L3140,Team_Matches!L3142))*IF(Team_Matches!$Q3140="W",1,-1)),"")</f>
        <v/>
      </c>
    </row>
    <row r="248" spans="1:10" x14ac:dyDescent="0.25">
      <c r="A248" s="55" t="e">
        <f ca="1">$B248&amp;";"&amp;VLOOKUP($B248,Players!$C$4:$G$132,5,FALSE)&amp;";"&amp;IF(ISERROR(VLOOKUP($B248,Players!$C$4:$G$132,2,FALSE)),0,VLOOKUP($B248,Players!$C$4:$G$132,2,FALSE))&amp;";"&amp;$C248&amp;";"&amp;VLOOKUP($C248,Players!$C$4:$G$132,5,FALSE)&amp;";"&amp;IF(ISERROR(VLOOKUP($C248,Players!$C$4:$G$132,2,FALSE)),0,VLOOKUP($C248,Players!$C$4:$G$132,2,FALSE))&amp;"|"</f>
        <v>#N/A</v>
      </c>
      <c r="B248" t="str">
        <f ca="1">IF(Team_Matches!$Q3147="W",Team_Matches!$B3147,IF(Team_Matches!$Q3149="W",Team_Matches!$B3149,""))</f>
        <v/>
      </c>
      <c r="C248" t="str">
        <f ca="1">IF(Team_Matches!$Q3147="L",Team_Matches!$B3147,IF(Team_Matches!$Q3149="L",Team_Matches!$B3149,""))</f>
        <v/>
      </c>
      <c r="D248" t="str">
        <f>CONCATENATE(Team_Matches!$B3120," vs ",Team_Matches!$K3120)</f>
        <v>G vs I</v>
      </c>
      <c r="E248" t="str">
        <f>Team_Matches!$A3145</f>
        <v>4th Singles</v>
      </c>
      <c r="F248" s="7" t="str">
        <f ca="1">IF(Team_Matches!$Q3147&lt;&gt;"",IF(Team_Matches!H3147&gt;Team_Matches!H3149,MIN(Team_Matches!H3147,Team_Matches!H3149),-MIN(Team_Matches!H3147,Team_Matches!H3149))*IF(Team_Matches!$Q3147="W",1,-1),"")</f>
        <v/>
      </c>
      <c r="G248" s="7" t="str">
        <f ca="1">IF(Team_Matches!$Q3147&lt;&gt;"",IF(Team_Matches!I3147&gt;Team_Matches!I3149,MIN(Team_Matches!I3147,Team_Matches!I3149),-MIN(Team_Matches!I3147,Team_Matches!I3149))*IF(Team_Matches!$Q3147="W",1,-1),"")</f>
        <v/>
      </c>
      <c r="H248" s="7" t="str">
        <f ca="1">IF(Team_Matches!$Q3147&lt;&gt;"",IF(Team_Matches!J3147&gt;Team_Matches!J3149,MIN(Team_Matches!J3147,Team_Matches!J3149),-MIN(Team_Matches!J3147,Team_Matches!J3149))*IF(Team_Matches!$Q3147="W",1,-1),"")</f>
        <v/>
      </c>
      <c r="I248" s="7" t="str">
        <f ca="1">IF(Team_Matches!$Q3147&lt;&gt;"",IF(Team_Matches!K3147=Team_Matches!K3149,"",IF(Team_Matches!K3147&gt;Team_Matches!K3149,MIN(Team_Matches!K3147,Team_Matches!K3149),-MIN(Team_Matches!K3147,Team_Matches!K3149))*IF(Team_Matches!$Q3147="W",1,-1)),"")</f>
        <v/>
      </c>
      <c r="J248" s="7" t="str">
        <f ca="1">IF(Team_Matches!$Q3147&lt;&gt;"",IF(Team_Matches!L3147=Team_Matches!L3149,"",IF(Team_Matches!L3147&gt;Team_Matches!L3149,MIN(Team_Matches!L3147,Team_Matches!L3149),-MIN(Team_Matches!L3147,Team_Matches!L3149))*IF(Team_Matches!$Q3147="W",1,-1)),"")</f>
        <v/>
      </c>
    </row>
    <row r="249" spans="1:10" x14ac:dyDescent="0.25">
      <c r="A249" s="55" t="e">
        <f>$B249&amp;";"&amp;VLOOKUP($B249,Players!$C$4:$G$132,5,FALSE)&amp;";"&amp;IF(ISERROR(VLOOKUP($B249,Players!$C$4:$G$132,2,FALSE)),0,VLOOKUP($B249,Players!$C$4:$G$132,2,FALSE))&amp;";"&amp;$C249&amp;";"&amp;VLOOKUP($C249,Players!$C$4:$G$132,5,FALSE)&amp;";"&amp;IF(ISERROR(VLOOKUP($C249,Players!$C$4:$G$132,2,FALSE)),0,VLOOKUP($C249,Players!$C$4:$G$132,2,FALSE))&amp;"|"</f>
        <v>#N/A</v>
      </c>
      <c r="B249" t="str">
        <f>IF(Team_Matches!$Q3177="W",Team_Matches!$B3177,IF(Team_Matches!$Q3179="W",Team_Matches!$B3179,""))</f>
        <v/>
      </c>
      <c r="C249" t="str">
        <f>IF(Team_Matches!$Q3177="L",Team_Matches!$B3177,IF(Team_Matches!$Q3179="L",Team_Matches!$B3179,""))</f>
        <v/>
      </c>
      <c r="D249" t="str">
        <f>CONCATENATE(Team_Matches!$B3171," vs ",Team_Matches!$K3171)</f>
        <v>F vs J</v>
      </c>
      <c r="E249" t="str">
        <f>Team_Matches!A3175</f>
        <v>1st Singles</v>
      </c>
      <c r="F249" s="7" t="str">
        <f>IF(Team_Matches!$Q3177&lt;&gt;"",IF(Team_Matches!H3177&gt;Team_Matches!H3179,MIN(Team_Matches!H3177,Team_Matches!H3179),-MIN(Team_Matches!H3177,Team_Matches!H3179))*IF(Team_Matches!$Q3177="W",1,-1),"")</f>
        <v/>
      </c>
      <c r="G249" s="7" t="str">
        <f>IF(Team_Matches!$Q3177&lt;&gt;"",IF(Team_Matches!I3177&gt;Team_Matches!I3179,MIN(Team_Matches!I3177,Team_Matches!I3179),-MIN(Team_Matches!I3177,Team_Matches!I3179))*IF(Team_Matches!$Q3177="W",1,-1),"")</f>
        <v/>
      </c>
      <c r="H249" s="7" t="str">
        <f>IF(Team_Matches!$Q3177&lt;&gt;"",IF(Team_Matches!J3177&gt;Team_Matches!J3179,MIN(Team_Matches!J3177,Team_Matches!J3179),-MIN(Team_Matches!J3177,Team_Matches!J3179))*IF(Team_Matches!$Q3177="W",1,-1),"")</f>
        <v/>
      </c>
      <c r="I249" s="7" t="str">
        <f>IF(Team_Matches!$Q3177&lt;&gt;"",IF(Team_Matches!K3177=Team_Matches!K3179,"",IF(Team_Matches!K3177&gt;Team_Matches!K3179,MIN(Team_Matches!K3177,Team_Matches!K3179),-MIN(Team_Matches!K3177,Team_Matches!K3179))*IF(Team_Matches!$Q3177="W",1,-1)),"")</f>
        <v/>
      </c>
      <c r="J249" s="7" t="str">
        <f>IF(Team_Matches!$Q3177&lt;&gt;"",IF(Team_Matches!L3177=Team_Matches!L3179,"",IF(Team_Matches!L3177&gt;Team_Matches!L3179,MIN(Team_Matches!L3177,Team_Matches!L3179),-MIN(Team_Matches!L3177,Team_Matches!L3179))*IF(Team_Matches!$Q3177="W",1,-1)),"")</f>
        <v/>
      </c>
    </row>
    <row r="250" spans="1:10" x14ac:dyDescent="0.25">
      <c r="A250" s="55" t="e">
        <f>$B250&amp;";"&amp;VLOOKUP($B250,Players!$C$4:$G$132,5,FALSE)&amp;";"&amp;IF(ISERROR(VLOOKUP($B250,Players!$C$4:$G$132,2,FALSE)),0,VLOOKUP($B250,Players!$C$4:$G$132,2,FALSE))&amp;";"&amp;$C250&amp;";"&amp;VLOOKUP($C250,Players!$C$4:$G$132,5,FALSE)&amp;";"&amp;IF(ISERROR(VLOOKUP($C250,Players!$C$4:$G$132,2,FALSE)),0,VLOOKUP($C250,Players!$C$4:$G$132,2,FALSE))&amp;"|"</f>
        <v>#N/A</v>
      </c>
      <c r="B250" t="str">
        <f>IF(Team_Matches!$Q3184="W",Team_Matches!$B3184,IF(Team_Matches!$Q3186="W",Team_Matches!$B3186,""))</f>
        <v/>
      </c>
      <c r="C250" t="str">
        <f>IF(Team_Matches!$Q3184="L",Team_Matches!$B3184,IF(Team_Matches!$Q3186="L",Team_Matches!$B3186,""))</f>
        <v/>
      </c>
      <c r="D250" t="str">
        <f>CONCATENATE(Team_Matches!$B3171," vs ",Team_Matches!$K3171)</f>
        <v>F vs J</v>
      </c>
      <c r="E250" t="str">
        <f>Team_Matches!$A3182</f>
        <v>2nd Singles</v>
      </c>
      <c r="F250" s="7" t="str">
        <f>IF(Team_Matches!$Q3184&lt;&gt;"",IF(Team_Matches!H3184&gt;Team_Matches!H3186,MIN(Team_Matches!H3184,Team_Matches!H3186),-MIN(Team_Matches!H3184,Team_Matches!H3186))*IF(Team_Matches!$Q3184="W",1,-1),"")</f>
        <v/>
      </c>
      <c r="G250" s="7" t="str">
        <f>IF(Team_Matches!$Q3184&lt;&gt;"",IF(Team_Matches!I3184&gt;Team_Matches!I3186,MIN(Team_Matches!I3184,Team_Matches!I3186),-MIN(Team_Matches!I3184,Team_Matches!I3186))*IF(Team_Matches!$Q3184="W",1,-1),"")</f>
        <v/>
      </c>
      <c r="H250" s="7" t="str">
        <f>IF(Team_Matches!$Q3184&lt;&gt;"",IF(Team_Matches!J3184&gt;Team_Matches!J3186,MIN(Team_Matches!J3184,Team_Matches!J3186),-MIN(Team_Matches!J3184,Team_Matches!J3186))*IF(Team_Matches!$Q3184="W",1,-1),"")</f>
        <v/>
      </c>
      <c r="I250" s="7" t="str">
        <f>IF(Team_Matches!$Q3184&lt;&gt;"",IF(Team_Matches!K3184=Team_Matches!K3186,"",IF(Team_Matches!K3184&gt;Team_Matches!K3186,MIN(Team_Matches!K3184,Team_Matches!K3186),-MIN(Team_Matches!K3184,Team_Matches!K3186))*IF(Team_Matches!$Q3184="W",1,-1)),"")</f>
        <v/>
      </c>
      <c r="J250" s="7" t="str">
        <f>IF(Team_Matches!$Q3184&lt;&gt;"",IF(Team_Matches!L3184=Team_Matches!L3186,"",IF(Team_Matches!L3184&gt;Team_Matches!L3186,MIN(Team_Matches!L3184,Team_Matches!L3186),-MIN(Team_Matches!L3184,Team_Matches!L3186))*IF(Team_Matches!$Q3184="W",1,-1)),"")</f>
        <v/>
      </c>
    </row>
    <row r="251" spans="1:10" x14ac:dyDescent="0.25">
      <c r="A251" s="55" t="e">
        <f>$B251&amp;";"&amp;VLOOKUP($B251,Players!$C$4:$G$132,5,FALSE)&amp;";"&amp;IF(ISERROR(VLOOKUP($B251,Players!$C$4:$G$132,2,FALSE)),0,VLOOKUP($B251,Players!$C$4:$G$132,2,FALSE))&amp;";"&amp;$C251&amp;";"&amp;VLOOKUP($C251,Players!$C$4:$G$132,5,FALSE)&amp;";"&amp;IF(ISERROR(VLOOKUP($C251,Players!$C$4:$G$132,2,FALSE)),0,VLOOKUP($C251,Players!$C$4:$G$132,2,FALSE))&amp;"|"</f>
        <v>#N/A</v>
      </c>
      <c r="B251" t="str">
        <f>IF(Team_Matches!$Q3191="W",Team_Matches!$B3191,IF(Team_Matches!$Q3193="W",Team_Matches!$B3193,""))</f>
        <v/>
      </c>
      <c r="C251" t="str">
        <f>IF(Team_Matches!$Q3191="L",Team_Matches!$B3191,IF(Team_Matches!$Q3193="L",Team_Matches!$B3193,""))</f>
        <v/>
      </c>
      <c r="D251" t="str">
        <f>CONCATENATE(Team_Matches!$B3171," vs ",Team_Matches!$K3171)</f>
        <v>F vs J</v>
      </c>
      <c r="E251" t="str">
        <f>Team_Matches!$A3189</f>
        <v>3rd Singles</v>
      </c>
      <c r="F251" s="7" t="str">
        <f>IF(Team_Matches!$Q3191&lt;&gt;"",IF(Team_Matches!H3191&gt;Team_Matches!H3193,MIN(Team_Matches!H3191,Team_Matches!H3193),-MIN(Team_Matches!H3191,Team_Matches!H3193))*IF(Team_Matches!$Q3191="W",1,-1),"")</f>
        <v/>
      </c>
      <c r="G251" s="7" t="str">
        <f>IF(Team_Matches!$Q3191&lt;&gt;"",IF(Team_Matches!I3191&gt;Team_Matches!I3193,MIN(Team_Matches!I3191,Team_Matches!I3193),-MIN(Team_Matches!I3191,Team_Matches!I3193))*IF(Team_Matches!$Q3191="W",1,-1),"")</f>
        <v/>
      </c>
      <c r="H251" s="7" t="str">
        <f>IF(Team_Matches!$Q3191&lt;&gt;"",IF(Team_Matches!J3191&gt;Team_Matches!J3193,MIN(Team_Matches!J3191,Team_Matches!J3193),-MIN(Team_Matches!J3191,Team_Matches!J3193))*IF(Team_Matches!$Q3191="W",1,-1),"")</f>
        <v/>
      </c>
      <c r="I251" s="7" t="str">
        <f>IF(Team_Matches!$Q3191&lt;&gt;"",IF(Team_Matches!K3191=Team_Matches!K3193,"",IF(Team_Matches!K3191&gt;Team_Matches!K3193,MIN(Team_Matches!K3191,Team_Matches!K3193),-MIN(Team_Matches!K3191,Team_Matches!K3193))*IF(Team_Matches!$Q3191="W",1,-1)),"")</f>
        <v/>
      </c>
      <c r="J251" s="7" t="str">
        <f>IF(Team_Matches!$Q3191&lt;&gt;"",IF(Team_Matches!L3191=Team_Matches!L3193,"",IF(Team_Matches!L3191&gt;Team_Matches!L3193,MIN(Team_Matches!L3191,Team_Matches!L3193),-MIN(Team_Matches!L3191,Team_Matches!L3193))*IF(Team_Matches!$Q3191="W",1,-1)),"")</f>
        <v/>
      </c>
    </row>
    <row r="252" spans="1:10" x14ac:dyDescent="0.25">
      <c r="A252" s="55" t="e">
        <f ca="1">$B252&amp;";"&amp;VLOOKUP($B252,Players!$C$4:$G$132,5,FALSE)&amp;";"&amp;IF(ISERROR(VLOOKUP($B252,Players!$C$4:$G$132,2,FALSE)),0,VLOOKUP($B252,Players!$C$4:$G$132,2,FALSE))&amp;";"&amp;$C252&amp;";"&amp;VLOOKUP($C252,Players!$C$4:$G$132,5,FALSE)&amp;";"&amp;IF(ISERROR(VLOOKUP($C252,Players!$C$4:$G$132,2,FALSE)),0,VLOOKUP($C252,Players!$C$4:$G$132,2,FALSE))&amp;"|"</f>
        <v>#N/A</v>
      </c>
      <c r="B252" t="str">
        <f ca="1">IF(Team_Matches!$Q3198="W",Team_Matches!$B3198,IF(Team_Matches!$Q3200="W",Team_Matches!$B3200,""))</f>
        <v/>
      </c>
      <c r="C252" t="str">
        <f ca="1">IF(Team_Matches!$Q3198="L",Team_Matches!$B3198,IF(Team_Matches!$Q3200="L",Team_Matches!$B3200,""))</f>
        <v/>
      </c>
      <c r="D252" t="str">
        <f>CONCATENATE(Team_Matches!$B3171," vs ",Team_Matches!$K3171)</f>
        <v>F vs J</v>
      </c>
      <c r="E252" t="str">
        <f>Team_Matches!$A3196</f>
        <v>4th Singles</v>
      </c>
      <c r="F252" s="7" t="str">
        <f ca="1">IF(Team_Matches!$Q3198&lt;&gt;"",IF(Team_Matches!H3198&gt;Team_Matches!H3200,MIN(Team_Matches!H3198,Team_Matches!H3200),-MIN(Team_Matches!H3198,Team_Matches!H3200))*IF(Team_Matches!$Q3198="W",1,-1),"")</f>
        <v/>
      </c>
      <c r="G252" s="7" t="str">
        <f ca="1">IF(Team_Matches!$Q3198&lt;&gt;"",IF(Team_Matches!I3198&gt;Team_Matches!I3200,MIN(Team_Matches!I3198,Team_Matches!I3200),-MIN(Team_Matches!I3198,Team_Matches!I3200))*IF(Team_Matches!$Q3198="W",1,-1),"")</f>
        <v/>
      </c>
      <c r="H252" s="7" t="str">
        <f ca="1">IF(Team_Matches!$Q3198&lt;&gt;"",IF(Team_Matches!J3198&gt;Team_Matches!J3200,MIN(Team_Matches!J3198,Team_Matches!J3200),-MIN(Team_Matches!J3198,Team_Matches!J3200))*IF(Team_Matches!$Q3198="W",1,-1),"")</f>
        <v/>
      </c>
      <c r="I252" s="7" t="str">
        <f ca="1">IF(Team_Matches!$Q3198&lt;&gt;"",IF(Team_Matches!K3198=Team_Matches!K3200,"",IF(Team_Matches!K3198&gt;Team_Matches!K3200,MIN(Team_Matches!K3198,Team_Matches!K3200),-MIN(Team_Matches!K3198,Team_Matches!K3200))*IF(Team_Matches!$Q3198="W",1,-1)),"")</f>
        <v/>
      </c>
      <c r="J252" s="7" t="str">
        <f ca="1">IF(Team_Matches!$Q3198&lt;&gt;"",IF(Team_Matches!L3198=Team_Matches!L3200,"",IF(Team_Matches!L3198&gt;Team_Matches!L3200,MIN(Team_Matches!L3198,Team_Matches!L3200),-MIN(Team_Matches!L3198,Team_Matches!L3200))*IF(Team_Matches!$Q3198="W",1,-1)),"")</f>
        <v/>
      </c>
    </row>
    <row r="253" spans="1:10" x14ac:dyDescent="0.25">
      <c r="A253" s="55" t="e">
        <f>$B253&amp;";"&amp;VLOOKUP($B253,Players!$C$4:$G$132,5,FALSE)&amp;";"&amp;IF(ISERROR(VLOOKUP($B253,Players!$C$4:$G$132,2,FALSE)),0,VLOOKUP($B253,Players!$C$4:$G$132,2,FALSE))&amp;";"&amp;$C253&amp;";"&amp;VLOOKUP($C253,Players!$C$4:$G$132,5,FALSE)&amp;";"&amp;IF(ISERROR(VLOOKUP($C253,Players!$C$4:$G$132,2,FALSE)),0,VLOOKUP($C253,Players!$C$4:$G$132,2,FALSE))&amp;"|"</f>
        <v>#N/A</v>
      </c>
      <c r="B253" t="str">
        <f>IF(Team_Matches!$Q3228="W",Team_Matches!$B3228,IF(Team_Matches!$Q3230="W",Team_Matches!$B3230,""))</f>
        <v/>
      </c>
      <c r="C253" t="str">
        <f>IF(Team_Matches!$Q3228="L",Team_Matches!$B3228,IF(Team_Matches!$Q3230="L",Team_Matches!$B3230,""))</f>
        <v/>
      </c>
      <c r="D253" t="str">
        <f>CONCATENATE(Team_Matches!$B3222," vs ",Team_Matches!$K3222)</f>
        <v>E vs K</v>
      </c>
      <c r="E253" t="str">
        <f>Team_Matches!A3226</f>
        <v>1st Singles</v>
      </c>
      <c r="F253" s="7" t="str">
        <f>IF(Team_Matches!$Q3228&lt;&gt;"",IF(Team_Matches!H3228&gt;Team_Matches!H3230,MIN(Team_Matches!H3228,Team_Matches!H3230),-MIN(Team_Matches!H3228,Team_Matches!H3230))*IF(Team_Matches!$Q3228="W",1,-1),"")</f>
        <v/>
      </c>
      <c r="G253" s="7" t="str">
        <f>IF(Team_Matches!$Q3228&lt;&gt;"",IF(Team_Matches!I3228&gt;Team_Matches!I3230,MIN(Team_Matches!I3228,Team_Matches!I3230),-MIN(Team_Matches!I3228,Team_Matches!I3230))*IF(Team_Matches!$Q3228="W",1,-1),"")</f>
        <v/>
      </c>
      <c r="H253" s="7" t="str">
        <f>IF(Team_Matches!$Q3228&lt;&gt;"",IF(Team_Matches!J3228&gt;Team_Matches!J3230,MIN(Team_Matches!J3228,Team_Matches!J3230),-MIN(Team_Matches!J3228,Team_Matches!J3230))*IF(Team_Matches!$Q3228="W",1,-1),"")</f>
        <v/>
      </c>
      <c r="I253" s="7" t="str">
        <f>IF(Team_Matches!$Q3228&lt;&gt;"",IF(Team_Matches!K3228=Team_Matches!K3230,"",IF(Team_Matches!K3228&gt;Team_Matches!K3230,MIN(Team_Matches!K3228,Team_Matches!K3230),-MIN(Team_Matches!K3228,Team_Matches!K3230))*IF(Team_Matches!$Q3228="W",1,-1)),"")</f>
        <v/>
      </c>
      <c r="J253" s="7" t="str">
        <f>IF(Team_Matches!$Q3228&lt;&gt;"",IF(Team_Matches!L3228=Team_Matches!L3230,"",IF(Team_Matches!L3228&gt;Team_Matches!L3230,MIN(Team_Matches!L3228,Team_Matches!L3230),-MIN(Team_Matches!L3228,Team_Matches!L3230))*IF(Team_Matches!$Q3228="W",1,-1)),"")</f>
        <v/>
      </c>
    </row>
    <row r="254" spans="1:10" x14ac:dyDescent="0.25">
      <c r="A254" s="55" t="e">
        <f>$B254&amp;";"&amp;VLOOKUP($B254,Players!$C$4:$G$132,5,FALSE)&amp;";"&amp;IF(ISERROR(VLOOKUP($B254,Players!$C$4:$G$132,2,FALSE)),0,VLOOKUP($B254,Players!$C$4:$G$132,2,FALSE))&amp;";"&amp;$C254&amp;";"&amp;VLOOKUP($C254,Players!$C$4:$G$132,5,FALSE)&amp;";"&amp;IF(ISERROR(VLOOKUP($C254,Players!$C$4:$G$132,2,FALSE)),0,VLOOKUP($C254,Players!$C$4:$G$132,2,FALSE))&amp;"|"</f>
        <v>#N/A</v>
      </c>
      <c r="B254" t="str">
        <f>IF(Team_Matches!$Q3235="W",Team_Matches!$B3235,IF(Team_Matches!$Q3237="W",Team_Matches!$B3237,""))</f>
        <v/>
      </c>
      <c r="C254" t="str">
        <f>IF(Team_Matches!$Q3235="L",Team_Matches!$B3235,IF(Team_Matches!$Q3237="L",Team_Matches!$B3237,""))</f>
        <v/>
      </c>
      <c r="D254" t="str">
        <f>CONCATENATE(Team_Matches!$B3222," vs ",Team_Matches!$K3222)</f>
        <v>E vs K</v>
      </c>
      <c r="E254" t="str">
        <f>Team_Matches!$A3233</f>
        <v>2nd Singles</v>
      </c>
      <c r="F254" s="7" t="str">
        <f>IF(Team_Matches!$Q3235&lt;&gt;"",IF(Team_Matches!H3235&gt;Team_Matches!H3237,MIN(Team_Matches!H3235,Team_Matches!H3237),-MIN(Team_Matches!H3235,Team_Matches!H3237))*IF(Team_Matches!$Q3235="W",1,-1),"")</f>
        <v/>
      </c>
      <c r="G254" s="7" t="str">
        <f>IF(Team_Matches!$Q3235&lt;&gt;"",IF(Team_Matches!I3235&gt;Team_Matches!I3237,MIN(Team_Matches!I3235,Team_Matches!I3237),-MIN(Team_Matches!I3235,Team_Matches!I3237))*IF(Team_Matches!$Q3235="W",1,-1),"")</f>
        <v/>
      </c>
      <c r="H254" s="7" t="str">
        <f>IF(Team_Matches!$Q3235&lt;&gt;"",IF(Team_Matches!J3235&gt;Team_Matches!J3237,MIN(Team_Matches!J3235,Team_Matches!J3237),-MIN(Team_Matches!J3235,Team_Matches!J3237))*IF(Team_Matches!$Q3235="W",1,-1),"")</f>
        <v/>
      </c>
      <c r="I254" s="7" t="str">
        <f>IF(Team_Matches!$Q3235&lt;&gt;"",IF(Team_Matches!K3235=Team_Matches!K3237,"",IF(Team_Matches!K3235&gt;Team_Matches!K3237,MIN(Team_Matches!K3235,Team_Matches!K3237),-MIN(Team_Matches!K3235,Team_Matches!K3237))*IF(Team_Matches!$Q3235="W",1,-1)),"")</f>
        <v/>
      </c>
      <c r="J254" s="7" t="str">
        <f>IF(Team_Matches!$Q3235&lt;&gt;"",IF(Team_Matches!L3235=Team_Matches!L3237,"",IF(Team_Matches!L3235&gt;Team_Matches!L3237,MIN(Team_Matches!L3235,Team_Matches!L3237),-MIN(Team_Matches!L3235,Team_Matches!L3237))*IF(Team_Matches!$Q3235="W",1,-1)),"")</f>
        <v/>
      </c>
    </row>
    <row r="255" spans="1:10" x14ac:dyDescent="0.25">
      <c r="A255" s="55" t="e">
        <f>$B255&amp;";"&amp;VLOOKUP($B255,Players!$C$4:$G$132,5,FALSE)&amp;";"&amp;IF(ISERROR(VLOOKUP($B255,Players!$C$4:$G$132,2,FALSE)),0,VLOOKUP($B255,Players!$C$4:$G$132,2,FALSE))&amp;";"&amp;$C255&amp;";"&amp;VLOOKUP($C255,Players!$C$4:$G$132,5,FALSE)&amp;";"&amp;IF(ISERROR(VLOOKUP($C255,Players!$C$4:$G$132,2,FALSE)),0,VLOOKUP($C255,Players!$C$4:$G$132,2,FALSE))&amp;"|"</f>
        <v>#N/A</v>
      </c>
      <c r="B255" t="str">
        <f>IF(Team_Matches!$Q3242="W",Team_Matches!$B3242,IF(Team_Matches!$Q3244="W",Team_Matches!$B3244,""))</f>
        <v/>
      </c>
      <c r="C255" t="str">
        <f>IF(Team_Matches!$Q3242="L",Team_Matches!$B3242,IF(Team_Matches!$Q3244="L",Team_Matches!$B3244,""))</f>
        <v/>
      </c>
      <c r="D255" t="str">
        <f>CONCATENATE(Team_Matches!$B3222," vs ",Team_Matches!$K3222)</f>
        <v>E vs K</v>
      </c>
      <c r="E255" t="str">
        <f>Team_Matches!$A3240</f>
        <v>3rd Singles</v>
      </c>
      <c r="F255" s="7" t="str">
        <f>IF(Team_Matches!$Q3242&lt;&gt;"",IF(Team_Matches!H3242&gt;Team_Matches!H3244,MIN(Team_Matches!H3242,Team_Matches!H3244),-MIN(Team_Matches!H3242,Team_Matches!H3244))*IF(Team_Matches!$Q3242="W",1,-1),"")</f>
        <v/>
      </c>
      <c r="G255" s="7" t="str">
        <f>IF(Team_Matches!$Q3242&lt;&gt;"",IF(Team_Matches!I3242&gt;Team_Matches!I3244,MIN(Team_Matches!I3242,Team_Matches!I3244),-MIN(Team_Matches!I3242,Team_Matches!I3244))*IF(Team_Matches!$Q3242="W",1,-1),"")</f>
        <v/>
      </c>
      <c r="H255" s="7" t="str">
        <f>IF(Team_Matches!$Q3242&lt;&gt;"",IF(Team_Matches!J3242&gt;Team_Matches!J3244,MIN(Team_Matches!J3242,Team_Matches!J3244),-MIN(Team_Matches!J3242,Team_Matches!J3244))*IF(Team_Matches!$Q3242="W",1,-1),"")</f>
        <v/>
      </c>
      <c r="I255" s="7" t="str">
        <f>IF(Team_Matches!$Q3242&lt;&gt;"",IF(Team_Matches!K3242=Team_Matches!K3244,"",IF(Team_Matches!K3242&gt;Team_Matches!K3244,MIN(Team_Matches!K3242,Team_Matches!K3244),-MIN(Team_Matches!K3242,Team_Matches!K3244))*IF(Team_Matches!$Q3242="W",1,-1)),"")</f>
        <v/>
      </c>
      <c r="J255" s="7" t="str">
        <f>IF(Team_Matches!$Q3242&lt;&gt;"",IF(Team_Matches!L3242=Team_Matches!L3244,"",IF(Team_Matches!L3242&gt;Team_Matches!L3244,MIN(Team_Matches!L3242,Team_Matches!L3244),-MIN(Team_Matches!L3242,Team_Matches!L3244))*IF(Team_Matches!$Q3242="W",1,-1)),"")</f>
        <v/>
      </c>
    </row>
    <row r="256" spans="1:10" x14ac:dyDescent="0.25">
      <c r="A256" s="55" t="e">
        <f ca="1">$B256&amp;";"&amp;VLOOKUP($B256,Players!$C$4:$G$132,5,FALSE)&amp;";"&amp;IF(ISERROR(VLOOKUP($B256,Players!$C$4:$G$132,2,FALSE)),0,VLOOKUP($B256,Players!$C$4:$G$132,2,FALSE))&amp;";"&amp;$C256&amp;";"&amp;VLOOKUP($C256,Players!$C$4:$G$132,5,FALSE)&amp;";"&amp;IF(ISERROR(VLOOKUP($C256,Players!$C$4:$G$132,2,FALSE)),0,VLOOKUP($C256,Players!$C$4:$G$132,2,FALSE))&amp;"|"</f>
        <v>#N/A</v>
      </c>
      <c r="B256" t="str">
        <f ca="1">IF(Team_Matches!$Q3249="W",Team_Matches!$B3249,IF(Team_Matches!$Q3251="W",Team_Matches!$B3251,""))</f>
        <v/>
      </c>
      <c r="C256" t="str">
        <f ca="1">IF(Team_Matches!$Q3249="L",Team_Matches!$B3249,IF(Team_Matches!$Q3251="L",Team_Matches!$B3251,""))</f>
        <v/>
      </c>
      <c r="D256" t="str">
        <f>CONCATENATE(Team_Matches!$B3222," vs ",Team_Matches!$K3222)</f>
        <v>E vs K</v>
      </c>
      <c r="E256" t="str">
        <f>Team_Matches!$A3247</f>
        <v>4th Singles</v>
      </c>
      <c r="F256" s="7" t="str">
        <f ca="1">IF(Team_Matches!$Q3249&lt;&gt;"",IF(Team_Matches!H3249&gt;Team_Matches!H3251,MIN(Team_Matches!H3249,Team_Matches!H3251),-MIN(Team_Matches!H3249,Team_Matches!H3251))*IF(Team_Matches!$Q3249="W",1,-1),"")</f>
        <v/>
      </c>
      <c r="G256" s="7" t="str">
        <f ca="1">IF(Team_Matches!$Q3249&lt;&gt;"",IF(Team_Matches!I3249&gt;Team_Matches!I3251,MIN(Team_Matches!I3249,Team_Matches!I3251),-MIN(Team_Matches!I3249,Team_Matches!I3251))*IF(Team_Matches!$Q3249="W",1,-1),"")</f>
        <v/>
      </c>
      <c r="H256" s="7" t="str">
        <f ca="1">IF(Team_Matches!$Q3249&lt;&gt;"",IF(Team_Matches!J3249&gt;Team_Matches!J3251,MIN(Team_Matches!J3249,Team_Matches!J3251),-MIN(Team_Matches!J3249,Team_Matches!J3251))*IF(Team_Matches!$Q3249="W",1,-1),"")</f>
        <v/>
      </c>
      <c r="I256" s="7" t="str">
        <f ca="1">IF(Team_Matches!$Q3249&lt;&gt;"",IF(Team_Matches!K3249=Team_Matches!K3251,"",IF(Team_Matches!K3249&gt;Team_Matches!K3251,MIN(Team_Matches!K3249,Team_Matches!K3251),-MIN(Team_Matches!K3249,Team_Matches!K3251))*IF(Team_Matches!$Q3249="W",1,-1)),"")</f>
        <v/>
      </c>
      <c r="J256" s="7" t="str">
        <f ca="1">IF(Team_Matches!$Q3249&lt;&gt;"",IF(Team_Matches!L3249=Team_Matches!L3251,"",IF(Team_Matches!L3249&gt;Team_Matches!L3251,MIN(Team_Matches!L3249,Team_Matches!L3251),-MIN(Team_Matches!L3249,Team_Matches!L3251))*IF(Team_Matches!$Q3249="W",1,-1)),"")</f>
        <v/>
      </c>
    </row>
    <row r="257" spans="1:10" x14ac:dyDescent="0.25">
      <c r="A257" s="55" t="e">
        <f>$B257&amp;";"&amp;VLOOKUP($B257,Players!$C$4:$G$132,5,FALSE)&amp;";"&amp;IF(ISERROR(VLOOKUP($B257,Players!$C$4:$G$132,2,FALSE)),0,VLOOKUP($B257,Players!$C$4:$G$132,2,FALSE))&amp;";"&amp;$C257&amp;";"&amp;VLOOKUP($C257,Players!$C$4:$G$132,5,FALSE)&amp;";"&amp;IF(ISERROR(VLOOKUP($C257,Players!$C$4:$G$132,2,FALSE)),0,VLOOKUP($C257,Players!$C$4:$G$132,2,FALSE))&amp;"|"</f>
        <v>#N/A</v>
      </c>
      <c r="B257" t="str">
        <f>IF(Team_Matches!$Q3279="W",Team_Matches!$B3279,IF(Team_Matches!$Q3281="W",Team_Matches!$B3281,""))</f>
        <v/>
      </c>
      <c r="C257" t="str">
        <f>IF(Team_Matches!$Q3279="L",Team_Matches!$B3279,IF(Team_Matches!$Q3281="L",Team_Matches!$B3281,""))</f>
        <v/>
      </c>
      <c r="D257" t="str">
        <f>CONCATENATE(Team_Matches!$B3273," vs ",Team_Matches!$K3273)</f>
        <v>D vs L</v>
      </c>
      <c r="E257" t="str">
        <f>Team_Matches!A3277</f>
        <v>1st Singles</v>
      </c>
      <c r="F257" s="7" t="str">
        <f>IF(Team_Matches!$Q3279&lt;&gt;"",IF(Team_Matches!H3279&gt;Team_Matches!H3281,MIN(Team_Matches!H3279,Team_Matches!H3281),-MIN(Team_Matches!H3279,Team_Matches!H3281))*IF(Team_Matches!$Q3279="W",1,-1),"")</f>
        <v/>
      </c>
      <c r="G257" s="7" t="str">
        <f>IF(Team_Matches!$Q3279&lt;&gt;"",IF(Team_Matches!I3279&gt;Team_Matches!I3281,MIN(Team_Matches!I3279,Team_Matches!I3281),-MIN(Team_Matches!I3279,Team_Matches!I3281))*IF(Team_Matches!$Q3279="W",1,-1),"")</f>
        <v/>
      </c>
      <c r="H257" s="7" t="str">
        <f>IF(Team_Matches!$Q3279&lt;&gt;"",IF(Team_Matches!J3279&gt;Team_Matches!J3281,MIN(Team_Matches!J3279,Team_Matches!J3281),-MIN(Team_Matches!J3279,Team_Matches!J3281))*IF(Team_Matches!$Q3279="W",1,-1),"")</f>
        <v/>
      </c>
      <c r="I257" s="7" t="str">
        <f>IF(Team_Matches!$Q3279&lt;&gt;"",IF(Team_Matches!K3279=Team_Matches!K3281,"",IF(Team_Matches!K3279&gt;Team_Matches!K3281,MIN(Team_Matches!K3279,Team_Matches!K3281),-MIN(Team_Matches!K3279,Team_Matches!K3281))*IF(Team_Matches!$Q3279="W",1,-1)),"")</f>
        <v/>
      </c>
      <c r="J257" s="7" t="str">
        <f>IF(Team_Matches!$Q3279&lt;&gt;"",IF(Team_Matches!L3279=Team_Matches!L3281,"",IF(Team_Matches!L3279&gt;Team_Matches!L3281,MIN(Team_Matches!L3279,Team_Matches!L3281),-MIN(Team_Matches!L3279,Team_Matches!L3281))*IF(Team_Matches!$Q3279="W",1,-1)),"")</f>
        <v/>
      </c>
    </row>
    <row r="258" spans="1:10" x14ac:dyDescent="0.25">
      <c r="A258" s="55" t="e">
        <f>$B258&amp;";"&amp;VLOOKUP($B258,Players!$C$4:$G$132,5,FALSE)&amp;";"&amp;IF(ISERROR(VLOOKUP($B258,Players!$C$4:$G$132,2,FALSE)),0,VLOOKUP($B258,Players!$C$4:$G$132,2,FALSE))&amp;";"&amp;$C258&amp;";"&amp;VLOOKUP($C258,Players!$C$4:$G$132,5,FALSE)&amp;";"&amp;IF(ISERROR(VLOOKUP($C258,Players!$C$4:$G$132,2,FALSE)),0,VLOOKUP($C258,Players!$C$4:$G$132,2,FALSE))&amp;"|"</f>
        <v>#N/A</v>
      </c>
      <c r="B258" t="str">
        <f>IF(Team_Matches!$Q3286="W",Team_Matches!$B3286,IF(Team_Matches!$Q3288="W",Team_Matches!$B3288,""))</f>
        <v/>
      </c>
      <c r="C258" t="str">
        <f>IF(Team_Matches!$Q3286="L",Team_Matches!$B3286,IF(Team_Matches!$Q3288="L",Team_Matches!$B3288,""))</f>
        <v/>
      </c>
      <c r="D258" t="str">
        <f>CONCATENATE(Team_Matches!$B3273," vs ",Team_Matches!$K3273)</f>
        <v>D vs L</v>
      </c>
      <c r="E258" t="str">
        <f>Team_Matches!$A3284</f>
        <v>2nd Singles</v>
      </c>
      <c r="F258" s="7" t="str">
        <f>IF(Team_Matches!$Q3286&lt;&gt;"",IF(Team_Matches!H3286&gt;Team_Matches!H3288,MIN(Team_Matches!H3286,Team_Matches!H3288),-MIN(Team_Matches!H3286,Team_Matches!H3288))*IF(Team_Matches!$Q3286="W",1,-1),"")</f>
        <v/>
      </c>
      <c r="G258" s="7" t="str">
        <f>IF(Team_Matches!$Q3286&lt;&gt;"",IF(Team_Matches!I3286&gt;Team_Matches!I3288,MIN(Team_Matches!I3286,Team_Matches!I3288),-MIN(Team_Matches!I3286,Team_Matches!I3288))*IF(Team_Matches!$Q3286="W",1,-1),"")</f>
        <v/>
      </c>
      <c r="H258" s="7" t="str">
        <f>IF(Team_Matches!$Q3286&lt;&gt;"",IF(Team_Matches!J3286&gt;Team_Matches!J3288,MIN(Team_Matches!J3286,Team_Matches!J3288),-MIN(Team_Matches!J3286,Team_Matches!J3288))*IF(Team_Matches!$Q3286="W",1,-1),"")</f>
        <v/>
      </c>
      <c r="I258" s="7" t="str">
        <f>IF(Team_Matches!$Q3286&lt;&gt;"",IF(Team_Matches!K3286=Team_Matches!K3288,"",IF(Team_Matches!K3286&gt;Team_Matches!K3288,MIN(Team_Matches!K3286,Team_Matches!K3288),-MIN(Team_Matches!K3286,Team_Matches!K3288))*IF(Team_Matches!$Q3286="W",1,-1)),"")</f>
        <v/>
      </c>
      <c r="J258" s="7" t="str">
        <f>IF(Team_Matches!$Q3286&lt;&gt;"",IF(Team_Matches!L3286=Team_Matches!L3288,"",IF(Team_Matches!L3286&gt;Team_Matches!L3288,MIN(Team_Matches!L3286,Team_Matches!L3288),-MIN(Team_Matches!L3286,Team_Matches!L3288))*IF(Team_Matches!$Q3286="W",1,-1)),"")</f>
        <v/>
      </c>
    </row>
    <row r="259" spans="1:10" x14ac:dyDescent="0.25">
      <c r="A259" s="55" t="e">
        <f>$B259&amp;";"&amp;VLOOKUP($B259,Players!$C$4:$G$132,5,FALSE)&amp;";"&amp;IF(ISERROR(VLOOKUP($B259,Players!$C$4:$G$132,2,FALSE)),0,VLOOKUP($B259,Players!$C$4:$G$132,2,FALSE))&amp;";"&amp;$C259&amp;";"&amp;VLOOKUP($C259,Players!$C$4:$G$132,5,FALSE)&amp;";"&amp;IF(ISERROR(VLOOKUP($C259,Players!$C$4:$G$132,2,FALSE)),0,VLOOKUP($C259,Players!$C$4:$G$132,2,FALSE))&amp;"|"</f>
        <v>#N/A</v>
      </c>
      <c r="B259" t="str">
        <f>IF(Team_Matches!$Q3293="W",Team_Matches!$B3293,IF(Team_Matches!$Q3295="W",Team_Matches!$B3295,""))</f>
        <v/>
      </c>
      <c r="C259" t="str">
        <f>IF(Team_Matches!$Q3293="L",Team_Matches!$B3293,IF(Team_Matches!$Q3295="L",Team_Matches!$B3295,""))</f>
        <v/>
      </c>
      <c r="D259" t="str">
        <f>CONCATENATE(Team_Matches!$B3273," vs ",Team_Matches!$K3273)</f>
        <v>D vs L</v>
      </c>
      <c r="E259" t="str">
        <f>Team_Matches!$A3291</f>
        <v>3rd Singles</v>
      </c>
      <c r="F259" s="7" t="str">
        <f>IF(Team_Matches!$Q3293&lt;&gt;"",IF(Team_Matches!H3293&gt;Team_Matches!H3295,MIN(Team_Matches!H3293,Team_Matches!H3295),-MIN(Team_Matches!H3293,Team_Matches!H3295))*IF(Team_Matches!$Q3293="W",1,-1),"")</f>
        <v/>
      </c>
      <c r="G259" s="7" t="str">
        <f>IF(Team_Matches!$Q3293&lt;&gt;"",IF(Team_Matches!I3293&gt;Team_Matches!I3295,MIN(Team_Matches!I3293,Team_Matches!I3295),-MIN(Team_Matches!I3293,Team_Matches!I3295))*IF(Team_Matches!$Q3293="W",1,-1),"")</f>
        <v/>
      </c>
      <c r="H259" s="7" t="str">
        <f>IF(Team_Matches!$Q3293&lt;&gt;"",IF(Team_Matches!J3293&gt;Team_Matches!J3295,MIN(Team_Matches!J3293,Team_Matches!J3295),-MIN(Team_Matches!J3293,Team_Matches!J3295))*IF(Team_Matches!$Q3293="W",1,-1),"")</f>
        <v/>
      </c>
      <c r="I259" s="7" t="str">
        <f>IF(Team_Matches!$Q3293&lt;&gt;"",IF(Team_Matches!K3293=Team_Matches!K3295,"",IF(Team_Matches!K3293&gt;Team_Matches!K3295,MIN(Team_Matches!K3293,Team_Matches!K3295),-MIN(Team_Matches!K3293,Team_Matches!K3295))*IF(Team_Matches!$Q3293="W",1,-1)),"")</f>
        <v/>
      </c>
      <c r="J259" s="7" t="str">
        <f>IF(Team_Matches!$Q3293&lt;&gt;"",IF(Team_Matches!L3293=Team_Matches!L3295,"",IF(Team_Matches!L3293&gt;Team_Matches!L3295,MIN(Team_Matches!L3293,Team_Matches!L3295),-MIN(Team_Matches!L3293,Team_Matches!L3295))*IF(Team_Matches!$Q3293="W",1,-1)),"")</f>
        <v/>
      </c>
    </row>
    <row r="260" spans="1:10" x14ac:dyDescent="0.25">
      <c r="A260" s="55" t="e">
        <f ca="1">$B260&amp;";"&amp;VLOOKUP($B260,Players!$C$4:$G$132,5,FALSE)&amp;";"&amp;IF(ISERROR(VLOOKUP($B260,Players!$C$4:$G$132,2,FALSE)),0,VLOOKUP($B260,Players!$C$4:$G$132,2,FALSE))&amp;";"&amp;$C260&amp;";"&amp;VLOOKUP($C260,Players!$C$4:$G$132,5,FALSE)&amp;";"&amp;IF(ISERROR(VLOOKUP($C260,Players!$C$4:$G$132,2,FALSE)),0,VLOOKUP($C260,Players!$C$4:$G$132,2,FALSE))&amp;"|"</f>
        <v>#N/A</v>
      </c>
      <c r="B260" t="str">
        <f ca="1">IF(Team_Matches!$Q3300="W",Team_Matches!$B3300,IF(Team_Matches!$Q3302="W",Team_Matches!$B3302,""))</f>
        <v/>
      </c>
      <c r="C260" t="str">
        <f ca="1">IF(Team_Matches!$Q3300="L",Team_Matches!$B3300,IF(Team_Matches!$Q3302="L",Team_Matches!$B3302,""))</f>
        <v/>
      </c>
      <c r="D260" t="str">
        <f>CONCATENATE(Team_Matches!$B3273," vs ",Team_Matches!$K3273)</f>
        <v>D vs L</v>
      </c>
      <c r="E260" t="str">
        <f>Team_Matches!$A3298</f>
        <v>4th Singles</v>
      </c>
      <c r="F260" s="7" t="str">
        <f ca="1">IF(Team_Matches!$Q3300&lt;&gt;"",IF(Team_Matches!H3300&gt;Team_Matches!H3302,MIN(Team_Matches!H3300,Team_Matches!H3302),-MIN(Team_Matches!H3300,Team_Matches!H3302))*IF(Team_Matches!$Q3300="W",1,-1),"")</f>
        <v/>
      </c>
      <c r="G260" s="7" t="str">
        <f ca="1">IF(Team_Matches!$Q3300&lt;&gt;"",IF(Team_Matches!I3300&gt;Team_Matches!I3302,MIN(Team_Matches!I3300,Team_Matches!I3302),-MIN(Team_Matches!I3300,Team_Matches!I3302))*IF(Team_Matches!$Q3300="W",1,-1),"")</f>
        <v/>
      </c>
      <c r="H260" s="7" t="str">
        <f ca="1">IF(Team_Matches!$Q3300&lt;&gt;"",IF(Team_Matches!J3300&gt;Team_Matches!J3302,MIN(Team_Matches!J3300,Team_Matches!J3302),-MIN(Team_Matches!J3300,Team_Matches!J3302))*IF(Team_Matches!$Q3300="W",1,-1),"")</f>
        <v/>
      </c>
      <c r="I260" s="7" t="str">
        <f ca="1">IF(Team_Matches!$Q3300&lt;&gt;"",IF(Team_Matches!K3300=Team_Matches!K3302,"",IF(Team_Matches!K3300&gt;Team_Matches!K3302,MIN(Team_Matches!K3300,Team_Matches!K3302),-MIN(Team_Matches!K3300,Team_Matches!K3302))*IF(Team_Matches!$Q3300="W",1,-1)),"")</f>
        <v/>
      </c>
      <c r="J260" s="7" t="str">
        <f ca="1">IF(Team_Matches!$Q3300&lt;&gt;"",IF(Team_Matches!L3300=Team_Matches!L3302,"",IF(Team_Matches!L3300&gt;Team_Matches!L3302,MIN(Team_Matches!L3300,Team_Matches!L3302),-MIN(Team_Matches!L3300,Team_Matches!L3302))*IF(Team_Matches!$Q3300="W",1,-1)),"")</f>
        <v/>
      </c>
    </row>
    <row r="261" spans="1:10" x14ac:dyDescent="0.25">
      <c r="A261" s="55" t="e">
        <f>$B261&amp;";"&amp;VLOOKUP($B261,Players!$C$4:$G$132,5,FALSE)&amp;";"&amp;IF(ISERROR(VLOOKUP($B261,Players!$C$4:$G$132,2,FALSE)),0,VLOOKUP($B261,Players!$C$4:$G$132,2,FALSE))&amp;";"&amp;$C261&amp;";"&amp;VLOOKUP($C261,Players!$C$4:$G$132,5,FALSE)&amp;";"&amp;IF(ISERROR(VLOOKUP($C261,Players!$C$4:$G$132,2,FALSE)),0,VLOOKUP($C261,Players!$C$4:$G$132,2,FALSE))&amp;"|"</f>
        <v>#N/A</v>
      </c>
      <c r="B261" t="str">
        <f>IF(Team_Matches!$Q3330="W",Team_Matches!$B3330,IF(Team_Matches!$Q3332="W",Team_Matches!$B3332,""))</f>
        <v/>
      </c>
      <c r="C261" t="str">
        <f>IF(Team_Matches!$Q3330="L",Team_Matches!$B3330,IF(Team_Matches!$Q3332="L",Team_Matches!$B3332,""))</f>
        <v/>
      </c>
      <c r="D261" t="str">
        <f>CONCATENATE(Team_Matches!$B3324," vs ",Team_Matches!$K3324)</f>
        <v>B vs C</v>
      </c>
      <c r="E261" t="str">
        <f>Team_Matches!A3328</f>
        <v>1st Singles</v>
      </c>
      <c r="F261" s="7" t="str">
        <f>IF(Team_Matches!$Q3330&lt;&gt;"",IF(Team_Matches!H3330&gt;Team_Matches!H3332,MIN(Team_Matches!H3330,Team_Matches!H3332),-MIN(Team_Matches!H3330,Team_Matches!H3332))*IF(Team_Matches!$Q3330="W",1,-1),"")</f>
        <v/>
      </c>
      <c r="G261" s="7" t="str">
        <f>IF(Team_Matches!$Q3330&lt;&gt;"",IF(Team_Matches!I3330&gt;Team_Matches!I3332,MIN(Team_Matches!I3330,Team_Matches!I3332),-MIN(Team_Matches!I3330,Team_Matches!I3332))*IF(Team_Matches!$Q3330="W",1,-1),"")</f>
        <v/>
      </c>
      <c r="H261" s="7" t="str">
        <f>IF(Team_Matches!$Q3330&lt;&gt;"",IF(Team_Matches!J3330&gt;Team_Matches!J3332,MIN(Team_Matches!J3330,Team_Matches!J3332),-MIN(Team_Matches!J3330,Team_Matches!J3332))*IF(Team_Matches!$Q3330="W",1,-1),"")</f>
        <v/>
      </c>
      <c r="I261" s="7" t="str">
        <f>IF(Team_Matches!$Q3330&lt;&gt;"",IF(Team_Matches!K3330=Team_Matches!K3332,"",IF(Team_Matches!K3330&gt;Team_Matches!K3332,MIN(Team_Matches!K3330,Team_Matches!K3332),-MIN(Team_Matches!K3330,Team_Matches!K3332))*IF(Team_Matches!$Q3330="W",1,-1)),"")</f>
        <v/>
      </c>
      <c r="J261" s="7" t="str">
        <f>IF(Team_Matches!$Q3330&lt;&gt;"",IF(Team_Matches!L3330=Team_Matches!L3332,"",IF(Team_Matches!L3330&gt;Team_Matches!L3332,MIN(Team_Matches!L3330,Team_Matches!L3332),-MIN(Team_Matches!L3330,Team_Matches!L3332))*IF(Team_Matches!$Q3330="W",1,-1)),"")</f>
        <v/>
      </c>
    </row>
    <row r="262" spans="1:10" x14ac:dyDescent="0.25">
      <c r="A262" s="55" t="e">
        <f>$B262&amp;";"&amp;VLOOKUP($B262,Players!$C$4:$G$132,5,FALSE)&amp;";"&amp;IF(ISERROR(VLOOKUP($B262,Players!$C$4:$G$132,2,FALSE)),0,VLOOKUP($B262,Players!$C$4:$G$132,2,FALSE))&amp;";"&amp;$C262&amp;";"&amp;VLOOKUP($C262,Players!$C$4:$G$132,5,FALSE)&amp;";"&amp;IF(ISERROR(VLOOKUP($C262,Players!$C$4:$G$132,2,FALSE)),0,VLOOKUP($C262,Players!$C$4:$G$132,2,FALSE))&amp;"|"</f>
        <v>#N/A</v>
      </c>
      <c r="B262" t="str">
        <f>IF(Team_Matches!$Q3337="W",Team_Matches!$B3337,IF(Team_Matches!$Q3339="W",Team_Matches!$B3339,""))</f>
        <v/>
      </c>
      <c r="C262" t="str">
        <f>IF(Team_Matches!$Q3337="L",Team_Matches!$B3337,IF(Team_Matches!$Q3339="L",Team_Matches!$B3339,""))</f>
        <v/>
      </c>
      <c r="D262" t="str">
        <f>CONCATENATE(Team_Matches!$B3324," vs ",Team_Matches!$K3324)</f>
        <v>B vs C</v>
      </c>
      <c r="E262" t="str">
        <f>Team_Matches!$A3335</f>
        <v>2nd Singles</v>
      </c>
      <c r="F262" s="7" t="str">
        <f>IF(Team_Matches!$Q3337&lt;&gt;"",IF(Team_Matches!H3337&gt;Team_Matches!H3339,MIN(Team_Matches!H3337,Team_Matches!H3339),-MIN(Team_Matches!H3337,Team_Matches!H3339))*IF(Team_Matches!$Q3337="W",1,-1),"")</f>
        <v/>
      </c>
      <c r="G262" s="7" t="str">
        <f>IF(Team_Matches!$Q3337&lt;&gt;"",IF(Team_Matches!I3337&gt;Team_Matches!I3339,MIN(Team_Matches!I3337,Team_Matches!I3339),-MIN(Team_Matches!I3337,Team_Matches!I3339))*IF(Team_Matches!$Q3337="W",1,-1),"")</f>
        <v/>
      </c>
      <c r="H262" s="7" t="str">
        <f>IF(Team_Matches!$Q3337&lt;&gt;"",IF(Team_Matches!J3337&gt;Team_Matches!J3339,MIN(Team_Matches!J3337,Team_Matches!J3339),-MIN(Team_Matches!J3337,Team_Matches!J3339))*IF(Team_Matches!$Q3337="W",1,-1),"")</f>
        <v/>
      </c>
      <c r="I262" s="7" t="str">
        <f>IF(Team_Matches!$Q3337&lt;&gt;"",IF(Team_Matches!K3337=Team_Matches!K3339,"",IF(Team_Matches!K3337&gt;Team_Matches!K3339,MIN(Team_Matches!K3337,Team_Matches!K3339),-MIN(Team_Matches!K3337,Team_Matches!K3339))*IF(Team_Matches!$Q3337="W",1,-1)),"")</f>
        <v/>
      </c>
      <c r="J262" s="7" t="str">
        <f>IF(Team_Matches!$Q3337&lt;&gt;"",IF(Team_Matches!L3337=Team_Matches!L3339,"",IF(Team_Matches!L3337&gt;Team_Matches!L3339,MIN(Team_Matches!L3337,Team_Matches!L3339),-MIN(Team_Matches!L3337,Team_Matches!L3339))*IF(Team_Matches!$Q3337="W",1,-1)),"")</f>
        <v/>
      </c>
    </row>
    <row r="263" spans="1:10" x14ac:dyDescent="0.25">
      <c r="A263" s="55" t="e">
        <f>$B263&amp;";"&amp;VLOOKUP($B263,Players!$C$4:$G$132,5,FALSE)&amp;";"&amp;IF(ISERROR(VLOOKUP($B263,Players!$C$4:$G$132,2,FALSE)),0,VLOOKUP($B263,Players!$C$4:$G$132,2,FALSE))&amp;";"&amp;$C263&amp;";"&amp;VLOOKUP($C263,Players!$C$4:$G$132,5,FALSE)&amp;";"&amp;IF(ISERROR(VLOOKUP($C263,Players!$C$4:$G$132,2,FALSE)),0,VLOOKUP($C263,Players!$C$4:$G$132,2,FALSE))&amp;"|"</f>
        <v>#N/A</v>
      </c>
      <c r="B263" t="str">
        <f>IF(Team_Matches!$Q3344="W",Team_Matches!$B3344,IF(Team_Matches!$Q3346="W",Team_Matches!$B3346,""))</f>
        <v/>
      </c>
      <c r="C263" t="str">
        <f>IF(Team_Matches!$Q3344="L",Team_Matches!$B3344,IF(Team_Matches!$Q3346="L",Team_Matches!$B3346,""))</f>
        <v/>
      </c>
      <c r="D263" t="str">
        <f>CONCATENATE(Team_Matches!$B3324," vs ",Team_Matches!$K3324)</f>
        <v>B vs C</v>
      </c>
      <c r="E263" t="str">
        <f>Team_Matches!$A3342</f>
        <v>3rd Singles</v>
      </c>
      <c r="F263" s="7" t="str">
        <f>IF(Team_Matches!$Q3344&lt;&gt;"",IF(Team_Matches!H3344&gt;Team_Matches!H3346,MIN(Team_Matches!H3344,Team_Matches!H3346),-MIN(Team_Matches!H3344,Team_Matches!H3346))*IF(Team_Matches!$Q3344="W",1,-1),"")</f>
        <v/>
      </c>
      <c r="G263" s="7" t="str">
        <f>IF(Team_Matches!$Q3344&lt;&gt;"",IF(Team_Matches!I3344&gt;Team_Matches!I3346,MIN(Team_Matches!I3344,Team_Matches!I3346),-MIN(Team_Matches!I3344,Team_Matches!I3346))*IF(Team_Matches!$Q3344="W",1,-1),"")</f>
        <v/>
      </c>
      <c r="H263" s="7" t="str">
        <f>IF(Team_Matches!$Q3344&lt;&gt;"",IF(Team_Matches!J3344&gt;Team_Matches!J3346,MIN(Team_Matches!J3344,Team_Matches!J3346),-MIN(Team_Matches!J3344,Team_Matches!J3346))*IF(Team_Matches!$Q3344="W",1,-1),"")</f>
        <v/>
      </c>
      <c r="I263" s="7" t="str">
        <f>IF(Team_Matches!$Q3344&lt;&gt;"",IF(Team_Matches!K3344=Team_Matches!K3346,"",IF(Team_Matches!K3344&gt;Team_Matches!K3346,MIN(Team_Matches!K3344,Team_Matches!K3346),-MIN(Team_Matches!K3344,Team_Matches!K3346))*IF(Team_Matches!$Q3344="W",1,-1)),"")</f>
        <v/>
      </c>
      <c r="J263" s="7" t="str">
        <f>IF(Team_Matches!$Q3344&lt;&gt;"",IF(Team_Matches!L3344=Team_Matches!L3346,"",IF(Team_Matches!L3344&gt;Team_Matches!L3346,MIN(Team_Matches!L3344,Team_Matches!L3346),-MIN(Team_Matches!L3344,Team_Matches!L3346))*IF(Team_Matches!$Q3344="W",1,-1)),"")</f>
        <v/>
      </c>
    </row>
    <row r="264" spans="1:10" x14ac:dyDescent="0.25">
      <c r="A264" s="55" t="e">
        <f ca="1">$B264&amp;";"&amp;VLOOKUP($B264,Players!$C$4:$G$132,5,FALSE)&amp;";"&amp;IF(ISERROR(VLOOKUP($B264,Players!$C$4:$G$132,2,FALSE)),0,VLOOKUP($B264,Players!$C$4:$G$132,2,FALSE))&amp;";"&amp;$C264&amp;";"&amp;VLOOKUP($C264,Players!$C$4:$G$132,5,FALSE)&amp;";"&amp;IF(ISERROR(VLOOKUP($C264,Players!$C$4:$G$132,2,FALSE)),0,VLOOKUP($C264,Players!$C$4:$G$132,2,FALSE))&amp;"|"</f>
        <v>#N/A</v>
      </c>
      <c r="B264" t="str">
        <f ca="1">IF(Team_Matches!$Q3351="W",Team_Matches!$B3351,IF(Team_Matches!$Q3353="W",Team_Matches!$B3353,""))</f>
        <v/>
      </c>
      <c r="C264" t="str">
        <f ca="1">IF(Team_Matches!$Q3351="L",Team_Matches!$B3351,IF(Team_Matches!$Q3353="L",Team_Matches!$B3353,""))</f>
        <v/>
      </c>
      <c r="D264" t="str">
        <f>CONCATENATE(Team_Matches!$B3324," vs ",Team_Matches!$K3324)</f>
        <v>B vs C</v>
      </c>
      <c r="E264" t="str">
        <f>Team_Matches!$A3349</f>
        <v>4th Singles</v>
      </c>
      <c r="F264" s="7" t="str">
        <f ca="1">IF(Team_Matches!$Q3351&lt;&gt;"",IF(Team_Matches!H3351&gt;Team_Matches!H3353,MIN(Team_Matches!H3351,Team_Matches!H3353),-MIN(Team_Matches!H3351,Team_Matches!H3353))*IF(Team_Matches!$Q3351="W",1,-1),"")</f>
        <v/>
      </c>
      <c r="G264" s="7" t="str">
        <f ca="1">IF(Team_Matches!$Q3351&lt;&gt;"",IF(Team_Matches!I3351&gt;Team_Matches!I3353,MIN(Team_Matches!I3351,Team_Matches!I3353),-MIN(Team_Matches!I3351,Team_Matches!I3353))*IF(Team_Matches!$Q3351="W",1,-1),"")</f>
        <v/>
      </c>
      <c r="H264" s="7" t="str">
        <f ca="1">IF(Team_Matches!$Q3351&lt;&gt;"",IF(Team_Matches!J3351&gt;Team_Matches!J3353,MIN(Team_Matches!J3351,Team_Matches!J3353),-MIN(Team_Matches!J3351,Team_Matches!J3353))*IF(Team_Matches!$Q3351="W",1,-1),"")</f>
        <v/>
      </c>
      <c r="I264" s="7" t="str">
        <f ca="1">IF(Team_Matches!$Q3351&lt;&gt;"",IF(Team_Matches!K3351=Team_Matches!K3353,"",IF(Team_Matches!K3351&gt;Team_Matches!K3353,MIN(Team_Matches!K3351,Team_Matches!K3353),-MIN(Team_Matches!K3351,Team_Matches!K3353))*IF(Team_Matches!$Q3351="W",1,-1)),"")</f>
        <v/>
      </c>
      <c r="J264" s="7" t="str">
        <f ca="1">IF(Team_Matches!$Q3351&lt;&gt;"",IF(Team_Matches!L3351=Team_Matches!L3353,"",IF(Team_Matches!L3351&gt;Team_Matches!L3353,MIN(Team_Matches!L3351,Team_Matches!L3353),-MIN(Team_Matches!L3351,Team_Matches!L3353))*IF(Team_Matches!$Q3351="W",1,-1)),"")</f>
        <v/>
      </c>
    </row>
  </sheetData>
  <phoneticPr fontId="19" type="noConversion"/>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P815"/>
  <sheetViews>
    <sheetView workbookViewId="0">
      <selection activeCell="Q1" sqref="Q1"/>
    </sheetView>
  </sheetViews>
  <sheetFormatPr defaultRowHeight="13.2" x14ac:dyDescent="0.25"/>
  <cols>
    <col min="1" max="16" width="5.6640625" style="59" customWidth="1"/>
    <col min="17" max="18" width="5.6640625" customWidth="1"/>
  </cols>
  <sheetData>
    <row r="1" spans="1:16" ht="17.399999999999999" x14ac:dyDescent="0.3">
      <c r="A1" s="352" t="s">
        <v>258</v>
      </c>
      <c r="B1" s="352"/>
      <c r="C1" s="352"/>
      <c r="D1" s="352"/>
      <c r="E1" s="352"/>
      <c r="F1" s="352"/>
      <c r="G1" s="352"/>
      <c r="H1" s="352"/>
      <c r="I1" s="352"/>
      <c r="J1" s="352"/>
      <c r="K1" s="352"/>
      <c r="L1" s="352"/>
      <c r="M1" s="352"/>
      <c r="N1" s="352"/>
      <c r="O1" s="352"/>
      <c r="P1" s="352"/>
    </row>
    <row r="3" spans="1:16" x14ac:dyDescent="0.25">
      <c r="A3" s="58" t="s">
        <v>251</v>
      </c>
    </row>
    <row r="4" spans="1:16" x14ac:dyDescent="0.25">
      <c r="A4" s="60"/>
    </row>
    <row r="5" spans="1:16" x14ac:dyDescent="0.25">
      <c r="A5" s="60" t="s">
        <v>250</v>
      </c>
    </row>
    <row r="6" spans="1:16" x14ac:dyDescent="0.25">
      <c r="A6" s="60"/>
      <c r="B6" s="60" t="s">
        <v>252</v>
      </c>
    </row>
    <row r="7" spans="1:16" x14ac:dyDescent="0.25">
      <c r="A7" s="60" t="s">
        <v>740</v>
      </c>
      <c r="B7" s="60"/>
    </row>
    <row r="8" spans="1:16" x14ac:dyDescent="0.25">
      <c r="A8" s="60"/>
      <c r="B8" s="60"/>
    </row>
    <row r="9" spans="1:16" x14ac:dyDescent="0.25">
      <c r="A9" s="60" t="s">
        <v>259</v>
      </c>
      <c r="B9" s="60"/>
    </row>
    <row r="10" spans="1:16" x14ac:dyDescent="0.25">
      <c r="A10" s="60"/>
      <c r="B10" s="61" t="s">
        <v>858</v>
      </c>
      <c r="F10" s="60" t="s">
        <v>260</v>
      </c>
    </row>
    <row r="11" spans="1:16" x14ac:dyDescent="0.25">
      <c r="A11" s="60"/>
      <c r="B11" s="61"/>
      <c r="F11" s="60"/>
    </row>
    <row r="12" spans="1:16" x14ac:dyDescent="0.25">
      <c r="A12" s="68" t="s">
        <v>261</v>
      </c>
      <c r="B12" s="69"/>
      <c r="C12" s="70"/>
      <c r="D12" s="70"/>
      <c r="E12" s="70"/>
      <c r="F12" s="71"/>
      <c r="G12" s="70"/>
      <c r="H12" s="70"/>
      <c r="I12" s="70"/>
      <c r="J12" s="70"/>
      <c r="K12" s="70"/>
      <c r="L12" s="70"/>
      <c r="M12" s="70"/>
      <c r="N12" s="70"/>
      <c r="O12" s="70"/>
      <c r="P12" s="72"/>
    </row>
    <row r="13" spans="1:16" x14ac:dyDescent="0.25">
      <c r="A13" s="73"/>
      <c r="B13" s="74" t="s">
        <v>262</v>
      </c>
      <c r="C13" s="75"/>
      <c r="D13" s="75"/>
      <c r="E13" s="75"/>
      <c r="F13" s="74"/>
      <c r="G13" s="75"/>
      <c r="H13" s="75"/>
      <c r="I13" s="75"/>
      <c r="J13" s="75"/>
      <c r="K13" s="75"/>
      <c r="L13" s="75"/>
      <c r="M13" s="75"/>
      <c r="N13" s="75"/>
      <c r="O13" s="75"/>
      <c r="P13" s="76"/>
    </row>
    <row r="14" spans="1:16" x14ac:dyDescent="0.25">
      <c r="A14" s="60"/>
    </row>
    <row r="15" spans="1:16" x14ac:dyDescent="0.25">
      <c r="A15" s="58" t="s">
        <v>253</v>
      </c>
    </row>
    <row r="17" spans="1:15" x14ac:dyDescent="0.25">
      <c r="A17" s="354" t="s">
        <v>263</v>
      </c>
      <c r="B17" s="354"/>
      <c r="C17" s="355" t="s">
        <v>257</v>
      </c>
      <c r="D17" s="355"/>
      <c r="E17" s="355"/>
      <c r="F17" s="355"/>
      <c r="G17" s="355"/>
      <c r="H17" s="355"/>
      <c r="I17" s="355"/>
      <c r="J17" s="355"/>
      <c r="K17" s="355"/>
      <c r="L17" s="355"/>
      <c r="M17" s="355"/>
      <c r="N17" s="355"/>
      <c r="O17" s="355"/>
    </row>
    <row r="18" spans="1:15" x14ac:dyDescent="0.25">
      <c r="A18" s="328">
        <v>3</v>
      </c>
      <c r="B18" s="328"/>
      <c r="C18" s="353" t="str">
        <f ca="1">HYPERLINK(MID(CELL("filename",$A$1),SEARCH("[",CELL("filename",$A$1)),SEARCH("]",CELL("filename",$A$1))-SEARCH("[",CELL("filename",$A$1))+1)&amp;"$A$3","Summary")</f>
        <v>Summary</v>
      </c>
      <c r="D18" s="199"/>
      <c r="E18" s="199"/>
      <c r="F18" s="199"/>
      <c r="G18" s="199"/>
      <c r="H18" s="199"/>
      <c r="I18" s="199"/>
      <c r="J18" s="199"/>
      <c r="K18" s="199"/>
      <c r="L18" s="199"/>
      <c r="M18" s="199"/>
      <c r="N18" s="199"/>
      <c r="O18" s="199"/>
    </row>
    <row r="19" spans="1:15" x14ac:dyDescent="0.25">
      <c r="A19" s="328">
        <v>56</v>
      </c>
      <c r="B19" s="328"/>
      <c r="C19" s="349" t="str">
        <f ca="1">HYPERLINK(MID(CELL("filename",$A$1),SEARCH("[",CELL("filename",$A$1)),SEARCH("]",CELL("filename",$A$1))-SEARCH("[",CELL("filename",$A$1))+1)&amp;"$A$56","DRAW sheet")</f>
        <v>DRAW sheet</v>
      </c>
      <c r="D19" s="350"/>
      <c r="E19" s="350"/>
      <c r="F19" s="350"/>
      <c r="G19" s="350"/>
      <c r="H19" s="350"/>
      <c r="I19" s="350"/>
      <c r="J19" s="350"/>
      <c r="K19" s="350"/>
      <c r="L19" s="350"/>
      <c r="M19" s="350"/>
      <c r="N19" s="350"/>
      <c r="O19" s="350"/>
    </row>
    <row r="20" spans="1:15" x14ac:dyDescent="0.25">
      <c r="A20" s="328">
        <v>150</v>
      </c>
      <c r="B20" s="328"/>
      <c r="C20" s="349" t="str">
        <f ca="1">HYPERLINK(MID(CELL("filename",$A$1),SEARCH("[",CELL("filename",$A$1)),SEARCH("]",CELL("filename",$A$1))-SEARCH("[",CELL("filename",$A$1))+1)&amp;"$A$149","Setting Match Times")</f>
        <v>Setting Match Times</v>
      </c>
      <c r="D20" s="350"/>
      <c r="E20" s="350"/>
      <c r="F20" s="350"/>
      <c r="G20" s="350"/>
      <c r="H20" s="350"/>
      <c r="I20" s="350"/>
      <c r="J20" s="350"/>
      <c r="K20" s="350"/>
      <c r="L20" s="350"/>
      <c r="M20" s="350"/>
      <c r="N20" s="350"/>
      <c r="O20" s="350"/>
    </row>
    <row r="21" spans="1:15" x14ac:dyDescent="0.25">
      <c r="A21" s="328">
        <v>168</v>
      </c>
      <c r="B21" s="328"/>
      <c r="C21" s="349" t="str">
        <f ca="1">HYPERLINK(MID(CELL("filename",$A$1),SEARCH("[",CELL("filename",$A$1)),SEARCH("]",CELL("filename",$A$1))-SEARCH("[",CELL("filename",$A$1))+1)&amp;"$A$167","Regional Competition")</f>
        <v>Regional Competition</v>
      </c>
      <c r="D21" s="350"/>
      <c r="E21" s="350"/>
      <c r="F21" s="350"/>
      <c r="G21" s="350"/>
      <c r="H21" s="350"/>
      <c r="I21" s="350"/>
      <c r="J21" s="350"/>
      <c r="K21" s="350"/>
      <c r="L21" s="350"/>
      <c r="M21" s="350"/>
      <c r="N21" s="350"/>
      <c r="O21" s="350"/>
    </row>
    <row r="22" spans="1:15" x14ac:dyDescent="0.25">
      <c r="A22" s="328">
        <v>223</v>
      </c>
      <c r="B22" s="328"/>
      <c r="C22" s="349" t="str">
        <f ca="1">HYPERLINK(MID(CELL("filename",$A$1),SEARCH("[",CELL("filename",$A$1)),SEARCH("]",CELL("filename",$A$1))-SEARCH("[",CELL("filename",$A$1))+1)&amp;"$A$167","PLAYERS sheet")</f>
        <v>PLAYERS sheet</v>
      </c>
      <c r="D22" s="350"/>
      <c r="E22" s="350"/>
      <c r="F22" s="350"/>
      <c r="G22" s="350"/>
      <c r="H22" s="350"/>
      <c r="I22" s="350"/>
      <c r="J22" s="350"/>
      <c r="K22" s="350"/>
      <c r="L22" s="350"/>
      <c r="M22" s="350"/>
      <c r="N22" s="350"/>
      <c r="O22" s="350"/>
    </row>
    <row r="23" spans="1:15" x14ac:dyDescent="0.25">
      <c r="A23" s="345">
        <v>302</v>
      </c>
      <c r="B23" s="346"/>
      <c r="C23" s="340" t="str">
        <f ca="1">HYPERLINK(MID(CELL("filename",$A$1),SEARCH("[",CELL("filename",$A$1)),SEARCH("]",CELL("filename",$A$1))-SEARCH("[",CELL("filename",$A$1))+1)&amp;"$A$245","Match Times - Two teams advance")</f>
        <v>Match Times - Two teams advance</v>
      </c>
      <c r="D23" s="341"/>
      <c r="E23" s="341"/>
      <c r="F23" s="341"/>
      <c r="G23" s="341"/>
      <c r="H23" s="341"/>
      <c r="I23" s="341"/>
      <c r="J23" s="341"/>
      <c r="K23" s="341"/>
      <c r="L23" s="341"/>
      <c r="M23" s="341"/>
      <c r="N23" s="341"/>
      <c r="O23" s="342"/>
    </row>
    <row r="24" spans="1:15" x14ac:dyDescent="0.25">
      <c r="A24" s="345">
        <v>333</v>
      </c>
      <c r="B24" s="346"/>
      <c r="C24" s="340" t="str">
        <f ca="1">HYPERLINK(MID(CELL("filename",$A$1),SEARCH("[",CELL("filename",$A$1)),SEARCH("]",CELL("filename",$A$1))-SEARCH("[",CELL("filename",$A$1))+1)&amp;"$A$277","Match Sequence - Two teams advance")</f>
        <v>Match Sequence - Two teams advance</v>
      </c>
      <c r="D24" s="341"/>
      <c r="E24" s="341"/>
      <c r="F24" s="341"/>
      <c r="G24" s="341"/>
      <c r="H24" s="341"/>
      <c r="I24" s="341"/>
      <c r="J24" s="341"/>
      <c r="K24" s="341"/>
      <c r="L24" s="341"/>
      <c r="M24" s="341"/>
      <c r="N24" s="341"/>
      <c r="O24" s="342"/>
    </row>
    <row r="25" spans="1:15" x14ac:dyDescent="0.25">
      <c r="A25" s="343">
        <v>388</v>
      </c>
      <c r="B25" s="344"/>
      <c r="C25" s="340" t="str">
        <f ca="1">HYPERLINK(MID(CELL("filename",$A$1),SEARCH("[",CELL("filename",$A$1)),SEARCH("]",CELL("filename",$A$1))-SEARCH("[",CELL("filename",$A$1))+1)&amp;"$A$332","MATCH_ROSTERS sheet")</f>
        <v>MATCH_ROSTERS sheet</v>
      </c>
      <c r="D25" s="341"/>
      <c r="E25" s="341"/>
      <c r="F25" s="341"/>
      <c r="G25" s="341"/>
      <c r="H25" s="341"/>
      <c r="I25" s="341"/>
      <c r="J25" s="341"/>
      <c r="K25" s="341"/>
      <c r="L25" s="341"/>
      <c r="M25" s="341"/>
      <c r="N25" s="341"/>
      <c r="O25" s="342"/>
    </row>
    <row r="26" spans="1:15" x14ac:dyDescent="0.25">
      <c r="A26" s="343">
        <v>429</v>
      </c>
      <c r="B26" s="344"/>
      <c r="C26" s="340" t="str">
        <f ca="1">HYPERLINK(MID(CELL("filename",$A$1),SEARCH("[",CELL("filename",$A$1)),SEARCH("]",CELL("filename",$A$1))-SEARCH("[",CELL("filename",$A$1))+1)&amp;"$A$373","TEAM_MATCHES sheet")</f>
        <v>TEAM_MATCHES sheet</v>
      </c>
      <c r="D26" s="341"/>
      <c r="E26" s="341"/>
      <c r="F26" s="341"/>
      <c r="G26" s="341"/>
      <c r="H26" s="341"/>
      <c r="I26" s="341"/>
      <c r="J26" s="341"/>
      <c r="K26" s="341"/>
      <c r="L26" s="341"/>
      <c r="M26" s="341"/>
      <c r="N26" s="341"/>
      <c r="O26" s="342"/>
    </row>
    <row r="27" spans="1:15" x14ac:dyDescent="0.25">
      <c r="A27" s="343">
        <v>516</v>
      </c>
      <c r="B27" s="344"/>
      <c r="C27" s="340" t="str">
        <f ca="1">HYPERLINK(MID(CELL("filename",$A$1),SEARCH("[",CELL("filename",$A$1)),SEARCH("]",CELL("filename",$A$1))-SEARCH("[",CELL("filename",$A$1))+1)&amp;"$A$460","Entering Scores")</f>
        <v>Entering Scores</v>
      </c>
      <c r="D27" s="341"/>
      <c r="E27" s="341"/>
      <c r="F27" s="341"/>
      <c r="G27" s="341"/>
      <c r="H27" s="341"/>
      <c r="I27" s="341"/>
      <c r="J27" s="341"/>
      <c r="K27" s="341"/>
      <c r="L27" s="341"/>
      <c r="M27" s="341"/>
      <c r="N27" s="341"/>
      <c r="O27" s="342"/>
    </row>
    <row r="28" spans="1:15" x14ac:dyDescent="0.25">
      <c r="A28" s="343">
        <v>603</v>
      </c>
      <c r="B28" s="344"/>
      <c r="C28" s="340" t="str">
        <f ca="1">HYPERLINK(MID(CELL("filename",$A$1),SEARCH("[",CELL("filename",$A$1)),SEARCH("]",CELL("filename",$A$1))-SEARCH("[",CELL("filename",$A$1))+1)&amp;"$A$547","Moving Quickly to a Contest")</f>
        <v>Moving Quickly to a Contest</v>
      </c>
      <c r="D28" s="341"/>
      <c r="E28" s="341"/>
      <c r="F28" s="341"/>
      <c r="G28" s="341"/>
      <c r="H28" s="341"/>
      <c r="I28" s="341"/>
      <c r="J28" s="341"/>
      <c r="K28" s="341"/>
      <c r="L28" s="341"/>
      <c r="M28" s="341"/>
      <c r="N28" s="341"/>
      <c r="O28" s="342"/>
    </row>
    <row r="29" spans="1:15" x14ac:dyDescent="0.25">
      <c r="A29" s="343">
        <v>681</v>
      </c>
      <c r="B29" s="344"/>
      <c r="C29" s="340" t="str">
        <f ca="1">HYPERLINK(MID(CELL("filename",$A$1),SEARCH("[",CELL("filename",$A$1)),SEARCH("]",CELL("filename",$A$1))-SEARCH("[",CELL("filename",$A$1))+1)&amp;"$A$625","Step-by-Step Quick Guide")</f>
        <v>Step-by-Step Quick Guide</v>
      </c>
      <c r="D29" s="341"/>
      <c r="E29" s="341"/>
      <c r="F29" s="341"/>
      <c r="G29" s="341"/>
      <c r="H29" s="341"/>
      <c r="I29" s="341"/>
      <c r="J29" s="341"/>
      <c r="K29" s="341"/>
      <c r="L29" s="341"/>
      <c r="M29" s="341"/>
      <c r="N29" s="341"/>
      <c r="O29" s="342"/>
    </row>
    <row r="30" spans="1:15" x14ac:dyDescent="0.25">
      <c r="A30" s="343">
        <v>703</v>
      </c>
      <c r="B30" s="344"/>
      <c r="C30" s="340" t="str">
        <f ca="1">HYPERLINK(MID(CELL("filename",$A$1),SEARCH("[",CELL("filename",$A$1)),SEARCH("]",CELL("filename",$A$1))-SEARCH("[",CELL("filename",$A$1))+1)&amp;"$A$647","Frequently Asked Questions (FAQs)")</f>
        <v>Frequently Asked Questions (FAQs)</v>
      </c>
      <c r="D30" s="341"/>
      <c r="E30" s="341"/>
      <c r="F30" s="341"/>
      <c r="G30" s="341"/>
      <c r="H30" s="341"/>
      <c r="I30" s="341"/>
      <c r="J30" s="341"/>
      <c r="K30" s="341"/>
      <c r="L30" s="341"/>
      <c r="M30" s="341"/>
      <c r="N30" s="341"/>
      <c r="O30" s="342"/>
    </row>
    <row r="31" spans="1:15" x14ac:dyDescent="0.25">
      <c r="A31" s="343">
        <v>753</v>
      </c>
      <c r="B31" s="344"/>
      <c r="C31" s="340" t="str">
        <f ca="1">HYPERLINK(MID(CELL("filename",$A$1),SEARCH("[",CELL("filename",$A$1)),SEARCH("]",CELL("filename",$A$1))-SEARCH("[",CELL("filename",$A$1))+1)&amp;"$A$697","History/Revision Log")</f>
        <v>History/Revision Log</v>
      </c>
      <c r="D31" s="341"/>
      <c r="E31" s="341"/>
      <c r="F31" s="341"/>
      <c r="G31" s="341"/>
      <c r="H31" s="341"/>
      <c r="I31" s="341"/>
      <c r="J31" s="341"/>
      <c r="K31" s="341"/>
      <c r="L31" s="341"/>
      <c r="M31" s="341"/>
      <c r="N31" s="341"/>
      <c r="O31" s="342"/>
    </row>
    <row r="32" spans="1:15" x14ac:dyDescent="0.25">
      <c r="A32" s="107"/>
      <c r="B32" s="99"/>
      <c r="C32" s="154"/>
      <c r="D32" s="108"/>
      <c r="E32" s="108"/>
      <c r="F32" s="108"/>
      <c r="G32" s="108"/>
      <c r="H32" s="108"/>
      <c r="I32" s="108"/>
      <c r="J32" s="108"/>
      <c r="K32" s="108"/>
      <c r="L32" s="108"/>
      <c r="M32" s="108"/>
      <c r="N32" s="108"/>
      <c r="O32" s="108"/>
    </row>
    <row r="33" spans="1:1" x14ac:dyDescent="0.25">
      <c r="A33" s="60" t="s">
        <v>894</v>
      </c>
    </row>
    <row r="57" spans="1:2" x14ac:dyDescent="0.25">
      <c r="A57" s="60" t="s">
        <v>718</v>
      </c>
    </row>
    <row r="58" spans="1:2" x14ac:dyDescent="0.25">
      <c r="A58" s="60"/>
    </row>
    <row r="59" spans="1:2" x14ac:dyDescent="0.25">
      <c r="A59" s="60" t="s">
        <v>222</v>
      </c>
    </row>
    <row r="60" spans="1:2" x14ac:dyDescent="0.25">
      <c r="A60" s="60" t="s">
        <v>223</v>
      </c>
    </row>
    <row r="61" spans="1:2" x14ac:dyDescent="0.25">
      <c r="B61" s="60" t="s">
        <v>224</v>
      </c>
    </row>
    <row r="62" spans="1:2" x14ac:dyDescent="0.25">
      <c r="A62" s="60" t="s">
        <v>225</v>
      </c>
    </row>
    <row r="63" spans="1:2" x14ac:dyDescent="0.25">
      <c r="B63" s="60" t="s">
        <v>226</v>
      </c>
    </row>
    <row r="64" spans="1:2" x14ac:dyDescent="0.25">
      <c r="A64" s="60" t="s">
        <v>227</v>
      </c>
    </row>
    <row r="66" spans="1:2" x14ac:dyDescent="0.25">
      <c r="A66" s="60" t="s">
        <v>228</v>
      </c>
    </row>
    <row r="67" spans="1:2" x14ac:dyDescent="0.25">
      <c r="A67" s="60" t="s">
        <v>229</v>
      </c>
    </row>
    <row r="68" spans="1:2" x14ac:dyDescent="0.25">
      <c r="B68" s="60" t="s">
        <v>230</v>
      </c>
    </row>
    <row r="69" spans="1:2" x14ac:dyDescent="0.25">
      <c r="A69" s="60" t="s">
        <v>231</v>
      </c>
    </row>
    <row r="70" spans="1:2" x14ac:dyDescent="0.25">
      <c r="B70" s="60" t="s">
        <v>232</v>
      </c>
    </row>
    <row r="91" spans="1:2" x14ac:dyDescent="0.25">
      <c r="A91" s="60" t="s">
        <v>236</v>
      </c>
    </row>
    <row r="92" spans="1:2" x14ac:dyDescent="0.25">
      <c r="B92" s="60" t="s">
        <v>233</v>
      </c>
    </row>
    <row r="113" spans="1:2" x14ac:dyDescent="0.25">
      <c r="A113" s="60" t="s">
        <v>234</v>
      </c>
    </row>
    <row r="114" spans="1:2" x14ac:dyDescent="0.25">
      <c r="B114" s="60" t="s">
        <v>235</v>
      </c>
    </row>
    <row r="134" spans="1:2" x14ac:dyDescent="0.25">
      <c r="A134" s="59" t="s">
        <v>237</v>
      </c>
    </row>
    <row r="135" spans="1:2" x14ac:dyDescent="0.25">
      <c r="B135" s="59" t="s">
        <v>889</v>
      </c>
    </row>
    <row r="136" spans="1:2" x14ac:dyDescent="0.25">
      <c r="B136" s="59" t="s">
        <v>890</v>
      </c>
    </row>
    <row r="138" spans="1:2" x14ac:dyDescent="0.25">
      <c r="A138" s="59" t="s">
        <v>238</v>
      </c>
    </row>
    <row r="139" spans="1:2" x14ac:dyDescent="0.25">
      <c r="B139" s="60" t="s">
        <v>901</v>
      </c>
    </row>
    <row r="140" spans="1:2" x14ac:dyDescent="0.25">
      <c r="B140" s="60" t="s">
        <v>902</v>
      </c>
    </row>
    <row r="142" spans="1:2" x14ac:dyDescent="0.25">
      <c r="A142" s="59" t="s">
        <v>239</v>
      </c>
    </row>
    <row r="143" spans="1:2" x14ac:dyDescent="0.25">
      <c r="B143" s="59" t="s">
        <v>892</v>
      </c>
    </row>
    <row r="144" spans="1:2" x14ac:dyDescent="0.25">
      <c r="B144" s="59" t="s">
        <v>891</v>
      </c>
    </row>
    <row r="145" spans="1:2" x14ac:dyDescent="0.25">
      <c r="B145" s="59" t="s">
        <v>893</v>
      </c>
    </row>
    <row r="147" spans="1:2" x14ac:dyDescent="0.25">
      <c r="A147" s="60" t="s">
        <v>703</v>
      </c>
    </row>
    <row r="148" spans="1:2" x14ac:dyDescent="0.25">
      <c r="B148" s="60" t="s">
        <v>705</v>
      </c>
    </row>
    <row r="150" spans="1:2" x14ac:dyDescent="0.25">
      <c r="A150" s="58" t="s">
        <v>355</v>
      </c>
    </row>
    <row r="152" spans="1:2" x14ac:dyDescent="0.25">
      <c r="A152" s="60" t="s">
        <v>895</v>
      </c>
    </row>
    <row r="153" spans="1:2" x14ac:dyDescent="0.25">
      <c r="B153" s="60" t="s">
        <v>356</v>
      </c>
    </row>
    <row r="154" spans="1:2" x14ac:dyDescent="0.25">
      <c r="B154" s="60" t="s">
        <v>357</v>
      </c>
    </row>
    <row r="155" spans="1:2" x14ac:dyDescent="0.25">
      <c r="A155" s="60" t="s">
        <v>358</v>
      </c>
    </row>
    <row r="156" spans="1:2" x14ac:dyDescent="0.25">
      <c r="B156" s="60" t="s">
        <v>896</v>
      </c>
    </row>
    <row r="157" spans="1:2" x14ac:dyDescent="0.25">
      <c r="A157" s="60" t="s">
        <v>363</v>
      </c>
    </row>
    <row r="168" spans="1:8" x14ac:dyDescent="0.25">
      <c r="A168" s="58" t="s">
        <v>813</v>
      </c>
    </row>
    <row r="170" spans="1:8" x14ac:dyDescent="0.25">
      <c r="A170" s="60" t="s">
        <v>814</v>
      </c>
    </row>
    <row r="171" spans="1:8" x14ac:dyDescent="0.25">
      <c r="B171" s="60" t="s">
        <v>823</v>
      </c>
    </row>
    <row r="172" spans="1:8" x14ac:dyDescent="0.25">
      <c r="B172" s="60" t="s">
        <v>824</v>
      </c>
    </row>
    <row r="174" spans="1:8" x14ac:dyDescent="0.25">
      <c r="A174" s="99">
        <v>1</v>
      </c>
      <c r="B174" s="59" t="s">
        <v>815</v>
      </c>
      <c r="H174" s="60" t="s">
        <v>825</v>
      </c>
    </row>
    <row r="175" spans="1:8" x14ac:dyDescent="0.25">
      <c r="A175" s="99">
        <v>2</v>
      </c>
      <c r="B175" s="59" t="s">
        <v>816</v>
      </c>
      <c r="H175" s="60" t="s">
        <v>826</v>
      </c>
    </row>
    <row r="176" spans="1:8" x14ac:dyDescent="0.25">
      <c r="A176" s="99">
        <v>3</v>
      </c>
      <c r="B176" s="59" t="s">
        <v>817</v>
      </c>
    </row>
    <row r="177" spans="1:16" x14ac:dyDescent="0.25">
      <c r="A177" s="99">
        <v>4</v>
      </c>
      <c r="B177" s="59" t="s">
        <v>818</v>
      </c>
      <c r="H177" s="60" t="s">
        <v>827</v>
      </c>
    </row>
    <row r="178" spans="1:16" x14ac:dyDescent="0.25">
      <c r="A178" s="99">
        <v>5</v>
      </c>
      <c r="B178" s="59" t="s">
        <v>819</v>
      </c>
      <c r="H178" s="60" t="s">
        <v>828</v>
      </c>
    </row>
    <row r="179" spans="1:16" x14ac:dyDescent="0.25">
      <c r="A179" s="99">
        <v>6</v>
      </c>
      <c r="B179" s="59" t="s">
        <v>820</v>
      </c>
      <c r="H179" s="60" t="s">
        <v>829</v>
      </c>
      <c r="N179" s="60"/>
      <c r="O179" s="148"/>
    </row>
    <row r="180" spans="1:16" x14ac:dyDescent="0.25">
      <c r="A180" s="99">
        <v>7</v>
      </c>
      <c r="B180" s="59" t="s">
        <v>821</v>
      </c>
      <c r="N180" s="60" t="s">
        <v>44</v>
      </c>
      <c r="O180" s="148" t="s">
        <v>45</v>
      </c>
    </row>
    <row r="181" spans="1:16" x14ac:dyDescent="0.25">
      <c r="A181" s="99">
        <v>8</v>
      </c>
      <c r="B181" s="59" t="s">
        <v>822</v>
      </c>
      <c r="M181" s="99">
        <v>1</v>
      </c>
      <c r="N181" s="147"/>
      <c r="O181" s="147"/>
      <c r="P181" s="153">
        <v>2</v>
      </c>
    </row>
    <row r="182" spans="1:16" x14ac:dyDescent="0.25">
      <c r="M182" s="99">
        <v>4</v>
      </c>
      <c r="N182" s="147"/>
      <c r="O182" s="147"/>
      <c r="P182" s="153">
        <v>3</v>
      </c>
    </row>
    <row r="183" spans="1:16" x14ac:dyDescent="0.25">
      <c r="A183" s="60" t="s">
        <v>830</v>
      </c>
      <c r="M183" s="99">
        <v>5</v>
      </c>
      <c r="N183" s="147"/>
      <c r="O183" s="147"/>
      <c r="P183" s="153">
        <v>6</v>
      </c>
    </row>
    <row r="184" spans="1:16" x14ac:dyDescent="0.25">
      <c r="C184" s="148"/>
      <c r="J184" s="148"/>
      <c r="M184" s="99">
        <v>8</v>
      </c>
      <c r="N184" s="147"/>
      <c r="O184" s="147"/>
      <c r="P184" s="153">
        <v>7</v>
      </c>
    </row>
    <row r="185" spans="1:16" x14ac:dyDescent="0.25">
      <c r="C185" s="148" t="s">
        <v>44</v>
      </c>
      <c r="J185" s="148" t="s">
        <v>45</v>
      </c>
      <c r="N185" s="146"/>
      <c r="O185" s="146"/>
    </row>
    <row r="186" spans="1:16" x14ac:dyDescent="0.25">
      <c r="A186" s="151">
        <v>1</v>
      </c>
      <c r="B186" s="149" t="s">
        <v>815</v>
      </c>
      <c r="C186" s="149"/>
      <c r="D186" s="149"/>
      <c r="E186" s="149"/>
      <c r="H186" s="151">
        <v>2</v>
      </c>
      <c r="I186" s="150" t="s">
        <v>816</v>
      </c>
      <c r="J186" s="150"/>
      <c r="K186" s="150"/>
      <c r="L186" s="150"/>
    </row>
    <row r="187" spans="1:16" x14ac:dyDescent="0.25">
      <c r="A187" s="151">
        <v>4</v>
      </c>
      <c r="B187" s="150" t="s">
        <v>818</v>
      </c>
      <c r="C187" s="150"/>
      <c r="D187" s="150"/>
      <c r="E187" s="150"/>
      <c r="H187" s="151">
        <v>3</v>
      </c>
      <c r="I187" s="152" t="s">
        <v>817</v>
      </c>
      <c r="J187" s="152"/>
      <c r="K187" s="152"/>
      <c r="L187" s="152"/>
    </row>
    <row r="188" spans="1:16" x14ac:dyDescent="0.25">
      <c r="A188" s="151">
        <v>5</v>
      </c>
      <c r="B188" s="3" t="s">
        <v>819</v>
      </c>
      <c r="C188" s="3"/>
      <c r="D188" s="3"/>
      <c r="E188" s="3"/>
      <c r="H188" s="151">
        <v>6</v>
      </c>
      <c r="I188" s="150" t="s">
        <v>820</v>
      </c>
      <c r="J188" s="150"/>
      <c r="K188" s="150"/>
      <c r="L188" s="150"/>
    </row>
    <row r="189" spans="1:16" x14ac:dyDescent="0.25">
      <c r="A189" s="151">
        <v>8</v>
      </c>
      <c r="B189" s="149" t="s">
        <v>822</v>
      </c>
      <c r="C189" s="149"/>
      <c r="D189" s="149"/>
      <c r="E189" s="149"/>
      <c r="H189" s="151">
        <v>7</v>
      </c>
      <c r="I189" s="152" t="s">
        <v>821</v>
      </c>
      <c r="J189" s="152"/>
      <c r="K189" s="152"/>
      <c r="L189" s="152"/>
    </row>
    <row r="191" spans="1:16" x14ac:dyDescent="0.25">
      <c r="A191" s="60" t="s">
        <v>831</v>
      </c>
    </row>
    <row r="192" spans="1:16" x14ac:dyDescent="0.25">
      <c r="B192" s="60" t="s">
        <v>832</v>
      </c>
    </row>
    <row r="194" spans="1:12" x14ac:dyDescent="0.25">
      <c r="A194" s="60" t="s">
        <v>833</v>
      </c>
    </row>
    <row r="195" spans="1:12" x14ac:dyDescent="0.25">
      <c r="A195" s="60" t="s">
        <v>834</v>
      </c>
    </row>
    <row r="196" spans="1:12" x14ac:dyDescent="0.25">
      <c r="A196" s="60" t="s">
        <v>835</v>
      </c>
    </row>
    <row r="197" spans="1:12" x14ac:dyDescent="0.25">
      <c r="A197" s="60" t="s">
        <v>836</v>
      </c>
    </row>
    <row r="199" spans="1:12" x14ac:dyDescent="0.25">
      <c r="C199" s="148" t="s">
        <v>44</v>
      </c>
      <c r="J199" s="148" t="s">
        <v>45</v>
      </c>
    </row>
    <row r="200" spans="1:12" x14ac:dyDescent="0.25">
      <c r="A200" s="151">
        <v>1</v>
      </c>
      <c r="B200" s="149" t="s">
        <v>815</v>
      </c>
      <c r="C200" s="149"/>
      <c r="D200" s="149"/>
      <c r="E200" s="149"/>
      <c r="H200" s="151">
        <v>2</v>
      </c>
      <c r="I200" s="150" t="s">
        <v>816</v>
      </c>
      <c r="J200" s="150"/>
      <c r="K200" s="150"/>
      <c r="L200" s="150"/>
    </row>
    <row r="201" spans="1:12" x14ac:dyDescent="0.25">
      <c r="A201" s="151">
        <v>4</v>
      </c>
      <c r="B201" s="150" t="s">
        <v>818</v>
      </c>
      <c r="C201" s="150"/>
      <c r="D201" s="150"/>
      <c r="E201" s="150"/>
      <c r="H201" s="151">
        <v>3</v>
      </c>
      <c r="I201" s="152" t="s">
        <v>817</v>
      </c>
      <c r="J201" s="152"/>
      <c r="K201" s="152"/>
      <c r="L201" s="152"/>
    </row>
    <row r="202" spans="1:12" x14ac:dyDescent="0.25">
      <c r="A202" s="151">
        <v>5</v>
      </c>
      <c r="B202" s="3" t="s">
        <v>819</v>
      </c>
      <c r="C202" s="3"/>
      <c r="D202" s="3"/>
      <c r="E202" s="3"/>
      <c r="H202" s="151">
        <v>6</v>
      </c>
      <c r="I202" s="150" t="s">
        <v>820</v>
      </c>
      <c r="J202" s="150"/>
      <c r="K202" s="150"/>
      <c r="L202" s="150"/>
    </row>
    <row r="203" spans="1:12" x14ac:dyDescent="0.25">
      <c r="A203" s="151">
        <v>7</v>
      </c>
      <c r="B203" s="152" t="s">
        <v>821</v>
      </c>
      <c r="C203" s="152"/>
      <c r="D203" s="152"/>
      <c r="E203" s="152"/>
      <c r="H203" s="151">
        <v>8</v>
      </c>
      <c r="I203" s="149" t="s">
        <v>822</v>
      </c>
      <c r="J203" s="149"/>
      <c r="K203" s="149"/>
      <c r="L203" s="149"/>
    </row>
    <row r="205" spans="1:12" x14ac:dyDescent="0.25">
      <c r="A205" s="60" t="s">
        <v>837</v>
      </c>
    </row>
    <row r="206" spans="1:12" x14ac:dyDescent="0.25">
      <c r="B206" s="60" t="s">
        <v>838</v>
      </c>
    </row>
    <row r="207" spans="1:12" x14ac:dyDescent="0.25">
      <c r="B207" s="60" t="s">
        <v>839</v>
      </c>
    </row>
    <row r="209" spans="1:12" x14ac:dyDescent="0.25">
      <c r="C209" s="148" t="s">
        <v>44</v>
      </c>
      <c r="J209" s="148" t="s">
        <v>45</v>
      </c>
    </row>
    <row r="210" spans="1:12" x14ac:dyDescent="0.25">
      <c r="A210" s="151">
        <v>1</v>
      </c>
      <c r="B210" s="149" t="s">
        <v>815</v>
      </c>
      <c r="C210" s="149"/>
      <c r="D210" s="149"/>
      <c r="E210" s="149"/>
      <c r="H210" s="151">
        <v>2</v>
      </c>
      <c r="I210" s="150" t="s">
        <v>816</v>
      </c>
      <c r="J210" s="150"/>
      <c r="K210" s="150"/>
      <c r="L210" s="150"/>
    </row>
    <row r="211" spans="1:12" x14ac:dyDescent="0.25">
      <c r="A211" s="151">
        <v>4</v>
      </c>
      <c r="B211" s="150" t="s">
        <v>818</v>
      </c>
      <c r="C211" s="150"/>
      <c r="D211" s="150"/>
      <c r="E211" s="150"/>
      <c r="H211" s="151">
        <v>3</v>
      </c>
      <c r="I211" s="152" t="s">
        <v>817</v>
      </c>
      <c r="J211" s="152"/>
      <c r="K211" s="152"/>
      <c r="L211" s="152"/>
    </row>
    <row r="212" spans="1:12" x14ac:dyDescent="0.25">
      <c r="A212" s="151">
        <v>6</v>
      </c>
      <c r="B212" s="150" t="s">
        <v>820</v>
      </c>
      <c r="C212" s="150"/>
      <c r="D212" s="150"/>
      <c r="E212" s="150"/>
      <c r="H212" s="151">
        <v>5</v>
      </c>
      <c r="I212" s="3" t="s">
        <v>819</v>
      </c>
      <c r="J212" s="3"/>
      <c r="K212" s="3"/>
      <c r="L212" s="3"/>
    </row>
    <row r="213" spans="1:12" x14ac:dyDescent="0.25">
      <c r="A213" s="151">
        <v>7</v>
      </c>
      <c r="B213" s="152" t="s">
        <v>821</v>
      </c>
      <c r="C213" s="152"/>
      <c r="D213" s="152"/>
      <c r="E213" s="152"/>
      <c r="H213" s="151">
        <v>8</v>
      </c>
      <c r="I213" s="149" t="s">
        <v>822</v>
      </c>
      <c r="J213" s="149"/>
      <c r="K213" s="149"/>
      <c r="L213" s="149"/>
    </row>
    <row r="215" spans="1:12" x14ac:dyDescent="0.25">
      <c r="A215" s="60" t="s">
        <v>840</v>
      </c>
    </row>
    <row r="216" spans="1:12" x14ac:dyDescent="0.25">
      <c r="B216" s="60" t="s">
        <v>841</v>
      </c>
    </row>
    <row r="218" spans="1:12" x14ac:dyDescent="0.25">
      <c r="A218" s="60" t="s">
        <v>842</v>
      </c>
    </row>
    <row r="219" spans="1:12" x14ac:dyDescent="0.25">
      <c r="B219" s="60" t="s">
        <v>843</v>
      </c>
    </row>
    <row r="220" spans="1:12" x14ac:dyDescent="0.25">
      <c r="B220" s="60" t="s">
        <v>844</v>
      </c>
    </row>
    <row r="221" spans="1:12" x14ac:dyDescent="0.25">
      <c r="B221" s="60" t="s">
        <v>845</v>
      </c>
    </row>
    <row r="223" spans="1:12" x14ac:dyDescent="0.25">
      <c r="A223" s="60" t="s">
        <v>719</v>
      </c>
    </row>
    <row r="224" spans="1:12" x14ac:dyDescent="0.25">
      <c r="B224" s="60"/>
    </row>
    <row r="254" spans="1:2" x14ac:dyDescent="0.25">
      <c r="A254" s="60" t="s">
        <v>955</v>
      </c>
    </row>
    <row r="255" spans="1:2" x14ac:dyDescent="0.25">
      <c r="B255" s="61" t="s">
        <v>956</v>
      </c>
    </row>
    <row r="256" spans="1:2" x14ac:dyDescent="0.25">
      <c r="A256" s="60" t="s">
        <v>957</v>
      </c>
      <c r="B256" s="60"/>
    </row>
    <row r="257" spans="1:2" x14ac:dyDescent="0.25">
      <c r="A257" s="59" t="s">
        <v>958</v>
      </c>
      <c r="B257" s="60"/>
    </row>
    <row r="258" spans="1:2" x14ac:dyDescent="0.25">
      <c r="A258" s="59" t="s">
        <v>959</v>
      </c>
      <c r="B258" s="60"/>
    </row>
    <row r="259" spans="1:2" x14ac:dyDescent="0.25">
      <c r="A259" s="60" t="s">
        <v>960</v>
      </c>
      <c r="B259" s="60"/>
    </row>
    <row r="260" spans="1:2" x14ac:dyDescent="0.25">
      <c r="B260" s="60"/>
    </row>
    <row r="261" spans="1:2" x14ac:dyDescent="0.25">
      <c r="A261" s="60" t="s">
        <v>961</v>
      </c>
      <c r="B261" s="60"/>
    </row>
    <row r="262" spans="1:2" x14ac:dyDescent="0.25">
      <c r="B262" s="60"/>
    </row>
    <row r="263" spans="1:2" x14ac:dyDescent="0.25">
      <c r="A263" s="60" t="s">
        <v>868</v>
      </c>
      <c r="B263" s="60"/>
    </row>
    <row r="264" spans="1:2" x14ac:dyDescent="0.25">
      <c r="B264" s="60" t="s">
        <v>0</v>
      </c>
    </row>
    <row r="265" spans="1:2" x14ac:dyDescent="0.25">
      <c r="A265" s="60" t="s">
        <v>720</v>
      </c>
    </row>
    <row r="266" spans="1:2" x14ac:dyDescent="0.25">
      <c r="A266" s="60" t="s">
        <v>721</v>
      </c>
    </row>
    <row r="267" spans="1:2" x14ac:dyDescent="0.25">
      <c r="A267" s="60"/>
      <c r="B267" s="60" t="s">
        <v>22</v>
      </c>
    </row>
    <row r="268" spans="1:2" x14ac:dyDescent="0.25">
      <c r="A268" s="60" t="s">
        <v>1</v>
      </c>
    </row>
    <row r="269" spans="1:2" x14ac:dyDescent="0.25">
      <c r="A269" s="60"/>
      <c r="B269" s="60" t="s">
        <v>2</v>
      </c>
    </row>
    <row r="270" spans="1:2" x14ac:dyDescent="0.25">
      <c r="B270" s="60" t="s">
        <v>3</v>
      </c>
    </row>
    <row r="271" spans="1:2" x14ac:dyDescent="0.25">
      <c r="B271" s="60" t="s">
        <v>869</v>
      </c>
    </row>
    <row r="272" spans="1:2" x14ac:dyDescent="0.25">
      <c r="B272" s="60" t="s">
        <v>4</v>
      </c>
    </row>
    <row r="274" spans="1:2" x14ac:dyDescent="0.25">
      <c r="A274" s="60" t="s">
        <v>397</v>
      </c>
      <c r="B274" s="60"/>
    </row>
    <row r="275" spans="1:2" x14ac:dyDescent="0.25">
      <c r="B275" s="60" t="s">
        <v>398</v>
      </c>
    </row>
    <row r="276" spans="1:2" x14ac:dyDescent="0.25">
      <c r="B276" s="60"/>
    </row>
    <row r="278" spans="1:2" x14ac:dyDescent="0.25">
      <c r="A278" s="60" t="s">
        <v>400</v>
      </c>
      <c r="B278" s="60"/>
    </row>
    <row r="279" spans="1:2" x14ac:dyDescent="0.25">
      <c r="B279" s="60" t="s">
        <v>399</v>
      </c>
    </row>
    <row r="280" spans="1:2" x14ac:dyDescent="0.25">
      <c r="B280" s="60" t="s">
        <v>401</v>
      </c>
    </row>
    <row r="281" spans="1:2" x14ac:dyDescent="0.25">
      <c r="B281" s="60"/>
    </row>
    <row r="282" spans="1:2" x14ac:dyDescent="0.25">
      <c r="A282" s="60" t="s">
        <v>5</v>
      </c>
      <c r="B282" s="60"/>
    </row>
    <row r="283" spans="1:2" x14ac:dyDescent="0.25">
      <c r="B283" s="60" t="s">
        <v>722</v>
      </c>
    </row>
    <row r="284" spans="1:2" x14ac:dyDescent="0.25">
      <c r="B284" s="60" t="s">
        <v>870</v>
      </c>
    </row>
    <row r="285" spans="1:2" x14ac:dyDescent="0.25">
      <c r="B285" s="60" t="s">
        <v>6</v>
      </c>
    </row>
    <row r="287" spans="1:2" x14ac:dyDescent="0.25">
      <c r="A287" s="60" t="s">
        <v>871</v>
      </c>
      <c r="B287" s="60"/>
    </row>
    <row r="288" spans="1:2" x14ac:dyDescent="0.25">
      <c r="B288" s="60" t="s">
        <v>735</v>
      </c>
    </row>
    <row r="289" spans="1:2" x14ac:dyDescent="0.25">
      <c r="A289" s="60" t="s">
        <v>720</v>
      </c>
      <c r="B289" s="60"/>
    </row>
    <row r="290" spans="1:2" x14ac:dyDescent="0.25">
      <c r="A290" s="60" t="s">
        <v>811</v>
      </c>
      <c r="B290" s="60"/>
    </row>
    <row r="291" spans="1:2" x14ac:dyDescent="0.25">
      <c r="A291" s="60" t="s">
        <v>736</v>
      </c>
    </row>
    <row r="293" spans="1:2" x14ac:dyDescent="0.25">
      <c r="A293" s="60" t="s">
        <v>737</v>
      </c>
    </row>
    <row r="294" spans="1:2" x14ac:dyDescent="0.25">
      <c r="A294" s="60" t="s">
        <v>738</v>
      </c>
      <c r="B294" s="60"/>
    </row>
    <row r="295" spans="1:2" x14ac:dyDescent="0.25">
      <c r="A295" s="60"/>
    </row>
    <row r="296" spans="1:2" x14ac:dyDescent="0.25">
      <c r="A296" s="60" t="s">
        <v>812</v>
      </c>
    </row>
    <row r="298" spans="1:2" x14ac:dyDescent="0.25">
      <c r="A298" s="128" t="s">
        <v>962</v>
      </c>
      <c r="B298" s="128"/>
    </row>
    <row r="299" spans="1:2" x14ac:dyDescent="0.25">
      <c r="A299" s="128"/>
      <c r="B299" s="128" t="s">
        <v>7</v>
      </c>
    </row>
    <row r="300" spans="1:2" x14ac:dyDescent="0.25">
      <c r="A300" s="128"/>
      <c r="B300" s="128" t="s">
        <v>8</v>
      </c>
    </row>
    <row r="301" spans="1:2" x14ac:dyDescent="0.25">
      <c r="A301" s="60"/>
    </row>
    <row r="302" spans="1:2" x14ac:dyDescent="0.25">
      <c r="A302" s="58" t="s">
        <v>381</v>
      </c>
    </row>
    <row r="304" spans="1:2" x14ac:dyDescent="0.25">
      <c r="A304" s="60" t="s">
        <v>382</v>
      </c>
    </row>
    <row r="305" spans="1:2" x14ac:dyDescent="0.25">
      <c r="A305" s="60" t="s">
        <v>383</v>
      </c>
    </row>
    <row r="306" spans="1:2" x14ac:dyDescent="0.25">
      <c r="A306" s="60" t="s">
        <v>384</v>
      </c>
    </row>
    <row r="318" spans="1:2" x14ac:dyDescent="0.25">
      <c r="A318" s="60"/>
    </row>
    <row r="319" spans="1:2" x14ac:dyDescent="0.25">
      <c r="B319" s="60"/>
    </row>
    <row r="323" spans="1:13" x14ac:dyDescent="0.25">
      <c r="A323" s="60" t="s">
        <v>385</v>
      </c>
    </row>
    <row r="324" spans="1:13" x14ac:dyDescent="0.25">
      <c r="B324" s="60" t="s">
        <v>386</v>
      </c>
    </row>
    <row r="333" spans="1:13" x14ac:dyDescent="0.25">
      <c r="A333" s="58" t="s">
        <v>704</v>
      </c>
    </row>
    <row r="335" spans="1:13" x14ac:dyDescent="0.25">
      <c r="C335" s="351" t="s">
        <v>609</v>
      </c>
      <c r="D335" s="351"/>
      <c r="E335" s="351"/>
      <c r="F335" s="351"/>
      <c r="G335" s="351"/>
      <c r="H335" s="351"/>
      <c r="I335" s="351"/>
      <c r="J335" s="351"/>
      <c r="K335" s="351"/>
      <c r="L335" s="351"/>
      <c r="M335" s="351"/>
    </row>
    <row r="336" spans="1:13" x14ac:dyDescent="0.25">
      <c r="A336" s="60"/>
      <c r="C336" s="99">
        <v>1</v>
      </c>
      <c r="D336" s="99">
        <v>2</v>
      </c>
      <c r="E336" s="99">
        <v>3</v>
      </c>
      <c r="F336" s="99">
        <v>4</v>
      </c>
      <c r="G336" s="99">
        <v>5</v>
      </c>
      <c r="H336" s="99">
        <v>6</v>
      </c>
      <c r="I336" s="99">
        <v>7</v>
      </c>
      <c r="J336" s="99">
        <v>8</v>
      </c>
      <c r="K336" s="99">
        <v>9</v>
      </c>
      <c r="L336" s="99">
        <v>10</v>
      </c>
      <c r="M336" s="99">
        <v>11</v>
      </c>
    </row>
    <row r="337" spans="1:15" x14ac:dyDescent="0.25">
      <c r="A337" s="100" t="s">
        <v>610</v>
      </c>
    </row>
    <row r="338" spans="1:15" x14ac:dyDescent="0.25">
      <c r="A338" s="99">
        <v>1</v>
      </c>
      <c r="C338" s="59" t="s">
        <v>611</v>
      </c>
      <c r="D338" s="59" t="s">
        <v>612</v>
      </c>
      <c r="E338" s="59" t="s">
        <v>613</v>
      </c>
      <c r="O338" s="60" t="s">
        <v>706</v>
      </c>
    </row>
    <row r="339" spans="1:15" x14ac:dyDescent="0.25">
      <c r="A339" s="99">
        <v>2</v>
      </c>
      <c r="C339" s="59" t="s">
        <v>614</v>
      </c>
      <c r="D339" s="59" t="s">
        <v>615</v>
      </c>
      <c r="E339" s="59" t="s">
        <v>616</v>
      </c>
    </row>
    <row r="340" spans="1:15" x14ac:dyDescent="0.25">
      <c r="A340" s="99"/>
    </row>
    <row r="341" spans="1:15" x14ac:dyDescent="0.25">
      <c r="A341" s="99">
        <v>1</v>
      </c>
      <c r="C341" s="59" t="s">
        <v>611</v>
      </c>
      <c r="D341" s="59" t="s">
        <v>612</v>
      </c>
      <c r="E341" s="59" t="s">
        <v>617</v>
      </c>
      <c r="O341" s="60" t="s">
        <v>707</v>
      </c>
    </row>
    <row r="342" spans="1:15" x14ac:dyDescent="0.25">
      <c r="A342" s="99">
        <v>2</v>
      </c>
      <c r="C342" s="59" t="s">
        <v>618</v>
      </c>
      <c r="D342" s="59" t="s">
        <v>619</v>
      </c>
      <c r="E342" s="59" t="s">
        <v>613</v>
      </c>
    </row>
    <row r="343" spans="1:15" x14ac:dyDescent="0.25">
      <c r="A343" s="99"/>
    </row>
    <row r="344" spans="1:15" x14ac:dyDescent="0.25">
      <c r="A344" s="99">
        <v>1</v>
      </c>
      <c r="C344" s="59" t="s">
        <v>620</v>
      </c>
      <c r="D344" s="59" t="s">
        <v>617</v>
      </c>
      <c r="E344" s="59" t="s">
        <v>611</v>
      </c>
      <c r="F344" s="59" t="s">
        <v>612</v>
      </c>
      <c r="G344" s="59" t="s">
        <v>621</v>
      </c>
      <c r="O344" s="60" t="s">
        <v>708</v>
      </c>
    </row>
    <row r="345" spans="1:15" x14ac:dyDescent="0.25">
      <c r="A345" s="99">
        <v>2</v>
      </c>
      <c r="C345" s="59" t="s">
        <v>622</v>
      </c>
      <c r="D345" s="59" t="s">
        <v>623</v>
      </c>
      <c r="E345" s="59" t="s">
        <v>618</v>
      </c>
      <c r="F345" s="59" t="s">
        <v>624</v>
      </c>
      <c r="G345" s="59" t="s">
        <v>625</v>
      </c>
    </row>
    <row r="346" spans="1:15" x14ac:dyDescent="0.25">
      <c r="A346" s="99">
        <v>3</v>
      </c>
      <c r="C346" s="59" t="s">
        <v>619</v>
      </c>
      <c r="D346" s="59" t="s">
        <v>614</v>
      </c>
      <c r="E346" s="59" t="s">
        <v>626</v>
      </c>
      <c r="F346" s="59" t="s">
        <v>627</v>
      </c>
      <c r="G346" s="59" t="s">
        <v>613</v>
      </c>
    </row>
    <row r="347" spans="1:15" x14ac:dyDescent="0.25">
      <c r="A347" s="99"/>
    </row>
    <row r="348" spans="1:15" x14ac:dyDescent="0.25">
      <c r="A348" s="99">
        <v>1</v>
      </c>
      <c r="C348" s="59" t="s">
        <v>628</v>
      </c>
      <c r="D348" s="59" t="s">
        <v>617</v>
      </c>
      <c r="E348" s="59" t="s">
        <v>611</v>
      </c>
      <c r="F348" s="59" t="s">
        <v>612</v>
      </c>
      <c r="G348" s="59" t="s">
        <v>621</v>
      </c>
      <c r="O348" s="60" t="s">
        <v>709</v>
      </c>
    </row>
    <row r="349" spans="1:15" x14ac:dyDescent="0.25">
      <c r="A349" s="99">
        <v>2</v>
      </c>
      <c r="C349" s="59" t="s">
        <v>622</v>
      </c>
      <c r="D349" s="59" t="s">
        <v>623</v>
      </c>
      <c r="E349" s="59" t="s">
        <v>618</v>
      </c>
      <c r="F349" s="59" t="s">
        <v>629</v>
      </c>
      <c r="G349" s="59" t="s">
        <v>630</v>
      </c>
    </row>
    <row r="350" spans="1:15" x14ac:dyDescent="0.25">
      <c r="A350" s="99">
        <v>3</v>
      </c>
      <c r="C350" s="59" t="s">
        <v>619</v>
      </c>
      <c r="D350" s="59" t="s">
        <v>631</v>
      </c>
      <c r="E350" s="59" t="s">
        <v>632</v>
      </c>
      <c r="F350" s="59" t="s">
        <v>627</v>
      </c>
      <c r="G350" s="59" t="s">
        <v>613</v>
      </c>
    </row>
    <row r="351" spans="1:15" x14ac:dyDescent="0.25">
      <c r="A351" s="99"/>
    </row>
    <row r="352" spans="1:15" x14ac:dyDescent="0.25">
      <c r="A352" s="99">
        <v>1</v>
      </c>
      <c r="C352" s="59" t="s">
        <v>620</v>
      </c>
      <c r="D352" s="59" t="s">
        <v>633</v>
      </c>
      <c r="E352" s="59" t="s">
        <v>621</v>
      </c>
      <c r="F352" s="59" t="s">
        <v>617</v>
      </c>
      <c r="G352" s="59" t="s">
        <v>611</v>
      </c>
      <c r="H352" s="59" t="s">
        <v>612</v>
      </c>
      <c r="I352" s="59" t="s">
        <v>628</v>
      </c>
      <c r="O352" s="60" t="s">
        <v>710</v>
      </c>
    </row>
    <row r="353" spans="1:15" x14ac:dyDescent="0.25">
      <c r="A353" s="99">
        <v>2</v>
      </c>
      <c r="C353" s="59" t="s">
        <v>634</v>
      </c>
      <c r="D353" s="59" t="s">
        <v>635</v>
      </c>
      <c r="E353" s="59" t="s">
        <v>630</v>
      </c>
      <c r="F353" s="59" t="s">
        <v>623</v>
      </c>
      <c r="G353" s="59" t="s">
        <v>618</v>
      </c>
      <c r="H353" s="59" t="s">
        <v>624</v>
      </c>
      <c r="I353" s="59" t="s">
        <v>636</v>
      </c>
    </row>
    <row r="354" spans="1:15" x14ac:dyDescent="0.25">
      <c r="A354" s="99">
        <v>3</v>
      </c>
      <c r="C354" s="59" t="s">
        <v>629</v>
      </c>
      <c r="D354" s="59" t="s">
        <v>622</v>
      </c>
      <c r="E354" s="59" t="s">
        <v>637</v>
      </c>
      <c r="F354" s="59" t="s">
        <v>631</v>
      </c>
      <c r="G354" s="59" t="s">
        <v>626</v>
      </c>
      <c r="H354" s="59" t="s">
        <v>638</v>
      </c>
      <c r="I354" s="59" t="s">
        <v>625</v>
      </c>
    </row>
    <row r="355" spans="1:15" x14ac:dyDescent="0.25">
      <c r="A355" s="99">
        <v>4</v>
      </c>
      <c r="C355" s="59" t="s">
        <v>627</v>
      </c>
      <c r="D355" s="59" t="s">
        <v>619</v>
      </c>
      <c r="E355" s="59" t="s">
        <v>614</v>
      </c>
      <c r="F355" s="59" t="s">
        <v>639</v>
      </c>
      <c r="G355" s="59" t="s">
        <v>640</v>
      </c>
      <c r="H355" s="59" t="s">
        <v>632</v>
      </c>
      <c r="I355" s="59" t="s">
        <v>613</v>
      </c>
    </row>
    <row r="356" spans="1:15" x14ac:dyDescent="0.25">
      <c r="A356" s="99"/>
    </row>
    <row r="357" spans="1:15" x14ac:dyDescent="0.25">
      <c r="A357" s="99">
        <v>1</v>
      </c>
      <c r="C357" s="59" t="s">
        <v>641</v>
      </c>
      <c r="D357" s="59" t="s">
        <v>633</v>
      </c>
      <c r="E357" s="59" t="s">
        <v>621</v>
      </c>
      <c r="F357" s="59" t="s">
        <v>617</v>
      </c>
      <c r="G357" s="59" t="s">
        <v>611</v>
      </c>
      <c r="H357" s="59" t="s">
        <v>612</v>
      </c>
      <c r="I357" s="59" t="s">
        <v>628</v>
      </c>
      <c r="O357" s="60" t="s">
        <v>711</v>
      </c>
    </row>
    <row r="358" spans="1:15" x14ac:dyDescent="0.25">
      <c r="A358" s="99">
        <v>2</v>
      </c>
      <c r="C358" s="59" t="s">
        <v>634</v>
      </c>
      <c r="D358" s="59" t="s">
        <v>642</v>
      </c>
      <c r="E358" s="59" t="s">
        <v>630</v>
      </c>
      <c r="F358" s="59" t="s">
        <v>623</v>
      </c>
      <c r="G358" s="59" t="s">
        <v>618</v>
      </c>
      <c r="H358" s="59" t="s">
        <v>643</v>
      </c>
      <c r="I358" s="59" t="s">
        <v>636</v>
      </c>
    </row>
    <row r="359" spans="1:15" x14ac:dyDescent="0.25">
      <c r="A359" s="99">
        <v>3</v>
      </c>
      <c r="C359" s="59" t="s">
        <v>629</v>
      </c>
      <c r="D359" s="59" t="s">
        <v>622</v>
      </c>
      <c r="E359" s="59" t="s">
        <v>637</v>
      </c>
      <c r="F359" s="59" t="s">
        <v>631</v>
      </c>
      <c r="G359" s="59" t="s">
        <v>644</v>
      </c>
      <c r="H359" s="59" t="s">
        <v>638</v>
      </c>
      <c r="I359" s="59" t="s">
        <v>645</v>
      </c>
    </row>
    <row r="360" spans="1:15" x14ac:dyDescent="0.25">
      <c r="A360" s="99">
        <v>4</v>
      </c>
      <c r="C360" s="59" t="s">
        <v>627</v>
      </c>
      <c r="D360" s="59" t="s">
        <v>619</v>
      </c>
      <c r="E360" s="59" t="s">
        <v>646</v>
      </c>
      <c r="F360" s="59" t="s">
        <v>647</v>
      </c>
      <c r="G360" s="59" t="s">
        <v>640</v>
      </c>
      <c r="H360" s="59" t="s">
        <v>632</v>
      </c>
      <c r="I360" s="59" t="s">
        <v>613</v>
      </c>
    </row>
    <row r="361" spans="1:15" x14ac:dyDescent="0.25">
      <c r="A361" s="99"/>
    </row>
    <row r="362" spans="1:15" x14ac:dyDescent="0.25">
      <c r="A362" s="99">
        <v>1</v>
      </c>
      <c r="C362" s="59" t="s">
        <v>620</v>
      </c>
      <c r="D362" s="59" t="s">
        <v>648</v>
      </c>
      <c r="E362" s="59" t="s">
        <v>641</v>
      </c>
      <c r="F362" s="59" t="s">
        <v>628</v>
      </c>
      <c r="G362" s="59" t="s">
        <v>621</v>
      </c>
      <c r="H362" s="59" t="s">
        <v>617</v>
      </c>
      <c r="I362" s="59" t="s">
        <v>611</v>
      </c>
      <c r="J362" s="59" t="s">
        <v>612</v>
      </c>
      <c r="K362" s="59" t="s">
        <v>633</v>
      </c>
      <c r="O362" s="60" t="s">
        <v>712</v>
      </c>
    </row>
    <row r="363" spans="1:15" x14ac:dyDescent="0.25">
      <c r="A363" s="99">
        <v>2</v>
      </c>
      <c r="C363" s="59" t="s">
        <v>649</v>
      </c>
      <c r="D363" s="59" t="s">
        <v>650</v>
      </c>
      <c r="E363" s="59" t="s">
        <v>651</v>
      </c>
      <c r="F363" s="59" t="s">
        <v>636</v>
      </c>
      <c r="G363" s="59" t="s">
        <v>630</v>
      </c>
      <c r="H363" s="59" t="s">
        <v>623</v>
      </c>
      <c r="I363" s="59" t="s">
        <v>618</v>
      </c>
      <c r="J363" s="59" t="s">
        <v>624</v>
      </c>
      <c r="K363" s="59" t="s">
        <v>642</v>
      </c>
    </row>
    <row r="364" spans="1:15" x14ac:dyDescent="0.25">
      <c r="A364" s="99">
        <v>3</v>
      </c>
      <c r="C364" s="59" t="s">
        <v>643</v>
      </c>
      <c r="D364" s="59" t="s">
        <v>634</v>
      </c>
      <c r="E364" s="59" t="s">
        <v>635</v>
      </c>
      <c r="F364" s="59" t="s">
        <v>645</v>
      </c>
      <c r="G364" s="59" t="s">
        <v>637</v>
      </c>
      <c r="H364" s="59" t="s">
        <v>631</v>
      </c>
      <c r="I364" s="59" t="s">
        <v>652</v>
      </c>
      <c r="J364" s="59" t="s">
        <v>653</v>
      </c>
      <c r="K364" s="59" t="s">
        <v>654</v>
      </c>
    </row>
    <row r="365" spans="1:15" x14ac:dyDescent="0.25">
      <c r="A365" s="99">
        <v>4</v>
      </c>
      <c r="C365" s="59" t="s">
        <v>638</v>
      </c>
      <c r="D365" s="59" t="s">
        <v>629</v>
      </c>
      <c r="E365" s="59" t="s">
        <v>655</v>
      </c>
      <c r="F365" s="59" t="s">
        <v>656</v>
      </c>
      <c r="G365" s="59" t="s">
        <v>646</v>
      </c>
      <c r="H365" s="59" t="s">
        <v>639</v>
      </c>
      <c r="I365" s="59" t="s">
        <v>657</v>
      </c>
      <c r="J365" s="59" t="s">
        <v>644</v>
      </c>
      <c r="K365" s="59" t="s">
        <v>625</v>
      </c>
    </row>
    <row r="366" spans="1:15" x14ac:dyDescent="0.25">
      <c r="A366" s="99">
        <v>5</v>
      </c>
      <c r="C366" s="59" t="s">
        <v>632</v>
      </c>
      <c r="D366" s="59" t="s">
        <v>627</v>
      </c>
      <c r="E366" s="59" t="s">
        <v>619</v>
      </c>
      <c r="F366" s="59" t="s">
        <v>614</v>
      </c>
      <c r="G366" s="59" t="s">
        <v>658</v>
      </c>
      <c r="H366" s="59" t="s">
        <v>659</v>
      </c>
      <c r="I366" s="59" t="s">
        <v>647</v>
      </c>
      <c r="J366" s="59" t="s">
        <v>640</v>
      </c>
      <c r="K366" s="59" t="s">
        <v>613</v>
      </c>
    </row>
    <row r="367" spans="1:15" x14ac:dyDescent="0.25">
      <c r="A367" s="99"/>
    </row>
    <row r="368" spans="1:15" x14ac:dyDescent="0.25">
      <c r="A368" s="99">
        <v>1</v>
      </c>
      <c r="C368" s="59" t="s">
        <v>660</v>
      </c>
      <c r="D368" s="59" t="s">
        <v>648</v>
      </c>
      <c r="E368" s="59" t="s">
        <v>641</v>
      </c>
      <c r="F368" s="59" t="s">
        <v>628</v>
      </c>
      <c r="G368" s="59" t="s">
        <v>621</v>
      </c>
      <c r="H368" s="59" t="s">
        <v>617</v>
      </c>
      <c r="I368" s="59" t="s">
        <v>611</v>
      </c>
      <c r="J368" s="59" t="s">
        <v>612</v>
      </c>
      <c r="K368" s="59" t="s">
        <v>633</v>
      </c>
      <c r="O368" s="60" t="s">
        <v>713</v>
      </c>
    </row>
    <row r="369" spans="1:15" x14ac:dyDescent="0.25">
      <c r="A369" s="99">
        <v>2</v>
      </c>
      <c r="C369" s="59" t="s">
        <v>649</v>
      </c>
      <c r="D369" s="59" t="s">
        <v>661</v>
      </c>
      <c r="E369" s="59" t="s">
        <v>651</v>
      </c>
      <c r="F369" s="59" t="s">
        <v>636</v>
      </c>
      <c r="G369" s="59" t="s">
        <v>630</v>
      </c>
      <c r="H369" s="59" t="s">
        <v>623</v>
      </c>
      <c r="I369" s="59" t="s">
        <v>618</v>
      </c>
      <c r="J369" s="59" t="s">
        <v>662</v>
      </c>
      <c r="K369" s="59" t="s">
        <v>642</v>
      </c>
    </row>
    <row r="370" spans="1:15" x14ac:dyDescent="0.25">
      <c r="A370" s="99">
        <v>3</v>
      </c>
      <c r="C370" s="59" t="s">
        <v>643</v>
      </c>
      <c r="D370" s="59" t="s">
        <v>634</v>
      </c>
      <c r="E370" s="59" t="s">
        <v>663</v>
      </c>
      <c r="F370" s="59" t="s">
        <v>645</v>
      </c>
      <c r="G370" s="59" t="s">
        <v>637</v>
      </c>
      <c r="H370" s="59" t="s">
        <v>631</v>
      </c>
      <c r="I370" s="59" t="s">
        <v>664</v>
      </c>
      <c r="J370" s="59" t="s">
        <v>653</v>
      </c>
      <c r="K370" s="59" t="s">
        <v>654</v>
      </c>
    </row>
    <row r="371" spans="1:15" x14ac:dyDescent="0.25">
      <c r="A371" s="99">
        <v>4</v>
      </c>
      <c r="C371" s="59" t="s">
        <v>638</v>
      </c>
      <c r="D371" s="59" t="s">
        <v>629</v>
      </c>
      <c r="E371" s="59" t="s">
        <v>655</v>
      </c>
      <c r="F371" s="59" t="s">
        <v>656</v>
      </c>
      <c r="G371" s="59" t="s">
        <v>646</v>
      </c>
      <c r="H371" s="59" t="s">
        <v>665</v>
      </c>
      <c r="I371" s="59" t="s">
        <v>657</v>
      </c>
      <c r="J371" s="59" t="s">
        <v>644</v>
      </c>
      <c r="K371" s="59" t="s">
        <v>666</v>
      </c>
    </row>
    <row r="372" spans="1:15" x14ac:dyDescent="0.25">
      <c r="A372" s="99">
        <v>5</v>
      </c>
      <c r="C372" s="59" t="s">
        <v>632</v>
      </c>
      <c r="D372" s="59" t="s">
        <v>627</v>
      </c>
      <c r="E372" s="59" t="s">
        <v>619</v>
      </c>
      <c r="F372" s="59" t="s">
        <v>667</v>
      </c>
      <c r="G372" s="59" t="s">
        <v>668</v>
      </c>
      <c r="H372" s="59" t="s">
        <v>659</v>
      </c>
      <c r="I372" s="59" t="s">
        <v>647</v>
      </c>
      <c r="J372" s="59" t="s">
        <v>640</v>
      </c>
      <c r="K372" s="59" t="s">
        <v>613</v>
      </c>
    </row>
    <row r="373" spans="1:15" x14ac:dyDescent="0.25">
      <c r="A373" s="99"/>
    </row>
    <row r="374" spans="1:15" x14ac:dyDescent="0.25">
      <c r="A374" s="99">
        <v>1</v>
      </c>
      <c r="C374" s="59" t="s">
        <v>616</v>
      </c>
      <c r="D374" s="59" t="s">
        <v>669</v>
      </c>
      <c r="E374" s="59" t="s">
        <v>660</v>
      </c>
      <c r="F374" s="59" t="s">
        <v>648</v>
      </c>
      <c r="G374" s="59" t="s">
        <v>612</v>
      </c>
      <c r="H374" s="59" t="s">
        <v>633</v>
      </c>
      <c r="I374" s="59" t="s">
        <v>628</v>
      </c>
      <c r="J374" s="59" t="s">
        <v>621</v>
      </c>
      <c r="K374" s="59" t="s">
        <v>617</v>
      </c>
      <c r="L374" s="59" t="s">
        <v>611</v>
      </c>
      <c r="M374" s="59" t="s">
        <v>641</v>
      </c>
      <c r="O374" s="60" t="s">
        <v>714</v>
      </c>
    </row>
    <row r="375" spans="1:15" x14ac:dyDescent="0.25">
      <c r="A375" s="99">
        <v>2</v>
      </c>
      <c r="C375" s="59" t="s">
        <v>670</v>
      </c>
      <c r="D375" s="59" t="s">
        <v>671</v>
      </c>
      <c r="E375" s="59" t="s">
        <v>672</v>
      </c>
      <c r="F375" s="59" t="s">
        <v>661</v>
      </c>
      <c r="G375" s="59" t="s">
        <v>615</v>
      </c>
      <c r="H375" s="59" t="s">
        <v>642</v>
      </c>
      <c r="I375" s="59" t="s">
        <v>636</v>
      </c>
      <c r="J375" s="59" t="s">
        <v>630</v>
      </c>
      <c r="K375" s="59" t="s">
        <v>623</v>
      </c>
      <c r="L375" s="59" t="s">
        <v>618</v>
      </c>
      <c r="M375" s="59" t="s">
        <v>651</v>
      </c>
    </row>
    <row r="376" spans="1:15" x14ac:dyDescent="0.25">
      <c r="A376" s="99">
        <v>3</v>
      </c>
      <c r="C376" s="59" t="s">
        <v>662</v>
      </c>
      <c r="D376" s="59" t="s">
        <v>649</v>
      </c>
      <c r="E376" s="59" t="s">
        <v>673</v>
      </c>
      <c r="F376" s="59" t="s">
        <v>674</v>
      </c>
      <c r="G376" s="59" t="s">
        <v>675</v>
      </c>
      <c r="H376" s="59" t="s">
        <v>654</v>
      </c>
      <c r="I376" s="59" t="s">
        <v>645</v>
      </c>
      <c r="J376" s="59" t="s">
        <v>637</v>
      </c>
      <c r="K376" s="59" t="s">
        <v>631</v>
      </c>
      <c r="L376" s="59" t="s">
        <v>626</v>
      </c>
      <c r="M376" s="59" t="s">
        <v>663</v>
      </c>
    </row>
    <row r="377" spans="1:15" x14ac:dyDescent="0.25">
      <c r="A377" s="99">
        <v>4</v>
      </c>
      <c r="C377" s="59" t="s">
        <v>653</v>
      </c>
      <c r="D377" s="59" t="s">
        <v>643</v>
      </c>
      <c r="E377" s="59" t="s">
        <v>634</v>
      </c>
      <c r="F377" s="59" t="s">
        <v>676</v>
      </c>
      <c r="G377" s="59" t="s">
        <v>664</v>
      </c>
      <c r="H377" s="59" t="s">
        <v>666</v>
      </c>
      <c r="I377" s="59" t="s">
        <v>656</v>
      </c>
      <c r="J377" s="59" t="s">
        <v>646</v>
      </c>
      <c r="K377" s="59" t="s">
        <v>677</v>
      </c>
      <c r="L377" s="59" t="s">
        <v>678</v>
      </c>
      <c r="M377" s="59" t="s">
        <v>679</v>
      </c>
    </row>
    <row r="378" spans="1:15" x14ac:dyDescent="0.25">
      <c r="A378" s="99">
        <v>5</v>
      </c>
      <c r="C378" s="59" t="s">
        <v>644</v>
      </c>
      <c r="D378" s="59" t="s">
        <v>638</v>
      </c>
      <c r="E378" s="59" t="s">
        <v>629</v>
      </c>
      <c r="F378" s="59" t="s">
        <v>622</v>
      </c>
      <c r="G378" s="59" t="s">
        <v>657</v>
      </c>
      <c r="H378" s="59" t="s">
        <v>680</v>
      </c>
      <c r="I378" s="59" t="s">
        <v>667</v>
      </c>
      <c r="J378" s="59" t="s">
        <v>681</v>
      </c>
      <c r="K378" s="59" t="s">
        <v>682</v>
      </c>
      <c r="L378" s="59" t="s">
        <v>665</v>
      </c>
      <c r="M378" s="59" t="s">
        <v>683</v>
      </c>
    </row>
    <row r="379" spans="1:15" x14ac:dyDescent="0.25">
      <c r="A379" s="99">
        <v>6</v>
      </c>
      <c r="C379" s="59" t="s">
        <v>640</v>
      </c>
      <c r="D379" s="59" t="s">
        <v>632</v>
      </c>
      <c r="E379" s="59" t="s">
        <v>627</v>
      </c>
      <c r="F379" s="59" t="s">
        <v>619</v>
      </c>
      <c r="G379" s="59" t="s">
        <v>647</v>
      </c>
      <c r="H379" s="59" t="s">
        <v>684</v>
      </c>
      <c r="I379" s="59" t="s">
        <v>685</v>
      </c>
      <c r="J379" s="59" t="s">
        <v>686</v>
      </c>
      <c r="K379" s="59" t="s">
        <v>668</v>
      </c>
      <c r="L379" s="59" t="s">
        <v>659</v>
      </c>
      <c r="M379" s="59" t="s">
        <v>613</v>
      </c>
    </row>
    <row r="380" spans="1:15" x14ac:dyDescent="0.25">
      <c r="A380" s="99"/>
    </row>
    <row r="381" spans="1:15" x14ac:dyDescent="0.25">
      <c r="A381" s="99">
        <v>1</v>
      </c>
      <c r="C381" s="59" t="s">
        <v>687</v>
      </c>
      <c r="D381" s="59" t="s">
        <v>669</v>
      </c>
      <c r="E381" s="59" t="s">
        <v>660</v>
      </c>
      <c r="F381" s="59" t="s">
        <v>648</v>
      </c>
      <c r="G381" s="59" t="s">
        <v>612</v>
      </c>
      <c r="H381" s="59" t="s">
        <v>633</v>
      </c>
      <c r="I381" s="59" t="s">
        <v>628</v>
      </c>
      <c r="J381" s="59" t="s">
        <v>621</v>
      </c>
      <c r="K381" s="59" t="s">
        <v>617</v>
      </c>
      <c r="L381" s="59" t="s">
        <v>611</v>
      </c>
      <c r="M381" s="59" t="s">
        <v>641</v>
      </c>
      <c r="O381" s="60" t="s">
        <v>715</v>
      </c>
    </row>
    <row r="382" spans="1:15" x14ac:dyDescent="0.25">
      <c r="A382" s="99">
        <v>2</v>
      </c>
      <c r="C382" s="59" t="s">
        <v>670</v>
      </c>
      <c r="D382" s="59" t="s">
        <v>688</v>
      </c>
      <c r="E382" s="59" t="s">
        <v>672</v>
      </c>
      <c r="F382" s="59" t="s">
        <v>661</v>
      </c>
      <c r="G382" s="59" t="s">
        <v>689</v>
      </c>
      <c r="H382" s="59" t="s">
        <v>642</v>
      </c>
      <c r="I382" s="59" t="s">
        <v>636</v>
      </c>
      <c r="J382" s="59" t="s">
        <v>630</v>
      </c>
      <c r="K382" s="59" t="s">
        <v>623</v>
      </c>
      <c r="L382" s="59" t="s">
        <v>618</v>
      </c>
      <c r="M382" s="59" t="s">
        <v>651</v>
      </c>
    </row>
    <row r="383" spans="1:15" x14ac:dyDescent="0.25">
      <c r="A383" s="99">
        <v>3</v>
      </c>
      <c r="C383" s="59" t="s">
        <v>662</v>
      </c>
      <c r="D383" s="59" t="s">
        <v>649</v>
      </c>
      <c r="E383" s="59" t="s">
        <v>690</v>
      </c>
      <c r="F383" s="59" t="s">
        <v>674</v>
      </c>
      <c r="G383" s="59" t="s">
        <v>675</v>
      </c>
      <c r="H383" s="59" t="s">
        <v>654</v>
      </c>
      <c r="I383" s="59" t="s">
        <v>645</v>
      </c>
      <c r="J383" s="59" t="s">
        <v>637</v>
      </c>
      <c r="K383" s="59" t="s">
        <v>631</v>
      </c>
      <c r="L383" s="59" t="s">
        <v>691</v>
      </c>
      <c r="M383" s="59" t="s">
        <v>663</v>
      </c>
    </row>
    <row r="384" spans="1:15" x14ac:dyDescent="0.25">
      <c r="A384" s="99">
        <v>4</v>
      </c>
      <c r="C384" s="59" t="s">
        <v>653</v>
      </c>
      <c r="D384" s="59" t="s">
        <v>643</v>
      </c>
      <c r="E384" s="59" t="s">
        <v>634</v>
      </c>
      <c r="F384" s="59" t="s">
        <v>692</v>
      </c>
      <c r="G384" s="59" t="s">
        <v>664</v>
      </c>
      <c r="H384" s="59" t="s">
        <v>666</v>
      </c>
      <c r="I384" s="59" t="s">
        <v>656</v>
      </c>
      <c r="J384" s="59" t="s">
        <v>646</v>
      </c>
      <c r="K384" s="59" t="s">
        <v>693</v>
      </c>
      <c r="L384" s="59" t="s">
        <v>678</v>
      </c>
      <c r="M384" s="59" t="s">
        <v>679</v>
      </c>
    </row>
    <row r="385" spans="1:13" x14ac:dyDescent="0.25">
      <c r="A385" s="99">
        <v>5</v>
      </c>
      <c r="C385" s="59" t="s">
        <v>644</v>
      </c>
      <c r="D385" s="59" t="s">
        <v>638</v>
      </c>
      <c r="E385" s="59" t="s">
        <v>629</v>
      </c>
      <c r="F385" s="59" t="s">
        <v>622</v>
      </c>
      <c r="G385" s="59" t="s">
        <v>657</v>
      </c>
      <c r="H385" s="59" t="s">
        <v>680</v>
      </c>
      <c r="I385" s="59" t="s">
        <v>667</v>
      </c>
      <c r="J385" s="59" t="s">
        <v>694</v>
      </c>
      <c r="K385" s="59" t="s">
        <v>682</v>
      </c>
      <c r="L385" s="59" t="s">
        <v>665</v>
      </c>
      <c r="M385" s="59" t="s">
        <v>695</v>
      </c>
    </row>
    <row r="386" spans="1:13" x14ac:dyDescent="0.25">
      <c r="A386" s="99">
        <v>6</v>
      </c>
      <c r="C386" s="59" t="s">
        <v>640</v>
      </c>
      <c r="D386" s="59" t="s">
        <v>632</v>
      </c>
      <c r="E386" s="59" t="s">
        <v>627</v>
      </c>
      <c r="F386" s="59" t="s">
        <v>619</v>
      </c>
      <c r="G386" s="59" t="s">
        <v>647</v>
      </c>
      <c r="H386" s="59" t="s">
        <v>696</v>
      </c>
      <c r="I386" s="59" t="s">
        <v>697</v>
      </c>
      <c r="J386" s="59" t="s">
        <v>686</v>
      </c>
      <c r="K386" s="59" t="s">
        <v>668</v>
      </c>
      <c r="L386" s="59" t="s">
        <v>659</v>
      </c>
      <c r="M386" s="59" t="s">
        <v>613</v>
      </c>
    </row>
    <row r="388" spans="1:13" x14ac:dyDescent="0.25">
      <c r="A388" s="60" t="s">
        <v>723</v>
      </c>
    </row>
    <row r="389" spans="1:13" x14ac:dyDescent="0.25">
      <c r="A389" s="60"/>
    </row>
    <row r="418" spans="1:2" x14ac:dyDescent="0.25">
      <c r="A418" s="60" t="s">
        <v>724</v>
      </c>
    </row>
    <row r="419" spans="1:2" x14ac:dyDescent="0.25">
      <c r="A419" s="60" t="s">
        <v>9</v>
      </c>
    </row>
    <row r="420" spans="1:2" x14ac:dyDescent="0.25">
      <c r="A420" s="60"/>
      <c r="B420" s="60" t="s">
        <v>10</v>
      </c>
    </row>
    <row r="421" spans="1:2" x14ac:dyDescent="0.25">
      <c r="B421" s="60" t="s">
        <v>240</v>
      </c>
    </row>
    <row r="422" spans="1:2" x14ac:dyDescent="0.25">
      <c r="A422" s="60" t="s">
        <v>241</v>
      </c>
    </row>
    <row r="423" spans="1:2" x14ac:dyDescent="0.25">
      <c r="A423" s="60" t="s">
        <v>242</v>
      </c>
    </row>
    <row r="424" spans="1:2" x14ac:dyDescent="0.25">
      <c r="B424" s="60" t="s">
        <v>219</v>
      </c>
    </row>
    <row r="425" spans="1:2" x14ac:dyDescent="0.25">
      <c r="A425" s="60"/>
      <c r="B425" s="60" t="s">
        <v>243</v>
      </c>
    </row>
    <row r="426" spans="1:2" x14ac:dyDescent="0.25">
      <c r="A426" s="59" t="s">
        <v>244</v>
      </c>
      <c r="B426" s="60"/>
    </row>
    <row r="427" spans="1:2" x14ac:dyDescent="0.25">
      <c r="B427" s="60" t="s">
        <v>917</v>
      </c>
    </row>
    <row r="428" spans="1:2" x14ac:dyDescent="0.25">
      <c r="B428" s="60"/>
    </row>
    <row r="429" spans="1:2" x14ac:dyDescent="0.25">
      <c r="A429" s="60" t="s">
        <v>725</v>
      </c>
    </row>
    <row r="433" spans="1:2" x14ac:dyDescent="0.25">
      <c r="A433" s="60"/>
    </row>
    <row r="434" spans="1:2" x14ac:dyDescent="0.25">
      <c r="B434" s="60"/>
    </row>
    <row r="435" spans="1:2" x14ac:dyDescent="0.25">
      <c r="A435" s="60"/>
    </row>
    <row r="436" spans="1:2" x14ac:dyDescent="0.25">
      <c r="B436" s="60"/>
    </row>
    <row r="437" spans="1:2" x14ac:dyDescent="0.25">
      <c r="A437" s="60"/>
    </row>
    <row r="438" spans="1:2" x14ac:dyDescent="0.25">
      <c r="A438" s="60"/>
    </row>
    <row r="461" spans="1:2" x14ac:dyDescent="0.25">
      <c r="A461" s="60" t="s">
        <v>726</v>
      </c>
    </row>
    <row r="462" spans="1:2" x14ac:dyDescent="0.25">
      <c r="A462" s="60"/>
      <c r="B462" s="60" t="s">
        <v>716</v>
      </c>
    </row>
    <row r="463" spans="1:2" x14ac:dyDescent="0.25">
      <c r="A463" s="60"/>
      <c r="B463" s="60" t="s">
        <v>717</v>
      </c>
    </row>
    <row r="465" spans="1:2" x14ac:dyDescent="0.25">
      <c r="A465" s="60" t="s">
        <v>897</v>
      </c>
    </row>
    <row r="466" spans="1:2" x14ac:dyDescent="0.25">
      <c r="B466" s="60" t="s">
        <v>184</v>
      </c>
    </row>
    <row r="468" spans="1:2" x14ac:dyDescent="0.25">
      <c r="A468" s="60" t="s">
        <v>185</v>
      </c>
    </row>
    <row r="469" spans="1:2" x14ac:dyDescent="0.25">
      <c r="A469" s="60"/>
      <c r="B469" s="60" t="s">
        <v>898</v>
      </c>
    </row>
    <row r="470" spans="1:2" x14ac:dyDescent="0.25">
      <c r="B470" s="60" t="s">
        <v>186</v>
      </c>
    </row>
    <row r="483" spans="1:2" x14ac:dyDescent="0.25">
      <c r="A483" s="60" t="s">
        <v>245</v>
      </c>
    </row>
    <row r="484" spans="1:2" x14ac:dyDescent="0.25">
      <c r="A484" s="60" t="s">
        <v>727</v>
      </c>
    </row>
    <row r="485" spans="1:2" x14ac:dyDescent="0.25">
      <c r="A485" s="60" t="s">
        <v>246</v>
      </c>
    </row>
    <row r="486" spans="1:2" x14ac:dyDescent="0.25">
      <c r="B486" s="60" t="s">
        <v>247</v>
      </c>
    </row>
    <row r="516" spans="1:14" x14ac:dyDescent="0.25">
      <c r="A516" s="58" t="s">
        <v>208</v>
      </c>
      <c r="N516" s="128" t="s">
        <v>746</v>
      </c>
    </row>
    <row r="517" spans="1:14" x14ac:dyDescent="0.25">
      <c r="N517" s="128" t="s">
        <v>747</v>
      </c>
    </row>
    <row r="518" spans="1:14" x14ac:dyDescent="0.25">
      <c r="A518" s="60" t="s">
        <v>248</v>
      </c>
      <c r="N518" s="128" t="s">
        <v>748</v>
      </c>
    </row>
    <row r="528" spans="1:14" x14ac:dyDescent="0.25">
      <c r="A528" s="60" t="s">
        <v>200</v>
      </c>
    </row>
    <row r="529" spans="1:2" x14ac:dyDescent="0.25">
      <c r="B529" s="60" t="s">
        <v>201</v>
      </c>
    </row>
    <row r="538" spans="1:2" x14ac:dyDescent="0.25">
      <c r="A538" s="60" t="s">
        <v>202</v>
      </c>
    </row>
    <row r="539" spans="1:2" x14ac:dyDescent="0.25">
      <c r="A539" s="60" t="s">
        <v>203</v>
      </c>
    </row>
    <row r="540" spans="1:2" x14ac:dyDescent="0.25">
      <c r="A540" s="60" t="s">
        <v>204</v>
      </c>
    </row>
    <row r="541" spans="1:2" x14ac:dyDescent="0.25">
      <c r="A541" s="60" t="s">
        <v>205</v>
      </c>
    </row>
    <row r="542" spans="1:2" x14ac:dyDescent="0.25">
      <c r="A542" s="60" t="s">
        <v>206</v>
      </c>
    </row>
    <row r="544" spans="1:2" x14ac:dyDescent="0.25">
      <c r="A544" s="60" t="s">
        <v>731</v>
      </c>
    </row>
    <row r="560" spans="1:16" x14ac:dyDescent="0.25">
      <c r="A560" s="60" t="s">
        <v>732</v>
      </c>
      <c r="B560"/>
      <c r="C560"/>
      <c r="D560"/>
      <c r="E560"/>
      <c r="F560"/>
      <c r="G560"/>
      <c r="H560"/>
      <c r="I560"/>
      <c r="J560"/>
      <c r="K560"/>
      <c r="L560"/>
      <c r="M560"/>
      <c r="N560"/>
      <c r="O560"/>
      <c r="P560" s="155"/>
    </row>
    <row r="569" spans="1:16" x14ac:dyDescent="0.25">
      <c r="A569" s="60" t="s">
        <v>733</v>
      </c>
    </row>
    <row r="571" spans="1:16" x14ac:dyDescent="0.25">
      <c r="A571" s="156" t="s">
        <v>199</v>
      </c>
      <c r="B571" s="155"/>
      <c r="C571" s="155"/>
      <c r="D571" s="155"/>
      <c r="E571" s="155"/>
      <c r="F571" s="155"/>
      <c r="G571" s="155"/>
      <c r="H571" s="155"/>
      <c r="I571" s="155"/>
      <c r="J571" s="155"/>
      <c r="K571" s="155"/>
      <c r="L571" s="155"/>
      <c r="M571" s="155"/>
      <c r="N571" s="155"/>
      <c r="O571" s="155"/>
      <c r="P571" s="155"/>
    </row>
    <row r="572" spans="1:16" x14ac:dyDescent="0.25">
      <c r="A572" s="155"/>
      <c r="B572" s="155"/>
      <c r="C572" s="155"/>
      <c r="D572" s="155"/>
      <c r="E572" s="155"/>
      <c r="F572" s="155"/>
      <c r="G572" s="155"/>
      <c r="H572" s="155"/>
      <c r="I572" s="155"/>
      <c r="J572" s="155"/>
      <c r="K572" s="155"/>
      <c r="L572" s="155"/>
      <c r="M572" s="155"/>
      <c r="N572" s="155"/>
      <c r="O572" s="155"/>
      <c r="P572" s="155"/>
    </row>
    <row r="573" spans="1:16" x14ac:dyDescent="0.25">
      <c r="A573" s="156" t="s">
        <v>249</v>
      </c>
      <c r="B573" s="155"/>
      <c r="C573" s="155"/>
      <c r="D573" s="155"/>
      <c r="E573" s="155"/>
      <c r="F573" s="155"/>
      <c r="G573" s="155"/>
      <c r="H573" s="155"/>
      <c r="I573" s="155"/>
      <c r="J573" s="155"/>
      <c r="K573" s="155"/>
      <c r="L573" s="155"/>
      <c r="M573" s="155"/>
      <c r="N573" s="155"/>
      <c r="O573" s="155"/>
      <c r="P573" s="155"/>
    </row>
    <row r="574" spans="1:16" x14ac:dyDescent="0.25">
      <c r="A574" s="156"/>
      <c r="B574" s="155"/>
      <c r="C574" s="155"/>
      <c r="D574" s="155"/>
      <c r="E574" s="155"/>
      <c r="F574" s="155"/>
      <c r="G574" s="155"/>
      <c r="H574" s="155"/>
      <c r="I574" s="155"/>
      <c r="J574" s="155"/>
      <c r="K574" s="155"/>
      <c r="L574" s="155"/>
      <c r="M574" s="155"/>
      <c r="N574" s="155"/>
      <c r="O574" s="155"/>
      <c r="P574" s="155"/>
    </row>
    <row r="575" spans="1:16" x14ac:dyDescent="0.25">
      <c r="A575" s="156" t="s">
        <v>15</v>
      </c>
      <c r="B575" s="155"/>
      <c r="C575" s="155"/>
      <c r="D575" s="155"/>
      <c r="E575" s="155"/>
      <c r="F575" s="155"/>
      <c r="G575" s="155"/>
      <c r="H575" s="155"/>
      <c r="I575" s="155"/>
      <c r="J575" s="155"/>
      <c r="K575" s="155"/>
      <c r="L575" s="155"/>
      <c r="M575" s="155"/>
      <c r="N575" s="155"/>
      <c r="O575" s="155"/>
      <c r="P575" s="155"/>
    </row>
    <row r="576" spans="1:16" x14ac:dyDescent="0.25">
      <c r="P576" s="155"/>
    </row>
    <row r="577" spans="16:16" x14ac:dyDescent="0.25">
      <c r="P577" s="155"/>
    </row>
    <row r="578" spans="16:16" x14ac:dyDescent="0.25">
      <c r="P578" s="155"/>
    </row>
    <row r="579" spans="16:16" x14ac:dyDescent="0.25">
      <c r="P579" s="155"/>
    </row>
    <row r="580" spans="16:16" x14ac:dyDescent="0.25">
      <c r="P580" s="155"/>
    </row>
    <row r="581" spans="16:16" x14ac:dyDescent="0.25">
      <c r="P581" s="155"/>
    </row>
    <row r="582" spans="16:16" x14ac:dyDescent="0.25">
      <c r="P582" s="155"/>
    </row>
    <row r="583" spans="16:16" x14ac:dyDescent="0.25">
      <c r="P583" s="155"/>
    </row>
    <row r="584" spans="16:16" x14ac:dyDescent="0.25">
      <c r="P584" s="155"/>
    </row>
    <row r="585" spans="16:16" x14ac:dyDescent="0.25">
      <c r="P585" s="155"/>
    </row>
    <row r="586" spans="16:16" x14ac:dyDescent="0.25">
      <c r="P586" s="155"/>
    </row>
    <row r="587" spans="16:16" x14ac:dyDescent="0.25">
      <c r="P587" s="155"/>
    </row>
    <row r="588" spans="16:16" x14ac:dyDescent="0.25">
      <c r="P588" s="155"/>
    </row>
    <row r="589" spans="16:16" x14ac:dyDescent="0.25">
      <c r="P589" s="155"/>
    </row>
    <row r="590" spans="16:16" x14ac:dyDescent="0.25">
      <c r="P590" s="155"/>
    </row>
    <row r="591" spans="16:16" x14ac:dyDescent="0.25">
      <c r="P591" s="155"/>
    </row>
    <row r="592" spans="16:16" x14ac:dyDescent="0.25">
      <c r="P592" s="155"/>
    </row>
    <row r="593" spans="1:16" x14ac:dyDescent="0.25">
      <c r="P593" s="155"/>
    </row>
    <row r="594" spans="1:16" x14ac:dyDescent="0.25">
      <c r="P594" s="155"/>
    </row>
    <row r="595" spans="1:16" x14ac:dyDescent="0.25">
      <c r="P595" s="155"/>
    </row>
    <row r="596" spans="1:16" x14ac:dyDescent="0.25">
      <c r="P596" s="155"/>
    </row>
    <row r="597" spans="1:16" x14ac:dyDescent="0.25">
      <c r="P597" s="155"/>
    </row>
    <row r="598" spans="1:16" x14ac:dyDescent="0.25">
      <c r="P598" s="155"/>
    </row>
    <row r="599" spans="1:16" x14ac:dyDescent="0.25">
      <c r="P599" s="155"/>
    </row>
    <row r="600" spans="1:16" x14ac:dyDescent="0.25">
      <c r="P600" s="155"/>
    </row>
    <row r="601" spans="1:16" x14ac:dyDescent="0.25">
      <c r="P601" s="155"/>
    </row>
    <row r="602" spans="1:16" x14ac:dyDescent="0.25">
      <c r="P602" s="155"/>
    </row>
    <row r="603" spans="1:16" x14ac:dyDescent="0.25">
      <c r="A603" s="58" t="s">
        <v>23</v>
      </c>
      <c r="P603" s="155"/>
    </row>
    <row r="604" spans="1:16" x14ac:dyDescent="0.25">
      <c r="P604" s="155"/>
    </row>
    <row r="605" spans="1:16" x14ac:dyDescent="0.25">
      <c r="A605" s="60" t="s">
        <v>348</v>
      </c>
      <c r="P605" s="155"/>
    </row>
    <row r="606" spans="1:16" x14ac:dyDescent="0.25">
      <c r="P606" s="155"/>
    </row>
    <row r="607" spans="1:16" x14ac:dyDescent="0.25">
      <c r="A607" s="60" t="s">
        <v>349</v>
      </c>
      <c r="P607" s="155"/>
    </row>
    <row r="608" spans="1:16" x14ac:dyDescent="0.25">
      <c r="B608" s="60" t="s">
        <v>352</v>
      </c>
      <c r="P608" s="155"/>
    </row>
    <row r="609" spans="1:16" x14ac:dyDescent="0.25">
      <c r="A609" s="60" t="s">
        <v>350</v>
      </c>
      <c r="P609" s="155"/>
    </row>
    <row r="610" spans="1:16" x14ac:dyDescent="0.25">
      <c r="B610" s="60" t="s">
        <v>351</v>
      </c>
      <c r="P610" s="155"/>
    </row>
    <row r="611" spans="1:16" x14ac:dyDescent="0.25">
      <c r="A611" s="60" t="s">
        <v>847</v>
      </c>
      <c r="P611" s="155"/>
    </row>
    <row r="612" spans="1:16" x14ac:dyDescent="0.25">
      <c r="P612" s="155"/>
    </row>
    <row r="613" spans="1:16" x14ac:dyDescent="0.25">
      <c r="P613" s="155"/>
    </row>
    <row r="614" spans="1:16" x14ac:dyDescent="0.25">
      <c r="P614" s="155"/>
    </row>
    <row r="615" spans="1:16" x14ac:dyDescent="0.25">
      <c r="P615" s="155"/>
    </row>
    <row r="616" spans="1:16" x14ac:dyDescent="0.25">
      <c r="P616" s="155"/>
    </row>
    <row r="617" spans="1:16" x14ac:dyDescent="0.25">
      <c r="P617" s="155"/>
    </row>
    <row r="618" spans="1:16" x14ac:dyDescent="0.25">
      <c r="P618" s="155"/>
    </row>
    <row r="619" spans="1:16" x14ac:dyDescent="0.25">
      <c r="P619" s="155"/>
    </row>
    <row r="620" spans="1:16" x14ac:dyDescent="0.25">
      <c r="P620" s="155"/>
    </row>
    <row r="621" spans="1:16" x14ac:dyDescent="0.25">
      <c r="P621" s="155"/>
    </row>
    <row r="622" spans="1:16" x14ac:dyDescent="0.25">
      <c r="P622" s="155"/>
    </row>
    <row r="623" spans="1:16" x14ac:dyDescent="0.25">
      <c r="P623" s="155"/>
    </row>
    <row r="624" spans="1:16" x14ac:dyDescent="0.25">
      <c r="P624" s="155"/>
    </row>
    <row r="625" spans="1:16" x14ac:dyDescent="0.25">
      <c r="P625" s="155"/>
    </row>
    <row r="626" spans="1:16" x14ac:dyDescent="0.25">
      <c r="A626" s="156" t="s">
        <v>347</v>
      </c>
      <c r="B626" s="155"/>
      <c r="C626" s="155"/>
      <c r="D626" s="155"/>
      <c r="E626" s="155"/>
      <c r="F626" s="155"/>
      <c r="G626" s="155"/>
      <c r="H626" s="155"/>
      <c r="I626" s="155"/>
      <c r="J626" s="155"/>
      <c r="K626" s="155"/>
      <c r="L626" s="155"/>
      <c r="M626" s="155"/>
      <c r="N626" s="155"/>
      <c r="O626" s="155"/>
      <c r="P626" s="155"/>
    </row>
    <row r="627" spans="1:16" x14ac:dyDescent="0.25">
      <c r="A627" s="157"/>
      <c r="B627" s="155"/>
      <c r="C627" s="155"/>
      <c r="D627" s="155"/>
      <c r="E627" s="155"/>
      <c r="F627" s="155"/>
      <c r="G627" s="155"/>
      <c r="H627" s="155"/>
      <c r="I627" s="155"/>
      <c r="J627" s="155"/>
      <c r="K627" s="155"/>
      <c r="L627" s="155"/>
      <c r="M627" s="155"/>
      <c r="N627" s="155"/>
      <c r="O627" s="155"/>
      <c r="P627" s="155"/>
    </row>
    <row r="628" spans="1:16" x14ac:dyDescent="0.25">
      <c r="A628" s="156" t="s">
        <v>25</v>
      </c>
      <c r="B628" s="155"/>
      <c r="C628" s="155"/>
      <c r="D628" s="155"/>
      <c r="E628" s="155"/>
      <c r="F628" s="155"/>
      <c r="G628" s="155"/>
      <c r="H628" s="155"/>
      <c r="I628" s="155"/>
      <c r="J628" s="155"/>
      <c r="K628" s="155"/>
      <c r="L628" s="155"/>
      <c r="M628" s="155"/>
      <c r="N628" s="155"/>
      <c r="O628" s="155"/>
      <c r="P628" s="155"/>
    </row>
    <row r="629" spans="1:16" x14ac:dyDescent="0.25">
      <c r="A629" s="157"/>
      <c r="B629" s="156" t="s">
        <v>24</v>
      </c>
      <c r="C629" s="155"/>
      <c r="D629" s="155"/>
      <c r="E629" s="155"/>
      <c r="F629" s="155"/>
      <c r="G629" s="155"/>
      <c r="H629" s="155"/>
      <c r="I629" s="155"/>
      <c r="J629" s="155"/>
      <c r="K629" s="155"/>
      <c r="L629" s="155"/>
      <c r="M629" s="155"/>
      <c r="N629" s="155"/>
      <c r="O629" s="155"/>
      <c r="P629" s="155"/>
    </row>
    <row r="630" spans="1:16" x14ac:dyDescent="0.25">
      <c r="A630" s="156" t="s">
        <v>26</v>
      </c>
      <c r="B630" s="155"/>
      <c r="C630" s="155"/>
      <c r="D630" s="155"/>
      <c r="E630" s="155"/>
      <c r="F630" s="155"/>
      <c r="G630" s="155"/>
      <c r="H630" s="155"/>
      <c r="I630" s="155"/>
      <c r="J630" s="155"/>
      <c r="K630" s="155"/>
      <c r="L630" s="155"/>
      <c r="M630" s="155"/>
      <c r="N630" s="155"/>
      <c r="O630" s="155"/>
      <c r="P630" s="155"/>
    </row>
    <row r="631" spans="1:16" x14ac:dyDescent="0.25">
      <c r="A631" s="157"/>
      <c r="B631" s="156" t="s">
        <v>27</v>
      </c>
      <c r="C631" s="155"/>
      <c r="D631" s="155"/>
      <c r="E631" s="155"/>
      <c r="F631" s="155"/>
      <c r="G631" s="155"/>
      <c r="H631" s="155"/>
      <c r="I631" s="155"/>
      <c r="J631" s="155"/>
      <c r="K631" s="155"/>
      <c r="L631" s="155"/>
      <c r="M631" s="155"/>
      <c r="N631" s="155"/>
      <c r="O631" s="155"/>
      <c r="P631" s="155"/>
    </row>
    <row r="632" spans="1:16" x14ac:dyDescent="0.25">
      <c r="A632" s="157"/>
      <c r="B632" s="156" t="s">
        <v>28</v>
      </c>
      <c r="C632" s="155"/>
      <c r="D632" s="155"/>
      <c r="E632" s="155"/>
      <c r="F632" s="155"/>
      <c r="G632" s="155"/>
      <c r="H632" s="155"/>
      <c r="I632" s="155"/>
      <c r="J632" s="155"/>
      <c r="K632" s="155"/>
      <c r="L632" s="155"/>
      <c r="M632" s="155"/>
      <c r="N632" s="155"/>
      <c r="O632" s="155"/>
      <c r="P632" s="155"/>
    </row>
    <row r="633" spans="1:16" x14ac:dyDescent="0.25">
      <c r="A633" s="155"/>
      <c r="B633" s="156" t="s">
        <v>698</v>
      </c>
      <c r="C633" s="155"/>
      <c r="D633" s="155"/>
      <c r="E633" s="155"/>
      <c r="F633" s="155"/>
      <c r="G633" s="155"/>
      <c r="H633" s="155"/>
      <c r="I633" s="155"/>
      <c r="J633" s="155"/>
      <c r="K633" s="155"/>
      <c r="L633" s="155"/>
      <c r="M633" s="155"/>
      <c r="N633" s="155"/>
      <c r="O633" s="155"/>
      <c r="P633" s="155"/>
    </row>
    <row r="634" spans="1:16" x14ac:dyDescent="0.25">
      <c r="A634" s="155"/>
      <c r="B634" s="156" t="s">
        <v>29</v>
      </c>
      <c r="C634" s="155"/>
      <c r="D634" s="155"/>
      <c r="E634" s="155"/>
      <c r="F634" s="155"/>
      <c r="G634" s="155"/>
      <c r="H634" s="155"/>
      <c r="I634" s="155"/>
      <c r="J634" s="155"/>
      <c r="K634" s="155"/>
      <c r="L634" s="155"/>
      <c r="M634" s="155"/>
      <c r="N634" s="155"/>
      <c r="O634" s="155"/>
      <c r="P634" s="155"/>
    </row>
    <row r="635" spans="1:16" x14ac:dyDescent="0.25">
      <c r="A635" s="155"/>
      <c r="B635" s="156"/>
      <c r="C635" s="155"/>
      <c r="D635" s="155"/>
      <c r="E635" s="155"/>
      <c r="F635" s="155"/>
      <c r="G635" s="155"/>
      <c r="H635" s="155"/>
      <c r="I635" s="155"/>
      <c r="J635" s="155"/>
      <c r="K635" s="155"/>
      <c r="L635" s="155"/>
      <c r="M635" s="155"/>
      <c r="N635" s="155"/>
      <c r="O635" s="155"/>
      <c r="P635" s="155"/>
    </row>
    <row r="636" spans="1:16" x14ac:dyDescent="0.25">
      <c r="P636" s="155"/>
    </row>
    <row r="637" spans="1:16" x14ac:dyDescent="0.25">
      <c r="P637" s="155"/>
    </row>
    <row r="638" spans="1:16" x14ac:dyDescent="0.25">
      <c r="P638" s="155"/>
    </row>
    <row r="639" spans="1:16" x14ac:dyDescent="0.25">
      <c r="P639" s="155"/>
    </row>
    <row r="640" spans="1:16" x14ac:dyDescent="0.25">
      <c r="P640" s="155"/>
    </row>
    <row r="641" spans="1:16" x14ac:dyDescent="0.25">
      <c r="P641" s="155"/>
    </row>
    <row r="642" spans="1:16" x14ac:dyDescent="0.25">
      <c r="P642" s="155"/>
    </row>
    <row r="643" spans="1:16" x14ac:dyDescent="0.25">
      <c r="P643" s="155"/>
    </row>
    <row r="644" spans="1:16" x14ac:dyDescent="0.25">
      <c r="P644" s="155"/>
    </row>
    <row r="645" spans="1:16" x14ac:dyDescent="0.25">
      <c r="P645" s="155"/>
    </row>
    <row r="646" spans="1:16" x14ac:dyDescent="0.25">
      <c r="P646" s="155"/>
    </row>
    <row r="647" spans="1:16" x14ac:dyDescent="0.25">
      <c r="P647" s="155"/>
    </row>
    <row r="648" spans="1:16" x14ac:dyDescent="0.25">
      <c r="P648" s="155"/>
    </row>
    <row r="649" spans="1:16" x14ac:dyDescent="0.25">
      <c r="P649" s="155"/>
    </row>
    <row r="650" spans="1:16" x14ac:dyDescent="0.25">
      <c r="P650" s="155"/>
    </row>
    <row r="651" spans="1:16" x14ac:dyDescent="0.25">
      <c r="P651" s="155"/>
    </row>
    <row r="652" spans="1:16" x14ac:dyDescent="0.25">
      <c r="A652" s="58" t="s">
        <v>699</v>
      </c>
      <c r="B652" s="155"/>
      <c r="C652" s="155"/>
      <c r="D652" s="155"/>
      <c r="E652" s="155"/>
      <c r="F652" s="155"/>
      <c r="G652" s="155"/>
      <c r="H652" s="155"/>
      <c r="I652" s="155"/>
      <c r="J652" s="155"/>
      <c r="K652" s="155"/>
      <c r="L652" s="155"/>
      <c r="M652" s="155"/>
      <c r="N652" s="155"/>
      <c r="O652" s="155"/>
      <c r="P652" s="155"/>
    </row>
    <row r="653" spans="1:16" x14ac:dyDescent="0.25">
      <c r="B653" s="155"/>
      <c r="C653" s="155"/>
      <c r="D653" s="155"/>
      <c r="E653" s="155"/>
      <c r="F653" s="155"/>
      <c r="G653" s="155"/>
      <c r="H653" s="155"/>
      <c r="I653" s="155"/>
      <c r="J653" s="155"/>
      <c r="K653" s="155"/>
      <c r="L653" s="155"/>
      <c r="M653" s="155"/>
      <c r="N653" s="155"/>
      <c r="O653" s="155"/>
      <c r="P653" s="155"/>
    </row>
    <row r="654" spans="1:16" x14ac:dyDescent="0.25">
      <c r="A654" s="60" t="s">
        <v>700</v>
      </c>
      <c r="B654" s="155"/>
      <c r="C654" s="155"/>
      <c r="D654" s="155"/>
      <c r="E654" s="155"/>
      <c r="F654" s="155"/>
      <c r="G654" s="155"/>
      <c r="H654" s="155"/>
      <c r="I654" s="155"/>
      <c r="J654" s="155"/>
      <c r="K654" s="155"/>
      <c r="L654" s="155"/>
      <c r="M654" s="155"/>
      <c r="N654" s="155"/>
      <c r="O654" s="155"/>
      <c r="P654" s="155"/>
    </row>
    <row r="655" spans="1:16" x14ac:dyDescent="0.25">
      <c r="B655" s="156" t="s">
        <v>701</v>
      </c>
      <c r="C655" s="155"/>
      <c r="D655" s="155"/>
      <c r="E655" s="155"/>
      <c r="F655" s="155"/>
      <c r="G655" s="155"/>
      <c r="H655" s="155"/>
      <c r="I655" s="155"/>
      <c r="J655" s="155"/>
      <c r="K655" s="155"/>
      <c r="L655" s="155"/>
      <c r="M655" s="155"/>
      <c r="N655" s="155"/>
      <c r="O655" s="155"/>
      <c r="P655" s="155"/>
    </row>
    <row r="656" spans="1:16" x14ac:dyDescent="0.25">
      <c r="P656" s="155"/>
    </row>
    <row r="657" spans="1:16" x14ac:dyDescent="0.25">
      <c r="P657" s="155"/>
    </row>
    <row r="658" spans="1:16" x14ac:dyDescent="0.25">
      <c r="P658" s="155"/>
    </row>
    <row r="659" spans="1:16" x14ac:dyDescent="0.25">
      <c r="P659" s="155"/>
    </row>
    <row r="660" spans="1:16" x14ac:dyDescent="0.25">
      <c r="A660" s="60" t="s">
        <v>207</v>
      </c>
      <c r="C660"/>
      <c r="D660"/>
      <c r="E660"/>
      <c r="F660"/>
      <c r="G660"/>
      <c r="H660"/>
      <c r="I660"/>
      <c r="J660"/>
      <c r="K660"/>
      <c r="L660"/>
      <c r="M660"/>
      <c r="N660"/>
      <c r="O660" s="155"/>
      <c r="P660" s="155"/>
    </row>
    <row r="661" spans="1:16" x14ac:dyDescent="0.25">
      <c r="P661" s="155"/>
    </row>
    <row r="662" spans="1:16" x14ac:dyDescent="0.25">
      <c r="P662" s="155"/>
    </row>
    <row r="663" spans="1:16" x14ac:dyDescent="0.25">
      <c r="P663" s="155"/>
    </row>
    <row r="664" spans="1:16" x14ac:dyDescent="0.25">
      <c r="P664" s="155"/>
    </row>
    <row r="665" spans="1:16" x14ac:dyDescent="0.25">
      <c r="P665" s="155"/>
    </row>
    <row r="666" spans="1:16" x14ac:dyDescent="0.25">
      <c r="P666" s="155"/>
    </row>
    <row r="667" spans="1:16" x14ac:dyDescent="0.25">
      <c r="P667" s="155"/>
    </row>
    <row r="668" spans="1:16" x14ac:dyDescent="0.25">
      <c r="P668" s="155"/>
    </row>
    <row r="669" spans="1:16" x14ac:dyDescent="0.25">
      <c r="P669" s="155"/>
    </row>
    <row r="670" spans="1:16" x14ac:dyDescent="0.25">
      <c r="P670" s="155"/>
    </row>
    <row r="671" spans="1:16" x14ac:dyDescent="0.25">
      <c r="P671" s="155"/>
    </row>
    <row r="672" spans="1:16" x14ac:dyDescent="0.25">
      <c r="P672" s="155"/>
    </row>
    <row r="673" spans="1:16" x14ac:dyDescent="0.25">
      <c r="P673" s="155"/>
    </row>
    <row r="674" spans="1:16" x14ac:dyDescent="0.25">
      <c r="B674" s="155"/>
      <c r="C674" s="155"/>
      <c r="D674" s="155"/>
      <c r="E674" s="155"/>
      <c r="F674" s="155"/>
      <c r="G674" s="155"/>
      <c r="H674" s="155"/>
      <c r="I674" s="155"/>
      <c r="J674" s="155"/>
      <c r="K674" s="155"/>
      <c r="L674" s="155"/>
      <c r="M674" s="155"/>
      <c r="N674" s="155"/>
      <c r="O674" s="155"/>
      <c r="P674" s="155"/>
    </row>
    <row r="675" spans="1:16" x14ac:dyDescent="0.25">
      <c r="A675" s="60" t="s">
        <v>702</v>
      </c>
      <c r="B675" s="155"/>
      <c r="C675" s="155"/>
      <c r="D675" s="155"/>
      <c r="E675" s="155"/>
      <c r="F675" s="155"/>
      <c r="G675" s="155"/>
      <c r="H675" s="155"/>
      <c r="I675" s="155"/>
      <c r="J675" s="155"/>
      <c r="K675" s="155"/>
      <c r="L675" s="155"/>
      <c r="M675" s="155"/>
      <c r="N675" s="155"/>
      <c r="O675" s="155"/>
      <c r="P675" s="155"/>
    </row>
    <row r="676" spans="1:16" x14ac:dyDescent="0.25">
      <c r="B676" s="156" t="s">
        <v>187</v>
      </c>
      <c r="C676" s="155"/>
      <c r="D676" s="155"/>
      <c r="E676" s="155"/>
      <c r="F676" s="155"/>
      <c r="G676" s="155"/>
      <c r="H676" s="155"/>
      <c r="I676" s="155"/>
      <c r="J676" s="155"/>
      <c r="K676" s="155"/>
      <c r="L676" s="155"/>
      <c r="M676" s="155"/>
      <c r="N676" s="155"/>
      <c r="O676" s="155"/>
      <c r="P676" s="155"/>
    </row>
    <row r="677" spans="1:16" x14ac:dyDescent="0.25">
      <c r="P677" s="155"/>
    </row>
    <row r="678" spans="1:16" x14ac:dyDescent="0.25">
      <c r="P678" s="155"/>
    </row>
    <row r="679" spans="1:16" x14ac:dyDescent="0.25">
      <c r="P679" s="155"/>
    </row>
    <row r="680" spans="1:16" x14ac:dyDescent="0.25">
      <c r="P680" s="155"/>
    </row>
    <row r="681" spans="1:16" x14ac:dyDescent="0.25">
      <c r="A681" s="157" t="s">
        <v>273</v>
      </c>
      <c r="B681" s="155"/>
      <c r="C681" s="155"/>
      <c r="D681" s="155"/>
      <c r="E681" s="155"/>
      <c r="F681" s="155"/>
      <c r="G681" s="155"/>
      <c r="H681" s="155"/>
      <c r="I681" s="155"/>
      <c r="J681" s="155"/>
      <c r="K681" s="155"/>
      <c r="L681" s="155"/>
      <c r="M681" s="155"/>
      <c r="N681" s="155"/>
      <c r="O681" s="155"/>
      <c r="P681" s="155"/>
    </row>
    <row r="682" spans="1:16" x14ac:dyDescent="0.25">
      <c r="P682" s="155"/>
    </row>
    <row r="683" spans="1:16" x14ac:dyDescent="0.25">
      <c r="A683" s="64">
        <v>1</v>
      </c>
      <c r="B683" s="335" t="s">
        <v>209</v>
      </c>
      <c r="C683" s="336"/>
      <c r="D683" s="336"/>
      <c r="E683" s="336"/>
      <c r="F683" s="336"/>
      <c r="G683" s="336"/>
      <c r="H683" s="336"/>
      <c r="I683" s="336"/>
      <c r="J683" s="336"/>
      <c r="K683" s="336"/>
      <c r="L683" s="336"/>
      <c r="M683" s="336"/>
      <c r="N683" s="336"/>
      <c r="O683" s="336"/>
      <c r="P683" s="155"/>
    </row>
    <row r="684" spans="1:16" x14ac:dyDescent="0.25">
      <c r="A684" s="64">
        <v>2</v>
      </c>
      <c r="B684" s="335" t="s">
        <v>210</v>
      </c>
      <c r="C684" s="336"/>
      <c r="D684" s="336"/>
      <c r="E684" s="336"/>
      <c r="F684" s="336"/>
      <c r="G684" s="336"/>
      <c r="H684" s="336"/>
      <c r="I684" s="336"/>
      <c r="J684" s="336"/>
      <c r="K684" s="336"/>
      <c r="L684" s="336"/>
      <c r="M684" s="336"/>
      <c r="N684" s="336"/>
      <c r="O684" s="336"/>
      <c r="P684" s="155"/>
    </row>
    <row r="685" spans="1:16" x14ac:dyDescent="0.25">
      <c r="A685" s="64">
        <v>3</v>
      </c>
      <c r="B685" s="335" t="s">
        <v>211</v>
      </c>
      <c r="C685" s="336"/>
      <c r="D685" s="336"/>
      <c r="E685" s="336"/>
      <c r="F685" s="336"/>
      <c r="G685" s="336"/>
      <c r="H685" s="336"/>
      <c r="I685" s="336"/>
      <c r="J685" s="336"/>
      <c r="K685" s="336"/>
      <c r="L685" s="336"/>
      <c r="M685" s="336"/>
      <c r="N685" s="336"/>
      <c r="O685" s="336"/>
      <c r="P685" s="155"/>
    </row>
    <row r="686" spans="1:16" x14ac:dyDescent="0.25">
      <c r="A686" s="64">
        <v>4</v>
      </c>
      <c r="B686" s="335" t="s">
        <v>212</v>
      </c>
      <c r="C686" s="336"/>
      <c r="D686" s="336"/>
      <c r="E686" s="336"/>
      <c r="F686" s="336"/>
      <c r="G686" s="336"/>
      <c r="H686" s="336"/>
      <c r="I686" s="336"/>
      <c r="J686" s="336"/>
      <c r="K686" s="336"/>
      <c r="L686" s="336"/>
      <c r="M686" s="336"/>
      <c r="N686" s="336"/>
      <c r="O686" s="336"/>
      <c r="P686" s="155"/>
    </row>
    <row r="687" spans="1:16" x14ac:dyDescent="0.25">
      <c r="A687" s="64">
        <v>5</v>
      </c>
      <c r="B687" s="335" t="s">
        <v>276</v>
      </c>
      <c r="C687" s="336"/>
      <c r="D687" s="336"/>
      <c r="E687" s="336"/>
      <c r="F687" s="336"/>
      <c r="G687" s="336"/>
      <c r="H687" s="336"/>
      <c r="I687" s="336"/>
      <c r="J687" s="336"/>
      <c r="K687" s="336"/>
      <c r="L687" s="336"/>
      <c r="M687" s="336"/>
      <c r="N687" s="336"/>
      <c r="O687" s="336"/>
      <c r="P687" s="155"/>
    </row>
    <row r="688" spans="1:16" x14ac:dyDescent="0.25">
      <c r="A688" s="64">
        <v>6</v>
      </c>
      <c r="B688" s="335" t="s">
        <v>389</v>
      </c>
      <c r="C688" s="336"/>
      <c r="D688" s="336"/>
      <c r="E688" s="336"/>
      <c r="F688" s="336"/>
      <c r="G688" s="336"/>
      <c r="H688" s="336"/>
      <c r="I688" s="336"/>
      <c r="J688" s="336"/>
      <c r="K688" s="336"/>
      <c r="L688" s="336"/>
      <c r="M688" s="336"/>
      <c r="N688" s="336"/>
      <c r="O688" s="336"/>
      <c r="P688" s="155"/>
    </row>
    <row r="689" spans="1:16" x14ac:dyDescent="0.25">
      <c r="A689" s="64">
        <v>7</v>
      </c>
      <c r="B689" s="335" t="s">
        <v>390</v>
      </c>
      <c r="C689" s="336"/>
      <c r="D689" s="336"/>
      <c r="E689" s="336"/>
      <c r="F689" s="336"/>
      <c r="G689" s="336"/>
      <c r="H689" s="336"/>
      <c r="I689" s="336"/>
      <c r="J689" s="336"/>
      <c r="K689" s="336"/>
      <c r="L689" s="336"/>
      <c r="M689" s="336"/>
      <c r="N689" s="336"/>
      <c r="O689" s="336"/>
      <c r="P689" s="155"/>
    </row>
    <row r="690" spans="1:16" x14ac:dyDescent="0.25">
      <c r="A690" s="64">
        <v>8</v>
      </c>
      <c r="B690" s="335" t="s">
        <v>739</v>
      </c>
      <c r="C690" s="336"/>
      <c r="D690" s="336"/>
      <c r="E690" s="336"/>
      <c r="F690" s="336"/>
      <c r="G690" s="336"/>
      <c r="H690" s="336"/>
      <c r="I690" s="336"/>
      <c r="J690" s="336"/>
      <c r="K690" s="336"/>
      <c r="L690" s="336"/>
      <c r="M690" s="336"/>
      <c r="N690" s="336"/>
      <c r="O690" s="336"/>
      <c r="P690" s="155"/>
    </row>
    <row r="691" spans="1:16" ht="26.25" customHeight="1" x14ac:dyDescent="0.25">
      <c r="A691" s="64">
        <v>9</v>
      </c>
      <c r="B691" s="335" t="s">
        <v>213</v>
      </c>
      <c r="C691" s="336"/>
      <c r="D691" s="336"/>
      <c r="E691" s="336"/>
      <c r="F691" s="336"/>
      <c r="G691" s="336"/>
      <c r="H691" s="336"/>
      <c r="I691" s="336"/>
      <c r="J691" s="336"/>
      <c r="K691" s="336"/>
      <c r="L691" s="336"/>
      <c r="M691" s="336"/>
      <c r="N691" s="336"/>
      <c r="O691" s="336"/>
      <c r="P691" s="155"/>
    </row>
    <row r="692" spans="1:16" ht="27" customHeight="1" x14ac:dyDescent="0.25">
      <c r="A692" s="64">
        <v>10</v>
      </c>
      <c r="B692" s="335" t="s">
        <v>214</v>
      </c>
      <c r="C692" s="336"/>
      <c r="D692" s="336"/>
      <c r="E692" s="336"/>
      <c r="F692" s="336"/>
      <c r="G692" s="336"/>
      <c r="H692" s="336"/>
      <c r="I692" s="336"/>
      <c r="J692" s="336"/>
      <c r="K692" s="336"/>
      <c r="L692" s="336"/>
      <c r="M692" s="336"/>
      <c r="N692" s="336"/>
      <c r="O692" s="336"/>
      <c r="P692" s="155"/>
    </row>
    <row r="693" spans="1:16" x14ac:dyDescent="0.25">
      <c r="A693" s="64">
        <v>11</v>
      </c>
      <c r="B693" s="335" t="s">
        <v>215</v>
      </c>
      <c r="C693" s="336"/>
      <c r="D693" s="336"/>
      <c r="E693" s="336"/>
      <c r="F693" s="336"/>
      <c r="G693" s="336"/>
      <c r="H693" s="336"/>
      <c r="I693" s="336"/>
      <c r="J693" s="336"/>
      <c r="K693" s="336"/>
      <c r="L693" s="336"/>
      <c r="M693" s="336"/>
      <c r="N693" s="336"/>
      <c r="O693" s="336"/>
      <c r="P693" s="155"/>
    </row>
    <row r="694" spans="1:16" ht="24.75" customHeight="1" x14ac:dyDescent="0.25">
      <c r="A694" s="64">
        <v>12</v>
      </c>
      <c r="B694" s="335" t="s">
        <v>11</v>
      </c>
      <c r="C694" s="336"/>
      <c r="D694" s="336"/>
      <c r="E694" s="336"/>
      <c r="F694" s="336"/>
      <c r="G694" s="336"/>
      <c r="H694" s="336"/>
      <c r="I694" s="336"/>
      <c r="J694" s="336"/>
      <c r="K694" s="336"/>
      <c r="L694" s="336"/>
      <c r="M694" s="336"/>
      <c r="N694" s="336"/>
      <c r="O694" s="336"/>
      <c r="P694" s="155"/>
    </row>
    <row r="695" spans="1:16" ht="39.75" customHeight="1" x14ac:dyDescent="0.25">
      <c r="A695" s="64">
        <v>13</v>
      </c>
      <c r="B695" s="335" t="s">
        <v>899</v>
      </c>
      <c r="C695" s="336"/>
      <c r="D695" s="336"/>
      <c r="E695" s="336"/>
      <c r="F695" s="336"/>
      <c r="G695" s="336"/>
      <c r="H695" s="336"/>
      <c r="I695" s="336"/>
      <c r="J695" s="336"/>
      <c r="K695" s="336"/>
      <c r="L695" s="336"/>
      <c r="M695" s="336"/>
      <c r="N695" s="336"/>
      <c r="O695" s="336"/>
      <c r="P695" s="155"/>
    </row>
    <row r="696" spans="1:16" x14ac:dyDescent="0.25">
      <c r="A696" s="64">
        <v>14</v>
      </c>
      <c r="B696" s="335" t="s">
        <v>12</v>
      </c>
      <c r="C696" s="336"/>
      <c r="D696" s="336"/>
      <c r="E696" s="336"/>
      <c r="F696" s="336"/>
      <c r="G696" s="336"/>
      <c r="H696" s="336"/>
      <c r="I696" s="336"/>
      <c r="J696" s="336"/>
      <c r="K696" s="336"/>
      <c r="L696" s="336"/>
      <c r="M696" s="336"/>
      <c r="N696" s="336"/>
      <c r="O696" s="336"/>
      <c r="P696" s="155"/>
    </row>
    <row r="697" spans="1:16" x14ac:dyDescent="0.25">
      <c r="A697" s="64">
        <v>15</v>
      </c>
      <c r="B697" s="335" t="s">
        <v>13</v>
      </c>
      <c r="C697" s="336"/>
      <c r="D697" s="336"/>
      <c r="E697" s="336"/>
      <c r="F697" s="336"/>
      <c r="G697" s="336"/>
      <c r="H697" s="336"/>
      <c r="I697" s="336"/>
      <c r="J697" s="336"/>
      <c r="K697" s="336"/>
      <c r="L697" s="336"/>
      <c r="M697" s="336"/>
      <c r="N697" s="336"/>
      <c r="O697" s="336"/>
      <c r="P697" s="155"/>
    </row>
    <row r="698" spans="1:16" x14ac:dyDescent="0.25">
      <c r="A698" s="64">
        <v>16</v>
      </c>
      <c r="B698" s="335" t="s">
        <v>14</v>
      </c>
      <c r="C698" s="336"/>
      <c r="D698" s="336"/>
      <c r="E698" s="336"/>
      <c r="F698" s="336"/>
      <c r="G698" s="336"/>
      <c r="H698" s="336"/>
      <c r="I698" s="336"/>
      <c r="J698" s="336"/>
      <c r="K698" s="336"/>
      <c r="L698" s="336"/>
      <c r="M698" s="336"/>
      <c r="N698" s="336"/>
      <c r="O698" s="336"/>
      <c r="P698" s="155"/>
    </row>
    <row r="699" spans="1:16" x14ac:dyDescent="0.25">
      <c r="A699" s="64">
        <v>17</v>
      </c>
      <c r="B699" s="335" t="s">
        <v>17</v>
      </c>
      <c r="C699" s="336"/>
      <c r="D699" s="336"/>
      <c r="E699" s="336"/>
      <c r="F699" s="336"/>
      <c r="G699" s="336"/>
      <c r="H699" s="336"/>
      <c r="I699" s="336"/>
      <c r="J699" s="336"/>
      <c r="K699" s="336"/>
      <c r="L699" s="336"/>
      <c r="M699" s="336"/>
      <c r="N699" s="336"/>
      <c r="O699" s="336"/>
      <c r="P699" s="155"/>
    </row>
    <row r="700" spans="1:16" x14ac:dyDescent="0.25">
      <c r="A700" s="64">
        <v>18</v>
      </c>
      <c r="B700" s="335" t="s">
        <v>391</v>
      </c>
      <c r="C700" s="336"/>
      <c r="D700" s="336"/>
      <c r="E700" s="336"/>
      <c r="F700" s="336"/>
      <c r="G700" s="336"/>
      <c r="H700" s="336"/>
      <c r="I700" s="336"/>
      <c r="J700" s="336"/>
      <c r="K700" s="336"/>
      <c r="L700" s="336"/>
      <c r="M700" s="336"/>
      <c r="N700" s="336"/>
      <c r="O700" s="336"/>
      <c r="P700" s="155"/>
    </row>
    <row r="701" spans="1:16" ht="27" customHeight="1" x14ac:dyDescent="0.25">
      <c r="A701" s="64">
        <v>19</v>
      </c>
      <c r="B701" s="335" t="s">
        <v>872</v>
      </c>
      <c r="C701" s="336"/>
      <c r="D701" s="336"/>
      <c r="E701" s="336"/>
      <c r="F701" s="336"/>
      <c r="G701" s="336"/>
      <c r="H701" s="336"/>
      <c r="I701" s="336"/>
      <c r="J701" s="336"/>
      <c r="K701" s="336"/>
      <c r="L701" s="336"/>
      <c r="M701" s="336"/>
      <c r="N701" s="336"/>
      <c r="O701" s="336"/>
      <c r="P701" s="155"/>
    </row>
    <row r="702" spans="1:16" x14ac:dyDescent="0.25">
      <c r="P702" s="155"/>
    </row>
    <row r="703" spans="1:16" x14ac:dyDescent="0.25">
      <c r="A703" s="58" t="s">
        <v>264</v>
      </c>
      <c r="P703" s="155"/>
    </row>
    <row r="704" spans="1:16" x14ac:dyDescent="0.25">
      <c r="P704" s="155"/>
    </row>
    <row r="705" spans="1:16" x14ac:dyDescent="0.25">
      <c r="A705" s="77" t="s">
        <v>30</v>
      </c>
      <c r="B705" s="338" t="s">
        <v>265</v>
      </c>
      <c r="C705" s="339"/>
      <c r="D705" s="339"/>
      <c r="E705" s="339"/>
      <c r="F705" s="339"/>
      <c r="G705" s="339"/>
      <c r="H705" s="339"/>
      <c r="I705" s="339"/>
      <c r="J705" s="339"/>
      <c r="K705" s="339"/>
      <c r="L705" s="339"/>
      <c r="M705" s="339"/>
      <c r="N705" s="339"/>
      <c r="O705" s="339"/>
      <c r="P705" s="155"/>
    </row>
    <row r="706" spans="1:16" x14ac:dyDescent="0.25">
      <c r="A706" s="67" t="s">
        <v>64</v>
      </c>
      <c r="B706" s="333" t="s">
        <v>859</v>
      </c>
      <c r="C706" s="334"/>
      <c r="D706" s="334"/>
      <c r="E706" s="334"/>
      <c r="F706" s="334"/>
      <c r="G706" s="334"/>
      <c r="H706" s="334"/>
      <c r="I706" s="334"/>
      <c r="J706" s="334"/>
      <c r="K706" s="334"/>
      <c r="L706" s="334"/>
      <c r="M706" s="334"/>
      <c r="N706" s="334"/>
      <c r="O706" s="334"/>
      <c r="P706" s="155"/>
    </row>
    <row r="707" spans="1:16" x14ac:dyDescent="0.25">
      <c r="A707" s="78"/>
      <c r="B707" s="62"/>
      <c r="C707" s="63"/>
      <c r="D707" s="63"/>
      <c r="E707" s="63"/>
      <c r="F707" s="63"/>
      <c r="G707" s="63"/>
      <c r="H707" s="63"/>
      <c r="I707" s="63"/>
      <c r="J707" s="63"/>
      <c r="K707" s="63"/>
      <c r="L707" s="63"/>
      <c r="M707" s="63"/>
      <c r="N707" s="63"/>
      <c r="O707" s="63"/>
      <c r="P707" s="155"/>
    </row>
    <row r="708" spans="1:16" x14ac:dyDescent="0.25">
      <c r="A708" s="77" t="s">
        <v>31</v>
      </c>
      <c r="B708" s="338" t="s">
        <v>268</v>
      </c>
      <c r="C708" s="339"/>
      <c r="D708" s="339"/>
      <c r="E708" s="339"/>
      <c r="F708" s="339"/>
      <c r="G708" s="339"/>
      <c r="H708" s="339"/>
      <c r="I708" s="339"/>
      <c r="J708" s="339"/>
      <c r="K708" s="339"/>
      <c r="L708" s="339"/>
      <c r="M708" s="339"/>
      <c r="N708" s="339"/>
      <c r="O708" s="339"/>
      <c r="P708" s="155"/>
    </row>
    <row r="709" spans="1:16" x14ac:dyDescent="0.25">
      <c r="A709" s="67" t="s">
        <v>59</v>
      </c>
      <c r="B709" s="333" t="s">
        <v>859</v>
      </c>
      <c r="C709" s="334"/>
      <c r="D709" s="334"/>
      <c r="E709" s="334"/>
      <c r="F709" s="334"/>
      <c r="G709" s="334"/>
      <c r="H709" s="334"/>
      <c r="I709" s="334"/>
      <c r="J709" s="334"/>
      <c r="K709" s="334"/>
      <c r="L709" s="334"/>
      <c r="M709" s="334"/>
      <c r="N709" s="334"/>
      <c r="O709" s="334"/>
      <c r="P709" s="155"/>
    </row>
    <row r="710" spans="1:16" x14ac:dyDescent="0.25">
      <c r="A710" s="78"/>
      <c r="B710" s="62"/>
      <c r="C710" s="63"/>
      <c r="D710" s="63"/>
      <c r="E710" s="63"/>
      <c r="F710" s="63"/>
      <c r="G710" s="63"/>
      <c r="H710" s="63"/>
      <c r="I710" s="63"/>
      <c r="J710" s="63"/>
      <c r="K710" s="63"/>
      <c r="L710" s="63"/>
      <c r="M710" s="63"/>
      <c r="N710" s="63"/>
      <c r="O710" s="63"/>
      <c r="P710" s="155"/>
    </row>
    <row r="711" spans="1:16" x14ac:dyDescent="0.25">
      <c r="A711" s="77" t="s">
        <v>32</v>
      </c>
      <c r="B711" s="338" t="s">
        <v>266</v>
      </c>
      <c r="C711" s="339"/>
      <c r="D711" s="339"/>
      <c r="E711" s="339"/>
      <c r="F711" s="339"/>
      <c r="G711" s="339"/>
      <c r="H711" s="339"/>
      <c r="I711" s="339"/>
      <c r="J711" s="339"/>
      <c r="K711" s="339"/>
      <c r="L711" s="339"/>
      <c r="M711" s="339"/>
      <c r="N711" s="339"/>
      <c r="O711" s="339"/>
      <c r="P711" s="155"/>
    </row>
    <row r="712" spans="1:16" x14ac:dyDescent="0.25">
      <c r="A712" s="67" t="s">
        <v>65</v>
      </c>
      <c r="B712" s="333" t="s">
        <v>267</v>
      </c>
      <c r="C712" s="334"/>
      <c r="D712" s="334"/>
      <c r="E712" s="334"/>
      <c r="F712" s="334"/>
      <c r="G712" s="334"/>
      <c r="H712" s="334"/>
      <c r="I712" s="334"/>
      <c r="J712" s="334"/>
      <c r="K712" s="334"/>
      <c r="L712" s="334"/>
      <c r="M712" s="334"/>
      <c r="N712" s="334"/>
      <c r="O712" s="334"/>
      <c r="P712" s="155"/>
    </row>
    <row r="713" spans="1:16" x14ac:dyDescent="0.25">
      <c r="A713" s="78"/>
      <c r="B713" s="62"/>
      <c r="C713" s="63"/>
      <c r="D713" s="63"/>
      <c r="E713" s="63"/>
      <c r="F713" s="63"/>
      <c r="G713" s="63"/>
      <c r="H713" s="63"/>
      <c r="I713" s="63"/>
      <c r="J713" s="63"/>
      <c r="K713" s="63"/>
      <c r="L713" s="63"/>
      <c r="M713" s="63"/>
      <c r="N713" s="63"/>
      <c r="O713" s="63"/>
      <c r="P713" s="155"/>
    </row>
    <row r="714" spans="1:16" x14ac:dyDescent="0.25">
      <c r="A714" s="77" t="s">
        <v>33</v>
      </c>
      <c r="B714" s="338" t="s">
        <v>269</v>
      </c>
      <c r="C714" s="339"/>
      <c r="D714" s="339"/>
      <c r="E714" s="339"/>
      <c r="F714" s="339"/>
      <c r="G714" s="339"/>
      <c r="H714" s="339"/>
      <c r="I714" s="339"/>
      <c r="J714" s="339"/>
      <c r="K714" s="339"/>
      <c r="L714" s="339"/>
      <c r="M714" s="339"/>
      <c r="N714" s="339"/>
      <c r="O714" s="339"/>
      <c r="P714" s="155"/>
    </row>
    <row r="715" spans="1:16" x14ac:dyDescent="0.25">
      <c r="A715" s="67" t="s">
        <v>66</v>
      </c>
      <c r="B715" s="333" t="s">
        <v>270</v>
      </c>
      <c r="C715" s="334"/>
      <c r="D715" s="334"/>
      <c r="E715" s="334"/>
      <c r="F715" s="334"/>
      <c r="G715" s="334"/>
      <c r="H715" s="334"/>
      <c r="I715" s="334"/>
      <c r="J715" s="334"/>
      <c r="K715" s="334"/>
      <c r="L715" s="334"/>
      <c r="M715" s="334"/>
      <c r="N715" s="334"/>
      <c r="O715" s="334"/>
      <c r="P715" s="155"/>
    </row>
    <row r="716" spans="1:16" x14ac:dyDescent="0.25">
      <c r="A716" s="78"/>
      <c r="B716" s="62"/>
      <c r="C716" s="63"/>
      <c r="D716" s="63"/>
      <c r="E716" s="63"/>
      <c r="F716" s="63"/>
      <c r="G716" s="63"/>
      <c r="H716" s="63"/>
      <c r="I716" s="63"/>
      <c r="J716" s="63"/>
      <c r="K716" s="63"/>
      <c r="L716" s="63"/>
      <c r="M716" s="63"/>
      <c r="N716" s="63"/>
      <c r="O716" s="63"/>
      <c r="P716" s="155"/>
    </row>
    <row r="717" spans="1:16" x14ac:dyDescent="0.25">
      <c r="A717" s="77" t="s">
        <v>34</v>
      </c>
      <c r="B717" s="338" t="s">
        <v>271</v>
      </c>
      <c r="C717" s="339"/>
      <c r="D717" s="339"/>
      <c r="E717" s="339"/>
      <c r="F717" s="339"/>
      <c r="G717" s="339"/>
      <c r="H717" s="339"/>
      <c r="I717" s="339"/>
      <c r="J717" s="339"/>
      <c r="K717" s="339"/>
      <c r="L717" s="339"/>
      <c r="M717" s="339"/>
      <c r="N717" s="339"/>
      <c r="O717" s="339"/>
      <c r="P717" s="155"/>
    </row>
    <row r="718" spans="1:16" ht="41.25" customHeight="1" x14ac:dyDescent="0.25">
      <c r="A718" s="67" t="s">
        <v>60</v>
      </c>
      <c r="B718" s="333" t="s">
        <v>272</v>
      </c>
      <c r="C718" s="334"/>
      <c r="D718" s="334"/>
      <c r="E718" s="334"/>
      <c r="F718" s="334"/>
      <c r="G718" s="334"/>
      <c r="H718" s="334"/>
      <c r="I718" s="334"/>
      <c r="J718" s="334"/>
      <c r="K718" s="334"/>
      <c r="L718" s="334"/>
      <c r="M718" s="334"/>
      <c r="N718" s="334"/>
      <c r="O718" s="334"/>
      <c r="P718" s="155"/>
    </row>
    <row r="719" spans="1:16" x14ac:dyDescent="0.25">
      <c r="A719" s="78"/>
      <c r="B719" s="62"/>
      <c r="C719" s="63"/>
      <c r="D719" s="63"/>
      <c r="E719" s="63"/>
      <c r="F719" s="63"/>
      <c r="G719" s="63"/>
      <c r="H719" s="63"/>
      <c r="I719" s="63"/>
      <c r="J719" s="63"/>
      <c r="K719" s="63"/>
      <c r="L719" s="63"/>
      <c r="M719" s="63"/>
      <c r="N719" s="63"/>
      <c r="O719" s="63"/>
      <c r="P719" s="155"/>
    </row>
    <row r="720" spans="1:16" ht="16.5" customHeight="1" x14ac:dyDescent="0.25">
      <c r="A720" s="77" t="s">
        <v>35</v>
      </c>
      <c r="B720" s="338" t="s">
        <v>387</v>
      </c>
      <c r="C720" s="339"/>
      <c r="D720" s="339"/>
      <c r="E720" s="339"/>
      <c r="F720" s="339"/>
      <c r="G720" s="339"/>
      <c r="H720" s="339"/>
      <c r="I720" s="339"/>
      <c r="J720" s="339"/>
      <c r="K720" s="339"/>
      <c r="L720" s="339"/>
      <c r="M720" s="339"/>
      <c r="N720" s="339"/>
      <c r="O720" s="339"/>
      <c r="P720" s="155"/>
    </row>
    <row r="721" spans="1:16" ht="29.25" customHeight="1" x14ac:dyDescent="0.25">
      <c r="A721" s="67" t="s">
        <v>61</v>
      </c>
      <c r="B721" s="333" t="s">
        <v>388</v>
      </c>
      <c r="C721" s="334"/>
      <c r="D721" s="334"/>
      <c r="E721" s="334"/>
      <c r="F721" s="334"/>
      <c r="G721" s="334"/>
      <c r="H721" s="334"/>
      <c r="I721" s="334"/>
      <c r="J721" s="334"/>
      <c r="K721" s="334"/>
      <c r="L721" s="334"/>
      <c r="M721" s="334"/>
      <c r="N721" s="334"/>
      <c r="O721" s="334"/>
      <c r="P721" s="155"/>
    </row>
    <row r="722" spans="1:16" x14ac:dyDescent="0.25">
      <c r="A722" s="78"/>
      <c r="B722" s="62"/>
      <c r="C722" s="63"/>
      <c r="D722" s="63"/>
      <c r="E722" s="63"/>
      <c r="F722" s="63"/>
      <c r="G722" s="63"/>
      <c r="H722" s="63"/>
      <c r="I722" s="63"/>
      <c r="J722" s="63"/>
      <c r="K722" s="63"/>
      <c r="L722" s="63"/>
      <c r="M722" s="63"/>
      <c r="N722" s="63"/>
      <c r="O722" s="63"/>
      <c r="P722" s="155"/>
    </row>
    <row r="723" spans="1:16" x14ac:dyDescent="0.25">
      <c r="A723" s="77" t="s">
        <v>36</v>
      </c>
      <c r="B723" s="338" t="s">
        <v>274</v>
      </c>
      <c r="C723" s="339"/>
      <c r="D723" s="339"/>
      <c r="E723" s="339"/>
      <c r="F723" s="339"/>
      <c r="G723" s="339"/>
      <c r="H723" s="339"/>
      <c r="I723" s="339"/>
      <c r="J723" s="339"/>
      <c r="K723" s="339"/>
      <c r="L723" s="339"/>
      <c r="M723" s="339"/>
      <c r="N723" s="339"/>
      <c r="O723" s="339"/>
      <c r="P723" s="155"/>
    </row>
    <row r="724" spans="1:16" ht="54.75" customHeight="1" x14ac:dyDescent="0.25">
      <c r="A724" s="67" t="s">
        <v>62</v>
      </c>
      <c r="B724" s="333" t="s">
        <v>275</v>
      </c>
      <c r="C724" s="334"/>
      <c r="D724" s="334"/>
      <c r="E724" s="334"/>
      <c r="F724" s="334"/>
      <c r="G724" s="334"/>
      <c r="H724" s="334"/>
      <c r="I724" s="334"/>
      <c r="J724" s="334"/>
      <c r="K724" s="334"/>
      <c r="L724" s="334"/>
      <c r="M724" s="334"/>
      <c r="N724" s="334"/>
      <c r="O724" s="334"/>
      <c r="P724" s="155"/>
    </row>
    <row r="725" spans="1:16" x14ac:dyDescent="0.25">
      <c r="A725" s="78"/>
      <c r="B725" s="62"/>
      <c r="C725" s="63"/>
      <c r="D725" s="63"/>
      <c r="E725" s="63"/>
      <c r="F725" s="63"/>
      <c r="G725" s="63"/>
      <c r="H725" s="63"/>
      <c r="I725" s="63"/>
      <c r="J725" s="63"/>
      <c r="K725" s="63"/>
      <c r="L725" s="63"/>
      <c r="M725" s="63"/>
      <c r="N725" s="63"/>
      <c r="O725" s="63"/>
      <c r="P725" s="155"/>
    </row>
    <row r="726" spans="1:16" ht="27" customHeight="1" x14ac:dyDescent="0.25">
      <c r="A726" s="77" t="s">
        <v>37</v>
      </c>
      <c r="B726" s="338" t="s">
        <v>216</v>
      </c>
      <c r="C726" s="339"/>
      <c r="D726" s="339"/>
      <c r="E726" s="339"/>
      <c r="F726" s="339"/>
      <c r="G726" s="339"/>
      <c r="H726" s="339"/>
      <c r="I726" s="339"/>
      <c r="J726" s="339"/>
      <c r="K726" s="339"/>
      <c r="L726" s="339"/>
      <c r="M726" s="339"/>
      <c r="N726" s="339"/>
      <c r="O726" s="339"/>
      <c r="P726" s="155"/>
    </row>
    <row r="727" spans="1:16" ht="40.5" customHeight="1" x14ac:dyDescent="0.25">
      <c r="A727" s="67" t="s">
        <v>63</v>
      </c>
      <c r="B727" s="333" t="s">
        <v>16</v>
      </c>
      <c r="C727" s="334"/>
      <c r="D727" s="334"/>
      <c r="E727" s="334"/>
      <c r="F727" s="334"/>
      <c r="G727" s="334"/>
      <c r="H727" s="334"/>
      <c r="I727" s="334"/>
      <c r="J727" s="334"/>
      <c r="K727" s="334"/>
      <c r="L727" s="334"/>
      <c r="M727" s="334"/>
      <c r="N727" s="334"/>
      <c r="O727" s="334"/>
      <c r="P727" s="155"/>
    </row>
    <row r="728" spans="1:16" x14ac:dyDescent="0.25">
      <c r="A728" s="79"/>
      <c r="B728" s="65"/>
      <c r="C728" s="66"/>
      <c r="D728" s="66"/>
      <c r="E728" s="66"/>
      <c r="F728" s="66"/>
      <c r="G728" s="66"/>
      <c r="H728" s="66"/>
      <c r="I728" s="66"/>
      <c r="J728" s="66"/>
      <c r="K728" s="66"/>
      <c r="L728" s="66"/>
      <c r="M728" s="66"/>
      <c r="N728" s="66"/>
      <c r="O728" s="66"/>
      <c r="P728" s="155"/>
    </row>
    <row r="729" spans="1:16" x14ac:dyDescent="0.25">
      <c r="A729" s="77" t="s">
        <v>38</v>
      </c>
      <c r="B729" s="338" t="s">
        <v>18</v>
      </c>
      <c r="C729" s="339"/>
      <c r="D729" s="339"/>
      <c r="E729" s="339"/>
      <c r="F729" s="339"/>
      <c r="G729" s="339"/>
      <c r="H729" s="339"/>
      <c r="I729" s="339"/>
      <c r="J729" s="339"/>
      <c r="K729" s="339"/>
      <c r="L729" s="339"/>
      <c r="M729" s="339"/>
      <c r="N729" s="339"/>
      <c r="O729" s="339"/>
      <c r="P729" s="155"/>
    </row>
    <row r="730" spans="1:16" ht="26.25" customHeight="1" x14ac:dyDescent="0.25">
      <c r="A730" s="67" t="s">
        <v>39</v>
      </c>
      <c r="B730" s="333" t="s">
        <v>19</v>
      </c>
      <c r="C730" s="334"/>
      <c r="D730" s="334"/>
      <c r="E730" s="334"/>
      <c r="F730" s="334"/>
      <c r="G730" s="334"/>
      <c r="H730" s="334"/>
      <c r="I730" s="334"/>
      <c r="J730" s="334"/>
      <c r="K730" s="334"/>
      <c r="L730" s="334"/>
      <c r="M730" s="334"/>
      <c r="N730" s="334"/>
      <c r="O730" s="334"/>
      <c r="P730" s="155"/>
    </row>
    <row r="731" spans="1:16" x14ac:dyDescent="0.25">
      <c r="A731" s="79"/>
      <c r="B731" s="65"/>
      <c r="C731" s="66"/>
      <c r="D731" s="66"/>
      <c r="E731" s="66"/>
      <c r="F731" s="66"/>
      <c r="G731" s="66"/>
      <c r="H731" s="66"/>
      <c r="I731" s="66"/>
      <c r="J731" s="66"/>
      <c r="K731" s="66"/>
      <c r="L731" s="66"/>
      <c r="M731" s="66"/>
      <c r="N731" s="66"/>
      <c r="O731" s="66"/>
      <c r="P731" s="155"/>
    </row>
    <row r="732" spans="1:16" ht="39" customHeight="1" x14ac:dyDescent="0.25">
      <c r="A732" s="77" t="s">
        <v>40</v>
      </c>
      <c r="B732" s="338" t="s">
        <v>217</v>
      </c>
      <c r="C732" s="339"/>
      <c r="D732" s="339"/>
      <c r="E732" s="339"/>
      <c r="F732" s="339"/>
      <c r="G732" s="339"/>
      <c r="H732" s="339"/>
      <c r="I732" s="339"/>
      <c r="J732" s="339"/>
      <c r="K732" s="339"/>
      <c r="L732" s="339"/>
      <c r="M732" s="339"/>
      <c r="N732" s="339"/>
      <c r="O732" s="339"/>
      <c r="P732" s="155"/>
    </row>
    <row r="733" spans="1:16" ht="65.25" customHeight="1" x14ac:dyDescent="0.25">
      <c r="A733" s="67" t="s">
        <v>41</v>
      </c>
      <c r="B733" s="333" t="s">
        <v>20</v>
      </c>
      <c r="C733" s="334"/>
      <c r="D733" s="334"/>
      <c r="E733" s="334"/>
      <c r="F733" s="334"/>
      <c r="G733" s="334"/>
      <c r="H733" s="334"/>
      <c r="I733" s="334"/>
      <c r="J733" s="334"/>
      <c r="K733" s="334"/>
      <c r="L733" s="334"/>
      <c r="M733" s="334"/>
      <c r="N733" s="334"/>
      <c r="O733" s="334"/>
      <c r="P733" s="155"/>
    </row>
    <row r="734" spans="1:16" x14ac:dyDescent="0.25">
      <c r="A734" s="79"/>
      <c r="B734" s="65"/>
      <c r="C734" s="66"/>
      <c r="D734" s="66"/>
      <c r="E734" s="66"/>
      <c r="F734" s="66"/>
      <c r="G734" s="66"/>
      <c r="H734" s="66"/>
      <c r="I734" s="66"/>
      <c r="J734" s="66"/>
      <c r="K734" s="66"/>
      <c r="L734" s="66"/>
      <c r="M734" s="66"/>
      <c r="N734" s="66"/>
      <c r="O734" s="66"/>
      <c r="P734" s="155"/>
    </row>
    <row r="735" spans="1:16" x14ac:dyDescent="0.25">
      <c r="A735" s="77" t="s">
        <v>42</v>
      </c>
      <c r="B735" s="338" t="s">
        <v>21</v>
      </c>
      <c r="C735" s="339"/>
      <c r="D735" s="339"/>
      <c r="E735" s="339"/>
      <c r="F735" s="339"/>
      <c r="G735" s="339"/>
      <c r="H735" s="339"/>
      <c r="I735" s="339"/>
      <c r="J735" s="339"/>
      <c r="K735" s="339"/>
      <c r="L735" s="339"/>
      <c r="M735" s="339"/>
      <c r="N735" s="339"/>
      <c r="O735" s="339"/>
      <c r="P735" s="155"/>
    </row>
    <row r="736" spans="1:16" ht="68.25" customHeight="1" x14ac:dyDescent="0.25">
      <c r="A736" s="67" t="s">
        <v>43</v>
      </c>
      <c r="B736" s="333" t="s">
        <v>218</v>
      </c>
      <c r="C736" s="334"/>
      <c r="D736" s="334"/>
      <c r="E736" s="334"/>
      <c r="F736" s="334"/>
      <c r="G736" s="334"/>
      <c r="H736" s="334"/>
      <c r="I736" s="334"/>
      <c r="J736" s="334"/>
      <c r="K736" s="334"/>
      <c r="L736" s="334"/>
      <c r="M736" s="334"/>
      <c r="N736" s="334"/>
      <c r="O736" s="334"/>
      <c r="P736" s="155"/>
    </row>
    <row r="737" spans="1:16" ht="12.75" customHeight="1" x14ac:dyDescent="0.25">
      <c r="A737" s="79"/>
      <c r="B737" s="65"/>
      <c r="C737" s="66"/>
      <c r="D737" s="66"/>
      <c r="E737" s="66"/>
      <c r="F737" s="66"/>
      <c r="G737" s="66"/>
      <c r="H737" s="66"/>
      <c r="I737" s="66"/>
      <c r="J737" s="66"/>
      <c r="K737" s="66"/>
      <c r="L737" s="66"/>
      <c r="M737" s="66"/>
      <c r="N737" s="66"/>
      <c r="O737" s="66"/>
      <c r="P737" s="155"/>
    </row>
    <row r="738" spans="1:16" ht="14.25" customHeight="1" x14ac:dyDescent="0.25">
      <c r="A738" s="77" t="s">
        <v>188</v>
      </c>
      <c r="B738" s="338" t="s">
        <v>190</v>
      </c>
      <c r="C738" s="339"/>
      <c r="D738" s="339"/>
      <c r="E738" s="339"/>
      <c r="F738" s="339"/>
      <c r="G738" s="339"/>
      <c r="H738" s="339"/>
      <c r="I738" s="339"/>
      <c r="J738" s="339"/>
      <c r="K738" s="339"/>
      <c r="L738" s="339"/>
      <c r="M738" s="339"/>
      <c r="N738" s="339"/>
      <c r="O738" s="339"/>
      <c r="P738" s="155"/>
    </row>
    <row r="739" spans="1:16" ht="39" customHeight="1" x14ac:dyDescent="0.25">
      <c r="A739" s="67" t="s">
        <v>189</v>
      </c>
      <c r="B739" s="333" t="s">
        <v>191</v>
      </c>
      <c r="C739" s="334"/>
      <c r="D739" s="334"/>
      <c r="E739" s="334"/>
      <c r="F739" s="334"/>
      <c r="G739" s="334"/>
      <c r="H739" s="334"/>
      <c r="I739" s="334"/>
      <c r="J739" s="334"/>
      <c r="K739" s="334"/>
      <c r="L739" s="334"/>
      <c r="M739" s="334"/>
      <c r="N739" s="334"/>
      <c r="O739" s="334"/>
      <c r="P739" s="155"/>
    </row>
    <row r="740" spans="1:16" x14ac:dyDescent="0.25">
      <c r="A740" s="79"/>
      <c r="B740" s="65"/>
      <c r="C740" s="66"/>
      <c r="D740" s="66"/>
      <c r="E740" s="66"/>
      <c r="F740" s="66"/>
      <c r="G740" s="66"/>
      <c r="H740" s="66"/>
      <c r="I740" s="66"/>
      <c r="J740" s="66"/>
      <c r="K740" s="66"/>
      <c r="L740" s="66"/>
      <c r="M740" s="66"/>
      <c r="N740" s="66"/>
      <c r="O740" s="66"/>
      <c r="P740" s="155"/>
    </row>
    <row r="741" spans="1:16" x14ac:dyDescent="0.25">
      <c r="A741" s="77" t="s">
        <v>192</v>
      </c>
      <c r="B741" s="338" t="s">
        <v>194</v>
      </c>
      <c r="C741" s="339"/>
      <c r="D741" s="339"/>
      <c r="E741" s="339"/>
      <c r="F741" s="339"/>
      <c r="G741" s="339"/>
      <c r="H741" s="339"/>
      <c r="I741" s="339"/>
      <c r="J741" s="339"/>
      <c r="K741" s="339"/>
      <c r="L741" s="339"/>
      <c r="M741" s="339"/>
      <c r="N741" s="339"/>
      <c r="O741" s="339"/>
      <c r="P741" s="155"/>
    </row>
    <row r="742" spans="1:16" ht="26.25" customHeight="1" x14ac:dyDescent="0.25">
      <c r="A742" s="67" t="s">
        <v>193</v>
      </c>
      <c r="B742" s="333" t="s">
        <v>195</v>
      </c>
      <c r="C742" s="334"/>
      <c r="D742" s="334"/>
      <c r="E742" s="334"/>
      <c r="F742" s="334"/>
      <c r="G742" s="334"/>
      <c r="H742" s="334"/>
      <c r="I742" s="334"/>
      <c r="J742" s="334"/>
      <c r="K742" s="334"/>
      <c r="L742" s="334"/>
      <c r="M742" s="334"/>
      <c r="N742" s="334"/>
      <c r="O742" s="334"/>
      <c r="P742" s="155"/>
    </row>
    <row r="743" spans="1:16" x14ac:dyDescent="0.25">
      <c r="A743" s="79"/>
      <c r="B743" s="65"/>
      <c r="C743" s="66"/>
      <c r="D743" s="66"/>
      <c r="E743" s="66"/>
      <c r="F743" s="66"/>
      <c r="G743" s="66"/>
      <c r="H743" s="66"/>
      <c r="I743" s="66"/>
      <c r="J743" s="66"/>
      <c r="K743" s="66"/>
      <c r="L743" s="66"/>
      <c r="M743" s="66"/>
      <c r="N743" s="66"/>
      <c r="O743" s="66"/>
      <c r="P743" s="155"/>
    </row>
    <row r="744" spans="1:16" ht="25.5" customHeight="1" x14ac:dyDescent="0.25">
      <c r="A744" s="77" t="s">
        <v>196</v>
      </c>
      <c r="B744" s="338" t="s">
        <v>198</v>
      </c>
      <c r="C744" s="339"/>
      <c r="D744" s="339"/>
      <c r="E744" s="339"/>
      <c r="F744" s="339"/>
      <c r="G744" s="339"/>
      <c r="H744" s="339"/>
      <c r="I744" s="339"/>
      <c r="J744" s="339"/>
      <c r="K744" s="339"/>
      <c r="L744" s="339"/>
      <c r="M744" s="339"/>
      <c r="N744" s="339"/>
      <c r="O744" s="339"/>
      <c r="P744" s="155"/>
    </row>
    <row r="745" spans="1:16" ht="40.5" customHeight="1" x14ac:dyDescent="0.25">
      <c r="A745" s="67" t="s">
        <v>197</v>
      </c>
      <c r="B745" s="333" t="s">
        <v>402</v>
      </c>
      <c r="C745" s="334"/>
      <c r="D745" s="334"/>
      <c r="E745" s="334"/>
      <c r="F745" s="334"/>
      <c r="G745" s="334"/>
      <c r="H745" s="334"/>
      <c r="I745" s="334"/>
      <c r="J745" s="334"/>
      <c r="K745" s="334"/>
      <c r="L745" s="334"/>
      <c r="M745" s="334"/>
      <c r="N745" s="334"/>
      <c r="O745" s="334"/>
      <c r="P745" s="155"/>
    </row>
    <row r="746" spans="1:16" x14ac:dyDescent="0.25">
      <c r="A746" s="79"/>
      <c r="B746" s="65"/>
      <c r="C746" s="66"/>
      <c r="D746" s="66"/>
      <c r="E746" s="66"/>
      <c r="F746" s="66"/>
      <c r="G746" s="66"/>
      <c r="H746" s="66"/>
      <c r="I746" s="66"/>
      <c r="J746" s="66"/>
      <c r="K746" s="66"/>
      <c r="L746" s="66"/>
      <c r="M746" s="66"/>
      <c r="N746" s="66"/>
      <c r="O746" s="66"/>
      <c r="P746" s="155"/>
    </row>
    <row r="747" spans="1:16" ht="28.5" customHeight="1" x14ac:dyDescent="0.25">
      <c r="A747" s="77" t="s">
        <v>359</v>
      </c>
      <c r="B747" s="338" t="s">
        <v>361</v>
      </c>
      <c r="C747" s="339"/>
      <c r="D747" s="339"/>
      <c r="E747" s="339"/>
      <c r="F747" s="339"/>
      <c r="G747" s="339"/>
      <c r="H747" s="339"/>
      <c r="I747" s="339"/>
      <c r="J747" s="339"/>
      <c r="K747" s="339"/>
      <c r="L747" s="339"/>
      <c r="M747" s="339"/>
      <c r="N747" s="339"/>
      <c r="O747" s="339"/>
      <c r="P747" s="155"/>
    </row>
    <row r="748" spans="1:16" ht="52.5" customHeight="1" x14ac:dyDescent="0.25">
      <c r="A748" s="67" t="s">
        <v>360</v>
      </c>
      <c r="B748" s="333" t="s">
        <v>362</v>
      </c>
      <c r="C748" s="334"/>
      <c r="D748" s="334"/>
      <c r="E748" s="334"/>
      <c r="F748" s="334"/>
      <c r="G748" s="334"/>
      <c r="H748" s="334"/>
      <c r="I748" s="334"/>
      <c r="J748" s="334"/>
      <c r="K748" s="334"/>
      <c r="L748" s="334"/>
      <c r="M748" s="334"/>
      <c r="N748" s="334"/>
      <c r="O748" s="334"/>
      <c r="P748" s="155"/>
    </row>
    <row r="749" spans="1:16" ht="12.75" customHeight="1" x14ac:dyDescent="0.25">
      <c r="A749" s="79"/>
      <c r="B749" s="65"/>
      <c r="C749" s="66"/>
      <c r="D749" s="66"/>
      <c r="E749" s="66"/>
      <c r="F749" s="66"/>
      <c r="G749" s="66"/>
      <c r="H749" s="66"/>
      <c r="I749" s="66"/>
      <c r="J749" s="66"/>
      <c r="K749" s="66"/>
      <c r="L749" s="66"/>
      <c r="M749" s="66"/>
      <c r="N749" s="66"/>
      <c r="O749" s="66"/>
      <c r="P749" s="155"/>
    </row>
    <row r="750" spans="1:16" ht="27.75" customHeight="1" x14ac:dyDescent="0.25">
      <c r="A750" s="77" t="s">
        <v>392</v>
      </c>
      <c r="B750" s="338" t="s">
        <v>394</v>
      </c>
      <c r="C750" s="339"/>
      <c r="D750" s="339"/>
      <c r="E750" s="339"/>
      <c r="F750" s="339"/>
      <c r="G750" s="339"/>
      <c r="H750" s="339"/>
      <c r="I750" s="339"/>
      <c r="J750" s="339"/>
      <c r="K750" s="339"/>
      <c r="L750" s="339"/>
      <c r="M750" s="339"/>
      <c r="N750" s="339"/>
      <c r="O750" s="339"/>
      <c r="P750" s="155"/>
    </row>
    <row r="751" spans="1:16" ht="41.25" customHeight="1" x14ac:dyDescent="0.25">
      <c r="A751" s="67" t="s">
        <v>393</v>
      </c>
      <c r="B751" s="333" t="s">
        <v>395</v>
      </c>
      <c r="C751" s="334"/>
      <c r="D751" s="334"/>
      <c r="E751" s="334"/>
      <c r="F751" s="334"/>
      <c r="G751" s="334"/>
      <c r="H751" s="334"/>
      <c r="I751" s="334"/>
      <c r="J751" s="334"/>
      <c r="K751" s="334"/>
      <c r="L751" s="334"/>
      <c r="M751" s="334"/>
      <c r="N751" s="334"/>
      <c r="O751" s="334"/>
      <c r="P751" s="155"/>
    </row>
    <row r="752" spans="1:16" x14ac:dyDescent="0.25">
      <c r="A752" s="79"/>
      <c r="B752" s="65"/>
      <c r="C752" s="66"/>
      <c r="D752" s="66"/>
      <c r="E752" s="66"/>
      <c r="F752" s="66"/>
      <c r="G752" s="66"/>
      <c r="H752" s="66"/>
      <c r="I752" s="66"/>
      <c r="J752" s="66"/>
      <c r="K752" s="66"/>
      <c r="L752" s="66"/>
      <c r="M752" s="66"/>
      <c r="N752" s="66"/>
      <c r="O752" s="66"/>
      <c r="P752" s="155"/>
    </row>
    <row r="753" spans="1:16" x14ac:dyDescent="0.25">
      <c r="A753" s="58" t="s">
        <v>254</v>
      </c>
      <c r="P753" s="155"/>
    </row>
    <row r="754" spans="1:16" x14ac:dyDescent="0.25">
      <c r="P754" s="155"/>
    </row>
    <row r="755" spans="1:16" x14ac:dyDescent="0.25">
      <c r="A755" s="337" t="s">
        <v>255</v>
      </c>
      <c r="B755" s="337"/>
      <c r="C755" s="337" t="s">
        <v>256</v>
      </c>
      <c r="D755" s="337"/>
      <c r="E755" s="347" t="s">
        <v>257</v>
      </c>
      <c r="F755" s="348"/>
      <c r="G755" s="348"/>
      <c r="H755" s="348"/>
      <c r="I755" s="348"/>
      <c r="J755" s="348"/>
      <c r="K755" s="348"/>
      <c r="L755" s="348"/>
      <c r="M755" s="348"/>
      <c r="N755" s="348"/>
      <c r="O755" s="348"/>
      <c r="P755"/>
    </row>
    <row r="756" spans="1:16" x14ac:dyDescent="0.25">
      <c r="A756" s="327">
        <v>40829</v>
      </c>
      <c r="B756" s="328"/>
      <c r="C756" s="330">
        <v>1.01</v>
      </c>
      <c r="D756" s="330"/>
      <c r="E756" s="331" t="s">
        <v>741</v>
      </c>
      <c r="F756" s="332"/>
      <c r="G756" s="332"/>
      <c r="H756" s="332"/>
      <c r="I756" s="332"/>
      <c r="J756" s="332"/>
      <c r="K756" s="332"/>
      <c r="L756" s="332"/>
      <c r="M756" s="332"/>
      <c r="N756" s="332"/>
      <c r="O756" s="332"/>
    </row>
    <row r="757" spans="1:16" ht="27.75" customHeight="1" x14ac:dyDescent="0.25">
      <c r="A757" s="327">
        <v>40833</v>
      </c>
      <c r="B757" s="328"/>
      <c r="C757" s="330">
        <v>1.02</v>
      </c>
      <c r="D757" s="330"/>
      <c r="E757" s="331" t="s">
        <v>742</v>
      </c>
      <c r="F757" s="332"/>
      <c r="G757" s="332"/>
      <c r="H757" s="332"/>
      <c r="I757" s="332"/>
      <c r="J757" s="332"/>
      <c r="K757" s="332"/>
      <c r="L757" s="332"/>
      <c r="M757" s="332"/>
      <c r="N757" s="332"/>
      <c r="O757" s="332"/>
    </row>
    <row r="758" spans="1:16" ht="28.5" customHeight="1" x14ac:dyDescent="0.25">
      <c r="A758" s="327">
        <v>40839</v>
      </c>
      <c r="B758" s="328"/>
      <c r="C758" s="330">
        <v>1.03</v>
      </c>
      <c r="D758" s="330"/>
      <c r="E758" s="331" t="s">
        <v>743</v>
      </c>
      <c r="F758" s="332"/>
      <c r="G758" s="332"/>
      <c r="H758" s="332"/>
      <c r="I758" s="332"/>
      <c r="J758" s="332"/>
      <c r="K758" s="332"/>
      <c r="L758" s="332"/>
      <c r="M758" s="332"/>
      <c r="N758" s="332"/>
      <c r="O758" s="332"/>
    </row>
    <row r="759" spans="1:16" ht="27" customHeight="1" x14ac:dyDescent="0.25">
      <c r="A759" s="327">
        <v>40845</v>
      </c>
      <c r="B759" s="328"/>
      <c r="C759" s="330">
        <v>1.04</v>
      </c>
      <c r="D759" s="330"/>
      <c r="E759" s="332" t="s">
        <v>744</v>
      </c>
      <c r="F759" s="332"/>
      <c r="G759" s="332"/>
      <c r="H759" s="332"/>
      <c r="I759" s="332"/>
      <c r="J759" s="332"/>
      <c r="K759" s="332"/>
      <c r="L759" s="332"/>
      <c r="M759" s="332"/>
      <c r="N759" s="332"/>
      <c r="O759" s="332"/>
    </row>
    <row r="760" spans="1:16" ht="41.25" customHeight="1" x14ac:dyDescent="0.25">
      <c r="A760" s="327">
        <v>40852</v>
      </c>
      <c r="B760" s="328"/>
      <c r="C760" s="330">
        <v>1.05</v>
      </c>
      <c r="D760" s="330"/>
      <c r="E760" s="331" t="s">
        <v>745</v>
      </c>
      <c r="F760" s="332"/>
      <c r="G760" s="332"/>
      <c r="H760" s="332"/>
      <c r="I760" s="332"/>
      <c r="J760" s="332"/>
      <c r="K760" s="332"/>
      <c r="L760" s="332"/>
      <c r="M760" s="332"/>
      <c r="N760" s="332"/>
      <c r="O760" s="332"/>
    </row>
    <row r="761" spans="1:16" ht="28.5" customHeight="1" x14ac:dyDescent="0.25">
      <c r="A761" s="327">
        <v>40861</v>
      </c>
      <c r="B761" s="328"/>
      <c r="C761" s="330">
        <v>1.06</v>
      </c>
      <c r="D761" s="330"/>
      <c r="E761" s="331" t="s">
        <v>900</v>
      </c>
      <c r="F761" s="332"/>
      <c r="G761" s="332"/>
      <c r="H761" s="332"/>
      <c r="I761" s="332"/>
      <c r="J761" s="332"/>
      <c r="K761" s="332"/>
      <c r="L761" s="332"/>
      <c r="M761" s="332"/>
      <c r="N761" s="332"/>
      <c r="O761" s="332"/>
    </row>
    <row r="762" spans="1:16" ht="79.5" customHeight="1" x14ac:dyDescent="0.25">
      <c r="A762" s="327">
        <v>40869</v>
      </c>
      <c r="B762" s="328"/>
      <c r="C762" s="330">
        <v>1.07</v>
      </c>
      <c r="D762" s="330"/>
      <c r="E762" s="331" t="s">
        <v>846</v>
      </c>
      <c r="F762" s="332"/>
      <c r="G762" s="332"/>
      <c r="H762" s="332"/>
      <c r="I762" s="332"/>
      <c r="J762" s="332"/>
      <c r="K762" s="332"/>
      <c r="L762" s="332"/>
      <c r="M762" s="332"/>
      <c r="N762" s="332"/>
      <c r="O762" s="332"/>
    </row>
    <row r="763" spans="1:16" ht="42" customHeight="1" x14ac:dyDescent="0.25">
      <c r="A763" s="327">
        <v>40893</v>
      </c>
      <c r="B763" s="328"/>
      <c r="C763" s="330">
        <v>1.08</v>
      </c>
      <c r="D763" s="330"/>
      <c r="E763" s="331" t="s">
        <v>848</v>
      </c>
      <c r="F763" s="332"/>
      <c r="G763" s="332"/>
      <c r="H763" s="332"/>
      <c r="I763" s="332"/>
      <c r="J763" s="332"/>
      <c r="K763" s="332"/>
      <c r="L763" s="332"/>
      <c r="M763" s="332"/>
      <c r="N763" s="332"/>
      <c r="O763" s="332"/>
    </row>
    <row r="764" spans="1:16" ht="45" customHeight="1" x14ac:dyDescent="0.25">
      <c r="A764" s="327">
        <v>40909</v>
      </c>
      <c r="B764" s="328"/>
      <c r="C764" s="330">
        <v>1.0900000000000001</v>
      </c>
      <c r="D764" s="330"/>
      <c r="E764" s="331" t="s">
        <v>849</v>
      </c>
      <c r="F764" s="332"/>
      <c r="G764" s="332"/>
      <c r="H764" s="332"/>
      <c r="I764" s="332"/>
      <c r="J764" s="332"/>
      <c r="K764" s="332"/>
      <c r="L764" s="332"/>
      <c r="M764" s="332"/>
      <c r="N764" s="332"/>
      <c r="O764" s="332"/>
    </row>
    <row r="765" spans="1:16" ht="28.5" customHeight="1" x14ac:dyDescent="0.25">
      <c r="A765" s="327">
        <v>40927</v>
      </c>
      <c r="B765" s="328"/>
      <c r="C765" s="330">
        <v>1.1000000000000001</v>
      </c>
      <c r="D765" s="330"/>
      <c r="E765" s="331" t="s">
        <v>851</v>
      </c>
      <c r="F765" s="332"/>
      <c r="G765" s="332"/>
      <c r="H765" s="332"/>
      <c r="I765" s="332"/>
      <c r="J765" s="332"/>
      <c r="K765" s="332"/>
      <c r="L765" s="332"/>
      <c r="M765" s="332"/>
      <c r="N765" s="332"/>
      <c r="O765" s="332"/>
    </row>
    <row r="766" spans="1:16" ht="28.5" customHeight="1" x14ac:dyDescent="0.25">
      <c r="A766" s="327">
        <v>40933</v>
      </c>
      <c r="B766" s="328"/>
      <c r="C766" s="330">
        <v>1.1100000000000001</v>
      </c>
      <c r="D766" s="330"/>
      <c r="E766" s="331" t="s">
        <v>852</v>
      </c>
      <c r="F766" s="332"/>
      <c r="G766" s="332"/>
      <c r="H766" s="332"/>
      <c r="I766" s="332"/>
      <c r="J766" s="332"/>
      <c r="K766" s="332"/>
      <c r="L766" s="332"/>
      <c r="M766" s="332"/>
      <c r="N766" s="332"/>
      <c r="O766" s="332"/>
    </row>
    <row r="767" spans="1:16" ht="53.25" customHeight="1" x14ac:dyDescent="0.25">
      <c r="A767" s="327">
        <v>40955</v>
      </c>
      <c r="B767" s="328"/>
      <c r="C767" s="330">
        <v>1.1200000000000001</v>
      </c>
      <c r="D767" s="330"/>
      <c r="E767" s="331" t="s">
        <v>853</v>
      </c>
      <c r="F767" s="332"/>
      <c r="G767" s="332"/>
      <c r="H767" s="332"/>
      <c r="I767" s="332"/>
      <c r="J767" s="332"/>
      <c r="K767" s="332"/>
      <c r="L767" s="332"/>
      <c r="M767" s="332"/>
      <c r="N767" s="332"/>
      <c r="O767" s="332"/>
    </row>
    <row r="768" spans="1:16" ht="28.5" customHeight="1" x14ac:dyDescent="0.25">
      <c r="A768" s="327">
        <v>40957</v>
      </c>
      <c r="B768" s="328"/>
      <c r="C768" s="330">
        <v>1.1299999999999999</v>
      </c>
      <c r="D768" s="330"/>
      <c r="E768" s="331" t="s">
        <v>854</v>
      </c>
      <c r="F768" s="332"/>
      <c r="G768" s="332"/>
      <c r="H768" s="332"/>
      <c r="I768" s="332"/>
      <c r="J768" s="332"/>
      <c r="K768" s="332"/>
      <c r="L768" s="332"/>
      <c r="M768" s="332"/>
      <c r="N768" s="332"/>
      <c r="O768" s="332"/>
    </row>
    <row r="769" spans="1:15" x14ac:dyDescent="0.25">
      <c r="A769" s="327">
        <v>40959</v>
      </c>
      <c r="B769" s="328"/>
      <c r="C769" s="330">
        <v>1.1399999999999999</v>
      </c>
      <c r="D769" s="330"/>
      <c r="E769" s="331" t="s">
        <v>855</v>
      </c>
      <c r="F769" s="332"/>
      <c r="G769" s="332"/>
      <c r="H769" s="332"/>
      <c r="I769" s="332"/>
      <c r="J769" s="332"/>
      <c r="K769" s="332"/>
      <c r="L769" s="332"/>
      <c r="M769" s="332"/>
      <c r="N769" s="332"/>
      <c r="O769" s="332"/>
    </row>
    <row r="770" spans="1:15" ht="26.25" customHeight="1" x14ac:dyDescent="0.25">
      <c r="A770" s="327">
        <v>40965</v>
      </c>
      <c r="B770" s="328"/>
      <c r="C770" s="330">
        <v>1.1499999999999999</v>
      </c>
      <c r="D770" s="330"/>
      <c r="E770" s="331" t="s">
        <v>856</v>
      </c>
      <c r="F770" s="332"/>
      <c r="G770" s="332"/>
      <c r="H770" s="332"/>
      <c r="I770" s="332"/>
      <c r="J770" s="332"/>
      <c r="K770" s="332"/>
      <c r="L770" s="332"/>
      <c r="M770" s="332"/>
      <c r="N770" s="332"/>
      <c r="O770" s="332"/>
    </row>
    <row r="771" spans="1:15" ht="39.75" customHeight="1" x14ac:dyDescent="0.25">
      <c r="A771" s="327">
        <v>40970</v>
      </c>
      <c r="B771" s="328"/>
      <c r="C771" s="330">
        <v>1.1599999999999999</v>
      </c>
      <c r="D771" s="330"/>
      <c r="E771" s="331" t="s">
        <v>857</v>
      </c>
      <c r="F771" s="332"/>
      <c r="G771" s="332"/>
      <c r="H771" s="332"/>
      <c r="I771" s="332"/>
      <c r="J771" s="332"/>
      <c r="K771" s="332"/>
      <c r="L771" s="332"/>
      <c r="M771" s="332"/>
      <c r="N771" s="332"/>
      <c r="O771" s="332"/>
    </row>
    <row r="772" spans="1:15" ht="81" customHeight="1" x14ac:dyDescent="0.25">
      <c r="A772" s="327">
        <v>41194</v>
      </c>
      <c r="B772" s="328"/>
      <c r="C772" s="329" t="s">
        <v>860</v>
      </c>
      <c r="D772" s="330"/>
      <c r="E772" s="331" t="s">
        <v>861</v>
      </c>
      <c r="F772" s="332"/>
      <c r="G772" s="332"/>
      <c r="H772" s="332"/>
      <c r="I772" s="332"/>
      <c r="J772" s="332"/>
      <c r="K772" s="332"/>
      <c r="L772" s="332"/>
      <c r="M772" s="332"/>
      <c r="N772" s="332"/>
      <c r="O772" s="332"/>
    </row>
    <row r="773" spans="1:15" x14ac:dyDescent="0.25">
      <c r="A773" s="327">
        <v>41199</v>
      </c>
      <c r="B773" s="328"/>
      <c r="C773" s="329" t="s">
        <v>862</v>
      </c>
      <c r="D773" s="330"/>
      <c r="E773" s="331" t="s">
        <v>863</v>
      </c>
      <c r="F773" s="332"/>
      <c r="G773" s="332"/>
      <c r="H773" s="332"/>
      <c r="I773" s="332"/>
      <c r="J773" s="332"/>
      <c r="K773" s="332"/>
      <c r="L773" s="332"/>
      <c r="M773" s="332"/>
      <c r="N773" s="332"/>
      <c r="O773" s="332"/>
    </row>
    <row r="774" spans="1:15" ht="29.25" customHeight="1" x14ac:dyDescent="0.25">
      <c r="A774" s="327">
        <v>41276</v>
      </c>
      <c r="B774" s="328"/>
      <c r="C774" s="329" t="s">
        <v>864</v>
      </c>
      <c r="D774" s="330"/>
      <c r="E774" s="331" t="s">
        <v>865</v>
      </c>
      <c r="F774" s="332"/>
      <c r="G774" s="332"/>
      <c r="H774" s="332"/>
      <c r="I774" s="332"/>
      <c r="J774" s="332"/>
      <c r="K774" s="332"/>
      <c r="L774" s="332"/>
      <c r="M774" s="332"/>
      <c r="N774" s="332"/>
      <c r="O774" s="332"/>
    </row>
    <row r="775" spans="1:15" ht="28.5" customHeight="1" x14ac:dyDescent="0.25">
      <c r="A775" s="327">
        <v>41295</v>
      </c>
      <c r="B775" s="328"/>
      <c r="C775" s="329" t="s">
        <v>866</v>
      </c>
      <c r="D775" s="330"/>
      <c r="E775" s="331" t="s">
        <v>867</v>
      </c>
      <c r="F775" s="332"/>
      <c r="G775" s="332"/>
      <c r="H775" s="332"/>
      <c r="I775" s="332"/>
      <c r="J775" s="332"/>
      <c r="K775" s="332"/>
      <c r="L775" s="332"/>
      <c r="M775" s="332"/>
      <c r="N775" s="332"/>
      <c r="O775" s="332"/>
    </row>
    <row r="776" spans="1:15" x14ac:dyDescent="0.25">
      <c r="A776" s="327">
        <v>41300</v>
      </c>
      <c r="B776" s="328"/>
      <c r="C776" s="329" t="s">
        <v>874</v>
      </c>
      <c r="D776" s="330"/>
      <c r="E776" s="331" t="s">
        <v>875</v>
      </c>
      <c r="F776" s="332"/>
      <c r="G776" s="332"/>
      <c r="H776" s="332"/>
      <c r="I776" s="332"/>
      <c r="J776" s="332"/>
      <c r="K776" s="332"/>
      <c r="L776" s="332"/>
      <c r="M776" s="332"/>
      <c r="N776" s="332"/>
      <c r="O776" s="332"/>
    </row>
    <row r="777" spans="1:15" x14ac:dyDescent="0.25">
      <c r="A777" s="327">
        <v>41309</v>
      </c>
      <c r="B777" s="328"/>
      <c r="C777" s="329" t="s">
        <v>876</v>
      </c>
      <c r="D777" s="330"/>
      <c r="E777" s="331" t="s">
        <v>877</v>
      </c>
      <c r="F777" s="332"/>
      <c r="G777" s="332"/>
      <c r="H777" s="332"/>
      <c r="I777" s="332"/>
      <c r="J777" s="332"/>
      <c r="K777" s="332"/>
      <c r="L777" s="332"/>
      <c r="M777" s="332"/>
      <c r="N777" s="332"/>
      <c r="O777" s="332"/>
    </row>
    <row r="778" spans="1:15" x14ac:dyDescent="0.25">
      <c r="A778" s="327">
        <v>41323</v>
      </c>
      <c r="B778" s="328"/>
      <c r="C778" s="329" t="s">
        <v>878</v>
      </c>
      <c r="D778" s="330"/>
      <c r="E778" s="331" t="s">
        <v>879</v>
      </c>
      <c r="F778" s="332"/>
      <c r="G778" s="332"/>
      <c r="H778" s="332"/>
      <c r="I778" s="332"/>
      <c r="J778" s="332"/>
      <c r="K778" s="332"/>
      <c r="L778" s="332"/>
      <c r="M778" s="332"/>
      <c r="N778" s="332"/>
      <c r="O778" s="332"/>
    </row>
    <row r="779" spans="1:15" x14ac:dyDescent="0.25">
      <c r="A779" s="327">
        <v>41493</v>
      </c>
      <c r="B779" s="328"/>
      <c r="C779" s="329" t="s">
        <v>880</v>
      </c>
      <c r="D779" s="330"/>
      <c r="E779" s="331" t="s">
        <v>881</v>
      </c>
      <c r="F779" s="332"/>
      <c r="G779" s="332"/>
      <c r="H779" s="332"/>
      <c r="I779" s="332"/>
      <c r="J779" s="332"/>
      <c r="K779" s="332"/>
      <c r="L779" s="332"/>
      <c r="M779" s="332"/>
      <c r="N779" s="332"/>
      <c r="O779" s="332"/>
    </row>
    <row r="780" spans="1:15" x14ac:dyDescent="0.25">
      <c r="A780" s="327">
        <v>41647</v>
      </c>
      <c r="B780" s="328"/>
      <c r="C780" s="329" t="s">
        <v>882</v>
      </c>
      <c r="D780" s="330"/>
      <c r="E780" s="331" t="s">
        <v>883</v>
      </c>
      <c r="F780" s="332"/>
      <c r="G780" s="332"/>
      <c r="H780" s="332"/>
      <c r="I780" s="332"/>
      <c r="J780" s="332"/>
      <c r="K780" s="332"/>
      <c r="L780" s="332"/>
      <c r="M780" s="332"/>
      <c r="N780" s="332"/>
      <c r="O780" s="332"/>
    </row>
    <row r="781" spans="1:15" ht="28.5" customHeight="1" x14ac:dyDescent="0.25">
      <c r="A781" s="327">
        <v>41686</v>
      </c>
      <c r="B781" s="328"/>
      <c r="C781" s="329" t="s">
        <v>884</v>
      </c>
      <c r="D781" s="330"/>
      <c r="E781" s="331" t="s">
        <v>885</v>
      </c>
      <c r="F781" s="332"/>
      <c r="G781" s="332"/>
      <c r="H781" s="332"/>
      <c r="I781" s="332"/>
      <c r="J781" s="332"/>
      <c r="K781" s="332"/>
      <c r="L781" s="332"/>
      <c r="M781" s="332"/>
      <c r="N781" s="332"/>
      <c r="O781" s="332"/>
    </row>
    <row r="782" spans="1:15" x14ac:dyDescent="0.25">
      <c r="A782" s="327">
        <v>41703</v>
      </c>
      <c r="B782" s="328"/>
      <c r="C782" s="329" t="s">
        <v>886</v>
      </c>
      <c r="D782" s="330"/>
      <c r="E782" s="331" t="s">
        <v>887</v>
      </c>
      <c r="F782" s="332"/>
      <c r="G782" s="332"/>
      <c r="H782" s="332"/>
      <c r="I782" s="332"/>
      <c r="J782" s="332"/>
      <c r="K782" s="332"/>
      <c r="L782" s="332"/>
      <c r="M782" s="332"/>
      <c r="N782" s="332"/>
      <c r="O782" s="332"/>
    </row>
    <row r="783" spans="1:15" ht="39" customHeight="1" x14ac:dyDescent="0.25">
      <c r="A783" s="327">
        <v>41749</v>
      </c>
      <c r="B783" s="328"/>
      <c r="C783" s="329" t="s">
        <v>888</v>
      </c>
      <c r="D783" s="330"/>
      <c r="E783" s="331" t="s">
        <v>903</v>
      </c>
      <c r="F783" s="332"/>
      <c r="G783" s="332"/>
      <c r="H783" s="332"/>
      <c r="I783" s="332"/>
      <c r="J783" s="332"/>
      <c r="K783" s="332"/>
      <c r="L783" s="332"/>
      <c r="M783" s="332"/>
      <c r="N783" s="332"/>
      <c r="O783" s="332"/>
    </row>
    <row r="784" spans="1:15" x14ac:dyDescent="0.25">
      <c r="A784" s="327">
        <v>41890</v>
      </c>
      <c r="B784" s="328"/>
      <c r="C784" s="329" t="s">
        <v>906</v>
      </c>
      <c r="D784" s="330"/>
      <c r="E784" s="331" t="s">
        <v>907</v>
      </c>
      <c r="F784" s="332"/>
      <c r="G784" s="332"/>
      <c r="H784" s="332"/>
      <c r="I784" s="332"/>
      <c r="J784" s="332"/>
      <c r="K784" s="332"/>
      <c r="L784" s="332"/>
      <c r="M784" s="332"/>
      <c r="N784" s="332"/>
      <c r="O784" s="332"/>
    </row>
    <row r="785" spans="1:15" ht="30" customHeight="1" x14ac:dyDescent="0.25">
      <c r="A785" s="327">
        <v>42016</v>
      </c>
      <c r="B785" s="328"/>
      <c r="C785" s="329" t="s">
        <v>908</v>
      </c>
      <c r="D785" s="330"/>
      <c r="E785" s="331" t="s">
        <v>912</v>
      </c>
      <c r="F785" s="332"/>
      <c r="G785" s="332"/>
      <c r="H785" s="332"/>
      <c r="I785" s="332"/>
      <c r="J785" s="332"/>
      <c r="K785" s="332"/>
      <c r="L785" s="332"/>
      <c r="M785" s="332"/>
      <c r="N785" s="332"/>
      <c r="O785" s="332"/>
    </row>
    <row r="786" spans="1:15" x14ac:dyDescent="0.25">
      <c r="A786" s="327">
        <v>42053</v>
      </c>
      <c r="B786" s="328"/>
      <c r="C786" s="329" t="s">
        <v>913</v>
      </c>
      <c r="D786" s="330"/>
      <c r="E786" s="331" t="s">
        <v>914</v>
      </c>
      <c r="F786" s="332"/>
      <c r="G786" s="332"/>
      <c r="H786" s="332"/>
      <c r="I786" s="332"/>
      <c r="J786" s="332"/>
      <c r="K786" s="332"/>
      <c r="L786" s="332"/>
      <c r="M786" s="332"/>
      <c r="N786" s="332"/>
      <c r="O786" s="332"/>
    </row>
    <row r="787" spans="1:15" ht="27.75" customHeight="1" x14ac:dyDescent="0.25">
      <c r="A787" s="327">
        <v>42072</v>
      </c>
      <c r="B787" s="328"/>
      <c r="C787" s="329" t="s">
        <v>915</v>
      </c>
      <c r="D787" s="330"/>
      <c r="E787" s="331" t="s">
        <v>916</v>
      </c>
      <c r="F787" s="332"/>
      <c r="G787" s="332"/>
      <c r="H787" s="332"/>
      <c r="I787" s="332"/>
      <c r="J787" s="332"/>
      <c r="K787" s="332"/>
      <c r="L787" s="332"/>
      <c r="M787" s="332"/>
      <c r="N787" s="332"/>
      <c r="O787" s="332"/>
    </row>
    <row r="788" spans="1:15" x14ac:dyDescent="0.25">
      <c r="A788" s="327">
        <v>42225</v>
      </c>
      <c r="B788" s="328"/>
      <c r="C788" s="329" t="s">
        <v>920</v>
      </c>
      <c r="D788" s="330"/>
      <c r="E788" s="331" t="s">
        <v>921</v>
      </c>
      <c r="F788" s="332"/>
      <c r="G788" s="332"/>
      <c r="H788" s="332"/>
      <c r="I788" s="332"/>
      <c r="J788" s="332"/>
      <c r="K788" s="332"/>
      <c r="L788" s="332"/>
      <c r="M788" s="332"/>
      <c r="N788" s="332"/>
      <c r="O788" s="332"/>
    </row>
    <row r="789" spans="1:15" x14ac:dyDescent="0.25">
      <c r="A789" s="327">
        <v>42280</v>
      </c>
      <c r="B789" s="328"/>
      <c r="C789" s="329" t="s">
        <v>922</v>
      </c>
      <c r="D789" s="330"/>
      <c r="E789" s="331" t="s">
        <v>923</v>
      </c>
      <c r="F789" s="332"/>
      <c r="G789" s="332"/>
      <c r="H789" s="332"/>
      <c r="I789" s="332"/>
      <c r="J789" s="332"/>
      <c r="K789" s="332"/>
      <c r="L789" s="332"/>
      <c r="M789" s="332"/>
      <c r="N789" s="332"/>
      <c r="O789" s="332"/>
    </row>
    <row r="790" spans="1:15" x14ac:dyDescent="0.25">
      <c r="A790" s="327">
        <v>42373</v>
      </c>
      <c r="B790" s="328"/>
      <c r="C790" s="329" t="s">
        <v>925</v>
      </c>
      <c r="D790" s="330"/>
      <c r="E790" s="331" t="s">
        <v>924</v>
      </c>
      <c r="F790" s="332"/>
      <c r="G790" s="332"/>
      <c r="H790" s="332"/>
      <c r="I790" s="332"/>
      <c r="J790" s="332"/>
      <c r="K790" s="332"/>
      <c r="L790" s="332"/>
      <c r="M790" s="332"/>
      <c r="N790" s="332"/>
      <c r="O790" s="332"/>
    </row>
    <row r="791" spans="1:15" x14ac:dyDescent="0.25">
      <c r="A791" s="327">
        <v>42415</v>
      </c>
      <c r="B791" s="328"/>
      <c r="C791" s="329" t="s">
        <v>926</v>
      </c>
      <c r="D791" s="330"/>
      <c r="E791" s="331" t="s">
        <v>927</v>
      </c>
      <c r="F791" s="332"/>
      <c r="G791" s="332"/>
      <c r="H791" s="332"/>
      <c r="I791" s="332"/>
      <c r="J791" s="332"/>
      <c r="K791" s="332"/>
      <c r="L791" s="332"/>
      <c r="M791" s="332"/>
      <c r="N791" s="332"/>
      <c r="O791" s="332"/>
    </row>
    <row r="792" spans="1:15" x14ac:dyDescent="0.25">
      <c r="A792" s="327">
        <v>42595</v>
      </c>
      <c r="B792" s="328"/>
      <c r="C792" s="329" t="s">
        <v>929</v>
      </c>
      <c r="D792" s="330"/>
      <c r="E792" s="331" t="s">
        <v>928</v>
      </c>
      <c r="F792" s="332"/>
      <c r="G792" s="332"/>
      <c r="H792" s="332"/>
      <c r="I792" s="332"/>
      <c r="J792" s="332"/>
      <c r="K792" s="332"/>
      <c r="L792" s="332"/>
      <c r="M792" s="332"/>
      <c r="N792" s="332"/>
      <c r="O792" s="332"/>
    </row>
    <row r="793" spans="1:15" x14ac:dyDescent="0.25">
      <c r="A793" s="327">
        <v>42674</v>
      </c>
      <c r="B793" s="328"/>
      <c r="C793" s="329" t="s">
        <v>930</v>
      </c>
      <c r="D793" s="330"/>
      <c r="E793" s="331" t="s">
        <v>923</v>
      </c>
      <c r="F793" s="332"/>
      <c r="G793" s="332"/>
      <c r="H793" s="332"/>
      <c r="I793" s="332"/>
      <c r="J793" s="332"/>
      <c r="K793" s="332"/>
      <c r="L793" s="332"/>
      <c r="M793" s="332"/>
      <c r="N793" s="332"/>
      <c r="O793" s="332"/>
    </row>
    <row r="794" spans="1:15" ht="27.75" customHeight="1" x14ac:dyDescent="0.25">
      <c r="A794" s="327">
        <v>42742</v>
      </c>
      <c r="B794" s="328"/>
      <c r="C794" s="329" t="s">
        <v>931</v>
      </c>
      <c r="D794" s="330"/>
      <c r="E794" s="331" t="s">
        <v>932</v>
      </c>
      <c r="F794" s="332"/>
      <c r="G794" s="332"/>
      <c r="H794" s="332"/>
      <c r="I794" s="332"/>
      <c r="J794" s="332"/>
      <c r="K794" s="332"/>
      <c r="L794" s="332"/>
      <c r="M794" s="332"/>
      <c r="N794" s="332"/>
      <c r="O794" s="332"/>
    </row>
    <row r="795" spans="1:15" x14ac:dyDescent="0.25">
      <c r="A795" s="327">
        <v>42789</v>
      </c>
      <c r="B795" s="328"/>
      <c r="C795" s="329" t="s">
        <v>933</v>
      </c>
      <c r="D795" s="330"/>
      <c r="E795" s="331" t="s">
        <v>934</v>
      </c>
      <c r="F795" s="332"/>
      <c r="G795" s="332"/>
      <c r="H795" s="332"/>
      <c r="I795" s="332"/>
      <c r="J795" s="332"/>
      <c r="K795" s="332"/>
      <c r="L795" s="332"/>
      <c r="M795" s="332"/>
      <c r="N795" s="332"/>
      <c r="O795" s="332"/>
    </row>
    <row r="796" spans="1:15" x14ac:dyDescent="0.25">
      <c r="A796" s="327">
        <v>43012</v>
      </c>
      <c r="B796" s="328"/>
      <c r="C796" s="329" t="s">
        <v>935</v>
      </c>
      <c r="D796" s="330"/>
      <c r="E796" s="331" t="s">
        <v>936</v>
      </c>
      <c r="F796" s="332"/>
      <c r="G796" s="332"/>
      <c r="H796" s="332"/>
      <c r="I796" s="332"/>
      <c r="J796" s="332"/>
      <c r="K796" s="332"/>
      <c r="L796" s="332"/>
      <c r="M796" s="332"/>
      <c r="N796" s="332"/>
      <c r="O796" s="332"/>
    </row>
    <row r="797" spans="1:15" x14ac:dyDescent="0.25">
      <c r="A797" s="327">
        <v>43048</v>
      </c>
      <c r="B797" s="328"/>
      <c r="C797" s="329" t="s">
        <v>937</v>
      </c>
      <c r="D797" s="330"/>
      <c r="E797" s="331" t="s">
        <v>938</v>
      </c>
      <c r="F797" s="332"/>
      <c r="G797" s="332"/>
      <c r="H797" s="332"/>
      <c r="I797" s="332"/>
      <c r="J797" s="332"/>
      <c r="K797" s="332"/>
      <c r="L797" s="332"/>
      <c r="M797" s="332"/>
      <c r="N797" s="332"/>
      <c r="O797" s="332"/>
    </row>
    <row r="798" spans="1:15" x14ac:dyDescent="0.25">
      <c r="A798" s="327">
        <v>43117</v>
      </c>
      <c r="B798" s="328"/>
      <c r="C798" s="329" t="s">
        <v>939</v>
      </c>
      <c r="D798" s="330"/>
      <c r="E798" s="331" t="s">
        <v>940</v>
      </c>
      <c r="F798" s="332"/>
      <c r="G798" s="332"/>
      <c r="H798" s="332"/>
      <c r="I798" s="332"/>
      <c r="J798" s="332"/>
      <c r="K798" s="332"/>
      <c r="L798" s="332"/>
      <c r="M798" s="332"/>
      <c r="N798" s="332"/>
      <c r="O798" s="332"/>
    </row>
    <row r="799" spans="1:15" x14ac:dyDescent="0.25">
      <c r="A799" s="327">
        <v>43152</v>
      </c>
      <c r="B799" s="328"/>
      <c r="C799" s="329" t="s">
        <v>941</v>
      </c>
      <c r="D799" s="330"/>
      <c r="E799" s="331" t="s">
        <v>942</v>
      </c>
      <c r="F799" s="332"/>
      <c r="G799" s="332"/>
      <c r="H799" s="332"/>
      <c r="I799" s="332"/>
      <c r="J799" s="332"/>
      <c r="K799" s="332"/>
      <c r="L799" s="332"/>
      <c r="M799" s="332"/>
      <c r="N799" s="332"/>
      <c r="O799" s="332"/>
    </row>
    <row r="800" spans="1:15" x14ac:dyDescent="0.25">
      <c r="A800" s="327">
        <v>43386</v>
      </c>
      <c r="B800" s="328"/>
      <c r="C800" s="329" t="s">
        <v>943</v>
      </c>
      <c r="D800" s="330"/>
      <c r="E800" s="331" t="s">
        <v>944</v>
      </c>
      <c r="F800" s="332"/>
      <c r="G800" s="332"/>
      <c r="H800" s="332"/>
      <c r="I800" s="332"/>
      <c r="J800" s="332"/>
      <c r="K800" s="332"/>
      <c r="L800" s="332"/>
      <c r="M800" s="332"/>
      <c r="N800" s="332"/>
      <c r="O800" s="332"/>
    </row>
    <row r="801" spans="1:15" x14ac:dyDescent="0.25">
      <c r="A801" s="327">
        <v>43478</v>
      </c>
      <c r="B801" s="328"/>
      <c r="C801" s="329" t="s">
        <v>945</v>
      </c>
      <c r="D801" s="330"/>
      <c r="E801" s="331" t="s">
        <v>946</v>
      </c>
      <c r="F801" s="332"/>
      <c r="G801" s="332"/>
      <c r="H801" s="332"/>
      <c r="I801" s="332"/>
      <c r="J801" s="332"/>
      <c r="K801" s="332"/>
      <c r="L801" s="332"/>
      <c r="M801" s="332"/>
      <c r="N801" s="332"/>
      <c r="O801" s="332"/>
    </row>
    <row r="802" spans="1:15" x14ac:dyDescent="0.25">
      <c r="A802" s="327">
        <v>43714</v>
      </c>
      <c r="B802" s="328"/>
      <c r="C802" s="329" t="s">
        <v>947</v>
      </c>
      <c r="D802" s="330"/>
      <c r="E802" s="331" t="s">
        <v>950</v>
      </c>
      <c r="F802" s="332"/>
      <c r="G802" s="332"/>
      <c r="H802" s="332"/>
      <c r="I802" s="332"/>
      <c r="J802" s="332"/>
      <c r="K802" s="332"/>
      <c r="L802" s="332"/>
      <c r="M802" s="332"/>
      <c r="N802" s="332"/>
      <c r="O802" s="332"/>
    </row>
    <row r="803" spans="1:15" x14ac:dyDescent="0.25">
      <c r="A803" s="327">
        <v>43813</v>
      </c>
      <c r="B803" s="328"/>
      <c r="C803" s="329" t="s">
        <v>948</v>
      </c>
      <c r="D803" s="330"/>
      <c r="E803" s="331" t="s">
        <v>949</v>
      </c>
      <c r="F803" s="332"/>
      <c r="G803" s="332"/>
      <c r="H803" s="332"/>
      <c r="I803" s="332"/>
      <c r="J803" s="332"/>
      <c r="K803" s="332"/>
      <c r="L803" s="332"/>
      <c r="M803" s="332"/>
      <c r="N803" s="332"/>
      <c r="O803" s="332"/>
    </row>
    <row r="804" spans="1:15" x14ac:dyDescent="0.25">
      <c r="A804" s="327">
        <v>44455</v>
      </c>
      <c r="B804" s="328"/>
      <c r="C804" s="329" t="s">
        <v>951</v>
      </c>
      <c r="D804" s="330"/>
      <c r="E804" s="331" t="s">
        <v>952</v>
      </c>
      <c r="F804" s="332"/>
      <c r="G804" s="332"/>
      <c r="H804" s="332"/>
      <c r="I804" s="332"/>
      <c r="J804" s="332"/>
      <c r="K804" s="332"/>
      <c r="L804" s="332"/>
      <c r="M804" s="332"/>
      <c r="N804" s="332"/>
      <c r="O804" s="332"/>
    </row>
    <row r="805" spans="1:15" x14ac:dyDescent="0.25">
      <c r="A805" s="327">
        <v>44465</v>
      </c>
      <c r="B805" s="328"/>
      <c r="C805" s="329" t="s">
        <v>953</v>
      </c>
      <c r="D805" s="330"/>
      <c r="E805" s="331" t="s">
        <v>954</v>
      </c>
      <c r="F805" s="332"/>
      <c r="G805" s="332"/>
      <c r="H805" s="332"/>
      <c r="I805" s="332"/>
      <c r="J805" s="332"/>
      <c r="K805" s="332"/>
      <c r="L805" s="332"/>
      <c r="M805" s="332"/>
      <c r="N805" s="332"/>
      <c r="O805" s="332"/>
    </row>
    <row r="806" spans="1:15" x14ac:dyDescent="0.25">
      <c r="A806" s="327">
        <v>45145</v>
      </c>
      <c r="B806" s="328"/>
      <c r="C806" s="329" t="s">
        <v>963</v>
      </c>
      <c r="D806" s="330"/>
      <c r="E806" s="331" t="s">
        <v>964</v>
      </c>
      <c r="F806" s="332"/>
      <c r="G806" s="332"/>
      <c r="H806" s="332"/>
      <c r="I806" s="332"/>
      <c r="J806" s="332"/>
      <c r="K806" s="332"/>
      <c r="L806" s="332"/>
      <c r="M806" s="332"/>
      <c r="N806" s="332"/>
      <c r="O806" s="332"/>
    </row>
    <row r="807" spans="1:15" x14ac:dyDescent="0.25">
      <c r="C807" s="165"/>
      <c r="D807" s="165"/>
    </row>
    <row r="808" spans="1:15" x14ac:dyDescent="0.25">
      <c r="C808" s="165"/>
      <c r="D808" s="165"/>
    </row>
    <row r="809" spans="1:15" x14ac:dyDescent="0.25">
      <c r="C809" s="165"/>
      <c r="D809" s="165"/>
    </row>
    <row r="810" spans="1:15" x14ac:dyDescent="0.25">
      <c r="C810" s="165"/>
      <c r="D810" s="165"/>
    </row>
    <row r="811" spans="1:15" x14ac:dyDescent="0.25">
      <c r="C811" s="165"/>
      <c r="D811" s="165"/>
    </row>
    <row r="812" spans="1:15" x14ac:dyDescent="0.25">
      <c r="C812" s="165"/>
      <c r="D812" s="165"/>
    </row>
    <row r="813" spans="1:15" x14ac:dyDescent="0.25">
      <c r="C813" s="165"/>
      <c r="D813" s="165"/>
    </row>
    <row r="814" spans="1:15" x14ac:dyDescent="0.25">
      <c r="C814" s="165"/>
      <c r="D814" s="165"/>
    </row>
    <row r="815" spans="1:15" x14ac:dyDescent="0.25">
      <c r="C815" s="165"/>
      <c r="D815" s="165"/>
    </row>
  </sheetData>
  <sheetProtection sheet="1" objects="1" scenarios="1"/>
  <mergeCells count="239">
    <mergeCell ref="A806:B806"/>
    <mergeCell ref="C806:D806"/>
    <mergeCell ref="E806:O806"/>
    <mergeCell ref="A1:P1"/>
    <mergeCell ref="A18:B18"/>
    <mergeCell ref="C18:O18"/>
    <mergeCell ref="A19:B19"/>
    <mergeCell ref="C19:O19"/>
    <mergeCell ref="B739:O739"/>
    <mergeCell ref="B726:O726"/>
    <mergeCell ref="B732:O732"/>
    <mergeCell ref="B727:O727"/>
    <mergeCell ref="B699:O699"/>
    <mergeCell ref="B715:O715"/>
    <mergeCell ref="B735:O735"/>
    <mergeCell ref="B738:O738"/>
    <mergeCell ref="B705:O705"/>
    <mergeCell ref="B709:O709"/>
    <mergeCell ref="B698:O698"/>
    <mergeCell ref="C28:O28"/>
    <mergeCell ref="A28:B28"/>
    <mergeCell ref="A30:B30"/>
    <mergeCell ref="C21:O21"/>
    <mergeCell ref="A17:B17"/>
    <mergeCell ref="C17:O17"/>
    <mergeCell ref="A20:B20"/>
    <mergeCell ref="C20:O20"/>
    <mergeCell ref="A22:B22"/>
    <mergeCell ref="C22:O22"/>
    <mergeCell ref="A23:B23"/>
    <mergeCell ref="C23:O23"/>
    <mergeCell ref="A21:B21"/>
    <mergeCell ref="C335:M335"/>
    <mergeCell ref="B696:O696"/>
    <mergeCell ref="C24:O24"/>
    <mergeCell ref="B683:O683"/>
    <mergeCell ref="B685:O685"/>
    <mergeCell ref="B687:O687"/>
    <mergeCell ref="B691:O691"/>
    <mergeCell ref="A31:B31"/>
    <mergeCell ref="C29:O29"/>
    <mergeCell ref="B684:O684"/>
    <mergeCell ref="C31:O31"/>
    <mergeCell ref="C27:O27"/>
    <mergeCell ref="A27:B27"/>
    <mergeCell ref="A26:B26"/>
    <mergeCell ref="B686:O686"/>
    <mergeCell ref="B695:O695"/>
    <mergeCell ref="C30:O30"/>
    <mergeCell ref="B694:O694"/>
    <mergeCell ref="B692:O692"/>
    <mergeCell ref="C25:O25"/>
    <mergeCell ref="A29:B29"/>
    <mergeCell ref="A24:B24"/>
    <mergeCell ref="A25:B25"/>
    <mergeCell ref="C26:O26"/>
    <mergeCell ref="B700:O700"/>
    <mergeCell ref="B697:O697"/>
    <mergeCell ref="E756:O756"/>
    <mergeCell ref="B688:O688"/>
    <mergeCell ref="B711:O711"/>
    <mergeCell ref="B701:O701"/>
    <mergeCell ref="B690:O690"/>
    <mergeCell ref="B744:O744"/>
    <mergeCell ref="B721:O721"/>
    <mergeCell ref="C756:D756"/>
    <mergeCell ref="B736:O736"/>
    <mergeCell ref="B706:O706"/>
    <mergeCell ref="B729:O729"/>
    <mergeCell ref="B693:O693"/>
    <mergeCell ref="E755:O755"/>
    <mergeCell ref="B717:O717"/>
    <mergeCell ref="B720:O720"/>
    <mergeCell ref="B718:O718"/>
    <mergeCell ref="B714:O714"/>
    <mergeCell ref="B712:O712"/>
    <mergeCell ref="B751:O751"/>
    <mergeCell ref="B689:O689"/>
    <mergeCell ref="C755:D755"/>
    <mergeCell ref="B741:O741"/>
    <mergeCell ref="B742:O742"/>
    <mergeCell ref="B724:O724"/>
    <mergeCell ref="B708:O708"/>
    <mergeCell ref="A755:B755"/>
    <mergeCell ref="B745:O745"/>
    <mergeCell ref="B750:O750"/>
    <mergeCell ref="B733:O733"/>
    <mergeCell ref="B747:O747"/>
    <mergeCell ref="B748:O748"/>
    <mergeCell ref="B723:O723"/>
    <mergeCell ref="B730:O730"/>
    <mergeCell ref="C757:D757"/>
    <mergeCell ref="A756:B756"/>
    <mergeCell ref="E757:O757"/>
    <mergeCell ref="C758:D758"/>
    <mergeCell ref="C760:D760"/>
    <mergeCell ref="E758:O758"/>
    <mergeCell ref="E759:O759"/>
    <mergeCell ref="C759:D759"/>
    <mergeCell ref="A759:B759"/>
    <mergeCell ref="A757:B757"/>
    <mergeCell ref="E760:O760"/>
    <mergeCell ref="A760:B760"/>
    <mergeCell ref="A758:B758"/>
    <mergeCell ref="A761:B761"/>
    <mergeCell ref="C761:D761"/>
    <mergeCell ref="E761:O761"/>
    <mergeCell ref="A765:B765"/>
    <mergeCell ref="C765:D765"/>
    <mergeCell ref="E765:O765"/>
    <mergeCell ref="A763:B763"/>
    <mergeCell ref="C763:D763"/>
    <mergeCell ref="E763:O763"/>
    <mergeCell ref="A764:B764"/>
    <mergeCell ref="C764:D764"/>
    <mergeCell ref="E764:O764"/>
    <mergeCell ref="A769:B769"/>
    <mergeCell ref="C769:D769"/>
    <mergeCell ref="E769:O769"/>
    <mergeCell ref="A768:B768"/>
    <mergeCell ref="C768:D768"/>
    <mergeCell ref="E768:O768"/>
    <mergeCell ref="A762:B762"/>
    <mergeCell ref="C762:D762"/>
    <mergeCell ref="E762:O762"/>
    <mergeCell ref="A774:B774"/>
    <mergeCell ref="C774:D774"/>
    <mergeCell ref="E774:O774"/>
    <mergeCell ref="A776:B776"/>
    <mergeCell ref="C776:D776"/>
    <mergeCell ref="E776:O776"/>
    <mergeCell ref="C766:D766"/>
    <mergeCell ref="E766:O766"/>
    <mergeCell ref="A766:B766"/>
    <mergeCell ref="A773:B773"/>
    <mergeCell ref="C773:D773"/>
    <mergeCell ref="E773:O773"/>
    <mergeCell ref="A772:B772"/>
    <mergeCell ref="C772:D772"/>
    <mergeCell ref="E772:O772"/>
    <mergeCell ref="A771:B771"/>
    <mergeCell ref="C771:D771"/>
    <mergeCell ref="E771:O771"/>
    <mergeCell ref="A767:B767"/>
    <mergeCell ref="C767:D767"/>
    <mergeCell ref="E767:O767"/>
    <mergeCell ref="A770:B770"/>
    <mergeCell ref="C770:D770"/>
    <mergeCell ref="E770:O770"/>
    <mergeCell ref="A782:B782"/>
    <mergeCell ref="C782:D782"/>
    <mergeCell ref="E782:O782"/>
    <mergeCell ref="A781:B781"/>
    <mergeCell ref="C781:D781"/>
    <mergeCell ref="E781:O781"/>
    <mergeCell ref="A775:B775"/>
    <mergeCell ref="C775:D775"/>
    <mergeCell ref="E775:O775"/>
    <mergeCell ref="A778:B778"/>
    <mergeCell ref="C778:D778"/>
    <mergeCell ref="E778:O778"/>
    <mergeCell ref="A777:B777"/>
    <mergeCell ref="C777:D777"/>
    <mergeCell ref="E777:O777"/>
    <mergeCell ref="A779:B779"/>
    <mergeCell ref="C779:D779"/>
    <mergeCell ref="E779:O779"/>
    <mergeCell ref="A780:B780"/>
    <mergeCell ref="C780:D780"/>
    <mergeCell ref="E780:O780"/>
    <mergeCell ref="A785:B785"/>
    <mergeCell ref="C785:D785"/>
    <mergeCell ref="E785:O785"/>
    <mergeCell ref="A783:B783"/>
    <mergeCell ref="C783:D783"/>
    <mergeCell ref="E783:O783"/>
    <mergeCell ref="A784:B784"/>
    <mergeCell ref="C784:D784"/>
    <mergeCell ref="E784:O784"/>
    <mergeCell ref="A786:B786"/>
    <mergeCell ref="C786:D786"/>
    <mergeCell ref="E786:O786"/>
    <mergeCell ref="A790:B790"/>
    <mergeCell ref="C790:D790"/>
    <mergeCell ref="E790:O790"/>
    <mergeCell ref="A789:B789"/>
    <mergeCell ref="C789:D789"/>
    <mergeCell ref="E789:O789"/>
    <mergeCell ref="A788:B788"/>
    <mergeCell ref="C788:D788"/>
    <mergeCell ref="E788:O788"/>
    <mergeCell ref="A787:B787"/>
    <mergeCell ref="C787:D787"/>
    <mergeCell ref="E787:O787"/>
    <mergeCell ref="A802:B802"/>
    <mergeCell ref="C802:D802"/>
    <mergeCell ref="E802:O802"/>
    <mergeCell ref="A792:B792"/>
    <mergeCell ref="C792:D792"/>
    <mergeCell ref="E792:O792"/>
    <mergeCell ref="A793:B793"/>
    <mergeCell ref="C793:D793"/>
    <mergeCell ref="E793:O793"/>
    <mergeCell ref="A798:B798"/>
    <mergeCell ref="C798:D798"/>
    <mergeCell ref="E798:O798"/>
    <mergeCell ref="A801:B801"/>
    <mergeCell ref="C801:D801"/>
    <mergeCell ref="E801:O801"/>
    <mergeCell ref="A791:B791"/>
    <mergeCell ref="C791:D791"/>
    <mergeCell ref="E791:O791"/>
    <mergeCell ref="A794:B794"/>
    <mergeCell ref="C794:D794"/>
    <mergeCell ref="E794:O794"/>
    <mergeCell ref="A795:B795"/>
    <mergeCell ref="C795:D795"/>
    <mergeCell ref="E795:O795"/>
    <mergeCell ref="A800:B800"/>
    <mergeCell ref="C800:D800"/>
    <mergeCell ref="E800:O800"/>
    <mergeCell ref="A799:B799"/>
    <mergeCell ref="C799:D799"/>
    <mergeCell ref="E799:O799"/>
    <mergeCell ref="A797:B797"/>
    <mergeCell ref="C797:D797"/>
    <mergeCell ref="E797:O797"/>
    <mergeCell ref="A796:B796"/>
    <mergeCell ref="C796:D796"/>
    <mergeCell ref="E796:O796"/>
    <mergeCell ref="A805:B805"/>
    <mergeCell ref="C805:D805"/>
    <mergeCell ref="E805:O805"/>
    <mergeCell ref="A804:B804"/>
    <mergeCell ref="C804:D804"/>
    <mergeCell ref="E804:O804"/>
    <mergeCell ref="A803:B803"/>
    <mergeCell ref="C803:D803"/>
    <mergeCell ref="E803:O803"/>
  </mergeCells>
  <phoneticPr fontId="19" type="noConversion"/>
  <hyperlinks>
    <hyperlink ref="B10" r:id="rId1" xr:uid="{00000000-0004-0000-0600-000000000000}"/>
    <hyperlink ref="B255" r:id="rId2" xr:uid="{C251A080-8121-4C57-AAC3-874B36E11E2A}"/>
  </hyperlinks>
  <pageMargins left="0.7" right="0.7" top="0.75" bottom="0.75" header="0.3" footer="0.3"/>
  <pageSetup orientation="portrait" r:id="rId3"/>
  <rowBreaks count="13" manualBreakCount="13">
    <brk id="32" max="16383" man="1"/>
    <brk id="68" max="16383" man="1"/>
    <brk id="112" max="16383" man="1"/>
    <brk id="222" max="16383" man="1"/>
    <brk id="387" max="16383" man="1"/>
    <brk id="428" max="16383" man="1"/>
    <brk id="467" max="16383" man="1"/>
    <brk id="515" max="16383" man="1"/>
    <brk id="570" max="16383" man="1"/>
    <brk id="625" max="16383" man="1"/>
    <brk id="702" max="16383" man="1"/>
    <brk id="734" max="16383" man="1"/>
    <brk id="752" max="16383" man="1"/>
  </rowBreaks>
  <colBreaks count="1" manualBreakCount="1">
    <brk id="16" max="1048575" man="1"/>
  </col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20</vt:i4>
      </vt:variant>
    </vt:vector>
  </HeadingPairs>
  <TitlesOfParts>
    <vt:vector size="26" baseType="lpstr">
      <vt:lpstr>Draw</vt:lpstr>
      <vt:lpstr>Players</vt:lpstr>
      <vt:lpstr>Match_Rosters</vt:lpstr>
      <vt:lpstr>Team_Matches</vt:lpstr>
      <vt:lpstr>Results</vt:lpstr>
      <vt:lpstr>Instructions</vt:lpstr>
      <vt:lpstr>AV</vt:lpstr>
      <vt:lpstr>BV</vt:lpstr>
      <vt:lpstr>CV</vt:lpstr>
      <vt:lpstr>DV</vt:lpstr>
      <vt:lpstr>EV</vt:lpstr>
      <vt:lpstr>FV</vt:lpstr>
      <vt:lpstr>GV</vt:lpstr>
      <vt:lpstr>HV</vt:lpstr>
      <vt:lpstr>Interval</vt:lpstr>
      <vt:lpstr>IV</vt:lpstr>
      <vt:lpstr>JV</vt:lpstr>
      <vt:lpstr>KV</vt:lpstr>
      <vt:lpstr>LV</vt:lpstr>
      <vt:lpstr>Draw!Print_Area</vt:lpstr>
      <vt:lpstr>Match_Rosters!Print_Area</vt:lpstr>
      <vt:lpstr>Players!Print_Area</vt:lpstr>
      <vt:lpstr>Results!Print_Area</vt:lpstr>
      <vt:lpstr>Team_Matches!Print_Area</vt:lpstr>
      <vt:lpstr>Players!Print_Titles</vt:lpstr>
      <vt:lpstr>Start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Kendle</dc:creator>
  <cp:lastModifiedBy>Randy Kendle</cp:lastModifiedBy>
  <cp:lastPrinted>2014-02-04T06:06:15Z</cp:lastPrinted>
  <dcterms:created xsi:type="dcterms:W3CDTF">2008-08-04T16:29:50Z</dcterms:created>
  <dcterms:modified xsi:type="dcterms:W3CDTF">2023-08-07T13:45:31Z</dcterms:modified>
</cp:coreProperties>
</file>